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2.xml" ContentType="application/vnd.ms-excel.threadedcomments+xml"/>
  <Override PartName="/xl/comments5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seyeltd.sharepoint.com/Finance/Shared Documents/2026 Mgt Pack Workings/2. Feb 26/MP/"/>
    </mc:Choice>
  </mc:AlternateContent>
  <xr:revisionPtr revIDLastSave="116" documentId="8_{3CB7E50C-E2DF-4DC5-AAF1-8E126FE0B2DE}" xr6:coauthVersionLast="47" xr6:coauthVersionMax="47" xr10:uidLastSave="{411B6558-8EEA-474D-9809-89BED6E88E25}"/>
  <bookViews>
    <workbookView xWindow="19090" yWindow="-110" windowWidth="38620" windowHeight="21100" tabRatio="852" xr2:uid="{00000000-000D-0000-FFFF-FFFF00000000}"/>
  </bookViews>
  <sheets>
    <sheet name="Cover" sheetId="14" r:id="rId1"/>
    <sheet name="KPIs" sheetId="12" r:id="rId2"/>
    <sheet name="Financial statements" sheetId="5" r:id="rId3"/>
    <sheet name="Financial plan" sheetId="215" r:id="rId4"/>
    <sheet name="Revenue data" sheetId="246" r:id="rId5"/>
    <sheet name="Alternate P&amp;L" sheetId="188" r:id="rId6"/>
    <sheet name="Stock" sheetId="244" r:id="rId7"/>
    <sheet name="Aged debtors" sheetId="247" r:id="rId8"/>
    <sheet name="Largest debtors" sheetId="248" r:id="rId9"/>
    <sheet name="Customer data" sheetId="249" r:id="rId10"/>
    <sheet name="Carrier data" sheetId="185" r:id="rId11"/>
    <sheet name="Overseas cash covenant" sheetId="225" r:id="rId12"/>
    <sheet name="Cash consumption and rev cov" sheetId="25" r:id="rId13"/>
  </sheets>
  <externalReferences>
    <externalReference r:id="rId14"/>
  </externalReferences>
  <definedNames>
    <definedName name="__FDS_HYPERLINK_TOGGLE_STATE__" hidden="1">"ON"</definedName>
    <definedName name="__xlnm.Print_Area" localSheetId="7">'Aged debtors'!#REF!</definedName>
    <definedName name="__xlnm.Print_Area" localSheetId="10">#REF!</definedName>
    <definedName name="__xlnm.Print_Area" localSheetId="9">'Customer data'!#REF!</definedName>
    <definedName name="__xlnm.Print_Area" localSheetId="3">#REF!</definedName>
    <definedName name="__xlnm.Print_Area" localSheetId="8">'Largest debtors'!#REF!</definedName>
    <definedName name="__xlnm.Print_Area" localSheetId="11">#REF!</definedName>
    <definedName name="__xlnm.Print_Area" localSheetId="6">Stock!#REF!</definedName>
    <definedName name="__xlnm.Print_Area">#REF!</definedName>
    <definedName name="__xlnm.Print_Area_4" localSheetId="7">'Aged debtors'!#REF!</definedName>
    <definedName name="__xlnm.Print_Area_4" localSheetId="10">#REF!</definedName>
    <definedName name="__xlnm.Print_Area_4" localSheetId="9">'Customer data'!#REF!</definedName>
    <definedName name="__xlnm.Print_Area_4" localSheetId="8">'Largest debtors'!#REF!</definedName>
    <definedName name="__xlnm.Print_Area_4" localSheetId="11">#REF!</definedName>
    <definedName name="__xlnm.Print_Area_4" localSheetId="6">Stock!#REF!</definedName>
    <definedName name="__xlnm.Print_Area_4">#REF!</definedName>
    <definedName name="_bdm.00e2edd08cf94f2a93b278a40afce751.edm" localSheetId="7" hidden="1">'Aged debtors'!#REF!</definedName>
    <definedName name="_bdm.00e2edd08cf94f2a93b278a40afce751.edm" localSheetId="10" hidden="1">#REF!</definedName>
    <definedName name="_bdm.00e2edd08cf94f2a93b278a40afce751.edm" localSheetId="9" hidden="1">'Customer data'!#REF!</definedName>
    <definedName name="_bdm.00e2edd08cf94f2a93b278a40afce751.edm" localSheetId="8" hidden="1">'Largest debtors'!#REF!</definedName>
    <definedName name="_bdm.00e2edd08cf94f2a93b278a40afce751.edm" localSheetId="11" hidden="1">#REF!</definedName>
    <definedName name="_bdm.00e2edd08cf94f2a93b278a40afce751.edm" localSheetId="6" hidden="1">Stock!#REF!</definedName>
    <definedName name="_bdm.00e2edd08cf94f2a93b278a40afce751.edm" hidden="1">#REF!</definedName>
    <definedName name="_bdm.01e3de4c2c964a59b28dfbf3b929c544.edm" localSheetId="9" hidden="1">'Customer data'!#REF!</definedName>
    <definedName name="_bdm.01e3de4c2c964a59b28dfbf3b929c544.edm" localSheetId="11" hidden="1">#REF!</definedName>
    <definedName name="_bdm.01e3de4c2c964a59b28dfbf3b929c544.edm" hidden="1">#REF!</definedName>
    <definedName name="_bdm.05bee0bf66bb4c68854a2c4d47da39a3.edm" localSheetId="7" hidden="1">'Aged debtors'!#REF!</definedName>
    <definedName name="_bdm.05bee0bf66bb4c68854a2c4d47da39a3.edm" localSheetId="10" hidden="1">#REF!</definedName>
    <definedName name="_bdm.05bee0bf66bb4c68854a2c4d47da39a3.edm" localSheetId="9" hidden="1">'Customer data'!#REF!</definedName>
    <definedName name="_bdm.05bee0bf66bb4c68854a2c4d47da39a3.edm" localSheetId="8" hidden="1">'Largest debtors'!#REF!</definedName>
    <definedName name="_bdm.05bee0bf66bb4c68854a2c4d47da39a3.edm" localSheetId="11" hidden="1">#REF!</definedName>
    <definedName name="_bdm.05bee0bf66bb4c68854a2c4d47da39a3.edm" localSheetId="6" hidden="1">Stock!#REF!</definedName>
    <definedName name="_bdm.05bee0bf66bb4c68854a2c4d47da39a3.edm" hidden="1">#REF!</definedName>
    <definedName name="_bdm.087e7cfce5e04b8f944969569c0341c0.edm" localSheetId="7" hidden="1">'Aged debtors'!#REF!</definedName>
    <definedName name="_bdm.087e7cfce5e04b8f944969569c0341c0.edm" localSheetId="10" hidden="1">#REF!</definedName>
    <definedName name="_bdm.087e7cfce5e04b8f944969569c0341c0.edm" localSheetId="9" hidden="1">'Customer data'!#REF!</definedName>
    <definedName name="_bdm.087e7cfce5e04b8f944969569c0341c0.edm" localSheetId="8" hidden="1">'Largest debtors'!#REF!</definedName>
    <definedName name="_bdm.087e7cfce5e04b8f944969569c0341c0.edm" localSheetId="11" hidden="1">#REF!</definedName>
    <definedName name="_bdm.087e7cfce5e04b8f944969569c0341c0.edm" localSheetId="6" hidden="1">Stock!#REF!</definedName>
    <definedName name="_bdm.087e7cfce5e04b8f944969569c0341c0.edm" hidden="1">#REF!</definedName>
    <definedName name="_bdm.08df5f270f114ff08e2f73dd309bda07.edm" localSheetId="7" hidden="1">'Aged debtors'!#REF!</definedName>
    <definedName name="_bdm.08df5f270f114ff08e2f73dd309bda07.edm" localSheetId="10" hidden="1">#REF!</definedName>
    <definedName name="_bdm.08df5f270f114ff08e2f73dd309bda07.edm" localSheetId="9" hidden="1">'Customer data'!#REF!</definedName>
    <definedName name="_bdm.08df5f270f114ff08e2f73dd309bda07.edm" localSheetId="8" hidden="1">'Largest debtors'!#REF!</definedName>
    <definedName name="_bdm.08df5f270f114ff08e2f73dd309bda07.edm" localSheetId="11" hidden="1">#REF!</definedName>
    <definedName name="_bdm.08df5f270f114ff08e2f73dd309bda07.edm" localSheetId="6" hidden="1">Stock!#REF!</definedName>
    <definedName name="_bdm.08df5f270f114ff08e2f73dd309bda07.edm" hidden="1">#REF!</definedName>
    <definedName name="_bdm.0b888ef3ae114ad6bb0a35355b84b211.edm" localSheetId="9" hidden="1">'Customer data'!#REF!</definedName>
    <definedName name="_bdm.0b888ef3ae114ad6bb0a35355b84b211.edm" localSheetId="11" hidden="1">#REF!</definedName>
    <definedName name="_bdm.0b888ef3ae114ad6bb0a35355b84b211.edm" hidden="1">#REF!</definedName>
    <definedName name="_bdm.10e2ba1855184ea1ba5f31c8b56d0669.edm" localSheetId="7" hidden="1">'Aged debtors'!#REF!</definedName>
    <definedName name="_bdm.10e2ba1855184ea1ba5f31c8b56d0669.edm" localSheetId="10" hidden="1">#REF!</definedName>
    <definedName name="_bdm.10e2ba1855184ea1ba5f31c8b56d0669.edm" localSheetId="9" hidden="1">'Customer data'!#REF!</definedName>
    <definedName name="_bdm.10e2ba1855184ea1ba5f31c8b56d0669.edm" localSheetId="8" hidden="1">'Largest debtors'!#REF!</definedName>
    <definedName name="_bdm.10e2ba1855184ea1ba5f31c8b56d0669.edm" localSheetId="11" hidden="1">#REF!</definedName>
    <definedName name="_bdm.10e2ba1855184ea1ba5f31c8b56d0669.edm" localSheetId="6" hidden="1">Stock!#REF!</definedName>
    <definedName name="_bdm.10e2ba1855184ea1ba5f31c8b56d0669.edm" hidden="1">#REF!</definedName>
    <definedName name="_bdm.119973e7e167461795f36dfa56a559ab.edm" localSheetId="9" hidden="1">'Customer data'!#REF!</definedName>
    <definedName name="_bdm.119973e7e167461795f36dfa56a559ab.edm" localSheetId="11" hidden="1">#REF!</definedName>
    <definedName name="_bdm.119973e7e167461795f36dfa56a559ab.edm" hidden="1">#REF!</definedName>
    <definedName name="_bdm.133edc9cfab34d09992c23e6fdca10c7.edm" localSheetId="9" hidden="1">'Customer data'!#REF!</definedName>
    <definedName name="_bdm.133edc9cfab34d09992c23e6fdca10c7.edm" localSheetId="11" hidden="1">#REF!</definedName>
    <definedName name="_bdm.133edc9cfab34d09992c23e6fdca10c7.edm" hidden="1">#REF!</definedName>
    <definedName name="_bdm.167b17bfefc847eba6c3fe7b8b45b86e.edm" localSheetId="7" hidden="1">'Aged debtors'!#REF!</definedName>
    <definedName name="_bdm.167b17bfefc847eba6c3fe7b8b45b86e.edm" localSheetId="10" hidden="1">#REF!</definedName>
    <definedName name="_bdm.167b17bfefc847eba6c3fe7b8b45b86e.edm" localSheetId="9" hidden="1">'Customer data'!#REF!</definedName>
    <definedName name="_bdm.167b17bfefc847eba6c3fe7b8b45b86e.edm" localSheetId="8" hidden="1">'Largest debtors'!#REF!</definedName>
    <definedName name="_bdm.167b17bfefc847eba6c3fe7b8b45b86e.edm" localSheetId="11" hidden="1">#REF!</definedName>
    <definedName name="_bdm.167b17bfefc847eba6c3fe7b8b45b86e.edm" localSheetId="6" hidden="1">Stock!#REF!</definedName>
    <definedName name="_bdm.167b17bfefc847eba6c3fe7b8b45b86e.edm" hidden="1">#REF!</definedName>
    <definedName name="_bdm.1ef4f236723b44d1a48b51f6f8f40524.edm" localSheetId="7" hidden="1">'Aged debtors'!#REF!</definedName>
    <definedName name="_bdm.1ef4f236723b44d1a48b51f6f8f40524.edm" localSheetId="10" hidden="1">#REF!</definedName>
    <definedName name="_bdm.1ef4f236723b44d1a48b51f6f8f40524.edm" localSheetId="9" hidden="1">'Customer data'!#REF!</definedName>
    <definedName name="_bdm.1ef4f236723b44d1a48b51f6f8f40524.edm" localSheetId="8" hidden="1">'Largest debtors'!#REF!</definedName>
    <definedName name="_bdm.1ef4f236723b44d1a48b51f6f8f40524.edm" localSheetId="11" hidden="1">#REF!</definedName>
    <definedName name="_bdm.1ef4f236723b44d1a48b51f6f8f40524.edm" localSheetId="6" hidden="1">Stock!#REF!</definedName>
    <definedName name="_bdm.1ef4f236723b44d1a48b51f6f8f40524.edm" hidden="1">#REF!</definedName>
    <definedName name="_bdm.20bd664d22e144bfa40fc6c2b3b0bf57.edm" localSheetId="9" hidden="1">'Customer data'!#REF!</definedName>
    <definedName name="_bdm.20bd664d22e144bfa40fc6c2b3b0bf57.edm" localSheetId="11" hidden="1">#REF!</definedName>
    <definedName name="_bdm.20bd664d22e144bfa40fc6c2b3b0bf57.edm" hidden="1">#REF!</definedName>
    <definedName name="_bdm.210940cdcb184fd3b1295f53dec67eb7.edm" localSheetId="7" hidden="1">'Aged debtors'!#REF!</definedName>
    <definedName name="_bdm.210940cdcb184fd3b1295f53dec67eb7.edm" localSheetId="10" hidden="1">#REF!</definedName>
    <definedName name="_bdm.210940cdcb184fd3b1295f53dec67eb7.edm" localSheetId="9" hidden="1">'Customer data'!#REF!</definedName>
    <definedName name="_bdm.210940cdcb184fd3b1295f53dec67eb7.edm" localSheetId="8" hidden="1">'Largest debtors'!#REF!</definedName>
    <definedName name="_bdm.210940cdcb184fd3b1295f53dec67eb7.edm" localSheetId="11" hidden="1">#REF!</definedName>
    <definedName name="_bdm.210940cdcb184fd3b1295f53dec67eb7.edm" localSheetId="6" hidden="1">Stock!#REF!</definedName>
    <definedName name="_bdm.210940cdcb184fd3b1295f53dec67eb7.edm" hidden="1">#REF!</definedName>
    <definedName name="_bdm.2769e5da02654738b43315c84b77aa3d.edm" localSheetId="7" hidden="1">'Aged debtors'!#REF!</definedName>
    <definedName name="_bdm.2769e5da02654738b43315c84b77aa3d.edm" localSheetId="10" hidden="1">#REF!</definedName>
    <definedName name="_bdm.2769e5da02654738b43315c84b77aa3d.edm" localSheetId="9" hidden="1">'Customer data'!#REF!</definedName>
    <definedName name="_bdm.2769e5da02654738b43315c84b77aa3d.edm" localSheetId="8" hidden="1">'Largest debtors'!#REF!</definedName>
    <definedName name="_bdm.2769e5da02654738b43315c84b77aa3d.edm" localSheetId="11" hidden="1">#REF!</definedName>
    <definedName name="_bdm.2769e5da02654738b43315c84b77aa3d.edm" localSheetId="6" hidden="1">Stock!#REF!</definedName>
    <definedName name="_bdm.2769e5da02654738b43315c84b77aa3d.edm" hidden="1">#REF!</definedName>
    <definedName name="_bdm.288ec5c3b0ef494a8ceba56f06692785.edm" localSheetId="7" hidden="1">'Aged debtors'!#REF!</definedName>
    <definedName name="_bdm.288ec5c3b0ef494a8ceba56f06692785.edm" localSheetId="10" hidden="1">#REF!</definedName>
    <definedName name="_bdm.288ec5c3b0ef494a8ceba56f06692785.edm" localSheetId="9" hidden="1">'Customer data'!#REF!</definedName>
    <definedName name="_bdm.288ec5c3b0ef494a8ceba56f06692785.edm" localSheetId="8" hidden="1">'Largest debtors'!#REF!</definedName>
    <definedName name="_bdm.288ec5c3b0ef494a8ceba56f06692785.edm" localSheetId="11" hidden="1">#REF!</definedName>
    <definedName name="_bdm.288ec5c3b0ef494a8ceba56f06692785.edm" localSheetId="6" hidden="1">Stock!#REF!</definedName>
    <definedName name="_bdm.288ec5c3b0ef494a8ceba56f06692785.edm" hidden="1">#REF!</definedName>
    <definedName name="_bdm.2e6cab7d63eb45ee89d224f9cc3f3e26.edm" localSheetId="9" hidden="1">'Customer data'!#REF!</definedName>
    <definedName name="_bdm.2e6cab7d63eb45ee89d224f9cc3f3e26.edm" localSheetId="11" hidden="1">#REF!</definedName>
    <definedName name="_bdm.2e6cab7d63eb45ee89d224f9cc3f3e26.edm" hidden="1">#REF!</definedName>
    <definedName name="_bdm.399cbd527326480789d4d6ea344669d4.edm" localSheetId="9" hidden="1">'Customer data'!#REF!</definedName>
    <definedName name="_bdm.399cbd527326480789d4d6ea344669d4.edm" localSheetId="11" hidden="1">#REF!</definedName>
    <definedName name="_bdm.399cbd527326480789d4d6ea344669d4.edm" hidden="1">#REF!</definedName>
    <definedName name="_bdm.3aa0b6a3595d4e21a8f2764b89eddcff.edm" localSheetId="9" hidden="1">'Customer data'!#REF!</definedName>
    <definedName name="_bdm.3aa0b6a3595d4e21a8f2764b89eddcff.edm" localSheetId="11" hidden="1">#REF!</definedName>
    <definedName name="_bdm.3aa0b6a3595d4e21a8f2764b89eddcff.edm" hidden="1">#REF!</definedName>
    <definedName name="_bdm.418dc97d90fa4804a15f2a3d911a83d3.edm" localSheetId="7" hidden="1">'Aged debtors'!#REF!</definedName>
    <definedName name="_bdm.418dc97d90fa4804a15f2a3d911a83d3.edm" localSheetId="10" hidden="1">#REF!</definedName>
    <definedName name="_bdm.418dc97d90fa4804a15f2a3d911a83d3.edm" localSheetId="9" hidden="1">'Customer data'!#REF!</definedName>
    <definedName name="_bdm.418dc97d90fa4804a15f2a3d911a83d3.edm" localSheetId="8" hidden="1">'Largest debtors'!#REF!</definedName>
    <definedName name="_bdm.418dc97d90fa4804a15f2a3d911a83d3.edm" localSheetId="11" hidden="1">#REF!</definedName>
    <definedName name="_bdm.418dc97d90fa4804a15f2a3d911a83d3.edm" localSheetId="6" hidden="1">Stock!#REF!</definedName>
    <definedName name="_bdm.418dc97d90fa4804a15f2a3d911a83d3.edm" hidden="1">#REF!</definedName>
    <definedName name="_bdm.4393a8eb43624ef196d3ac01c6c406d6.edm" localSheetId="9" hidden="1">'Customer data'!#REF!</definedName>
    <definedName name="_bdm.4393a8eb43624ef196d3ac01c6c406d6.edm" localSheetId="11" hidden="1">#REF!</definedName>
    <definedName name="_bdm.4393a8eb43624ef196d3ac01c6c406d6.edm" hidden="1">#REF!</definedName>
    <definedName name="_bdm.467beafc857f4b6fa1c3f7c66bde30e0.edm" localSheetId="7" hidden="1">'Aged debtors'!#REF!</definedName>
    <definedName name="_bdm.467beafc857f4b6fa1c3f7c66bde30e0.edm" localSheetId="10" hidden="1">#REF!</definedName>
    <definedName name="_bdm.467beafc857f4b6fa1c3f7c66bde30e0.edm" localSheetId="9" hidden="1">'Customer data'!#REF!</definedName>
    <definedName name="_bdm.467beafc857f4b6fa1c3f7c66bde30e0.edm" localSheetId="8" hidden="1">'Largest debtors'!#REF!</definedName>
    <definedName name="_bdm.467beafc857f4b6fa1c3f7c66bde30e0.edm" localSheetId="11" hidden="1">#REF!</definedName>
    <definedName name="_bdm.467beafc857f4b6fa1c3f7c66bde30e0.edm" localSheetId="6" hidden="1">Stock!#REF!</definedName>
    <definedName name="_bdm.467beafc857f4b6fa1c3f7c66bde30e0.edm" hidden="1">#REF!</definedName>
    <definedName name="_bdm.4c13b302500b4718ad4528e334d187a4.edm" localSheetId="7" hidden="1">'Aged debtors'!#REF!</definedName>
    <definedName name="_bdm.4c13b302500b4718ad4528e334d187a4.edm" localSheetId="10" hidden="1">#REF!</definedName>
    <definedName name="_bdm.4c13b302500b4718ad4528e334d187a4.edm" localSheetId="9" hidden="1">'Customer data'!#REF!</definedName>
    <definedName name="_bdm.4c13b302500b4718ad4528e334d187a4.edm" localSheetId="8" hidden="1">'Largest debtors'!#REF!</definedName>
    <definedName name="_bdm.4c13b302500b4718ad4528e334d187a4.edm" localSheetId="11" hidden="1">#REF!</definedName>
    <definedName name="_bdm.4c13b302500b4718ad4528e334d187a4.edm" localSheetId="6" hidden="1">Stock!#REF!</definedName>
    <definedName name="_bdm.4c13b302500b4718ad4528e334d187a4.edm" hidden="1">#REF!</definedName>
    <definedName name="_bdm.4ed7c2d3559a41839066e54a0277b222.edm" localSheetId="9" hidden="1">'Customer data'!#REF!</definedName>
    <definedName name="_bdm.4ed7c2d3559a41839066e54a0277b222.edm" localSheetId="11" hidden="1">#REF!</definedName>
    <definedName name="_bdm.4ed7c2d3559a41839066e54a0277b222.edm" hidden="1">#REF!</definedName>
    <definedName name="_bdm.509863a93d214f86b4e39b0a3578d778.edm" localSheetId="7" hidden="1">'Aged debtors'!#REF!</definedName>
    <definedName name="_bdm.509863a93d214f86b4e39b0a3578d778.edm" localSheetId="10" hidden="1">#REF!</definedName>
    <definedName name="_bdm.509863a93d214f86b4e39b0a3578d778.edm" localSheetId="9" hidden="1">'Customer data'!#REF!</definedName>
    <definedName name="_bdm.509863a93d214f86b4e39b0a3578d778.edm" localSheetId="8" hidden="1">'Largest debtors'!#REF!</definedName>
    <definedName name="_bdm.509863a93d214f86b4e39b0a3578d778.edm" localSheetId="11" hidden="1">#REF!</definedName>
    <definedName name="_bdm.509863a93d214f86b4e39b0a3578d778.edm" localSheetId="6" hidden="1">Stock!#REF!</definedName>
    <definedName name="_bdm.509863a93d214f86b4e39b0a3578d778.edm" hidden="1">#REF!</definedName>
    <definedName name="_bdm.514232894ea0427a90ab8b04dd27115b.edm" localSheetId="7" hidden="1">'Aged debtors'!#REF!</definedName>
    <definedName name="_bdm.514232894ea0427a90ab8b04dd27115b.edm" localSheetId="10" hidden="1">#REF!</definedName>
    <definedName name="_bdm.514232894ea0427a90ab8b04dd27115b.edm" localSheetId="9" hidden="1">'Customer data'!#REF!</definedName>
    <definedName name="_bdm.514232894ea0427a90ab8b04dd27115b.edm" localSheetId="8" hidden="1">'Largest debtors'!#REF!</definedName>
    <definedName name="_bdm.514232894ea0427a90ab8b04dd27115b.edm" localSheetId="11" hidden="1">#REF!</definedName>
    <definedName name="_bdm.514232894ea0427a90ab8b04dd27115b.edm" localSheetId="6" hidden="1">Stock!#REF!</definedName>
    <definedName name="_bdm.514232894ea0427a90ab8b04dd27115b.edm" hidden="1">#REF!</definedName>
    <definedName name="_bdm.535f3bd9daa6448d8b795c5ebd58e393.edm" localSheetId="9" hidden="1">'Customer data'!#REF!</definedName>
    <definedName name="_bdm.535f3bd9daa6448d8b795c5ebd58e393.edm" localSheetId="11" hidden="1">#REF!</definedName>
    <definedName name="_bdm.535f3bd9daa6448d8b795c5ebd58e393.edm" hidden="1">#REF!</definedName>
    <definedName name="_bdm.570e999e499a4ee2bc40f62e1bfd4894.edm" localSheetId="7" hidden="1">'Aged debtors'!#REF!</definedName>
    <definedName name="_bdm.570e999e499a4ee2bc40f62e1bfd4894.edm" localSheetId="10" hidden="1">#REF!</definedName>
    <definedName name="_bdm.570e999e499a4ee2bc40f62e1bfd4894.edm" localSheetId="9" hidden="1">'Customer data'!#REF!</definedName>
    <definedName name="_bdm.570e999e499a4ee2bc40f62e1bfd4894.edm" localSheetId="8" hidden="1">'Largest debtors'!#REF!</definedName>
    <definedName name="_bdm.570e999e499a4ee2bc40f62e1bfd4894.edm" localSheetId="11" hidden="1">#REF!</definedName>
    <definedName name="_bdm.570e999e499a4ee2bc40f62e1bfd4894.edm" localSheetId="6" hidden="1">Stock!#REF!</definedName>
    <definedName name="_bdm.570e999e499a4ee2bc40f62e1bfd4894.edm" hidden="1">#REF!</definedName>
    <definedName name="_bdm.5801dfa8e9b04049aebab8f827b75715.edm" localSheetId="7" hidden="1">'Aged debtors'!#REF!</definedName>
    <definedName name="_bdm.5801dfa8e9b04049aebab8f827b75715.edm" localSheetId="10" hidden="1">#REF!</definedName>
    <definedName name="_bdm.5801dfa8e9b04049aebab8f827b75715.edm" localSheetId="9" hidden="1">'Customer data'!#REF!</definedName>
    <definedName name="_bdm.5801dfa8e9b04049aebab8f827b75715.edm" localSheetId="8" hidden="1">'Largest debtors'!#REF!</definedName>
    <definedName name="_bdm.5801dfa8e9b04049aebab8f827b75715.edm" localSheetId="11" hidden="1">#REF!</definedName>
    <definedName name="_bdm.5801dfa8e9b04049aebab8f827b75715.edm" localSheetId="6" hidden="1">Stock!#REF!</definedName>
    <definedName name="_bdm.5801dfa8e9b04049aebab8f827b75715.edm" hidden="1">#REF!</definedName>
    <definedName name="_bdm.5d401fc347864c76a3311050d79e00f7.edm" localSheetId="7" hidden="1">'Aged debtors'!#REF!</definedName>
    <definedName name="_bdm.5d401fc347864c76a3311050d79e00f7.edm" localSheetId="10" hidden="1">#REF!</definedName>
    <definedName name="_bdm.5d401fc347864c76a3311050d79e00f7.edm" localSheetId="9" hidden="1">'Customer data'!#REF!</definedName>
    <definedName name="_bdm.5d401fc347864c76a3311050d79e00f7.edm" localSheetId="8" hidden="1">'Largest debtors'!#REF!</definedName>
    <definedName name="_bdm.5d401fc347864c76a3311050d79e00f7.edm" localSheetId="11" hidden="1">#REF!</definedName>
    <definedName name="_bdm.5d401fc347864c76a3311050d79e00f7.edm" localSheetId="6" hidden="1">Stock!#REF!</definedName>
    <definedName name="_bdm.5d401fc347864c76a3311050d79e00f7.edm" hidden="1">#REF!</definedName>
    <definedName name="_bdm.5e9dc9ec9aa54c86a59ea6482368eb02.edm" localSheetId="9" hidden="1">'Customer data'!#REF!</definedName>
    <definedName name="_bdm.5e9dc9ec9aa54c86a59ea6482368eb02.edm" localSheetId="11" hidden="1">#REF!</definedName>
    <definedName name="_bdm.5e9dc9ec9aa54c86a59ea6482368eb02.edm" hidden="1">#REF!</definedName>
    <definedName name="_bdm.601f38a62555429ea95a4f8fe773831a.edm" localSheetId="9" hidden="1">'Customer data'!#REF!</definedName>
    <definedName name="_bdm.601f38a62555429ea95a4f8fe773831a.edm" localSheetId="11" hidden="1">#REF!</definedName>
    <definedName name="_bdm.601f38a62555429ea95a4f8fe773831a.edm" hidden="1">#REF!</definedName>
    <definedName name="_bdm.622f98c8519446e98b675d413260064e.edm" localSheetId="9" hidden="1">'Customer data'!#REF!</definedName>
    <definedName name="_bdm.622f98c8519446e98b675d413260064e.edm" localSheetId="11" hidden="1">#REF!</definedName>
    <definedName name="_bdm.622f98c8519446e98b675d413260064e.edm" hidden="1">#REF!</definedName>
    <definedName name="_bdm.62ececafa232420a86c228bfab11fb59.edm" localSheetId="7" hidden="1">'Aged debtors'!#REF!</definedName>
    <definedName name="_bdm.62ececafa232420a86c228bfab11fb59.edm" localSheetId="10" hidden="1">#REF!</definedName>
    <definedName name="_bdm.62ececafa232420a86c228bfab11fb59.edm" localSheetId="9" hidden="1">'Customer data'!#REF!</definedName>
    <definedName name="_bdm.62ececafa232420a86c228bfab11fb59.edm" localSheetId="8" hidden="1">'Largest debtors'!#REF!</definedName>
    <definedName name="_bdm.62ececafa232420a86c228bfab11fb59.edm" localSheetId="11" hidden="1">#REF!</definedName>
    <definedName name="_bdm.62ececafa232420a86c228bfab11fb59.edm" localSheetId="6" hidden="1">Stock!#REF!</definedName>
    <definedName name="_bdm.62ececafa232420a86c228bfab11fb59.edm" hidden="1">#REF!</definedName>
    <definedName name="_bdm.6360d039f61e485eb3bed3b0a0f74905.edm" localSheetId="9" hidden="1">'Customer data'!#REF!</definedName>
    <definedName name="_bdm.6360d039f61e485eb3bed3b0a0f74905.edm" localSheetId="11" hidden="1">#REF!</definedName>
    <definedName name="_bdm.6360d039f61e485eb3bed3b0a0f74905.edm" hidden="1">#REF!</definedName>
    <definedName name="_bdm.6fe3ac5ff59d4d8b863a29bfe9b4a080.edm" localSheetId="9" hidden="1">'Customer data'!#REF!</definedName>
    <definedName name="_bdm.6fe3ac5ff59d4d8b863a29bfe9b4a080.edm" localSheetId="11" hidden="1">#REF!</definedName>
    <definedName name="_bdm.6fe3ac5ff59d4d8b863a29bfe9b4a080.edm" hidden="1">#REF!</definedName>
    <definedName name="_bdm.70434d2726d64e1c853f020c41adc2d1.edm" localSheetId="7" hidden="1">'Aged debtors'!#REF!</definedName>
    <definedName name="_bdm.70434d2726d64e1c853f020c41adc2d1.edm" localSheetId="10" hidden="1">#REF!</definedName>
    <definedName name="_bdm.70434d2726d64e1c853f020c41adc2d1.edm" localSheetId="9" hidden="1">'Customer data'!#REF!</definedName>
    <definedName name="_bdm.70434d2726d64e1c853f020c41adc2d1.edm" localSheetId="8" hidden="1">'Largest debtors'!#REF!</definedName>
    <definedName name="_bdm.70434d2726d64e1c853f020c41adc2d1.edm" localSheetId="11" hidden="1">#REF!</definedName>
    <definedName name="_bdm.70434d2726d64e1c853f020c41adc2d1.edm" localSheetId="6" hidden="1">Stock!#REF!</definedName>
    <definedName name="_bdm.70434d2726d64e1c853f020c41adc2d1.edm" hidden="1">#REF!</definedName>
    <definedName name="_bdm.7bea112413214ca5aea1afdb520a5887.edm" localSheetId="9" hidden="1">'Customer data'!#REF!</definedName>
    <definedName name="_bdm.7bea112413214ca5aea1afdb520a5887.edm" localSheetId="11" hidden="1">#REF!</definedName>
    <definedName name="_bdm.7bea112413214ca5aea1afdb520a5887.edm" hidden="1">#REF!</definedName>
    <definedName name="_bdm.7d20d003fbfd4f6ab0712a391484fee5.edm" localSheetId="7" hidden="1">'Aged debtors'!#REF!</definedName>
    <definedName name="_bdm.7d20d003fbfd4f6ab0712a391484fee5.edm" localSheetId="10" hidden="1">#REF!</definedName>
    <definedName name="_bdm.7d20d003fbfd4f6ab0712a391484fee5.edm" localSheetId="9" hidden="1">'Customer data'!#REF!</definedName>
    <definedName name="_bdm.7d20d003fbfd4f6ab0712a391484fee5.edm" localSheetId="8" hidden="1">'Largest debtors'!#REF!</definedName>
    <definedName name="_bdm.7d20d003fbfd4f6ab0712a391484fee5.edm" localSheetId="11" hidden="1">#REF!</definedName>
    <definedName name="_bdm.7d20d003fbfd4f6ab0712a391484fee5.edm" localSheetId="6" hidden="1">Stock!#REF!</definedName>
    <definedName name="_bdm.7d20d003fbfd4f6ab0712a391484fee5.edm" hidden="1">#REF!</definedName>
    <definedName name="_bdm.7dd1ea4ede9b412ca88f60da4940e8d7.edm" localSheetId="9" hidden="1">'Customer data'!#REF!</definedName>
    <definedName name="_bdm.7dd1ea4ede9b412ca88f60da4940e8d7.edm" localSheetId="11" hidden="1">#REF!</definedName>
    <definedName name="_bdm.7dd1ea4ede9b412ca88f60da4940e8d7.edm" hidden="1">#REF!</definedName>
    <definedName name="_bdm.807CD5A571754D5DBFD1D292A8D0C4B4.edm" localSheetId="7" hidden="1">'Aged debtors'!#REF!</definedName>
    <definedName name="_bdm.807CD5A571754D5DBFD1D292A8D0C4B4.edm" localSheetId="10" hidden="1">#REF!</definedName>
    <definedName name="_bdm.807CD5A571754D5DBFD1D292A8D0C4B4.edm" localSheetId="9" hidden="1">'Customer data'!#REF!</definedName>
    <definedName name="_bdm.807CD5A571754D5DBFD1D292A8D0C4B4.edm" localSheetId="8" hidden="1">'Largest debtors'!#REF!</definedName>
    <definedName name="_bdm.807CD5A571754D5DBFD1D292A8D0C4B4.edm" localSheetId="11" hidden="1">#REF!</definedName>
    <definedName name="_bdm.807CD5A571754D5DBFD1D292A8D0C4B4.edm" localSheetId="6" hidden="1">Stock!#REF!</definedName>
    <definedName name="_bdm.807CD5A571754D5DBFD1D292A8D0C4B4.edm" hidden="1">#REF!</definedName>
    <definedName name="_bdm.82594a558bab4ad2902195573830cd61.edm" localSheetId="9" hidden="1">'Customer data'!#REF!</definedName>
    <definedName name="_bdm.82594a558bab4ad2902195573830cd61.edm" localSheetId="11" hidden="1">#REF!</definedName>
    <definedName name="_bdm.82594a558bab4ad2902195573830cd61.edm" hidden="1">#REF!</definedName>
    <definedName name="_bdm.84e28fd6b6274e0096ae91b94c2d6e8f.edm" localSheetId="7" hidden="1">'Aged debtors'!#REF!</definedName>
    <definedName name="_bdm.84e28fd6b6274e0096ae91b94c2d6e8f.edm" localSheetId="10" hidden="1">#REF!</definedName>
    <definedName name="_bdm.84e28fd6b6274e0096ae91b94c2d6e8f.edm" localSheetId="9" hidden="1">'Customer data'!#REF!</definedName>
    <definedName name="_bdm.84e28fd6b6274e0096ae91b94c2d6e8f.edm" localSheetId="8" hidden="1">'Largest debtors'!#REF!</definedName>
    <definedName name="_bdm.84e28fd6b6274e0096ae91b94c2d6e8f.edm" localSheetId="11" hidden="1">#REF!</definedName>
    <definedName name="_bdm.84e28fd6b6274e0096ae91b94c2d6e8f.edm" localSheetId="6" hidden="1">Stock!#REF!</definedName>
    <definedName name="_bdm.84e28fd6b6274e0096ae91b94c2d6e8f.edm" hidden="1">#REF!</definedName>
    <definedName name="_bdm.8977b3e8f0bc47c594214144ed56993b.edm" localSheetId="7" hidden="1">'Aged debtors'!#REF!</definedName>
    <definedName name="_bdm.8977b3e8f0bc47c594214144ed56993b.edm" localSheetId="10" hidden="1">#REF!</definedName>
    <definedName name="_bdm.8977b3e8f0bc47c594214144ed56993b.edm" localSheetId="9" hidden="1">'Customer data'!#REF!</definedName>
    <definedName name="_bdm.8977b3e8f0bc47c594214144ed56993b.edm" localSheetId="8" hidden="1">'Largest debtors'!#REF!</definedName>
    <definedName name="_bdm.8977b3e8f0bc47c594214144ed56993b.edm" localSheetId="11" hidden="1">#REF!</definedName>
    <definedName name="_bdm.8977b3e8f0bc47c594214144ed56993b.edm" localSheetId="6" hidden="1">Stock!#REF!</definedName>
    <definedName name="_bdm.8977b3e8f0bc47c594214144ed56993b.edm" hidden="1">#REF!</definedName>
    <definedName name="_bdm.8a43aa2916f74a34bc4b438ca5596951.edm" localSheetId="9" hidden="1">'Customer data'!#REF!</definedName>
    <definedName name="_bdm.8a43aa2916f74a34bc4b438ca5596951.edm" localSheetId="11" hidden="1">#REF!</definedName>
    <definedName name="_bdm.8a43aa2916f74a34bc4b438ca5596951.edm" hidden="1">#REF!</definedName>
    <definedName name="_bdm.8d9f1f5822ed4ebca65d6ea9e09827b1.edm" localSheetId="9" hidden="1">'Customer data'!#REF!</definedName>
    <definedName name="_bdm.8d9f1f5822ed4ebca65d6ea9e09827b1.edm" localSheetId="11" hidden="1">#REF!</definedName>
    <definedName name="_bdm.8d9f1f5822ed4ebca65d6ea9e09827b1.edm" hidden="1">#REF!</definedName>
    <definedName name="_bdm.8fbba33ed6a5400f880c6a9c031d3be3.edm" localSheetId="7" hidden="1">'Aged debtors'!#REF!</definedName>
    <definedName name="_bdm.8fbba33ed6a5400f880c6a9c031d3be3.edm" localSheetId="10" hidden="1">#REF!</definedName>
    <definedName name="_bdm.8fbba33ed6a5400f880c6a9c031d3be3.edm" localSheetId="9" hidden="1">'Customer data'!#REF!</definedName>
    <definedName name="_bdm.8fbba33ed6a5400f880c6a9c031d3be3.edm" localSheetId="8" hidden="1">'Largest debtors'!#REF!</definedName>
    <definedName name="_bdm.8fbba33ed6a5400f880c6a9c031d3be3.edm" localSheetId="11" hidden="1">#REF!</definedName>
    <definedName name="_bdm.8fbba33ed6a5400f880c6a9c031d3be3.edm" localSheetId="6" hidden="1">Stock!#REF!</definedName>
    <definedName name="_bdm.8fbba33ed6a5400f880c6a9c031d3be3.edm" hidden="1">#REF!</definedName>
    <definedName name="_bdm.909eb75c8c5c496e9176e38a57100bcc.edm" localSheetId="9" hidden="1">'Customer data'!#REF!</definedName>
    <definedName name="_bdm.909eb75c8c5c496e9176e38a57100bcc.edm" localSheetId="11" hidden="1">#REF!</definedName>
    <definedName name="_bdm.909eb75c8c5c496e9176e38a57100bcc.edm" hidden="1">#REF!</definedName>
    <definedName name="_bdm.9147b2b16f834623b54ac19d6e158a29.edm" localSheetId="7" hidden="1">'Aged debtors'!#REF!</definedName>
    <definedName name="_bdm.9147b2b16f834623b54ac19d6e158a29.edm" localSheetId="10" hidden="1">#REF!</definedName>
    <definedName name="_bdm.9147b2b16f834623b54ac19d6e158a29.edm" localSheetId="9" hidden="1">'Customer data'!#REF!</definedName>
    <definedName name="_bdm.9147b2b16f834623b54ac19d6e158a29.edm" localSheetId="8" hidden="1">'Largest debtors'!#REF!</definedName>
    <definedName name="_bdm.9147b2b16f834623b54ac19d6e158a29.edm" localSheetId="11" hidden="1">#REF!</definedName>
    <definedName name="_bdm.9147b2b16f834623b54ac19d6e158a29.edm" localSheetId="6" hidden="1">Stock!#REF!</definedName>
    <definedName name="_bdm.9147b2b16f834623b54ac19d6e158a29.edm" hidden="1">#REF!</definedName>
    <definedName name="_bdm.920170b83c804eca8d54411ab9de7523.edm" localSheetId="9" hidden="1">'Customer data'!#REF!</definedName>
    <definedName name="_bdm.920170b83c804eca8d54411ab9de7523.edm" localSheetId="11" hidden="1">#REF!</definedName>
    <definedName name="_bdm.920170b83c804eca8d54411ab9de7523.edm" hidden="1">#REF!</definedName>
    <definedName name="_bdm.939ede70b8d447f19d03ff3cb6d2facc.edm" localSheetId="9" hidden="1">'Customer data'!#REF!</definedName>
    <definedName name="_bdm.939ede70b8d447f19d03ff3cb6d2facc.edm" localSheetId="11" hidden="1">#REF!</definedName>
    <definedName name="_bdm.939ede70b8d447f19d03ff3cb6d2facc.edm" hidden="1">#REF!</definedName>
    <definedName name="_bdm.94028a8bc3ee4dca8d67c99a61fe0c2a.edm" localSheetId="9" hidden="1">'Customer data'!#REF!</definedName>
    <definedName name="_bdm.94028a8bc3ee4dca8d67c99a61fe0c2a.edm" localSheetId="11" hidden="1">#REF!</definedName>
    <definedName name="_bdm.94028a8bc3ee4dca8d67c99a61fe0c2a.edm" hidden="1">#REF!</definedName>
    <definedName name="_bdm.94fb9173d7f04f52b705a34833da7934.edm" localSheetId="7" hidden="1">'Aged debtors'!#REF!</definedName>
    <definedName name="_bdm.94fb9173d7f04f52b705a34833da7934.edm" localSheetId="10" hidden="1">#REF!</definedName>
    <definedName name="_bdm.94fb9173d7f04f52b705a34833da7934.edm" localSheetId="9" hidden="1">'Customer data'!#REF!</definedName>
    <definedName name="_bdm.94fb9173d7f04f52b705a34833da7934.edm" localSheetId="8" hidden="1">'Largest debtors'!#REF!</definedName>
    <definedName name="_bdm.94fb9173d7f04f52b705a34833da7934.edm" localSheetId="11" hidden="1">#REF!</definedName>
    <definedName name="_bdm.94fb9173d7f04f52b705a34833da7934.edm" localSheetId="6" hidden="1">Stock!#REF!</definedName>
    <definedName name="_bdm.94fb9173d7f04f52b705a34833da7934.edm" hidden="1">#REF!</definedName>
    <definedName name="_bdm.9a4e7a1893bd4188ad79f49c112bc16d.edm" localSheetId="7" hidden="1">'Aged debtors'!#REF!</definedName>
    <definedName name="_bdm.9a4e7a1893bd4188ad79f49c112bc16d.edm" localSheetId="10" hidden="1">#REF!</definedName>
    <definedName name="_bdm.9a4e7a1893bd4188ad79f49c112bc16d.edm" localSheetId="9" hidden="1">'Customer data'!#REF!</definedName>
    <definedName name="_bdm.9a4e7a1893bd4188ad79f49c112bc16d.edm" localSheetId="8" hidden="1">'Largest debtors'!#REF!</definedName>
    <definedName name="_bdm.9a4e7a1893bd4188ad79f49c112bc16d.edm" localSheetId="11" hidden="1">#REF!</definedName>
    <definedName name="_bdm.9a4e7a1893bd4188ad79f49c112bc16d.edm" localSheetId="6" hidden="1">Stock!#REF!</definedName>
    <definedName name="_bdm.9a4e7a1893bd4188ad79f49c112bc16d.edm" hidden="1">#REF!</definedName>
    <definedName name="_bdm.9b00c608e6e04b01b5a5d00b8243c53f.edm" localSheetId="7" hidden="1">'Aged debtors'!#REF!</definedName>
    <definedName name="_bdm.9b00c608e6e04b01b5a5d00b8243c53f.edm" localSheetId="10" hidden="1">#REF!</definedName>
    <definedName name="_bdm.9b00c608e6e04b01b5a5d00b8243c53f.edm" localSheetId="9" hidden="1">'Customer data'!#REF!</definedName>
    <definedName name="_bdm.9b00c608e6e04b01b5a5d00b8243c53f.edm" localSheetId="8" hidden="1">'Largest debtors'!#REF!</definedName>
    <definedName name="_bdm.9b00c608e6e04b01b5a5d00b8243c53f.edm" localSheetId="11" hidden="1">#REF!</definedName>
    <definedName name="_bdm.9b00c608e6e04b01b5a5d00b8243c53f.edm" localSheetId="6" hidden="1">Stock!#REF!</definedName>
    <definedName name="_bdm.9b00c608e6e04b01b5a5d00b8243c53f.edm" hidden="1">#REF!</definedName>
    <definedName name="_bdm.9bb6b5b433d34586b9d72017f053b802.edm" localSheetId="7" hidden="1">'Aged debtors'!#REF!</definedName>
    <definedName name="_bdm.9bb6b5b433d34586b9d72017f053b802.edm" localSheetId="10" hidden="1">#REF!</definedName>
    <definedName name="_bdm.9bb6b5b433d34586b9d72017f053b802.edm" localSheetId="9" hidden="1">'Customer data'!#REF!</definedName>
    <definedName name="_bdm.9bb6b5b433d34586b9d72017f053b802.edm" localSheetId="8" hidden="1">'Largest debtors'!#REF!</definedName>
    <definedName name="_bdm.9bb6b5b433d34586b9d72017f053b802.edm" localSheetId="11" hidden="1">#REF!</definedName>
    <definedName name="_bdm.9bb6b5b433d34586b9d72017f053b802.edm" localSheetId="6" hidden="1">Stock!#REF!</definedName>
    <definedName name="_bdm.9bb6b5b433d34586b9d72017f053b802.edm" hidden="1">#REF!</definedName>
    <definedName name="_bdm.9cb3dd711482465faa2d36134282cf1c.edm" localSheetId="7" hidden="1">'Aged debtors'!#REF!</definedName>
    <definedName name="_bdm.9cb3dd711482465faa2d36134282cf1c.edm" localSheetId="10" hidden="1">#REF!</definedName>
    <definedName name="_bdm.9cb3dd711482465faa2d36134282cf1c.edm" localSheetId="9" hidden="1">'Customer data'!#REF!</definedName>
    <definedName name="_bdm.9cb3dd711482465faa2d36134282cf1c.edm" localSheetId="8" hidden="1">'Largest debtors'!#REF!</definedName>
    <definedName name="_bdm.9cb3dd711482465faa2d36134282cf1c.edm" localSheetId="11" hidden="1">#REF!</definedName>
    <definedName name="_bdm.9cb3dd711482465faa2d36134282cf1c.edm" localSheetId="6" hidden="1">Stock!#REF!</definedName>
    <definedName name="_bdm.9cb3dd711482465faa2d36134282cf1c.edm" hidden="1">#REF!</definedName>
    <definedName name="_bdm.9cea5ddd3fe14a14b7908a61d3d619ea.edm" localSheetId="9" hidden="1">'Customer data'!#REF!</definedName>
    <definedName name="_bdm.9cea5ddd3fe14a14b7908a61d3d619ea.edm" localSheetId="11" hidden="1">#REF!</definedName>
    <definedName name="_bdm.9cea5ddd3fe14a14b7908a61d3d619ea.edm" hidden="1">#REF!</definedName>
    <definedName name="_bdm.a06eea6f90644b99addf005734c52552.edm" localSheetId="9" hidden="1">'Customer data'!#REF!</definedName>
    <definedName name="_bdm.a06eea6f90644b99addf005734c52552.edm" localSheetId="11" hidden="1">#REF!</definedName>
    <definedName name="_bdm.a06eea6f90644b99addf005734c52552.edm" hidden="1">#REF!</definedName>
    <definedName name="_bdm.a0cab33599d94ad7a23ed4a296eef3fe.edm" localSheetId="7" hidden="1">'Aged debtors'!#REF!</definedName>
    <definedName name="_bdm.a0cab33599d94ad7a23ed4a296eef3fe.edm" localSheetId="10" hidden="1">#REF!</definedName>
    <definedName name="_bdm.a0cab33599d94ad7a23ed4a296eef3fe.edm" localSheetId="9" hidden="1">'Customer data'!#REF!</definedName>
    <definedName name="_bdm.a0cab33599d94ad7a23ed4a296eef3fe.edm" localSheetId="8" hidden="1">'Largest debtors'!#REF!</definedName>
    <definedName name="_bdm.a0cab33599d94ad7a23ed4a296eef3fe.edm" localSheetId="11" hidden="1">#REF!</definedName>
    <definedName name="_bdm.a0cab33599d94ad7a23ed4a296eef3fe.edm" localSheetId="6" hidden="1">Stock!#REF!</definedName>
    <definedName name="_bdm.a0cab33599d94ad7a23ed4a296eef3fe.edm" hidden="1">#REF!</definedName>
    <definedName name="_bdm.a271c9ef3f764ef2a1b3f8e8462bb13d.edm" localSheetId="9" hidden="1">'Customer data'!#REF!</definedName>
    <definedName name="_bdm.a271c9ef3f764ef2a1b3f8e8462bb13d.edm" localSheetId="11" hidden="1">#REF!</definedName>
    <definedName name="_bdm.a271c9ef3f764ef2a1b3f8e8462bb13d.edm" hidden="1">#REF!</definedName>
    <definedName name="_bdm.a2776326ec8c4f6ab56d9552b675b6b6.edm" localSheetId="7" hidden="1">'Aged debtors'!#REF!</definedName>
    <definedName name="_bdm.a2776326ec8c4f6ab56d9552b675b6b6.edm" localSheetId="10" hidden="1">#REF!</definedName>
    <definedName name="_bdm.a2776326ec8c4f6ab56d9552b675b6b6.edm" localSheetId="9" hidden="1">'Customer data'!#REF!</definedName>
    <definedName name="_bdm.a2776326ec8c4f6ab56d9552b675b6b6.edm" localSheetId="8" hidden="1">'Largest debtors'!#REF!</definedName>
    <definedName name="_bdm.a2776326ec8c4f6ab56d9552b675b6b6.edm" localSheetId="11" hidden="1">#REF!</definedName>
    <definedName name="_bdm.a2776326ec8c4f6ab56d9552b675b6b6.edm" localSheetId="6" hidden="1">Stock!#REF!</definedName>
    <definedName name="_bdm.a2776326ec8c4f6ab56d9552b675b6b6.edm" hidden="1">#REF!</definedName>
    <definedName name="_bdm.a691a36c56914000974a32cf658ed98e.edm" localSheetId="9" hidden="1">'Customer data'!#REF!</definedName>
    <definedName name="_bdm.a691a36c56914000974a32cf658ed98e.edm" localSheetId="11" hidden="1">#REF!</definedName>
    <definedName name="_bdm.a691a36c56914000974a32cf658ed98e.edm" hidden="1">#REF!</definedName>
    <definedName name="_bdm.a7343cd8dc5b41baa105d7d34cda2b54.edm" localSheetId="7" hidden="1">'Aged debtors'!#REF!</definedName>
    <definedName name="_bdm.a7343cd8dc5b41baa105d7d34cda2b54.edm" localSheetId="10" hidden="1">#REF!</definedName>
    <definedName name="_bdm.a7343cd8dc5b41baa105d7d34cda2b54.edm" localSheetId="9" hidden="1">'Customer data'!#REF!</definedName>
    <definedName name="_bdm.a7343cd8dc5b41baa105d7d34cda2b54.edm" localSheetId="8" hidden="1">'Largest debtors'!#REF!</definedName>
    <definedName name="_bdm.a7343cd8dc5b41baa105d7d34cda2b54.edm" localSheetId="11" hidden="1">#REF!</definedName>
    <definedName name="_bdm.a7343cd8dc5b41baa105d7d34cda2b54.edm" localSheetId="6" hidden="1">Stock!#REF!</definedName>
    <definedName name="_bdm.a7343cd8dc5b41baa105d7d34cda2b54.edm" hidden="1">#REF!</definedName>
    <definedName name="_bdm.ab7f11d941284be8902d0f4fd9701f59.edm" localSheetId="7" hidden="1">'Aged debtors'!#REF!</definedName>
    <definedName name="_bdm.ab7f11d941284be8902d0f4fd9701f59.edm" localSheetId="10" hidden="1">#REF!</definedName>
    <definedName name="_bdm.ab7f11d941284be8902d0f4fd9701f59.edm" localSheetId="9" hidden="1">'Customer data'!#REF!</definedName>
    <definedName name="_bdm.ab7f11d941284be8902d0f4fd9701f59.edm" localSheetId="8" hidden="1">'Largest debtors'!#REF!</definedName>
    <definedName name="_bdm.ab7f11d941284be8902d0f4fd9701f59.edm" localSheetId="11" hidden="1">#REF!</definedName>
    <definedName name="_bdm.ab7f11d941284be8902d0f4fd9701f59.edm" localSheetId="6" hidden="1">Stock!#REF!</definedName>
    <definedName name="_bdm.ab7f11d941284be8902d0f4fd9701f59.edm" hidden="1">#REF!</definedName>
    <definedName name="_bdm.b010da95a6164968ae3b4147b4222eed.edm" localSheetId="7" hidden="1">'Aged debtors'!#REF!</definedName>
    <definedName name="_bdm.b010da95a6164968ae3b4147b4222eed.edm" localSheetId="10" hidden="1">#REF!</definedName>
    <definedName name="_bdm.b010da95a6164968ae3b4147b4222eed.edm" localSheetId="9" hidden="1">'Customer data'!#REF!</definedName>
    <definedName name="_bdm.b010da95a6164968ae3b4147b4222eed.edm" localSheetId="8" hidden="1">'Largest debtors'!#REF!</definedName>
    <definedName name="_bdm.b010da95a6164968ae3b4147b4222eed.edm" localSheetId="11" hidden="1">#REF!</definedName>
    <definedName name="_bdm.b010da95a6164968ae3b4147b4222eed.edm" localSheetId="6" hidden="1">Stock!#REF!</definedName>
    <definedName name="_bdm.b010da95a6164968ae3b4147b4222eed.edm" hidden="1">#REF!</definedName>
    <definedName name="_bdm.b069d3fb0ac34bee82b2c94db144b282.edm" localSheetId="7" hidden="1">'Aged debtors'!#REF!</definedName>
    <definedName name="_bdm.b069d3fb0ac34bee82b2c94db144b282.edm" localSheetId="10" hidden="1">#REF!</definedName>
    <definedName name="_bdm.b069d3fb0ac34bee82b2c94db144b282.edm" localSheetId="9" hidden="1">'Customer data'!#REF!</definedName>
    <definedName name="_bdm.b069d3fb0ac34bee82b2c94db144b282.edm" localSheetId="8" hidden="1">'Largest debtors'!#REF!</definedName>
    <definedName name="_bdm.b069d3fb0ac34bee82b2c94db144b282.edm" localSheetId="11" hidden="1">#REF!</definedName>
    <definedName name="_bdm.b069d3fb0ac34bee82b2c94db144b282.edm" localSheetId="6" hidden="1">Stock!#REF!</definedName>
    <definedName name="_bdm.b069d3fb0ac34bee82b2c94db144b282.edm" hidden="1">#REF!</definedName>
    <definedName name="_bdm.b4247b14f926410ea48317c1dd837e60.edm" localSheetId="7" hidden="1">'Aged debtors'!#REF!</definedName>
    <definedName name="_bdm.b4247b14f926410ea48317c1dd837e60.edm" localSheetId="10" hidden="1">#REF!</definedName>
    <definedName name="_bdm.b4247b14f926410ea48317c1dd837e60.edm" localSheetId="9" hidden="1">'Customer data'!#REF!</definedName>
    <definedName name="_bdm.b4247b14f926410ea48317c1dd837e60.edm" localSheetId="8" hidden="1">'Largest debtors'!#REF!</definedName>
    <definedName name="_bdm.b4247b14f926410ea48317c1dd837e60.edm" localSheetId="11" hidden="1">#REF!</definedName>
    <definedName name="_bdm.b4247b14f926410ea48317c1dd837e60.edm" localSheetId="6" hidden="1">Stock!#REF!</definedName>
    <definedName name="_bdm.b4247b14f926410ea48317c1dd837e60.edm" hidden="1">#REF!</definedName>
    <definedName name="_bdm.b4b684d572404f95bac5d524871fcf1f.edm" localSheetId="9" hidden="1">'Customer data'!#REF!</definedName>
    <definedName name="_bdm.b4b684d572404f95bac5d524871fcf1f.edm" localSheetId="11" hidden="1">#REF!</definedName>
    <definedName name="_bdm.b4b684d572404f95bac5d524871fcf1f.edm" hidden="1">#REF!</definedName>
    <definedName name="_bdm.b8d802b7bfdf455692c75913fbd1793f.edm" localSheetId="7" hidden="1">'Aged debtors'!#REF!</definedName>
    <definedName name="_bdm.b8d802b7bfdf455692c75913fbd1793f.edm" localSheetId="10" hidden="1">#REF!</definedName>
    <definedName name="_bdm.b8d802b7bfdf455692c75913fbd1793f.edm" localSheetId="9" hidden="1">'Customer data'!#REF!</definedName>
    <definedName name="_bdm.b8d802b7bfdf455692c75913fbd1793f.edm" localSheetId="8" hidden="1">'Largest debtors'!#REF!</definedName>
    <definedName name="_bdm.b8d802b7bfdf455692c75913fbd1793f.edm" localSheetId="11" hidden="1">#REF!</definedName>
    <definedName name="_bdm.b8d802b7bfdf455692c75913fbd1793f.edm" localSheetId="6" hidden="1">Stock!#REF!</definedName>
    <definedName name="_bdm.b8d802b7bfdf455692c75913fbd1793f.edm" hidden="1">#REF!</definedName>
    <definedName name="_bdm.bb731085799e4337b0d4c6ec73aeaa0e.edm" localSheetId="7" hidden="1">'Aged debtors'!#REF!</definedName>
    <definedName name="_bdm.bb731085799e4337b0d4c6ec73aeaa0e.edm" localSheetId="10" hidden="1">#REF!</definedName>
    <definedName name="_bdm.bb731085799e4337b0d4c6ec73aeaa0e.edm" localSheetId="9" hidden="1">'Customer data'!#REF!</definedName>
    <definedName name="_bdm.bb731085799e4337b0d4c6ec73aeaa0e.edm" localSheetId="8" hidden="1">'Largest debtors'!#REF!</definedName>
    <definedName name="_bdm.bb731085799e4337b0d4c6ec73aeaa0e.edm" localSheetId="11" hidden="1">#REF!</definedName>
    <definedName name="_bdm.bb731085799e4337b0d4c6ec73aeaa0e.edm" localSheetId="6" hidden="1">Stock!#REF!</definedName>
    <definedName name="_bdm.bb731085799e4337b0d4c6ec73aeaa0e.edm" hidden="1">#REF!</definedName>
    <definedName name="_bdm.be96ce2cc8ec49e59947d60ecb1019e5.edm" localSheetId="9" hidden="1">'Customer data'!#REF!</definedName>
    <definedName name="_bdm.be96ce2cc8ec49e59947d60ecb1019e5.edm" localSheetId="11" hidden="1">#REF!</definedName>
    <definedName name="_bdm.be96ce2cc8ec49e59947d60ecb1019e5.edm" hidden="1">#REF!</definedName>
    <definedName name="_bdm.c1b7182951cd406abcb288537df44129.edm" localSheetId="7" hidden="1">'Aged debtors'!#REF!</definedName>
    <definedName name="_bdm.c1b7182951cd406abcb288537df44129.edm" localSheetId="10" hidden="1">#REF!</definedName>
    <definedName name="_bdm.c1b7182951cd406abcb288537df44129.edm" localSheetId="9" hidden="1">'Customer data'!#REF!</definedName>
    <definedName name="_bdm.c1b7182951cd406abcb288537df44129.edm" localSheetId="8" hidden="1">'Largest debtors'!#REF!</definedName>
    <definedName name="_bdm.c1b7182951cd406abcb288537df44129.edm" localSheetId="11" hidden="1">#REF!</definedName>
    <definedName name="_bdm.c1b7182951cd406abcb288537df44129.edm" localSheetId="6" hidden="1">Stock!#REF!</definedName>
    <definedName name="_bdm.c1b7182951cd406abcb288537df44129.edm" hidden="1">#REF!</definedName>
    <definedName name="_bdm.c4efce8f6b4949aab339c91cb1944a02.edm" localSheetId="7" hidden="1">'Aged debtors'!#REF!</definedName>
    <definedName name="_bdm.c4efce8f6b4949aab339c91cb1944a02.edm" localSheetId="10" hidden="1">#REF!</definedName>
    <definedName name="_bdm.c4efce8f6b4949aab339c91cb1944a02.edm" localSheetId="9" hidden="1">'Customer data'!#REF!</definedName>
    <definedName name="_bdm.c4efce8f6b4949aab339c91cb1944a02.edm" localSheetId="8" hidden="1">'Largest debtors'!#REF!</definedName>
    <definedName name="_bdm.c4efce8f6b4949aab339c91cb1944a02.edm" localSheetId="11" hidden="1">#REF!</definedName>
    <definedName name="_bdm.c4efce8f6b4949aab339c91cb1944a02.edm" localSheetId="6" hidden="1">Stock!#REF!</definedName>
    <definedName name="_bdm.c4efce8f6b4949aab339c91cb1944a02.edm" hidden="1">#REF!</definedName>
    <definedName name="_bdm.c95b21ca0b60494d86eb0796aca6d2da.edm" localSheetId="7" hidden="1">'Aged debtors'!#REF!</definedName>
    <definedName name="_bdm.c95b21ca0b60494d86eb0796aca6d2da.edm" localSheetId="10" hidden="1">#REF!</definedName>
    <definedName name="_bdm.c95b21ca0b60494d86eb0796aca6d2da.edm" localSheetId="9" hidden="1">'Customer data'!#REF!</definedName>
    <definedName name="_bdm.c95b21ca0b60494d86eb0796aca6d2da.edm" localSheetId="8" hidden="1">'Largest debtors'!#REF!</definedName>
    <definedName name="_bdm.c95b21ca0b60494d86eb0796aca6d2da.edm" localSheetId="11" hidden="1">#REF!</definedName>
    <definedName name="_bdm.c95b21ca0b60494d86eb0796aca6d2da.edm" localSheetId="6" hidden="1">Stock!#REF!</definedName>
    <definedName name="_bdm.c95b21ca0b60494d86eb0796aca6d2da.edm" hidden="1">#REF!</definedName>
    <definedName name="_bdm.d16a888feb8646d493f5774eb21cb678.edm" localSheetId="7" hidden="1">'Aged debtors'!#REF!</definedName>
    <definedName name="_bdm.d16a888feb8646d493f5774eb21cb678.edm" localSheetId="10" hidden="1">#REF!</definedName>
    <definedName name="_bdm.d16a888feb8646d493f5774eb21cb678.edm" localSheetId="9" hidden="1">'Customer data'!#REF!</definedName>
    <definedName name="_bdm.d16a888feb8646d493f5774eb21cb678.edm" localSheetId="8" hidden="1">'Largest debtors'!#REF!</definedName>
    <definedName name="_bdm.d16a888feb8646d493f5774eb21cb678.edm" localSheetId="11" hidden="1">#REF!</definedName>
    <definedName name="_bdm.d16a888feb8646d493f5774eb21cb678.edm" localSheetId="6" hidden="1">Stock!#REF!</definedName>
    <definedName name="_bdm.d16a888feb8646d493f5774eb21cb678.edm" hidden="1">#REF!</definedName>
    <definedName name="_bdm.d275525785aa4196bd52dbf20fc8d4d9.edm" localSheetId="9" hidden="1">'Customer data'!#REF!</definedName>
    <definedName name="_bdm.d275525785aa4196bd52dbf20fc8d4d9.edm" localSheetId="11" hidden="1">#REF!</definedName>
    <definedName name="_bdm.d275525785aa4196bd52dbf20fc8d4d9.edm" hidden="1">#REF!</definedName>
    <definedName name="_bdm.d2f39b8bc60f48d983d13ecc35f319ef.edm" localSheetId="7" hidden="1">'Aged debtors'!#REF!</definedName>
    <definedName name="_bdm.d2f39b8bc60f48d983d13ecc35f319ef.edm" localSheetId="10" hidden="1">#REF!</definedName>
    <definedName name="_bdm.d2f39b8bc60f48d983d13ecc35f319ef.edm" localSheetId="9" hidden="1">'Customer data'!#REF!</definedName>
    <definedName name="_bdm.d2f39b8bc60f48d983d13ecc35f319ef.edm" localSheetId="8" hidden="1">'Largest debtors'!#REF!</definedName>
    <definedName name="_bdm.d2f39b8bc60f48d983d13ecc35f319ef.edm" localSheetId="11" hidden="1">#REF!</definedName>
    <definedName name="_bdm.d2f39b8bc60f48d983d13ecc35f319ef.edm" localSheetId="6" hidden="1">Stock!#REF!</definedName>
    <definedName name="_bdm.d2f39b8bc60f48d983d13ecc35f319ef.edm" hidden="1">#REF!</definedName>
    <definedName name="_bdm.d3c7a27d8956425b95caafc2bc27b11b.edm" localSheetId="9" hidden="1">'Customer data'!#REF!</definedName>
    <definedName name="_bdm.d3c7a27d8956425b95caafc2bc27b11b.edm" localSheetId="11" hidden="1">#REF!</definedName>
    <definedName name="_bdm.d3c7a27d8956425b95caafc2bc27b11b.edm" hidden="1">#REF!</definedName>
    <definedName name="_bdm.d4ebb20865374368bdbba1cd6cbe30b9.edm" localSheetId="9" hidden="1">'Customer data'!#REF!</definedName>
    <definedName name="_bdm.d4ebb20865374368bdbba1cd6cbe30b9.edm" localSheetId="11" hidden="1">#REF!</definedName>
    <definedName name="_bdm.d4ebb20865374368bdbba1cd6cbe30b9.edm" hidden="1">#REF!</definedName>
    <definedName name="_bdm.d539ac3e2af84cf28aa0cbe7db2dd49f.edm" localSheetId="7" hidden="1">'Aged debtors'!#REF!</definedName>
    <definedName name="_bdm.d539ac3e2af84cf28aa0cbe7db2dd49f.edm" localSheetId="10" hidden="1">#REF!</definedName>
    <definedName name="_bdm.d539ac3e2af84cf28aa0cbe7db2dd49f.edm" localSheetId="9" hidden="1">'Customer data'!#REF!</definedName>
    <definedName name="_bdm.d539ac3e2af84cf28aa0cbe7db2dd49f.edm" localSheetId="8" hidden="1">'Largest debtors'!#REF!</definedName>
    <definedName name="_bdm.d539ac3e2af84cf28aa0cbe7db2dd49f.edm" localSheetId="11" hidden="1">#REF!</definedName>
    <definedName name="_bdm.d539ac3e2af84cf28aa0cbe7db2dd49f.edm" localSheetId="6" hidden="1">Stock!#REF!</definedName>
    <definedName name="_bdm.d539ac3e2af84cf28aa0cbe7db2dd49f.edm" hidden="1">#REF!</definedName>
    <definedName name="_bdm.d972f03914a040dfbb0221962ac58c8d.edm" localSheetId="7" hidden="1">'Aged debtors'!#REF!</definedName>
    <definedName name="_bdm.d972f03914a040dfbb0221962ac58c8d.edm" localSheetId="10" hidden="1">#REF!</definedName>
    <definedName name="_bdm.d972f03914a040dfbb0221962ac58c8d.edm" localSheetId="9" hidden="1">'Customer data'!#REF!</definedName>
    <definedName name="_bdm.d972f03914a040dfbb0221962ac58c8d.edm" localSheetId="8" hidden="1">'Largest debtors'!#REF!</definedName>
    <definedName name="_bdm.d972f03914a040dfbb0221962ac58c8d.edm" localSheetId="11" hidden="1">#REF!</definedName>
    <definedName name="_bdm.d972f03914a040dfbb0221962ac58c8d.edm" localSheetId="6" hidden="1">Stock!#REF!</definedName>
    <definedName name="_bdm.d972f03914a040dfbb0221962ac58c8d.edm" hidden="1">#REF!</definedName>
    <definedName name="_bdm.dad7a0a25aa74ca09c08c612a4078324.edm" localSheetId="9" hidden="1">'Customer data'!#REF!</definedName>
    <definedName name="_bdm.dad7a0a25aa74ca09c08c612a4078324.edm" localSheetId="11" hidden="1">#REF!</definedName>
    <definedName name="_bdm.dad7a0a25aa74ca09c08c612a4078324.edm" hidden="1">#REF!</definedName>
    <definedName name="_bdm.dae5bcb50cf64991880bb43c2599a4e2.edm" localSheetId="7" hidden="1">'Aged debtors'!#REF!</definedName>
    <definedName name="_bdm.dae5bcb50cf64991880bb43c2599a4e2.edm" localSheetId="10" hidden="1">#REF!</definedName>
    <definedName name="_bdm.dae5bcb50cf64991880bb43c2599a4e2.edm" localSheetId="9" hidden="1">'Customer data'!#REF!</definedName>
    <definedName name="_bdm.dae5bcb50cf64991880bb43c2599a4e2.edm" localSheetId="8" hidden="1">'Largest debtors'!#REF!</definedName>
    <definedName name="_bdm.dae5bcb50cf64991880bb43c2599a4e2.edm" localSheetId="11" hidden="1">#REF!</definedName>
    <definedName name="_bdm.dae5bcb50cf64991880bb43c2599a4e2.edm" localSheetId="6" hidden="1">Stock!#REF!</definedName>
    <definedName name="_bdm.dae5bcb50cf64991880bb43c2599a4e2.edm" hidden="1">#REF!</definedName>
    <definedName name="_bdm.dc4ab2dd9a3d4a24826c0356f1ca1b09.edm" localSheetId="9" hidden="1">'Customer data'!#REF!</definedName>
    <definedName name="_bdm.dc4ab2dd9a3d4a24826c0356f1ca1b09.edm" localSheetId="11" hidden="1">#REF!</definedName>
    <definedName name="_bdm.dc4ab2dd9a3d4a24826c0356f1ca1b09.edm" hidden="1">#REF!</definedName>
    <definedName name="_bdm.de4c2a3592244f9a99a257af0e4502df.edm" localSheetId="9" hidden="1">'Customer data'!#REF!</definedName>
    <definedName name="_bdm.de4c2a3592244f9a99a257af0e4502df.edm" localSheetId="11" hidden="1">#REF!</definedName>
    <definedName name="_bdm.de4c2a3592244f9a99a257af0e4502df.edm" hidden="1">#REF!</definedName>
    <definedName name="_bdm.e06ad3aa327d4ef1b3ea524c37c02ac0.edm" localSheetId="7" hidden="1">'Aged debtors'!#REF!</definedName>
    <definedName name="_bdm.e06ad3aa327d4ef1b3ea524c37c02ac0.edm" localSheetId="10" hidden="1">#REF!</definedName>
    <definedName name="_bdm.e06ad3aa327d4ef1b3ea524c37c02ac0.edm" localSheetId="9" hidden="1">'Customer data'!#REF!</definedName>
    <definedName name="_bdm.e06ad3aa327d4ef1b3ea524c37c02ac0.edm" localSheetId="8" hidden="1">'Largest debtors'!#REF!</definedName>
    <definedName name="_bdm.e06ad3aa327d4ef1b3ea524c37c02ac0.edm" localSheetId="11" hidden="1">#REF!</definedName>
    <definedName name="_bdm.e06ad3aa327d4ef1b3ea524c37c02ac0.edm" localSheetId="6" hidden="1">Stock!#REF!</definedName>
    <definedName name="_bdm.e06ad3aa327d4ef1b3ea524c37c02ac0.edm" hidden="1">#REF!</definedName>
    <definedName name="_bdm.e0e6ca7361ae432eb84dd09a22d46736.edm" localSheetId="7" hidden="1">'Aged debtors'!#REF!</definedName>
    <definedName name="_bdm.e0e6ca7361ae432eb84dd09a22d46736.edm" localSheetId="10" hidden="1">#REF!</definedName>
    <definedName name="_bdm.e0e6ca7361ae432eb84dd09a22d46736.edm" localSheetId="9" hidden="1">'Customer data'!#REF!</definedName>
    <definedName name="_bdm.e0e6ca7361ae432eb84dd09a22d46736.edm" localSheetId="8" hidden="1">'Largest debtors'!#REF!</definedName>
    <definedName name="_bdm.e0e6ca7361ae432eb84dd09a22d46736.edm" localSheetId="11" hidden="1">#REF!</definedName>
    <definedName name="_bdm.e0e6ca7361ae432eb84dd09a22d46736.edm" localSheetId="6" hidden="1">Stock!#REF!</definedName>
    <definedName name="_bdm.e0e6ca7361ae432eb84dd09a22d46736.edm" hidden="1">#REF!</definedName>
    <definedName name="_bdm.e219f54a8f2947119de326d3282cf3d2.edm" localSheetId="9" hidden="1">'Customer data'!#REF!</definedName>
    <definedName name="_bdm.e219f54a8f2947119de326d3282cf3d2.edm" localSheetId="11" hidden="1">#REF!</definedName>
    <definedName name="_bdm.e219f54a8f2947119de326d3282cf3d2.edm" hidden="1">#REF!</definedName>
    <definedName name="_bdm.e29a58fda1b64eb5ac08189cf598f149.edm" localSheetId="9" hidden="1">'Customer data'!#REF!</definedName>
    <definedName name="_bdm.e29a58fda1b64eb5ac08189cf598f149.edm" localSheetId="11" hidden="1">#REF!</definedName>
    <definedName name="_bdm.e29a58fda1b64eb5ac08189cf598f149.edm" hidden="1">#REF!</definedName>
    <definedName name="_bdm.e8166239ecf94163bbfa44a8e4ed9c6f.edm" localSheetId="7" hidden="1">'Aged debtors'!#REF!</definedName>
    <definedName name="_bdm.e8166239ecf94163bbfa44a8e4ed9c6f.edm" localSheetId="10" hidden="1">#REF!</definedName>
    <definedName name="_bdm.e8166239ecf94163bbfa44a8e4ed9c6f.edm" localSheetId="9" hidden="1">'Customer data'!#REF!</definedName>
    <definedName name="_bdm.e8166239ecf94163bbfa44a8e4ed9c6f.edm" localSheetId="8" hidden="1">'Largest debtors'!#REF!</definedName>
    <definedName name="_bdm.e8166239ecf94163bbfa44a8e4ed9c6f.edm" localSheetId="11" hidden="1">#REF!</definedName>
    <definedName name="_bdm.e8166239ecf94163bbfa44a8e4ed9c6f.edm" localSheetId="6" hidden="1">Stock!#REF!</definedName>
    <definedName name="_bdm.e8166239ecf94163bbfa44a8e4ed9c6f.edm" hidden="1">#REF!</definedName>
    <definedName name="_bdm.e866c602c89b40609c8bb270126b0dfa.edm" localSheetId="9" hidden="1">'Customer data'!#REF!</definedName>
    <definedName name="_bdm.e866c602c89b40609c8bb270126b0dfa.edm" localSheetId="11" hidden="1">#REF!</definedName>
    <definedName name="_bdm.e866c602c89b40609c8bb270126b0dfa.edm" hidden="1">#REF!</definedName>
    <definedName name="_bdm.e977c47113d54c99a3fa06dca58e99b9.edm" localSheetId="9" hidden="1">'Customer data'!#REF!</definedName>
    <definedName name="_bdm.e977c47113d54c99a3fa06dca58e99b9.edm" localSheetId="11" hidden="1">#REF!</definedName>
    <definedName name="_bdm.e977c47113d54c99a3fa06dca58e99b9.edm" hidden="1">#REF!</definedName>
    <definedName name="_bdm.ed4b24e8ae47400f848dab0c32f901f1.edm" localSheetId="7" hidden="1">'Aged debtors'!#REF!</definedName>
    <definedName name="_bdm.ed4b24e8ae47400f848dab0c32f901f1.edm" localSheetId="10" hidden="1">#REF!</definedName>
    <definedName name="_bdm.ed4b24e8ae47400f848dab0c32f901f1.edm" localSheetId="9" hidden="1">'Customer data'!#REF!</definedName>
    <definedName name="_bdm.ed4b24e8ae47400f848dab0c32f901f1.edm" localSheetId="8" hidden="1">'Largest debtors'!#REF!</definedName>
    <definedName name="_bdm.ed4b24e8ae47400f848dab0c32f901f1.edm" localSheetId="11" hidden="1">#REF!</definedName>
    <definedName name="_bdm.ed4b24e8ae47400f848dab0c32f901f1.edm" localSheetId="6" hidden="1">Stock!#REF!</definedName>
    <definedName name="_bdm.ed4b24e8ae47400f848dab0c32f901f1.edm" hidden="1">#REF!</definedName>
    <definedName name="_bdm.F149144F6D444310BA9A30FB52CD609C.edm" localSheetId="7" hidden="1">'Aged debtors'!#REF!</definedName>
    <definedName name="_bdm.F149144F6D444310BA9A30FB52CD609C.edm" localSheetId="10" hidden="1">#REF!</definedName>
    <definedName name="_bdm.F149144F6D444310BA9A30FB52CD609C.edm" localSheetId="9" hidden="1">'Customer data'!#REF!</definedName>
    <definedName name="_bdm.F149144F6D444310BA9A30FB52CD609C.edm" localSheetId="8" hidden="1">'Largest debtors'!#REF!</definedName>
    <definedName name="_bdm.F149144F6D444310BA9A30FB52CD609C.edm" localSheetId="11" hidden="1">#REF!</definedName>
    <definedName name="_bdm.F149144F6D444310BA9A30FB52CD609C.edm" localSheetId="6" hidden="1">Stock!#REF!</definedName>
    <definedName name="_bdm.F149144F6D444310BA9A30FB52CD609C.edm" hidden="1">#REF!</definedName>
    <definedName name="_bdm.f57f995cec1742bdb3ef78a7d9aabec8.edm" localSheetId="7" hidden="1">'Aged debtors'!#REF!</definedName>
    <definedName name="_bdm.f57f995cec1742bdb3ef78a7d9aabec8.edm" localSheetId="10" hidden="1">#REF!</definedName>
    <definedName name="_bdm.f57f995cec1742bdb3ef78a7d9aabec8.edm" localSheetId="9" hidden="1">'Customer data'!#REF!</definedName>
    <definedName name="_bdm.f57f995cec1742bdb3ef78a7d9aabec8.edm" localSheetId="8" hidden="1">'Largest debtors'!#REF!</definedName>
    <definedName name="_bdm.f57f995cec1742bdb3ef78a7d9aabec8.edm" localSheetId="11" hidden="1">#REF!</definedName>
    <definedName name="_bdm.f57f995cec1742bdb3ef78a7d9aabec8.edm" localSheetId="6" hidden="1">Stock!#REF!</definedName>
    <definedName name="_bdm.f57f995cec1742bdb3ef78a7d9aabec8.edm" hidden="1">#REF!</definedName>
    <definedName name="_bdm.f5b79b1ec4f5424ab7191c17f8e8e6d6.edm" localSheetId="9" hidden="1">'Customer data'!#REF!</definedName>
    <definedName name="_bdm.f5b79b1ec4f5424ab7191c17f8e8e6d6.edm" localSheetId="11" hidden="1">#REF!</definedName>
    <definedName name="_bdm.f5b79b1ec4f5424ab7191c17f8e8e6d6.edm" hidden="1">#REF!</definedName>
    <definedName name="_bdm.f913753d127a49cd9fc2a6fea5ec420b.edm" localSheetId="7" hidden="1">'Aged debtors'!#REF!</definedName>
    <definedName name="_bdm.f913753d127a49cd9fc2a6fea5ec420b.edm" localSheetId="10" hidden="1">#REF!</definedName>
    <definedName name="_bdm.f913753d127a49cd9fc2a6fea5ec420b.edm" localSheetId="9" hidden="1">'Customer data'!#REF!</definedName>
    <definedName name="_bdm.f913753d127a49cd9fc2a6fea5ec420b.edm" localSheetId="8" hidden="1">'Largest debtors'!#REF!</definedName>
    <definedName name="_bdm.f913753d127a49cd9fc2a6fea5ec420b.edm" localSheetId="11" hidden="1">#REF!</definedName>
    <definedName name="_bdm.f913753d127a49cd9fc2a6fea5ec420b.edm" localSheetId="6" hidden="1">Stock!#REF!</definedName>
    <definedName name="_bdm.f913753d127a49cd9fc2a6fea5ec420b.edm" hidden="1">#REF!</definedName>
    <definedName name="_bdm.f96aba5785ea432f994c642501a9fbc4.edm" localSheetId="9" hidden="1">'Customer data'!#REF!</definedName>
    <definedName name="_bdm.f96aba5785ea432f994c642501a9fbc4.edm" localSheetId="11" hidden="1">#REF!</definedName>
    <definedName name="_bdm.f96aba5785ea432f994c642501a9fbc4.edm" hidden="1">#REF!</definedName>
    <definedName name="_bdm.f9f89320052d449698b3bd405c85036e.edm" localSheetId="9" hidden="1">'Customer data'!#REF!</definedName>
    <definedName name="_bdm.f9f89320052d449698b3bd405c85036e.edm" localSheetId="11" hidden="1">#REF!</definedName>
    <definedName name="_bdm.f9f89320052d449698b3bd405c85036e.edm" hidden="1">#REF!</definedName>
    <definedName name="_bdm.FastTrackBookmark.9_23_2016_12_26_28_AM.edm" localSheetId="7" hidden="1">'Aged debtors'!#REF!</definedName>
    <definedName name="_bdm.FastTrackBookmark.9_23_2016_12_26_28_AM.edm" localSheetId="10" hidden="1">#REF!</definedName>
    <definedName name="_bdm.FastTrackBookmark.9_23_2016_12_26_28_AM.edm" localSheetId="9" hidden="1">'Customer data'!#REF!</definedName>
    <definedName name="_bdm.FastTrackBookmark.9_23_2016_12_26_28_AM.edm" localSheetId="8" hidden="1">'Largest debtors'!#REF!</definedName>
    <definedName name="_bdm.FastTrackBookmark.9_23_2016_12_26_28_AM.edm" localSheetId="11" hidden="1">#REF!</definedName>
    <definedName name="_bdm.FastTrackBookmark.9_23_2016_12_26_28_AM.edm" localSheetId="6" hidden="1">Stock!#REF!</definedName>
    <definedName name="_bdm.FastTrackBookmark.9_23_2016_12_26_28_AM.edm" hidden="1">#REF!</definedName>
    <definedName name="_bdm.fb15e2ba6cc046bfa18116a2e4a8b9ca.edm" localSheetId="9" hidden="1">'Customer data'!#REF!</definedName>
    <definedName name="_bdm.fb15e2ba6cc046bfa18116a2e4a8b9ca.edm" localSheetId="11" hidden="1">#REF!</definedName>
    <definedName name="_bdm.fb15e2ba6cc046bfa18116a2e4a8b9ca.edm" hidden="1">#REF!</definedName>
    <definedName name="_bdm.fd806be1364348ceb4ef9f4f90030a89.edm" localSheetId="7" hidden="1">'Aged debtors'!#REF!</definedName>
    <definedName name="_bdm.fd806be1364348ceb4ef9f4f90030a89.edm" localSheetId="10" hidden="1">#REF!</definedName>
    <definedName name="_bdm.fd806be1364348ceb4ef9f4f90030a89.edm" localSheetId="9" hidden="1">'Customer data'!#REF!</definedName>
    <definedName name="_bdm.fd806be1364348ceb4ef9f4f90030a89.edm" localSheetId="8" hidden="1">'Largest debtors'!#REF!</definedName>
    <definedName name="_bdm.fd806be1364348ceb4ef9f4f90030a89.edm" localSheetId="11" hidden="1">#REF!</definedName>
    <definedName name="_bdm.fd806be1364348ceb4ef9f4f90030a89.edm" localSheetId="6" hidden="1">Stock!#REF!</definedName>
    <definedName name="_bdm.fd806be1364348ceb4ef9f4f90030a89.edm" hidden="1">#REF!</definedName>
    <definedName name="_bdm.ffe2ce8c45784e6680fb3271bb931c57.edm" localSheetId="7" hidden="1">'Aged debtors'!#REF!</definedName>
    <definedName name="_bdm.ffe2ce8c45784e6680fb3271bb931c57.edm" localSheetId="10" hidden="1">#REF!</definedName>
    <definedName name="_bdm.ffe2ce8c45784e6680fb3271bb931c57.edm" localSheetId="9" hidden="1">'Customer data'!#REF!</definedName>
    <definedName name="_bdm.ffe2ce8c45784e6680fb3271bb931c57.edm" localSheetId="8" hidden="1">'Largest debtors'!#REF!</definedName>
    <definedName name="_bdm.ffe2ce8c45784e6680fb3271bb931c57.edm" localSheetId="11" hidden="1">#REF!</definedName>
    <definedName name="_bdm.ffe2ce8c45784e6680fb3271bb931c57.edm" localSheetId="6" hidden="1">Stock!#REF!</definedName>
    <definedName name="_bdm.ffe2ce8c45784e6680fb3271bb931c57.edm" hidden="1">#REF!</definedName>
    <definedName name="a" localSheetId="7">'Aged debtors'!#REF!</definedName>
    <definedName name="a" localSheetId="9">'Customer data'!#REF!</definedName>
    <definedName name="a" localSheetId="8">'Largest debtors'!#REF!</definedName>
    <definedName name="a" localSheetId="11">#REF!</definedName>
    <definedName name="a" localSheetId="6">Stock!#REF!</definedName>
    <definedName name="a">#REF!</definedName>
    <definedName name="Acc_Rev_Chart" localSheetId="7">OFFSET('Aged debtors'!#REF!,0,0,1,COUNTIF('Aged debtors'!#REF!,"&gt;0"))</definedName>
    <definedName name="Acc_Rev_Chart" localSheetId="9">OFFSET('Customer data'!#REF!,0,0,1,COUNTIF('Customer data'!#REF!,"&gt;0"))</definedName>
    <definedName name="Acc_Rev_Chart" localSheetId="8">OFFSET('Largest debtors'!#REF!,0,0,1,COUNTIF('Largest debtors'!#REF!,"&gt;0"))</definedName>
    <definedName name="Acc_Rev_Chart" localSheetId="11">OFFSET(#REF!,0,0,1,COUNTIF(#REF!,"&gt;0"))</definedName>
    <definedName name="Acc_Rev_Chart" localSheetId="6">OFFSET(Stock!#REF!,0,0,1,COUNTIF(Stock!#REF!,"&gt;0"))</definedName>
    <definedName name="Acc_Rev_Chart">OFFSET(#REF!,0,0,1,COUNTIF(#REF!,"&gt;0"))</definedName>
    <definedName name="Acc_Rev_Plan_Chart" localSheetId="7">OFFSET('Aged debtors'!#REF!,0,0,1,COUNTIF('Aged debtors'!#REF!,"&gt;0"))</definedName>
    <definedName name="Acc_Rev_Plan_Chart" localSheetId="9">OFFSET('Customer data'!#REF!,0,0,1,COUNTIF('Customer data'!#REF!,"&gt;0"))</definedName>
    <definedName name="Acc_Rev_Plan_Chart" localSheetId="8">OFFSET('Largest debtors'!#REF!,0,0,1,COUNTIF('Largest debtors'!#REF!,"&gt;0"))</definedName>
    <definedName name="Acc_Rev_Plan_Chart" localSheetId="11">OFFSET(#REF!,0,0,1,COUNTIF(#REF!,"&gt;0"))</definedName>
    <definedName name="Acc_Rev_Plan_Chart" localSheetId="6">OFFSET(Stock!#REF!,0,0,1,COUNTIF(Stock!#REF!,"&gt;0"))</definedName>
    <definedName name="Acc_Rev_Plan_Chart">OFFSET(#REF!,0,0,1,COUNTIF(#REF!,"&gt;0"))</definedName>
    <definedName name="Actual_Staff_YTD" localSheetId="7">'Aged debtors'!#REF!</definedName>
    <definedName name="Actual_Staff_YTD" localSheetId="9">'Customer data'!#REF!</definedName>
    <definedName name="Actual_Staff_YTD" localSheetId="8">'Largest debtors'!#REF!</definedName>
    <definedName name="Actual_Staff_YTD" localSheetId="11">#REF!</definedName>
    <definedName name="Actual_Staff_YTD" localSheetId="6">Stock!#REF!</definedName>
    <definedName name="Actual_Staff_YTD">#REF!</definedName>
    <definedName name="Adj_EBITA_P2" localSheetId="7">'Aged debtors'!#REF!</definedName>
    <definedName name="Adj_EBITA_P2" localSheetId="10">#REF!</definedName>
    <definedName name="Adj_EBITA_P2" localSheetId="9">'Customer data'!#REF!</definedName>
    <definedName name="Adj_EBITA_P2" localSheetId="8">'Largest debtors'!#REF!</definedName>
    <definedName name="Adj_EBITA_P2" localSheetId="11">#REF!</definedName>
    <definedName name="Adj_EBITA_P2" localSheetId="6">Stock!#REF!</definedName>
    <definedName name="Adj_EBITA_P2">#REF!</definedName>
    <definedName name="annual_mem" localSheetId="7">'Aged debtors'!#REF!</definedName>
    <definedName name="annual_mem" localSheetId="9">'Customer data'!#REF!</definedName>
    <definedName name="annual_mem" localSheetId="8">'Largest debtors'!#REF!</definedName>
    <definedName name="annual_mem" localSheetId="11">#REF!</definedName>
    <definedName name="annual_mem" localSheetId="6">Stock!#REF!</definedName>
    <definedName name="annual_mem">#REF!</definedName>
    <definedName name="BEx001CNWHJ5RULCSFM36ZCGJ1UH" localSheetId="7" hidden="1">'Aged debtors'!#REF!</definedName>
    <definedName name="BEx001CNWHJ5RULCSFM36ZCGJ1UH" localSheetId="10" hidden="1">#REF!</definedName>
    <definedName name="BEx001CNWHJ5RULCSFM36ZCGJ1UH" localSheetId="12" hidden="1">#REF!</definedName>
    <definedName name="BEx001CNWHJ5RULCSFM36ZCGJ1UH" localSheetId="9" hidden="1">'Customer data'!#REF!</definedName>
    <definedName name="BEx001CNWHJ5RULCSFM36ZCGJ1UH" localSheetId="8" hidden="1">'Largest debtors'!#REF!</definedName>
    <definedName name="BEx001CNWHJ5RULCSFM36ZCGJ1UH" localSheetId="11" hidden="1">#REF!</definedName>
    <definedName name="BEx001CNWHJ5RULCSFM36ZCGJ1UH" localSheetId="6" hidden="1">Stock!#REF!</definedName>
    <definedName name="BEx001CNWHJ5RULCSFM36ZCGJ1UH" hidden="1">#REF!</definedName>
    <definedName name="BEx004791UAJIJSN57OT7YBLNP82" localSheetId="7" hidden="1">'Aged debtors'!#REF!</definedName>
    <definedName name="BEx004791UAJIJSN57OT7YBLNP82" localSheetId="10" hidden="1">#REF!</definedName>
    <definedName name="BEx004791UAJIJSN57OT7YBLNP82" localSheetId="12" hidden="1">#REF!</definedName>
    <definedName name="BEx004791UAJIJSN57OT7YBLNP82" localSheetId="9" hidden="1">'Customer data'!#REF!</definedName>
    <definedName name="BEx004791UAJIJSN57OT7YBLNP82" localSheetId="8" hidden="1">'Largest debtors'!#REF!</definedName>
    <definedName name="BEx004791UAJIJSN57OT7YBLNP82" localSheetId="11" hidden="1">#REF!</definedName>
    <definedName name="BEx004791UAJIJSN57OT7YBLNP82" localSheetId="6" hidden="1">Stock!#REF!</definedName>
    <definedName name="BEx004791UAJIJSN57OT7YBLNP82" hidden="1">#REF!</definedName>
    <definedName name="BEx008P2NVFDLBHL7IZ5WTMVOQ1F" localSheetId="7" hidden="1">'Aged debtors'!#REF!</definedName>
    <definedName name="BEx008P2NVFDLBHL7IZ5WTMVOQ1F" localSheetId="10" hidden="1">#REF!</definedName>
    <definedName name="BEx008P2NVFDLBHL7IZ5WTMVOQ1F" localSheetId="12" hidden="1">#REF!</definedName>
    <definedName name="BEx008P2NVFDLBHL7IZ5WTMVOQ1F" localSheetId="9" hidden="1">'Customer data'!#REF!</definedName>
    <definedName name="BEx008P2NVFDLBHL7IZ5WTMVOQ1F" localSheetId="8" hidden="1">'Largest debtors'!#REF!</definedName>
    <definedName name="BEx008P2NVFDLBHL7IZ5WTMVOQ1F" localSheetId="11" hidden="1">#REF!</definedName>
    <definedName name="BEx008P2NVFDLBHL7IZ5WTMVOQ1F" localSheetId="6" hidden="1">Stock!#REF!</definedName>
    <definedName name="BEx008P2NVFDLBHL7IZ5WTMVOQ1F" hidden="1">#REF!</definedName>
    <definedName name="BEx009G00IN0JUIAQ4WE9NHTMQE2" localSheetId="7" hidden="1">'Aged debtors'!#REF!</definedName>
    <definedName name="BEx009G00IN0JUIAQ4WE9NHTMQE2" localSheetId="10" hidden="1">#REF!</definedName>
    <definedName name="BEx009G00IN0JUIAQ4WE9NHTMQE2" localSheetId="12" hidden="1">#REF!</definedName>
    <definedName name="BEx009G00IN0JUIAQ4WE9NHTMQE2" localSheetId="9" hidden="1">'Customer data'!#REF!</definedName>
    <definedName name="BEx009G00IN0JUIAQ4WE9NHTMQE2" localSheetId="8" hidden="1">'Largest debtors'!#REF!</definedName>
    <definedName name="BEx009G00IN0JUIAQ4WE9NHTMQE2" localSheetId="11" hidden="1">#REF!</definedName>
    <definedName name="BEx009G00IN0JUIAQ4WE9NHTMQE2" localSheetId="6" hidden="1">Stock!#REF!</definedName>
    <definedName name="BEx009G00IN0JUIAQ4WE9NHTMQE2" hidden="1">#REF!</definedName>
    <definedName name="BEx00DXTY2JDVGWQKV8H7FG4SV30" localSheetId="7" hidden="1">'Aged debtors'!#REF!</definedName>
    <definedName name="BEx00DXTY2JDVGWQKV8H7FG4SV30" localSheetId="10" hidden="1">#REF!</definedName>
    <definedName name="BEx00DXTY2JDVGWQKV8H7FG4SV30" localSheetId="12" hidden="1">#REF!</definedName>
    <definedName name="BEx00DXTY2JDVGWQKV8H7FG4SV30" localSheetId="9" hidden="1">'Customer data'!#REF!</definedName>
    <definedName name="BEx00DXTY2JDVGWQKV8H7FG4SV30" localSheetId="8" hidden="1">'Largest debtors'!#REF!</definedName>
    <definedName name="BEx00DXTY2JDVGWQKV8H7FG4SV30" localSheetId="11" hidden="1">#REF!</definedName>
    <definedName name="BEx00DXTY2JDVGWQKV8H7FG4SV30" localSheetId="6" hidden="1">Stock!#REF!</definedName>
    <definedName name="BEx00DXTY2JDVGWQKV8H7FG4SV30" hidden="1">#REF!</definedName>
    <definedName name="BEx00GHLTYRH5N2S6P78YW1CD30N" localSheetId="7" hidden="1">'Aged debtors'!#REF!</definedName>
    <definedName name="BEx00GHLTYRH5N2S6P78YW1CD30N" localSheetId="10" hidden="1">#REF!</definedName>
    <definedName name="BEx00GHLTYRH5N2S6P78YW1CD30N" localSheetId="12" hidden="1">#REF!</definedName>
    <definedName name="BEx00GHLTYRH5N2S6P78YW1CD30N" localSheetId="9" hidden="1">'Customer data'!#REF!</definedName>
    <definedName name="BEx00GHLTYRH5N2S6P78YW1CD30N" localSheetId="8" hidden="1">'Largest debtors'!#REF!</definedName>
    <definedName name="BEx00GHLTYRH5N2S6P78YW1CD30N" localSheetId="11" hidden="1">#REF!</definedName>
    <definedName name="BEx00GHLTYRH5N2S6P78YW1CD30N" localSheetId="6" hidden="1">Stock!#REF!</definedName>
    <definedName name="BEx00GHLTYRH5N2S6P78YW1CD30N" hidden="1">#REF!</definedName>
    <definedName name="BEx00KZHZBHP3TDV1YMX4B19B95O" localSheetId="7" hidden="1">'Aged debtors'!#REF!</definedName>
    <definedName name="BEx00KZHZBHP3TDV1YMX4B19B95O" localSheetId="10" hidden="1">#REF!</definedName>
    <definedName name="BEx00KZHZBHP3TDV1YMX4B19B95O" localSheetId="12" hidden="1">#REF!</definedName>
    <definedName name="BEx00KZHZBHP3TDV1YMX4B19B95O" localSheetId="9" hidden="1">'Customer data'!#REF!</definedName>
    <definedName name="BEx00KZHZBHP3TDV1YMX4B19B95O" localSheetId="8" hidden="1">'Largest debtors'!#REF!</definedName>
    <definedName name="BEx00KZHZBHP3TDV1YMX4B19B95O" localSheetId="11" hidden="1">#REF!</definedName>
    <definedName name="BEx00KZHZBHP3TDV1YMX4B19B95O" localSheetId="6" hidden="1">Stock!#REF!</definedName>
    <definedName name="BEx00KZHZBHP3TDV1YMX4B19B95O" hidden="1">#REF!</definedName>
    <definedName name="BEx02SEL3Z1QWGAHXDPUA9WLTTPS" localSheetId="7" hidden="1">'Aged debtors'!#REF!</definedName>
    <definedName name="BEx02SEL3Z1QWGAHXDPUA9WLTTPS" localSheetId="10" hidden="1">#REF!</definedName>
    <definedName name="BEx02SEL3Z1QWGAHXDPUA9WLTTPS" localSheetId="12" hidden="1">#REF!</definedName>
    <definedName name="BEx02SEL3Z1QWGAHXDPUA9WLTTPS" localSheetId="9" hidden="1">'Customer data'!#REF!</definedName>
    <definedName name="BEx02SEL3Z1QWGAHXDPUA9WLTTPS" localSheetId="8" hidden="1">'Largest debtors'!#REF!</definedName>
    <definedName name="BEx02SEL3Z1QWGAHXDPUA9WLTTPS" localSheetId="11" hidden="1">#REF!</definedName>
    <definedName name="BEx02SEL3Z1QWGAHXDPUA9WLTTPS" localSheetId="6" hidden="1">Stock!#REF!</definedName>
    <definedName name="BEx02SEL3Z1QWGAHXDPUA9WLTTPS" hidden="1">#REF!</definedName>
    <definedName name="BEx02Y3KJZH5BGDM9QEZ1PVVI114" localSheetId="7" hidden="1">'Aged debtors'!#REF!</definedName>
    <definedName name="BEx02Y3KJZH5BGDM9QEZ1PVVI114" localSheetId="10" hidden="1">#REF!</definedName>
    <definedName name="BEx02Y3KJZH5BGDM9QEZ1PVVI114" localSheetId="12" hidden="1">#REF!</definedName>
    <definedName name="BEx02Y3KJZH5BGDM9QEZ1PVVI114" localSheetId="9" hidden="1">'Customer data'!#REF!</definedName>
    <definedName name="BEx02Y3KJZH5BGDM9QEZ1PVVI114" localSheetId="8" hidden="1">'Largest debtors'!#REF!</definedName>
    <definedName name="BEx02Y3KJZH5BGDM9QEZ1PVVI114" localSheetId="11" hidden="1">#REF!</definedName>
    <definedName name="BEx02Y3KJZH5BGDM9QEZ1PVVI114" localSheetId="6" hidden="1">Stock!#REF!</definedName>
    <definedName name="BEx02Y3KJZH5BGDM9QEZ1PVVI114" hidden="1">#REF!</definedName>
    <definedName name="BEx0313GRLLASDTVPW5DHTXHE74M" localSheetId="7" hidden="1">'Aged debtors'!#REF!</definedName>
    <definedName name="BEx0313GRLLASDTVPW5DHTXHE74M" localSheetId="10" hidden="1">#REF!</definedName>
    <definedName name="BEx0313GRLLASDTVPW5DHTXHE74M" localSheetId="12" hidden="1">#REF!</definedName>
    <definedName name="BEx0313GRLLASDTVPW5DHTXHE74M" localSheetId="9" hidden="1">'Customer data'!#REF!</definedName>
    <definedName name="BEx0313GRLLASDTVPW5DHTXHE74M" localSheetId="8" hidden="1">'Largest debtors'!#REF!</definedName>
    <definedName name="BEx0313GRLLASDTVPW5DHTXHE74M" localSheetId="11" hidden="1">#REF!</definedName>
    <definedName name="BEx0313GRLLASDTVPW5DHTXHE74M" localSheetId="6" hidden="1">Stock!#REF!</definedName>
    <definedName name="BEx0313GRLLASDTVPW5DHTXHE74M" hidden="1">#REF!</definedName>
    <definedName name="BEx1F0SOZ3H5XUHXD7O01TCR8T6J" localSheetId="7" hidden="1">'Aged debtors'!#REF!</definedName>
    <definedName name="BEx1F0SOZ3H5XUHXD7O01TCR8T6J" localSheetId="10" hidden="1">#REF!</definedName>
    <definedName name="BEx1F0SOZ3H5XUHXD7O01TCR8T6J" localSheetId="12" hidden="1">#REF!</definedName>
    <definedName name="BEx1F0SOZ3H5XUHXD7O01TCR8T6J" localSheetId="9" hidden="1">'Customer data'!#REF!</definedName>
    <definedName name="BEx1F0SOZ3H5XUHXD7O01TCR8T6J" localSheetId="8" hidden="1">'Largest debtors'!#REF!</definedName>
    <definedName name="BEx1F0SOZ3H5XUHXD7O01TCR8T6J" localSheetId="11" hidden="1">#REF!</definedName>
    <definedName name="BEx1F0SOZ3H5XUHXD7O01TCR8T6J" localSheetId="6" hidden="1">Stock!#REF!</definedName>
    <definedName name="BEx1F0SOZ3H5XUHXD7O01TCR8T6J" hidden="1">#REF!</definedName>
    <definedName name="BEx1FEVSJKTI1Q1Z874QZVFSJSVA" localSheetId="7" hidden="1">'Aged debtors'!#REF!</definedName>
    <definedName name="BEx1FEVSJKTI1Q1Z874QZVFSJSVA" localSheetId="10" hidden="1">#REF!</definedName>
    <definedName name="BEx1FEVSJKTI1Q1Z874QZVFSJSVA" localSheetId="12" hidden="1">#REF!</definedName>
    <definedName name="BEx1FEVSJKTI1Q1Z874QZVFSJSVA" localSheetId="9" hidden="1">'Customer data'!#REF!</definedName>
    <definedName name="BEx1FEVSJKTI1Q1Z874QZVFSJSVA" localSheetId="8" hidden="1">'Largest debtors'!#REF!</definedName>
    <definedName name="BEx1FEVSJKTI1Q1Z874QZVFSJSVA" localSheetId="11" hidden="1">#REF!</definedName>
    <definedName name="BEx1FEVSJKTI1Q1Z874QZVFSJSVA" localSheetId="6" hidden="1">Stock!#REF!</definedName>
    <definedName name="BEx1FEVSJKTI1Q1Z874QZVFSJSVA" hidden="1">#REF!</definedName>
    <definedName name="BEx1FJZ7GKO99IYTP6GGGF7EUL3Z" localSheetId="7" hidden="1">'Aged debtors'!#REF!</definedName>
    <definedName name="BEx1FJZ7GKO99IYTP6GGGF7EUL3Z" localSheetId="10" hidden="1">#REF!</definedName>
    <definedName name="BEx1FJZ7GKO99IYTP6GGGF7EUL3Z" localSheetId="12" hidden="1">#REF!</definedName>
    <definedName name="BEx1FJZ7GKO99IYTP6GGGF7EUL3Z" localSheetId="9" hidden="1">'Customer data'!#REF!</definedName>
    <definedName name="BEx1FJZ7GKO99IYTP6GGGF7EUL3Z" localSheetId="8" hidden="1">'Largest debtors'!#REF!</definedName>
    <definedName name="BEx1FJZ7GKO99IYTP6GGGF7EUL3Z" localSheetId="11" hidden="1">#REF!</definedName>
    <definedName name="BEx1FJZ7GKO99IYTP6GGGF7EUL3Z" localSheetId="6" hidden="1">Stock!#REF!</definedName>
    <definedName name="BEx1FJZ7GKO99IYTP6GGGF7EUL3Z" hidden="1">#REF!</definedName>
    <definedName name="BEx1GVMRHFXUP6XYYY9NR12PV5TF" localSheetId="7" hidden="1">'Aged debtors'!#REF!</definedName>
    <definedName name="BEx1GVMRHFXUP6XYYY9NR12PV5TF" localSheetId="10" hidden="1">#REF!</definedName>
    <definedName name="BEx1GVMRHFXUP6XYYY9NR12PV5TF" localSheetId="12" hidden="1">#REF!</definedName>
    <definedName name="BEx1GVMRHFXUP6XYYY9NR12PV5TF" localSheetId="9" hidden="1">'Customer data'!#REF!</definedName>
    <definedName name="BEx1GVMRHFXUP6XYYY9NR12PV5TF" localSheetId="8" hidden="1">'Largest debtors'!#REF!</definedName>
    <definedName name="BEx1GVMRHFXUP6XYYY9NR12PV5TF" localSheetId="11" hidden="1">#REF!</definedName>
    <definedName name="BEx1GVMRHFXUP6XYYY9NR12PV5TF" localSheetId="6" hidden="1">Stock!#REF!</definedName>
    <definedName name="BEx1GVMRHFXUP6XYYY9NR12PV5TF" hidden="1">#REF!</definedName>
    <definedName name="BEx1H6KIT7BHUH6MDDWC935V9N47" localSheetId="7" hidden="1">'Aged debtors'!#REF!</definedName>
    <definedName name="BEx1H6KIT7BHUH6MDDWC935V9N47" localSheetId="10" hidden="1">#REF!</definedName>
    <definedName name="BEx1H6KIT7BHUH6MDDWC935V9N47" localSheetId="12" hidden="1">#REF!</definedName>
    <definedName name="BEx1H6KIT7BHUH6MDDWC935V9N47" localSheetId="9" hidden="1">'Customer data'!#REF!</definedName>
    <definedName name="BEx1H6KIT7BHUH6MDDWC935V9N47" localSheetId="8" hidden="1">'Largest debtors'!#REF!</definedName>
    <definedName name="BEx1H6KIT7BHUH6MDDWC935V9N47" localSheetId="11" hidden="1">#REF!</definedName>
    <definedName name="BEx1H6KIT7BHUH6MDDWC935V9N47" localSheetId="6" hidden="1">Stock!#REF!</definedName>
    <definedName name="BEx1H6KIT7BHUH6MDDWC935V9N47" hidden="1">#REF!</definedName>
    <definedName name="BEx1HDGOOJ3SKHYMWUZJ1P0RQZ9N" localSheetId="7" hidden="1">'Aged debtors'!#REF!</definedName>
    <definedName name="BEx1HDGOOJ3SKHYMWUZJ1P0RQZ9N" localSheetId="10" hidden="1">#REF!</definedName>
    <definedName name="BEx1HDGOOJ3SKHYMWUZJ1P0RQZ9N" localSheetId="12" hidden="1">#REF!</definedName>
    <definedName name="BEx1HDGOOJ3SKHYMWUZJ1P0RQZ9N" localSheetId="9" hidden="1">'Customer data'!#REF!</definedName>
    <definedName name="BEx1HDGOOJ3SKHYMWUZJ1P0RQZ9N" localSheetId="8" hidden="1">'Largest debtors'!#REF!</definedName>
    <definedName name="BEx1HDGOOJ3SKHYMWUZJ1P0RQZ9N" localSheetId="11" hidden="1">#REF!</definedName>
    <definedName name="BEx1HDGOOJ3SKHYMWUZJ1P0RQZ9N" localSheetId="6" hidden="1">Stock!#REF!</definedName>
    <definedName name="BEx1HDGOOJ3SKHYMWUZJ1P0RQZ9N" hidden="1">#REF!</definedName>
    <definedName name="BEx1HDM5ZXSJG6JQEMSFV52PZ10V" localSheetId="7" hidden="1">'Aged debtors'!#REF!</definedName>
    <definedName name="BEx1HDM5ZXSJG6JQEMSFV52PZ10V" localSheetId="10" hidden="1">#REF!</definedName>
    <definedName name="BEx1HDM5ZXSJG6JQEMSFV52PZ10V" localSheetId="12" hidden="1">#REF!</definedName>
    <definedName name="BEx1HDM5ZXSJG6JQEMSFV52PZ10V" localSheetId="9" hidden="1">'Customer data'!#REF!</definedName>
    <definedName name="BEx1HDM5ZXSJG6JQEMSFV52PZ10V" localSheetId="8" hidden="1">'Largest debtors'!#REF!</definedName>
    <definedName name="BEx1HDM5ZXSJG6JQEMSFV52PZ10V" localSheetId="11" hidden="1">#REF!</definedName>
    <definedName name="BEx1HDM5ZXSJG6JQEMSFV52PZ10V" localSheetId="6" hidden="1">Stock!#REF!</definedName>
    <definedName name="BEx1HDM5ZXSJG6JQEMSFV52PZ10V" hidden="1">#REF!</definedName>
    <definedName name="BEx1HETBBZVN5F43LKOFMC4QB0CR" localSheetId="7" hidden="1">'Aged debtors'!#REF!</definedName>
    <definedName name="BEx1HETBBZVN5F43LKOFMC4QB0CR" localSheetId="10" hidden="1">#REF!</definedName>
    <definedName name="BEx1HETBBZVN5F43LKOFMC4QB0CR" localSheetId="12" hidden="1">#REF!</definedName>
    <definedName name="BEx1HETBBZVN5F43LKOFMC4QB0CR" localSheetId="9" hidden="1">'Customer data'!#REF!</definedName>
    <definedName name="BEx1HETBBZVN5F43LKOFMC4QB0CR" localSheetId="8" hidden="1">'Largest debtors'!#REF!</definedName>
    <definedName name="BEx1HETBBZVN5F43LKOFMC4QB0CR" localSheetId="11" hidden="1">#REF!</definedName>
    <definedName name="BEx1HETBBZVN5F43LKOFMC4QB0CR" localSheetId="6" hidden="1">Stock!#REF!</definedName>
    <definedName name="BEx1HETBBZVN5F43LKOFMC4QB0CR" hidden="1">#REF!</definedName>
    <definedName name="BEx1HIPLJZABY0EMUOTZN0EQMDPU" localSheetId="7" hidden="1">'Aged debtors'!#REF!</definedName>
    <definedName name="BEx1HIPLJZABY0EMUOTZN0EQMDPU" localSheetId="10" hidden="1">#REF!</definedName>
    <definedName name="BEx1HIPLJZABY0EMUOTZN0EQMDPU" localSheetId="12" hidden="1">#REF!</definedName>
    <definedName name="BEx1HIPLJZABY0EMUOTZN0EQMDPU" localSheetId="9" hidden="1">'Customer data'!#REF!</definedName>
    <definedName name="BEx1HIPLJZABY0EMUOTZN0EQMDPU" localSheetId="8" hidden="1">'Largest debtors'!#REF!</definedName>
    <definedName name="BEx1HIPLJZABY0EMUOTZN0EQMDPU" localSheetId="11" hidden="1">#REF!</definedName>
    <definedName name="BEx1HIPLJZABY0EMUOTZN0EQMDPU" localSheetId="6" hidden="1">Stock!#REF!</definedName>
    <definedName name="BEx1HIPLJZABY0EMUOTZN0EQMDPU" hidden="1">#REF!</definedName>
    <definedName name="BEx1HQNF6KHM21E3XLW0NMSSEI9S" localSheetId="7" hidden="1">'Aged debtors'!#REF!</definedName>
    <definedName name="BEx1HQNF6KHM21E3XLW0NMSSEI9S" localSheetId="10" hidden="1">#REF!</definedName>
    <definedName name="BEx1HQNF6KHM21E3XLW0NMSSEI9S" localSheetId="12" hidden="1">#REF!</definedName>
    <definedName name="BEx1HQNF6KHM21E3XLW0NMSSEI9S" localSheetId="9" hidden="1">'Customer data'!#REF!</definedName>
    <definedName name="BEx1HQNF6KHM21E3XLW0NMSSEI9S" localSheetId="8" hidden="1">'Largest debtors'!#REF!</definedName>
    <definedName name="BEx1HQNF6KHM21E3XLW0NMSSEI9S" localSheetId="11" hidden="1">#REF!</definedName>
    <definedName name="BEx1HQNF6KHM21E3XLW0NMSSEI9S" localSheetId="6" hidden="1">Stock!#REF!</definedName>
    <definedName name="BEx1HQNF6KHM21E3XLW0NMSSEI9S" hidden="1">#REF!</definedName>
    <definedName name="BEx1I4QKTILCKZUSOJCVZN7SNHL5" localSheetId="7" hidden="1">'Aged debtors'!#REF!</definedName>
    <definedName name="BEx1I4QKTILCKZUSOJCVZN7SNHL5" localSheetId="10" hidden="1">#REF!</definedName>
    <definedName name="BEx1I4QKTILCKZUSOJCVZN7SNHL5" localSheetId="12" hidden="1">#REF!</definedName>
    <definedName name="BEx1I4QKTILCKZUSOJCVZN7SNHL5" localSheetId="9" hidden="1">'Customer data'!#REF!</definedName>
    <definedName name="BEx1I4QKTILCKZUSOJCVZN7SNHL5" localSheetId="8" hidden="1">'Largest debtors'!#REF!</definedName>
    <definedName name="BEx1I4QKTILCKZUSOJCVZN7SNHL5" localSheetId="11" hidden="1">#REF!</definedName>
    <definedName name="BEx1I4QKTILCKZUSOJCVZN7SNHL5" localSheetId="6" hidden="1">Stock!#REF!</definedName>
    <definedName name="BEx1I4QKTILCKZUSOJCVZN7SNHL5" hidden="1">#REF!</definedName>
    <definedName name="BEx1IGQ5B697MNDOE06MVSR0H58E" localSheetId="7" hidden="1">'Aged debtors'!#REF!</definedName>
    <definedName name="BEx1IGQ5B697MNDOE06MVSR0H58E" localSheetId="10" hidden="1">#REF!</definedName>
    <definedName name="BEx1IGQ5B697MNDOE06MVSR0H58E" localSheetId="12" hidden="1">#REF!</definedName>
    <definedName name="BEx1IGQ5B697MNDOE06MVSR0H58E" localSheetId="9" hidden="1">'Customer data'!#REF!</definedName>
    <definedName name="BEx1IGQ5B697MNDOE06MVSR0H58E" localSheetId="8" hidden="1">'Largest debtors'!#REF!</definedName>
    <definedName name="BEx1IGQ5B697MNDOE06MVSR0H58E" localSheetId="11" hidden="1">#REF!</definedName>
    <definedName name="BEx1IGQ5B697MNDOE06MVSR0H58E" localSheetId="6" hidden="1">Stock!#REF!</definedName>
    <definedName name="BEx1IGQ5B697MNDOE06MVSR0H58E" hidden="1">#REF!</definedName>
    <definedName name="BEx1J0CSSHDJGBJUHVOEMCF2P4DL" localSheetId="7" hidden="1">'Aged debtors'!#REF!</definedName>
    <definedName name="BEx1J0CSSHDJGBJUHVOEMCF2P4DL" localSheetId="10" hidden="1">#REF!</definedName>
    <definedName name="BEx1J0CSSHDJGBJUHVOEMCF2P4DL" localSheetId="12" hidden="1">#REF!</definedName>
    <definedName name="BEx1J0CSSHDJGBJUHVOEMCF2P4DL" localSheetId="9" hidden="1">'Customer data'!#REF!</definedName>
    <definedName name="BEx1J0CSSHDJGBJUHVOEMCF2P4DL" localSheetId="8" hidden="1">'Largest debtors'!#REF!</definedName>
    <definedName name="BEx1J0CSSHDJGBJUHVOEMCF2P4DL" localSheetId="11" hidden="1">#REF!</definedName>
    <definedName name="BEx1J0CSSHDJGBJUHVOEMCF2P4DL" localSheetId="6" hidden="1">Stock!#REF!</definedName>
    <definedName name="BEx1J0CSSHDJGBJUHVOEMCF2P4DL" hidden="1">#REF!</definedName>
    <definedName name="BEx1JUBQFRVMASSFK4B3V0AD7YP9" localSheetId="7" hidden="1">'Aged debtors'!#REF!</definedName>
    <definedName name="BEx1JUBQFRVMASSFK4B3V0AD7YP9" localSheetId="10" hidden="1">#REF!</definedName>
    <definedName name="BEx1JUBQFRVMASSFK4B3V0AD7YP9" localSheetId="12" hidden="1">#REF!</definedName>
    <definedName name="BEx1JUBQFRVMASSFK4B3V0AD7YP9" localSheetId="9" hidden="1">'Customer data'!#REF!</definedName>
    <definedName name="BEx1JUBQFRVMASSFK4B3V0AD7YP9" localSheetId="8" hidden="1">'Largest debtors'!#REF!</definedName>
    <definedName name="BEx1JUBQFRVMASSFK4B3V0AD7YP9" localSheetId="11" hidden="1">#REF!</definedName>
    <definedName name="BEx1JUBQFRVMASSFK4B3V0AD7YP9" localSheetId="6" hidden="1">Stock!#REF!</definedName>
    <definedName name="BEx1JUBQFRVMASSFK4B3V0AD7YP9" hidden="1">#REF!</definedName>
    <definedName name="BEx1KMHT9KOPKLGYOZ7HLY6YAE65" localSheetId="7" hidden="1">'Aged debtors'!#REF!</definedName>
    <definedName name="BEx1KMHT9KOPKLGYOZ7HLY6YAE65" localSheetId="10" hidden="1">#REF!</definedName>
    <definedName name="BEx1KMHT9KOPKLGYOZ7HLY6YAE65" localSheetId="12" hidden="1">#REF!</definedName>
    <definedName name="BEx1KMHT9KOPKLGYOZ7HLY6YAE65" localSheetId="9" hidden="1">'Customer data'!#REF!</definedName>
    <definedName name="BEx1KMHT9KOPKLGYOZ7HLY6YAE65" localSheetId="8" hidden="1">'Largest debtors'!#REF!</definedName>
    <definedName name="BEx1KMHT9KOPKLGYOZ7HLY6YAE65" localSheetId="11" hidden="1">#REF!</definedName>
    <definedName name="BEx1KMHT9KOPKLGYOZ7HLY6YAE65" localSheetId="6" hidden="1">Stock!#REF!</definedName>
    <definedName name="BEx1KMHT9KOPKLGYOZ7HLY6YAE65" hidden="1">#REF!</definedName>
    <definedName name="BEx1KUVWMB0QCWA3RBE4CADFVRIS" localSheetId="7" hidden="1">'Aged debtors'!#REF!</definedName>
    <definedName name="BEx1KUVWMB0QCWA3RBE4CADFVRIS" localSheetId="10" hidden="1">#REF!</definedName>
    <definedName name="BEx1KUVWMB0QCWA3RBE4CADFVRIS" localSheetId="12" hidden="1">#REF!</definedName>
    <definedName name="BEx1KUVWMB0QCWA3RBE4CADFVRIS" localSheetId="9" hidden="1">'Customer data'!#REF!</definedName>
    <definedName name="BEx1KUVWMB0QCWA3RBE4CADFVRIS" localSheetId="8" hidden="1">'Largest debtors'!#REF!</definedName>
    <definedName name="BEx1KUVWMB0QCWA3RBE4CADFVRIS" localSheetId="11" hidden="1">#REF!</definedName>
    <definedName name="BEx1KUVWMB0QCWA3RBE4CADFVRIS" localSheetId="6" hidden="1">Stock!#REF!</definedName>
    <definedName name="BEx1KUVWMB0QCWA3RBE4CADFVRIS" hidden="1">#REF!</definedName>
    <definedName name="BEx1L6Q60MWRDJB4L20LK0XPA0Z2" localSheetId="7" hidden="1">'Aged debtors'!#REF!</definedName>
    <definedName name="BEx1L6Q60MWRDJB4L20LK0XPA0Z2" localSheetId="10" hidden="1">#REF!</definedName>
    <definedName name="BEx1L6Q60MWRDJB4L20LK0XPA0Z2" localSheetId="12" hidden="1">#REF!</definedName>
    <definedName name="BEx1L6Q60MWRDJB4L20LK0XPA0Z2" localSheetId="9" hidden="1">'Customer data'!#REF!</definedName>
    <definedName name="BEx1L6Q60MWRDJB4L20LK0XPA0Z2" localSheetId="8" hidden="1">'Largest debtors'!#REF!</definedName>
    <definedName name="BEx1L6Q60MWRDJB4L20LK0XPA0Z2" localSheetId="11" hidden="1">#REF!</definedName>
    <definedName name="BEx1L6Q60MWRDJB4L20LK0XPA0Z2" localSheetId="6" hidden="1">Stock!#REF!</definedName>
    <definedName name="BEx1L6Q60MWRDJB4L20LK0XPA0Z2" hidden="1">#REF!</definedName>
    <definedName name="BEx1LD63FP2Z4BR9TKSHOZW9KKZ5" localSheetId="7" hidden="1">'Aged debtors'!#REF!</definedName>
    <definedName name="BEx1LD63FP2Z4BR9TKSHOZW9KKZ5" localSheetId="10" hidden="1">#REF!</definedName>
    <definedName name="BEx1LD63FP2Z4BR9TKSHOZW9KKZ5" localSheetId="12" hidden="1">#REF!</definedName>
    <definedName name="BEx1LD63FP2Z4BR9TKSHOZW9KKZ5" localSheetId="9" hidden="1">'Customer data'!#REF!</definedName>
    <definedName name="BEx1LD63FP2Z4BR9TKSHOZW9KKZ5" localSheetId="8" hidden="1">'Largest debtors'!#REF!</definedName>
    <definedName name="BEx1LD63FP2Z4BR9TKSHOZW9KKZ5" localSheetId="11" hidden="1">#REF!</definedName>
    <definedName name="BEx1LD63FP2Z4BR9TKSHOZW9KKZ5" localSheetId="6" hidden="1">Stock!#REF!</definedName>
    <definedName name="BEx1LD63FP2Z4BR9TKSHOZW9KKZ5" hidden="1">#REF!</definedName>
    <definedName name="BEx1LRPGDQCOEMW8YT80J1XCDCIV" localSheetId="7" hidden="1">'Aged debtors'!#REF!</definedName>
    <definedName name="BEx1LRPGDQCOEMW8YT80J1XCDCIV" localSheetId="10" hidden="1">#REF!</definedName>
    <definedName name="BEx1LRPGDQCOEMW8YT80J1XCDCIV" localSheetId="12" hidden="1">#REF!</definedName>
    <definedName name="BEx1LRPGDQCOEMW8YT80J1XCDCIV" localSheetId="9" hidden="1">'Customer data'!#REF!</definedName>
    <definedName name="BEx1LRPGDQCOEMW8YT80J1XCDCIV" localSheetId="8" hidden="1">'Largest debtors'!#REF!</definedName>
    <definedName name="BEx1LRPGDQCOEMW8YT80J1XCDCIV" localSheetId="11" hidden="1">#REF!</definedName>
    <definedName name="BEx1LRPGDQCOEMW8YT80J1XCDCIV" localSheetId="6" hidden="1">Stock!#REF!</definedName>
    <definedName name="BEx1LRPGDQCOEMW8YT80J1XCDCIV" hidden="1">#REF!</definedName>
    <definedName name="BEx1LRUSJW4JG54X07QWD9R27WV9" localSheetId="7" hidden="1">'Aged debtors'!#REF!</definedName>
    <definedName name="BEx1LRUSJW4JG54X07QWD9R27WV9" localSheetId="10" hidden="1">#REF!</definedName>
    <definedName name="BEx1LRUSJW4JG54X07QWD9R27WV9" localSheetId="12" hidden="1">#REF!</definedName>
    <definedName name="BEx1LRUSJW4JG54X07QWD9R27WV9" localSheetId="9" hidden="1">'Customer data'!#REF!</definedName>
    <definedName name="BEx1LRUSJW4JG54X07QWD9R27WV9" localSheetId="8" hidden="1">'Largest debtors'!#REF!</definedName>
    <definedName name="BEx1LRUSJW4JG54X07QWD9R27WV9" localSheetId="11" hidden="1">#REF!</definedName>
    <definedName name="BEx1LRUSJW4JG54X07QWD9R27WV9" localSheetId="6" hidden="1">Stock!#REF!</definedName>
    <definedName name="BEx1LRUSJW4JG54X07QWD9R27WV9" hidden="1">#REF!</definedName>
    <definedName name="BEx1M1WBK5T0LP1AK2JYV6W87ID6" localSheetId="7" hidden="1">'Aged debtors'!#REF!</definedName>
    <definedName name="BEx1M1WBK5T0LP1AK2JYV6W87ID6" localSheetId="10" hidden="1">#REF!</definedName>
    <definedName name="BEx1M1WBK5T0LP1AK2JYV6W87ID6" localSheetId="12" hidden="1">#REF!</definedName>
    <definedName name="BEx1M1WBK5T0LP1AK2JYV6W87ID6" localSheetId="9" hidden="1">'Customer data'!#REF!</definedName>
    <definedName name="BEx1M1WBK5T0LP1AK2JYV6W87ID6" localSheetId="8" hidden="1">'Largest debtors'!#REF!</definedName>
    <definedName name="BEx1M1WBK5T0LP1AK2JYV6W87ID6" localSheetId="11" hidden="1">#REF!</definedName>
    <definedName name="BEx1M1WBK5T0LP1AK2JYV6W87ID6" localSheetId="6" hidden="1">Stock!#REF!</definedName>
    <definedName name="BEx1M1WBK5T0LP1AK2JYV6W87ID6" hidden="1">#REF!</definedName>
    <definedName name="BEx1M51HHDYGIT8PON7U8ICL2S95" localSheetId="7" hidden="1">'Aged debtors'!#REF!</definedName>
    <definedName name="BEx1M51HHDYGIT8PON7U8ICL2S95" localSheetId="10" hidden="1">#REF!</definedName>
    <definedName name="BEx1M51HHDYGIT8PON7U8ICL2S95" localSheetId="12" hidden="1">#REF!</definedName>
    <definedName name="BEx1M51HHDYGIT8PON7U8ICL2S95" localSheetId="9" hidden="1">'Customer data'!#REF!</definedName>
    <definedName name="BEx1M51HHDYGIT8PON7U8ICL2S95" localSheetId="8" hidden="1">'Largest debtors'!#REF!</definedName>
    <definedName name="BEx1M51HHDYGIT8PON7U8ICL2S95" localSheetId="11" hidden="1">#REF!</definedName>
    <definedName name="BEx1M51HHDYGIT8PON7U8ICL2S95" localSheetId="6" hidden="1">Stock!#REF!</definedName>
    <definedName name="BEx1M51HHDYGIT8PON7U8ICL2S95" hidden="1">#REF!</definedName>
    <definedName name="BEx1MTRKKVCHOZ0YGID6HZ49LJTO" localSheetId="7" hidden="1">'Aged debtors'!#REF!</definedName>
    <definedName name="BEx1MTRKKVCHOZ0YGID6HZ49LJTO" localSheetId="10" hidden="1">#REF!</definedName>
    <definedName name="BEx1MTRKKVCHOZ0YGID6HZ49LJTO" localSheetId="12" hidden="1">#REF!</definedName>
    <definedName name="BEx1MTRKKVCHOZ0YGID6HZ49LJTO" localSheetId="9" hidden="1">'Customer data'!#REF!</definedName>
    <definedName name="BEx1MTRKKVCHOZ0YGID6HZ49LJTO" localSheetId="8" hidden="1">'Largest debtors'!#REF!</definedName>
    <definedName name="BEx1MTRKKVCHOZ0YGID6HZ49LJTO" localSheetId="11" hidden="1">#REF!</definedName>
    <definedName name="BEx1MTRKKVCHOZ0YGID6HZ49LJTO" localSheetId="6" hidden="1">Stock!#REF!</definedName>
    <definedName name="BEx1MTRKKVCHOZ0YGID6HZ49LJTO" hidden="1">#REF!</definedName>
    <definedName name="BEx1NO6TXZVOGCUWCCRTXRXWW0XL" localSheetId="7" hidden="1">'Aged debtors'!#REF!</definedName>
    <definedName name="BEx1NO6TXZVOGCUWCCRTXRXWW0XL" localSheetId="10" hidden="1">#REF!</definedName>
    <definedName name="BEx1NO6TXZVOGCUWCCRTXRXWW0XL" localSheetId="12" hidden="1">#REF!</definedName>
    <definedName name="BEx1NO6TXZVOGCUWCCRTXRXWW0XL" localSheetId="9" hidden="1">'Customer data'!#REF!</definedName>
    <definedName name="BEx1NO6TXZVOGCUWCCRTXRXWW0XL" localSheetId="8" hidden="1">'Largest debtors'!#REF!</definedName>
    <definedName name="BEx1NO6TXZVOGCUWCCRTXRXWW0XL" localSheetId="11" hidden="1">#REF!</definedName>
    <definedName name="BEx1NO6TXZVOGCUWCCRTXRXWW0XL" localSheetId="6" hidden="1">Stock!#REF!</definedName>
    <definedName name="BEx1NO6TXZVOGCUWCCRTXRXWW0XL" hidden="1">#REF!</definedName>
    <definedName name="BEx1NS8EU5P9FQV3S0WRTXI5L361" localSheetId="7" hidden="1">'Aged debtors'!#REF!</definedName>
    <definedName name="BEx1NS8EU5P9FQV3S0WRTXI5L361" localSheetId="10" hidden="1">#REF!</definedName>
    <definedName name="BEx1NS8EU5P9FQV3S0WRTXI5L361" localSheetId="12" hidden="1">#REF!</definedName>
    <definedName name="BEx1NS8EU5P9FQV3S0WRTXI5L361" localSheetId="9" hidden="1">'Customer data'!#REF!</definedName>
    <definedName name="BEx1NS8EU5P9FQV3S0WRTXI5L361" localSheetId="8" hidden="1">'Largest debtors'!#REF!</definedName>
    <definedName name="BEx1NS8EU5P9FQV3S0WRTXI5L361" localSheetId="11" hidden="1">#REF!</definedName>
    <definedName name="BEx1NS8EU5P9FQV3S0WRTXI5L361" localSheetId="6" hidden="1">Stock!#REF!</definedName>
    <definedName name="BEx1NS8EU5P9FQV3S0WRTXI5L361" hidden="1">#REF!</definedName>
    <definedName name="BEx1NZ4K1L8UON80Y2A4RASKWGNP" localSheetId="7" hidden="1">'Aged debtors'!#REF!</definedName>
    <definedName name="BEx1NZ4K1L8UON80Y2A4RASKWGNP" localSheetId="10" hidden="1">#REF!</definedName>
    <definedName name="BEx1NZ4K1L8UON80Y2A4RASKWGNP" localSheetId="12" hidden="1">#REF!</definedName>
    <definedName name="BEx1NZ4K1L8UON80Y2A4RASKWGNP" localSheetId="9" hidden="1">'Customer data'!#REF!</definedName>
    <definedName name="BEx1NZ4K1L8UON80Y2A4RASKWGNP" localSheetId="8" hidden="1">'Largest debtors'!#REF!</definedName>
    <definedName name="BEx1NZ4K1L8UON80Y2A4RASKWGNP" localSheetId="11" hidden="1">#REF!</definedName>
    <definedName name="BEx1NZ4K1L8UON80Y2A4RASKWGNP" localSheetId="6" hidden="1">Stock!#REF!</definedName>
    <definedName name="BEx1NZ4K1L8UON80Y2A4RASKWGNP" hidden="1">#REF!</definedName>
    <definedName name="BEx1OLAZ915OGYWP0QP1QQWDLCRX" localSheetId="7" hidden="1">'Aged debtors'!#REF!</definedName>
    <definedName name="BEx1OLAZ915OGYWP0QP1QQWDLCRX" localSheetId="10" hidden="1">#REF!</definedName>
    <definedName name="BEx1OLAZ915OGYWP0QP1QQWDLCRX" localSheetId="12" hidden="1">#REF!</definedName>
    <definedName name="BEx1OLAZ915OGYWP0QP1QQWDLCRX" localSheetId="9" hidden="1">'Customer data'!#REF!</definedName>
    <definedName name="BEx1OLAZ915OGYWP0QP1QQWDLCRX" localSheetId="8" hidden="1">'Largest debtors'!#REF!</definedName>
    <definedName name="BEx1OLAZ915OGYWP0QP1QQWDLCRX" localSheetId="11" hidden="1">#REF!</definedName>
    <definedName name="BEx1OLAZ915OGYWP0QP1QQWDLCRX" localSheetId="6" hidden="1">Stock!#REF!</definedName>
    <definedName name="BEx1OLAZ915OGYWP0QP1QQWDLCRX" hidden="1">#REF!</definedName>
    <definedName name="BEx1OO5ER042IS6IC4TLDI75JNVH" localSheetId="7" hidden="1">'Aged debtors'!#REF!</definedName>
    <definedName name="BEx1OO5ER042IS6IC4TLDI75JNVH" localSheetId="10" hidden="1">#REF!</definedName>
    <definedName name="BEx1OO5ER042IS6IC4TLDI75JNVH" localSheetId="12" hidden="1">#REF!</definedName>
    <definedName name="BEx1OO5ER042IS6IC4TLDI75JNVH" localSheetId="9" hidden="1">'Customer data'!#REF!</definedName>
    <definedName name="BEx1OO5ER042IS6IC4TLDI75JNVH" localSheetId="8" hidden="1">'Largest debtors'!#REF!</definedName>
    <definedName name="BEx1OO5ER042IS6IC4TLDI75JNVH" localSheetId="11" hidden="1">#REF!</definedName>
    <definedName name="BEx1OO5ER042IS6IC4TLDI75JNVH" localSheetId="6" hidden="1">Stock!#REF!</definedName>
    <definedName name="BEx1OO5ER042IS6IC4TLDI75JNVH" hidden="1">#REF!</definedName>
    <definedName name="BEx1OVSMPADTX95QUOX34KZQ8EDY" localSheetId="7" hidden="1">'Aged debtors'!#REF!</definedName>
    <definedName name="BEx1OVSMPADTX95QUOX34KZQ8EDY" localSheetId="10" hidden="1">#REF!</definedName>
    <definedName name="BEx1OVSMPADTX95QUOX34KZQ8EDY" localSheetId="12" hidden="1">#REF!</definedName>
    <definedName name="BEx1OVSMPADTX95QUOX34KZQ8EDY" localSheetId="9" hidden="1">'Customer data'!#REF!</definedName>
    <definedName name="BEx1OVSMPADTX95QUOX34KZQ8EDY" localSheetId="8" hidden="1">'Largest debtors'!#REF!</definedName>
    <definedName name="BEx1OVSMPADTX95QUOX34KZQ8EDY" localSheetId="11" hidden="1">#REF!</definedName>
    <definedName name="BEx1OVSMPADTX95QUOX34KZQ8EDY" localSheetId="6" hidden="1">Stock!#REF!</definedName>
    <definedName name="BEx1OVSMPADTX95QUOX34KZQ8EDY" hidden="1">#REF!</definedName>
    <definedName name="BEx1OY6SVEUT2EQ26P7EKEND342G" localSheetId="7" hidden="1">'Aged debtors'!#REF!</definedName>
    <definedName name="BEx1OY6SVEUT2EQ26P7EKEND342G" localSheetId="10" hidden="1">#REF!</definedName>
    <definedName name="BEx1OY6SVEUT2EQ26P7EKEND342G" localSheetId="12" hidden="1">#REF!</definedName>
    <definedName name="BEx1OY6SVEUT2EQ26P7EKEND342G" localSheetId="9" hidden="1">'Customer data'!#REF!</definedName>
    <definedName name="BEx1OY6SVEUT2EQ26P7EKEND342G" localSheetId="8" hidden="1">'Largest debtors'!#REF!</definedName>
    <definedName name="BEx1OY6SVEUT2EQ26P7EKEND342G" localSheetId="11" hidden="1">#REF!</definedName>
    <definedName name="BEx1OY6SVEUT2EQ26P7EKEND342G" localSheetId="6" hidden="1">Stock!#REF!</definedName>
    <definedName name="BEx1OY6SVEUT2EQ26P7EKEND342G" hidden="1">#REF!</definedName>
    <definedName name="BEx1OYN1LPIPI12O9G6F7QAOS9T4" localSheetId="7" hidden="1">'Aged debtors'!#REF!</definedName>
    <definedName name="BEx1OYN1LPIPI12O9G6F7QAOS9T4" localSheetId="10" hidden="1">#REF!</definedName>
    <definedName name="BEx1OYN1LPIPI12O9G6F7QAOS9T4" localSheetId="12" hidden="1">#REF!</definedName>
    <definedName name="BEx1OYN1LPIPI12O9G6F7QAOS9T4" localSheetId="9" hidden="1">'Customer data'!#REF!</definedName>
    <definedName name="BEx1OYN1LPIPI12O9G6F7QAOS9T4" localSheetId="8" hidden="1">'Largest debtors'!#REF!</definedName>
    <definedName name="BEx1OYN1LPIPI12O9G6F7QAOS9T4" localSheetId="11" hidden="1">#REF!</definedName>
    <definedName name="BEx1OYN1LPIPI12O9G6F7QAOS9T4" localSheetId="6" hidden="1">Stock!#REF!</definedName>
    <definedName name="BEx1OYN1LPIPI12O9G6F7QAOS9T4" hidden="1">#REF!</definedName>
    <definedName name="BEx1P34W467WGPOXPK292QFJIPHJ" localSheetId="7" hidden="1">'Aged debtors'!#REF!</definedName>
    <definedName name="BEx1P34W467WGPOXPK292QFJIPHJ" localSheetId="10" hidden="1">#REF!</definedName>
    <definedName name="BEx1P34W467WGPOXPK292QFJIPHJ" localSheetId="12" hidden="1">#REF!</definedName>
    <definedName name="BEx1P34W467WGPOXPK292QFJIPHJ" localSheetId="9" hidden="1">'Customer data'!#REF!</definedName>
    <definedName name="BEx1P34W467WGPOXPK292QFJIPHJ" localSheetId="8" hidden="1">'Largest debtors'!#REF!</definedName>
    <definedName name="BEx1P34W467WGPOXPK292QFJIPHJ" localSheetId="11" hidden="1">#REF!</definedName>
    <definedName name="BEx1P34W467WGPOXPK292QFJIPHJ" localSheetId="6" hidden="1">Stock!#REF!</definedName>
    <definedName name="BEx1P34W467WGPOXPK292QFJIPHJ" hidden="1">#REF!</definedName>
    <definedName name="BEx1P7S1J4TKGVJ43C2Q2R3M9WRB" localSheetId="7" hidden="1">'Aged debtors'!#REF!</definedName>
    <definedName name="BEx1P7S1J4TKGVJ43C2Q2R3M9WRB" localSheetId="10" hidden="1">#REF!</definedName>
    <definedName name="BEx1P7S1J4TKGVJ43C2Q2R3M9WRB" localSheetId="12" hidden="1">#REF!</definedName>
    <definedName name="BEx1P7S1J4TKGVJ43C2Q2R3M9WRB" localSheetId="9" hidden="1">'Customer data'!#REF!</definedName>
    <definedName name="BEx1P7S1J4TKGVJ43C2Q2R3M9WRB" localSheetId="8" hidden="1">'Largest debtors'!#REF!</definedName>
    <definedName name="BEx1P7S1J4TKGVJ43C2Q2R3M9WRB" localSheetId="11" hidden="1">#REF!</definedName>
    <definedName name="BEx1P7S1J4TKGVJ43C2Q2R3M9WRB" localSheetId="6" hidden="1">Stock!#REF!</definedName>
    <definedName name="BEx1P7S1J4TKGVJ43C2Q2R3M9WRB" hidden="1">#REF!</definedName>
    <definedName name="BEx1PA11BLPVZM8RC5BL46WX8YB5" localSheetId="7" hidden="1">'Aged debtors'!#REF!</definedName>
    <definedName name="BEx1PA11BLPVZM8RC5BL46WX8YB5" localSheetId="10" hidden="1">#REF!</definedName>
    <definedName name="BEx1PA11BLPVZM8RC5BL46WX8YB5" localSheetId="12" hidden="1">#REF!</definedName>
    <definedName name="BEx1PA11BLPVZM8RC5BL46WX8YB5" localSheetId="9" hidden="1">'Customer data'!#REF!</definedName>
    <definedName name="BEx1PA11BLPVZM8RC5BL46WX8YB5" localSheetId="8" hidden="1">'Largest debtors'!#REF!</definedName>
    <definedName name="BEx1PA11BLPVZM8RC5BL46WX8YB5" localSheetId="11" hidden="1">#REF!</definedName>
    <definedName name="BEx1PA11BLPVZM8RC5BL46WX8YB5" localSheetId="6" hidden="1">Stock!#REF!</definedName>
    <definedName name="BEx1PA11BLPVZM8RC5BL46WX8YB5" hidden="1">#REF!</definedName>
    <definedName name="BEx1PBZ4BEFIPGMQXT9T8S4PZ2IM" localSheetId="7" hidden="1">'Aged debtors'!#REF!</definedName>
    <definedName name="BEx1PBZ4BEFIPGMQXT9T8S4PZ2IM" localSheetId="10" hidden="1">#REF!</definedName>
    <definedName name="BEx1PBZ4BEFIPGMQXT9T8S4PZ2IM" localSheetId="12" hidden="1">#REF!</definedName>
    <definedName name="BEx1PBZ4BEFIPGMQXT9T8S4PZ2IM" localSheetId="9" hidden="1">'Customer data'!#REF!</definedName>
    <definedName name="BEx1PBZ4BEFIPGMQXT9T8S4PZ2IM" localSheetId="8" hidden="1">'Largest debtors'!#REF!</definedName>
    <definedName name="BEx1PBZ4BEFIPGMQXT9T8S4PZ2IM" localSheetId="11" hidden="1">#REF!</definedName>
    <definedName name="BEx1PBZ4BEFIPGMQXT9T8S4PZ2IM" localSheetId="6" hidden="1">Stock!#REF!</definedName>
    <definedName name="BEx1PBZ4BEFIPGMQXT9T8S4PZ2IM" hidden="1">#REF!</definedName>
    <definedName name="BEx1PLF2CFSXBZPVI6CJ534EIJDN" localSheetId="7" hidden="1">'Aged debtors'!#REF!</definedName>
    <definedName name="BEx1PLF2CFSXBZPVI6CJ534EIJDN" localSheetId="10" hidden="1">#REF!</definedName>
    <definedName name="BEx1PLF2CFSXBZPVI6CJ534EIJDN" localSheetId="12" hidden="1">#REF!</definedName>
    <definedName name="BEx1PLF2CFSXBZPVI6CJ534EIJDN" localSheetId="9" hidden="1">'Customer data'!#REF!</definedName>
    <definedName name="BEx1PLF2CFSXBZPVI6CJ534EIJDN" localSheetId="8" hidden="1">'Largest debtors'!#REF!</definedName>
    <definedName name="BEx1PLF2CFSXBZPVI6CJ534EIJDN" localSheetId="11" hidden="1">#REF!</definedName>
    <definedName name="BEx1PLF2CFSXBZPVI6CJ534EIJDN" localSheetId="6" hidden="1">Stock!#REF!</definedName>
    <definedName name="BEx1PLF2CFSXBZPVI6CJ534EIJDN" hidden="1">#REF!</definedName>
    <definedName name="BEx1PMWZB2DO6EM9BKLUICZJ65HD" localSheetId="7" hidden="1">'Aged debtors'!#REF!</definedName>
    <definedName name="BEx1PMWZB2DO6EM9BKLUICZJ65HD" localSheetId="10" hidden="1">#REF!</definedName>
    <definedName name="BEx1PMWZB2DO6EM9BKLUICZJ65HD" localSheetId="12" hidden="1">#REF!</definedName>
    <definedName name="BEx1PMWZB2DO6EM9BKLUICZJ65HD" localSheetId="9" hidden="1">'Customer data'!#REF!</definedName>
    <definedName name="BEx1PMWZB2DO6EM9BKLUICZJ65HD" localSheetId="8" hidden="1">'Largest debtors'!#REF!</definedName>
    <definedName name="BEx1PMWZB2DO6EM9BKLUICZJ65HD" localSheetId="11" hidden="1">#REF!</definedName>
    <definedName name="BEx1PMWZB2DO6EM9BKLUICZJ65HD" localSheetId="6" hidden="1">Stock!#REF!</definedName>
    <definedName name="BEx1PMWZB2DO6EM9BKLUICZJ65HD" hidden="1">#REF!</definedName>
    <definedName name="BEx1RBGC06B3T52OIC0EQ1KGVP1I" localSheetId="7" hidden="1">'Aged debtors'!#REF!</definedName>
    <definedName name="BEx1RBGC06B3T52OIC0EQ1KGVP1I" localSheetId="10" hidden="1">#REF!</definedName>
    <definedName name="BEx1RBGC06B3T52OIC0EQ1KGVP1I" localSheetId="12" hidden="1">#REF!</definedName>
    <definedName name="BEx1RBGC06B3T52OIC0EQ1KGVP1I" localSheetId="9" hidden="1">'Customer data'!#REF!</definedName>
    <definedName name="BEx1RBGC06B3T52OIC0EQ1KGVP1I" localSheetId="8" hidden="1">'Largest debtors'!#REF!</definedName>
    <definedName name="BEx1RBGC06B3T52OIC0EQ1KGVP1I" localSheetId="11" hidden="1">#REF!</definedName>
    <definedName name="BEx1RBGC06B3T52OIC0EQ1KGVP1I" localSheetId="6" hidden="1">Stock!#REF!</definedName>
    <definedName name="BEx1RBGC06B3T52OIC0EQ1KGVP1I" hidden="1">#REF!</definedName>
    <definedName name="BEx1RRC7X4NI1CU4EO5XYE2GVARJ" localSheetId="7" hidden="1">'Aged debtors'!#REF!</definedName>
    <definedName name="BEx1RRC7X4NI1CU4EO5XYE2GVARJ" localSheetId="10" hidden="1">#REF!</definedName>
    <definedName name="BEx1RRC7X4NI1CU4EO5XYE2GVARJ" localSheetId="12" hidden="1">#REF!</definedName>
    <definedName name="BEx1RRC7X4NI1CU4EO5XYE2GVARJ" localSheetId="9" hidden="1">'Customer data'!#REF!</definedName>
    <definedName name="BEx1RRC7X4NI1CU4EO5XYE2GVARJ" localSheetId="8" hidden="1">'Largest debtors'!#REF!</definedName>
    <definedName name="BEx1RRC7X4NI1CU4EO5XYE2GVARJ" localSheetId="11" hidden="1">#REF!</definedName>
    <definedName name="BEx1RRC7X4NI1CU4EO5XYE2GVARJ" localSheetId="6" hidden="1">Stock!#REF!</definedName>
    <definedName name="BEx1RRC7X4NI1CU4EO5XYE2GVARJ" hidden="1">#REF!</definedName>
    <definedName name="BEx1RZA1NCGT832L7EMR7GMF588W" localSheetId="7" hidden="1">'Aged debtors'!#REF!</definedName>
    <definedName name="BEx1RZA1NCGT832L7EMR7GMF588W" localSheetId="10" hidden="1">#REF!</definedName>
    <definedName name="BEx1RZA1NCGT832L7EMR7GMF588W" localSheetId="12" hidden="1">#REF!</definedName>
    <definedName name="BEx1RZA1NCGT832L7EMR7GMF588W" localSheetId="9" hidden="1">'Customer data'!#REF!</definedName>
    <definedName name="BEx1RZA1NCGT832L7EMR7GMF588W" localSheetId="8" hidden="1">'Largest debtors'!#REF!</definedName>
    <definedName name="BEx1RZA1NCGT832L7EMR7GMF588W" localSheetId="11" hidden="1">#REF!</definedName>
    <definedName name="BEx1RZA1NCGT832L7EMR7GMF588W" localSheetId="6" hidden="1">Stock!#REF!</definedName>
    <definedName name="BEx1RZA1NCGT832L7EMR7GMF588W" hidden="1">#REF!</definedName>
    <definedName name="BEx1S0XGIPUSZQUCSGWSK10GKW7Y" localSheetId="7" hidden="1">'Aged debtors'!#REF!</definedName>
    <definedName name="BEx1S0XGIPUSZQUCSGWSK10GKW7Y" localSheetId="10" hidden="1">#REF!</definedName>
    <definedName name="BEx1S0XGIPUSZQUCSGWSK10GKW7Y" localSheetId="12" hidden="1">#REF!</definedName>
    <definedName name="BEx1S0XGIPUSZQUCSGWSK10GKW7Y" localSheetId="9" hidden="1">'Customer data'!#REF!</definedName>
    <definedName name="BEx1S0XGIPUSZQUCSGWSK10GKW7Y" localSheetId="8" hidden="1">'Largest debtors'!#REF!</definedName>
    <definedName name="BEx1S0XGIPUSZQUCSGWSK10GKW7Y" localSheetId="11" hidden="1">#REF!</definedName>
    <definedName name="BEx1S0XGIPUSZQUCSGWSK10GKW7Y" localSheetId="6" hidden="1">Stock!#REF!</definedName>
    <definedName name="BEx1S0XGIPUSZQUCSGWSK10GKW7Y" hidden="1">#REF!</definedName>
    <definedName name="BEx1SK3U02H0RGKEYXW7ZMCEOF3V" localSheetId="7" hidden="1">'Aged debtors'!#REF!</definedName>
    <definedName name="BEx1SK3U02H0RGKEYXW7ZMCEOF3V" localSheetId="10" hidden="1">#REF!</definedName>
    <definedName name="BEx1SK3U02H0RGKEYXW7ZMCEOF3V" localSheetId="12" hidden="1">#REF!</definedName>
    <definedName name="BEx1SK3U02H0RGKEYXW7ZMCEOF3V" localSheetId="9" hidden="1">'Customer data'!#REF!</definedName>
    <definedName name="BEx1SK3U02H0RGKEYXW7ZMCEOF3V" localSheetId="8" hidden="1">'Largest debtors'!#REF!</definedName>
    <definedName name="BEx1SK3U02H0RGKEYXW7ZMCEOF3V" localSheetId="11" hidden="1">#REF!</definedName>
    <definedName name="BEx1SK3U02H0RGKEYXW7ZMCEOF3V" localSheetId="6" hidden="1">Stock!#REF!</definedName>
    <definedName name="BEx1SK3U02H0RGKEYXW7ZMCEOF3V" hidden="1">#REF!</definedName>
    <definedName name="BEx1SSNEZINBJT29QVS62VS1THT4" localSheetId="7" hidden="1">'Aged debtors'!#REF!</definedName>
    <definedName name="BEx1SSNEZINBJT29QVS62VS1THT4" localSheetId="10" hidden="1">#REF!</definedName>
    <definedName name="BEx1SSNEZINBJT29QVS62VS1THT4" localSheetId="12" hidden="1">#REF!</definedName>
    <definedName name="BEx1SSNEZINBJT29QVS62VS1THT4" localSheetId="9" hidden="1">'Customer data'!#REF!</definedName>
    <definedName name="BEx1SSNEZINBJT29QVS62VS1THT4" localSheetId="8" hidden="1">'Largest debtors'!#REF!</definedName>
    <definedName name="BEx1SSNEZINBJT29QVS62VS1THT4" localSheetId="11" hidden="1">#REF!</definedName>
    <definedName name="BEx1SSNEZINBJT29QVS62VS1THT4" localSheetId="6" hidden="1">Stock!#REF!</definedName>
    <definedName name="BEx1SSNEZINBJT29QVS62VS1THT4" hidden="1">#REF!</definedName>
    <definedName name="BEx1SVNCHNANBJIDIQVB8AFK4HAN" localSheetId="7" hidden="1">'Aged debtors'!#REF!</definedName>
    <definedName name="BEx1SVNCHNANBJIDIQVB8AFK4HAN" localSheetId="10" hidden="1">#REF!</definedName>
    <definedName name="BEx1SVNCHNANBJIDIQVB8AFK4HAN" localSheetId="12" hidden="1">#REF!</definedName>
    <definedName name="BEx1SVNCHNANBJIDIQVB8AFK4HAN" localSheetId="9" hidden="1">'Customer data'!#REF!</definedName>
    <definedName name="BEx1SVNCHNANBJIDIQVB8AFK4HAN" localSheetId="8" hidden="1">'Largest debtors'!#REF!</definedName>
    <definedName name="BEx1SVNCHNANBJIDIQVB8AFK4HAN" localSheetId="11" hidden="1">#REF!</definedName>
    <definedName name="BEx1SVNCHNANBJIDIQVB8AFK4HAN" localSheetId="6" hidden="1">Stock!#REF!</definedName>
    <definedName name="BEx1SVNCHNANBJIDIQVB8AFK4HAN" hidden="1">#REF!</definedName>
    <definedName name="BEx1TJ0WLS9O7KNSGIPWTYHDYI1D" localSheetId="7" hidden="1">'Aged debtors'!#REF!</definedName>
    <definedName name="BEx1TJ0WLS9O7KNSGIPWTYHDYI1D" localSheetId="10" hidden="1">#REF!</definedName>
    <definedName name="BEx1TJ0WLS9O7KNSGIPWTYHDYI1D" localSheetId="12" hidden="1">#REF!</definedName>
    <definedName name="BEx1TJ0WLS9O7KNSGIPWTYHDYI1D" localSheetId="9" hidden="1">'Customer data'!#REF!</definedName>
    <definedName name="BEx1TJ0WLS9O7KNSGIPWTYHDYI1D" localSheetId="8" hidden="1">'Largest debtors'!#REF!</definedName>
    <definedName name="BEx1TJ0WLS9O7KNSGIPWTYHDYI1D" localSheetId="11" hidden="1">#REF!</definedName>
    <definedName name="BEx1TJ0WLS9O7KNSGIPWTYHDYI1D" localSheetId="6" hidden="1">Stock!#REF!</definedName>
    <definedName name="BEx1TJ0WLS9O7KNSGIPWTYHDYI1D" hidden="1">#REF!</definedName>
    <definedName name="BEx1U7WFO8OZKB1EBF4H386JW91L" localSheetId="7" hidden="1">'Aged debtors'!#REF!</definedName>
    <definedName name="BEx1U7WFO8OZKB1EBF4H386JW91L" localSheetId="10" hidden="1">#REF!</definedName>
    <definedName name="BEx1U7WFO8OZKB1EBF4H386JW91L" localSheetId="12" hidden="1">#REF!</definedName>
    <definedName name="BEx1U7WFO8OZKB1EBF4H386JW91L" localSheetId="9" hidden="1">'Customer data'!#REF!</definedName>
    <definedName name="BEx1U7WFO8OZKB1EBF4H386JW91L" localSheetId="8" hidden="1">'Largest debtors'!#REF!</definedName>
    <definedName name="BEx1U7WFO8OZKB1EBF4H386JW91L" localSheetId="11" hidden="1">#REF!</definedName>
    <definedName name="BEx1U7WFO8OZKB1EBF4H386JW91L" localSheetId="6" hidden="1">Stock!#REF!</definedName>
    <definedName name="BEx1U7WFO8OZKB1EBF4H386JW91L" hidden="1">#REF!</definedName>
    <definedName name="BEx1U87938YR9N6HYI24KVBKLOS3" localSheetId="7" hidden="1">'Aged debtors'!#REF!</definedName>
    <definedName name="BEx1U87938YR9N6HYI24KVBKLOS3" localSheetId="10" hidden="1">#REF!</definedName>
    <definedName name="BEx1U87938YR9N6HYI24KVBKLOS3" localSheetId="12" hidden="1">#REF!</definedName>
    <definedName name="BEx1U87938YR9N6HYI24KVBKLOS3" localSheetId="9" hidden="1">'Customer data'!#REF!</definedName>
    <definedName name="BEx1U87938YR9N6HYI24KVBKLOS3" localSheetId="8" hidden="1">'Largest debtors'!#REF!</definedName>
    <definedName name="BEx1U87938YR9N6HYI24KVBKLOS3" localSheetId="11" hidden="1">#REF!</definedName>
    <definedName name="BEx1U87938YR9N6HYI24KVBKLOS3" localSheetId="6" hidden="1">Stock!#REF!</definedName>
    <definedName name="BEx1U87938YR9N6HYI24KVBKLOS3" hidden="1">#REF!</definedName>
    <definedName name="BEx1UI8N9KTCPSOJ7RDW0T8UEBNP" localSheetId="7" hidden="1">'Aged debtors'!#REF!</definedName>
    <definedName name="BEx1UI8N9KTCPSOJ7RDW0T8UEBNP" localSheetId="10" hidden="1">#REF!</definedName>
    <definedName name="BEx1UI8N9KTCPSOJ7RDW0T8UEBNP" localSheetId="12" hidden="1">#REF!</definedName>
    <definedName name="BEx1UI8N9KTCPSOJ7RDW0T8UEBNP" localSheetId="9" hidden="1">'Customer data'!#REF!</definedName>
    <definedName name="BEx1UI8N9KTCPSOJ7RDW0T8UEBNP" localSheetId="8" hidden="1">'Largest debtors'!#REF!</definedName>
    <definedName name="BEx1UI8N9KTCPSOJ7RDW0T8UEBNP" localSheetId="11" hidden="1">#REF!</definedName>
    <definedName name="BEx1UI8N9KTCPSOJ7RDW0T8UEBNP" localSheetId="6" hidden="1">Stock!#REF!</definedName>
    <definedName name="BEx1UI8N9KTCPSOJ7RDW0T8UEBNP" hidden="1">#REF!</definedName>
    <definedName name="BEx1UML0HHJFHA5TBOYQ24I3RV1W" localSheetId="7" hidden="1">'Aged debtors'!#REF!</definedName>
    <definedName name="BEx1UML0HHJFHA5TBOYQ24I3RV1W" localSheetId="10" hidden="1">#REF!</definedName>
    <definedName name="BEx1UML0HHJFHA5TBOYQ24I3RV1W" localSheetId="12" hidden="1">#REF!</definedName>
    <definedName name="BEx1UML0HHJFHA5TBOYQ24I3RV1W" localSheetId="9" hidden="1">'Customer data'!#REF!</definedName>
    <definedName name="BEx1UML0HHJFHA5TBOYQ24I3RV1W" localSheetId="8" hidden="1">'Largest debtors'!#REF!</definedName>
    <definedName name="BEx1UML0HHJFHA5TBOYQ24I3RV1W" localSheetId="11" hidden="1">#REF!</definedName>
    <definedName name="BEx1UML0HHJFHA5TBOYQ24I3RV1W" localSheetId="6" hidden="1">Stock!#REF!</definedName>
    <definedName name="BEx1UML0HHJFHA5TBOYQ24I3RV1W" hidden="1">#REF!</definedName>
    <definedName name="BEx1UUDIQPZ23XQ79GUL0RAWRSCK" localSheetId="7" hidden="1">'Aged debtors'!#REF!</definedName>
    <definedName name="BEx1UUDIQPZ23XQ79GUL0RAWRSCK" localSheetId="10" hidden="1">#REF!</definedName>
    <definedName name="BEx1UUDIQPZ23XQ79GUL0RAWRSCK" localSheetId="12" hidden="1">#REF!</definedName>
    <definedName name="BEx1UUDIQPZ23XQ79GUL0RAWRSCK" localSheetId="9" hidden="1">'Customer data'!#REF!</definedName>
    <definedName name="BEx1UUDIQPZ23XQ79GUL0RAWRSCK" localSheetId="8" hidden="1">'Largest debtors'!#REF!</definedName>
    <definedName name="BEx1UUDIQPZ23XQ79GUL0RAWRSCK" localSheetId="11" hidden="1">#REF!</definedName>
    <definedName name="BEx1UUDIQPZ23XQ79GUL0RAWRSCK" localSheetId="6" hidden="1">Stock!#REF!</definedName>
    <definedName name="BEx1UUDIQPZ23XQ79GUL0RAWRSCK" hidden="1">#REF!</definedName>
    <definedName name="BEx1VIY9SQLRESD11CC4PHYT0XSG" localSheetId="7" hidden="1">'Aged debtors'!#REF!</definedName>
    <definedName name="BEx1VIY9SQLRESD11CC4PHYT0XSG" localSheetId="10" hidden="1">#REF!</definedName>
    <definedName name="BEx1VIY9SQLRESD11CC4PHYT0XSG" localSheetId="12" hidden="1">#REF!</definedName>
    <definedName name="BEx1VIY9SQLRESD11CC4PHYT0XSG" localSheetId="9" hidden="1">'Customer data'!#REF!</definedName>
    <definedName name="BEx1VIY9SQLRESD11CC4PHYT0XSG" localSheetId="8" hidden="1">'Largest debtors'!#REF!</definedName>
    <definedName name="BEx1VIY9SQLRESD11CC4PHYT0XSG" localSheetId="11" hidden="1">#REF!</definedName>
    <definedName name="BEx1VIY9SQLRESD11CC4PHYT0XSG" localSheetId="6" hidden="1">Stock!#REF!</definedName>
    <definedName name="BEx1VIY9SQLRESD11CC4PHYT0XSG" hidden="1">#REF!</definedName>
    <definedName name="BEx1WGYTKZZIPM1577W5FEYKFH3V" localSheetId="7" hidden="1">'Aged debtors'!#REF!</definedName>
    <definedName name="BEx1WGYTKZZIPM1577W5FEYKFH3V" localSheetId="10" hidden="1">#REF!</definedName>
    <definedName name="BEx1WGYTKZZIPM1577W5FEYKFH3V" localSheetId="12" hidden="1">#REF!</definedName>
    <definedName name="BEx1WGYTKZZIPM1577W5FEYKFH3V" localSheetId="9" hidden="1">'Customer data'!#REF!</definedName>
    <definedName name="BEx1WGYTKZZIPM1577W5FEYKFH3V" localSheetId="8" hidden="1">'Largest debtors'!#REF!</definedName>
    <definedName name="BEx1WGYTKZZIPM1577W5FEYKFH3V" localSheetId="11" hidden="1">#REF!</definedName>
    <definedName name="BEx1WGYTKZZIPM1577W5FEYKFH3V" localSheetId="6" hidden="1">Stock!#REF!</definedName>
    <definedName name="BEx1WGYTKZZIPM1577W5FEYKFH3V" hidden="1">#REF!</definedName>
    <definedName name="BEx1WR0D41MR174LBF3P9E3K0J51" localSheetId="7" hidden="1">'Aged debtors'!#REF!</definedName>
    <definedName name="BEx1WR0D41MR174LBF3P9E3K0J51" localSheetId="10" hidden="1">#REF!</definedName>
    <definedName name="BEx1WR0D41MR174LBF3P9E3K0J51" localSheetId="12" hidden="1">#REF!</definedName>
    <definedName name="BEx1WR0D41MR174LBF3P9E3K0J51" localSheetId="9" hidden="1">'Customer data'!#REF!</definedName>
    <definedName name="BEx1WR0D41MR174LBF3P9E3K0J51" localSheetId="8" hidden="1">'Largest debtors'!#REF!</definedName>
    <definedName name="BEx1WR0D41MR174LBF3P9E3K0J51" localSheetId="11" hidden="1">#REF!</definedName>
    <definedName name="BEx1WR0D41MR174LBF3P9E3K0J51" localSheetId="6" hidden="1">Stock!#REF!</definedName>
    <definedName name="BEx1WR0D41MR174LBF3P9E3K0J51" hidden="1">#REF!</definedName>
    <definedName name="BEx1WUB1FAS5PHU33TJ60SUHR618" localSheetId="7" hidden="1">'Aged debtors'!#REF!</definedName>
    <definedName name="BEx1WUB1FAS5PHU33TJ60SUHR618" localSheetId="10" hidden="1">#REF!</definedName>
    <definedName name="BEx1WUB1FAS5PHU33TJ60SUHR618" localSheetId="12" hidden="1">#REF!</definedName>
    <definedName name="BEx1WUB1FAS5PHU33TJ60SUHR618" localSheetId="9" hidden="1">'Customer data'!#REF!</definedName>
    <definedName name="BEx1WUB1FAS5PHU33TJ60SUHR618" localSheetId="8" hidden="1">'Largest debtors'!#REF!</definedName>
    <definedName name="BEx1WUB1FAS5PHU33TJ60SUHR618" localSheetId="11" hidden="1">#REF!</definedName>
    <definedName name="BEx1WUB1FAS5PHU33TJ60SUHR618" localSheetId="6" hidden="1">Stock!#REF!</definedName>
    <definedName name="BEx1WUB1FAS5PHU33TJ60SUHR618" hidden="1">#REF!</definedName>
    <definedName name="BEx1WX04G0INSPPG9NTNR3DYR6PZ" localSheetId="7" hidden="1">'Aged debtors'!#REF!</definedName>
    <definedName name="BEx1WX04G0INSPPG9NTNR3DYR6PZ" localSheetId="10" hidden="1">#REF!</definedName>
    <definedName name="BEx1WX04G0INSPPG9NTNR3DYR6PZ" localSheetId="12" hidden="1">#REF!</definedName>
    <definedName name="BEx1WX04G0INSPPG9NTNR3DYR6PZ" localSheetId="9" hidden="1">'Customer data'!#REF!</definedName>
    <definedName name="BEx1WX04G0INSPPG9NTNR3DYR6PZ" localSheetId="8" hidden="1">'Largest debtors'!#REF!</definedName>
    <definedName name="BEx1WX04G0INSPPG9NTNR3DYR6PZ" localSheetId="11" hidden="1">#REF!</definedName>
    <definedName name="BEx1WX04G0INSPPG9NTNR3DYR6PZ" localSheetId="6" hidden="1">Stock!#REF!</definedName>
    <definedName name="BEx1WX04G0INSPPG9NTNR3DYR6PZ" hidden="1">#REF!</definedName>
    <definedName name="BEx1XL4MZ7C80495GHQRWOBS16PQ" localSheetId="7" hidden="1">'Aged debtors'!#REF!</definedName>
    <definedName name="BEx1XL4MZ7C80495GHQRWOBS16PQ" localSheetId="10" hidden="1">#REF!</definedName>
    <definedName name="BEx1XL4MZ7C80495GHQRWOBS16PQ" localSheetId="12" hidden="1">#REF!</definedName>
    <definedName name="BEx1XL4MZ7C80495GHQRWOBS16PQ" localSheetId="9" hidden="1">'Customer data'!#REF!</definedName>
    <definedName name="BEx1XL4MZ7C80495GHQRWOBS16PQ" localSheetId="8" hidden="1">'Largest debtors'!#REF!</definedName>
    <definedName name="BEx1XL4MZ7C80495GHQRWOBS16PQ" localSheetId="11" hidden="1">#REF!</definedName>
    <definedName name="BEx1XL4MZ7C80495GHQRWOBS16PQ" localSheetId="6" hidden="1">Stock!#REF!</definedName>
    <definedName name="BEx1XL4MZ7C80495GHQRWOBS16PQ" hidden="1">#REF!</definedName>
    <definedName name="BEx3BNR9ES4KY7Q1DK83KC5NDGL8" localSheetId="7" hidden="1">'Aged debtors'!#REF!</definedName>
    <definedName name="BEx3BNR9ES4KY7Q1DK83KC5NDGL8" localSheetId="10" hidden="1">#REF!</definedName>
    <definedName name="BEx3BNR9ES4KY7Q1DK83KC5NDGL8" localSheetId="12" hidden="1">#REF!</definedName>
    <definedName name="BEx3BNR9ES4KY7Q1DK83KC5NDGL8" localSheetId="9" hidden="1">'Customer data'!#REF!</definedName>
    <definedName name="BEx3BNR9ES4KY7Q1DK83KC5NDGL8" localSheetId="8" hidden="1">'Largest debtors'!#REF!</definedName>
    <definedName name="BEx3BNR9ES4KY7Q1DK83KC5NDGL8" localSheetId="11" hidden="1">#REF!</definedName>
    <definedName name="BEx3BNR9ES4KY7Q1DK83KC5NDGL8" localSheetId="6" hidden="1">Stock!#REF!</definedName>
    <definedName name="BEx3BNR9ES4KY7Q1DK83KC5NDGL8" hidden="1">#REF!</definedName>
    <definedName name="BEx3BQR5VZXNQ4H949ORM8ESU3B3" localSheetId="7" hidden="1">'Aged debtors'!#REF!</definedName>
    <definedName name="BEx3BQR5VZXNQ4H949ORM8ESU3B3" localSheetId="10" hidden="1">#REF!</definedName>
    <definedName name="BEx3BQR5VZXNQ4H949ORM8ESU3B3" localSheetId="12" hidden="1">#REF!</definedName>
    <definedName name="BEx3BQR5VZXNQ4H949ORM8ESU3B3" localSheetId="9" hidden="1">'Customer data'!#REF!</definedName>
    <definedName name="BEx3BQR5VZXNQ4H949ORM8ESU3B3" localSheetId="8" hidden="1">'Largest debtors'!#REF!</definedName>
    <definedName name="BEx3BQR5VZXNQ4H949ORM8ESU3B3" localSheetId="11" hidden="1">#REF!</definedName>
    <definedName name="BEx3BQR5VZXNQ4H949ORM8ESU3B3" localSheetId="6" hidden="1">Stock!#REF!</definedName>
    <definedName name="BEx3BQR5VZXNQ4H949ORM8ESU3B3" hidden="1">#REF!</definedName>
    <definedName name="BEx3CKFCCPZZ6ROLAT5C1DZNIC1U" localSheetId="7" hidden="1">'Aged debtors'!#REF!</definedName>
    <definedName name="BEx3CKFCCPZZ6ROLAT5C1DZNIC1U" localSheetId="10" hidden="1">#REF!</definedName>
    <definedName name="BEx3CKFCCPZZ6ROLAT5C1DZNIC1U" localSheetId="12" hidden="1">#REF!</definedName>
    <definedName name="BEx3CKFCCPZZ6ROLAT5C1DZNIC1U" localSheetId="9" hidden="1">'Customer data'!#REF!</definedName>
    <definedName name="BEx3CKFCCPZZ6ROLAT5C1DZNIC1U" localSheetId="8" hidden="1">'Largest debtors'!#REF!</definedName>
    <definedName name="BEx3CKFCCPZZ6ROLAT5C1DZNIC1U" localSheetId="11" hidden="1">#REF!</definedName>
    <definedName name="BEx3CKFCCPZZ6ROLAT5C1DZNIC1U" localSheetId="6" hidden="1">Stock!#REF!</definedName>
    <definedName name="BEx3CKFCCPZZ6ROLAT5C1DZNIC1U" hidden="1">#REF!</definedName>
    <definedName name="BEx3D9G6QTSPF9UYI4X0XY0VE896" localSheetId="7" hidden="1">'Aged debtors'!#REF!</definedName>
    <definedName name="BEx3D9G6QTSPF9UYI4X0XY0VE896" localSheetId="10" hidden="1">#REF!</definedName>
    <definedName name="BEx3D9G6QTSPF9UYI4X0XY0VE896" localSheetId="12" hidden="1">#REF!</definedName>
    <definedName name="BEx3D9G6QTSPF9UYI4X0XY0VE896" localSheetId="9" hidden="1">'Customer data'!#REF!</definedName>
    <definedName name="BEx3D9G6QTSPF9UYI4X0XY0VE896" localSheetId="8" hidden="1">'Largest debtors'!#REF!</definedName>
    <definedName name="BEx3D9G6QTSPF9UYI4X0XY0VE896" localSheetId="11" hidden="1">#REF!</definedName>
    <definedName name="BEx3D9G6QTSPF9UYI4X0XY0VE896" localSheetId="6" hidden="1">Stock!#REF!</definedName>
    <definedName name="BEx3D9G6QTSPF9UYI4X0XY0VE896" hidden="1">#REF!</definedName>
    <definedName name="BEx3DCQU9PBRXIMLO62KS5RLH447" localSheetId="7" hidden="1">'Aged debtors'!#REF!</definedName>
    <definedName name="BEx3DCQU9PBRXIMLO62KS5RLH447" localSheetId="10" hidden="1">#REF!</definedName>
    <definedName name="BEx3DCQU9PBRXIMLO62KS5RLH447" localSheetId="12" hidden="1">#REF!</definedName>
    <definedName name="BEx3DCQU9PBRXIMLO62KS5RLH447" localSheetId="9" hidden="1">'Customer data'!#REF!</definedName>
    <definedName name="BEx3DCQU9PBRXIMLO62KS5RLH447" localSheetId="8" hidden="1">'Largest debtors'!#REF!</definedName>
    <definedName name="BEx3DCQU9PBRXIMLO62KS5RLH447" localSheetId="11" hidden="1">#REF!</definedName>
    <definedName name="BEx3DCQU9PBRXIMLO62KS5RLH447" localSheetId="6" hidden="1">Stock!#REF!</definedName>
    <definedName name="BEx3DCQU9PBRXIMLO62KS5RLH447" hidden="1">#REF!</definedName>
    <definedName name="BEx3EF99FD6QNNCNOKDEE67JHTUJ" localSheetId="7" hidden="1">'Aged debtors'!#REF!</definedName>
    <definedName name="BEx3EF99FD6QNNCNOKDEE67JHTUJ" localSheetId="10" hidden="1">#REF!</definedName>
    <definedName name="BEx3EF99FD6QNNCNOKDEE67JHTUJ" localSheetId="12" hidden="1">#REF!</definedName>
    <definedName name="BEx3EF99FD6QNNCNOKDEE67JHTUJ" localSheetId="9" hidden="1">'Customer data'!#REF!</definedName>
    <definedName name="BEx3EF99FD6QNNCNOKDEE67JHTUJ" localSheetId="8" hidden="1">'Largest debtors'!#REF!</definedName>
    <definedName name="BEx3EF99FD6QNNCNOKDEE67JHTUJ" localSheetId="11" hidden="1">#REF!</definedName>
    <definedName name="BEx3EF99FD6QNNCNOKDEE67JHTUJ" localSheetId="6" hidden="1">Stock!#REF!</definedName>
    <definedName name="BEx3EF99FD6QNNCNOKDEE67JHTUJ" hidden="1">#REF!</definedName>
    <definedName name="BEx3EJR3TCJDYS7ZXNDS5N9KTGIK" localSheetId="7" hidden="1">'Aged debtors'!#REF!</definedName>
    <definedName name="BEx3EJR3TCJDYS7ZXNDS5N9KTGIK" localSheetId="10" hidden="1">#REF!</definedName>
    <definedName name="BEx3EJR3TCJDYS7ZXNDS5N9KTGIK" localSheetId="12" hidden="1">#REF!</definedName>
    <definedName name="BEx3EJR3TCJDYS7ZXNDS5N9KTGIK" localSheetId="9" hidden="1">'Customer data'!#REF!</definedName>
    <definedName name="BEx3EJR3TCJDYS7ZXNDS5N9KTGIK" localSheetId="8" hidden="1">'Largest debtors'!#REF!</definedName>
    <definedName name="BEx3EJR3TCJDYS7ZXNDS5N9KTGIK" localSheetId="11" hidden="1">#REF!</definedName>
    <definedName name="BEx3EJR3TCJDYS7ZXNDS5N9KTGIK" localSheetId="6" hidden="1">Stock!#REF!</definedName>
    <definedName name="BEx3EJR3TCJDYS7ZXNDS5N9KTGIK" hidden="1">#REF!</definedName>
    <definedName name="BEx3ELJTTBS6P05CNISMGOJOA60V" localSheetId="7" hidden="1">'Aged debtors'!#REF!</definedName>
    <definedName name="BEx3ELJTTBS6P05CNISMGOJOA60V" localSheetId="10" hidden="1">#REF!</definedName>
    <definedName name="BEx3ELJTTBS6P05CNISMGOJOA60V" localSheetId="12" hidden="1">#REF!</definedName>
    <definedName name="BEx3ELJTTBS6P05CNISMGOJOA60V" localSheetId="9" hidden="1">'Customer data'!#REF!</definedName>
    <definedName name="BEx3ELJTTBS6P05CNISMGOJOA60V" localSheetId="8" hidden="1">'Largest debtors'!#REF!</definedName>
    <definedName name="BEx3ELJTTBS6P05CNISMGOJOA60V" localSheetId="11" hidden="1">#REF!</definedName>
    <definedName name="BEx3ELJTTBS6P05CNISMGOJOA60V" localSheetId="6" hidden="1">Stock!#REF!</definedName>
    <definedName name="BEx3ELJTTBS6P05CNISMGOJOA60V" hidden="1">#REF!</definedName>
    <definedName name="BEx3FI2G3YYIACQHXNXEA15M8ZK5" localSheetId="7" hidden="1">'Aged debtors'!#REF!</definedName>
    <definedName name="BEx3FI2G3YYIACQHXNXEA15M8ZK5" localSheetId="10" hidden="1">#REF!</definedName>
    <definedName name="BEx3FI2G3YYIACQHXNXEA15M8ZK5" localSheetId="12" hidden="1">#REF!</definedName>
    <definedName name="BEx3FI2G3YYIACQHXNXEA15M8ZK5" localSheetId="9" hidden="1">'Customer data'!#REF!</definedName>
    <definedName name="BEx3FI2G3YYIACQHXNXEA15M8ZK5" localSheetId="8" hidden="1">'Largest debtors'!#REF!</definedName>
    <definedName name="BEx3FI2G3YYIACQHXNXEA15M8ZK5" localSheetId="11" hidden="1">#REF!</definedName>
    <definedName name="BEx3FI2G3YYIACQHXNXEA15M8ZK5" localSheetId="6" hidden="1">Stock!#REF!</definedName>
    <definedName name="BEx3FI2G3YYIACQHXNXEA15M8ZK5" hidden="1">#REF!</definedName>
    <definedName name="BEx3FR251HFU7A33PU01SJUENL2B" localSheetId="7" hidden="1">'Aged debtors'!#REF!</definedName>
    <definedName name="BEx3FR251HFU7A33PU01SJUENL2B" localSheetId="10" hidden="1">#REF!</definedName>
    <definedName name="BEx3FR251HFU7A33PU01SJUENL2B" localSheetId="12" hidden="1">#REF!</definedName>
    <definedName name="BEx3FR251HFU7A33PU01SJUENL2B" localSheetId="9" hidden="1">'Customer data'!#REF!</definedName>
    <definedName name="BEx3FR251HFU7A33PU01SJUENL2B" localSheetId="8" hidden="1">'Largest debtors'!#REF!</definedName>
    <definedName name="BEx3FR251HFU7A33PU01SJUENL2B" localSheetId="11" hidden="1">#REF!</definedName>
    <definedName name="BEx3FR251HFU7A33PU01SJUENL2B" localSheetId="6" hidden="1">Stock!#REF!</definedName>
    <definedName name="BEx3FR251HFU7A33PU01SJUENL2B" hidden="1">#REF!</definedName>
    <definedName name="BEx3FX7EJL47JSLSWP3EOC265WAE" localSheetId="7" hidden="1">'Aged debtors'!#REF!</definedName>
    <definedName name="BEx3FX7EJL47JSLSWP3EOC265WAE" localSheetId="10" hidden="1">#REF!</definedName>
    <definedName name="BEx3FX7EJL47JSLSWP3EOC265WAE" localSheetId="12" hidden="1">#REF!</definedName>
    <definedName name="BEx3FX7EJL47JSLSWP3EOC265WAE" localSheetId="9" hidden="1">'Customer data'!#REF!</definedName>
    <definedName name="BEx3FX7EJL47JSLSWP3EOC265WAE" localSheetId="8" hidden="1">'Largest debtors'!#REF!</definedName>
    <definedName name="BEx3FX7EJL47JSLSWP3EOC265WAE" localSheetId="11" hidden="1">#REF!</definedName>
    <definedName name="BEx3FX7EJL47JSLSWP3EOC265WAE" localSheetId="6" hidden="1">Stock!#REF!</definedName>
    <definedName name="BEx3FX7EJL47JSLSWP3EOC265WAE" hidden="1">#REF!</definedName>
    <definedName name="BEx3G201R8NLJ6FIHO2QS0SW9QVV" localSheetId="7" hidden="1">'Aged debtors'!#REF!</definedName>
    <definedName name="BEx3G201R8NLJ6FIHO2QS0SW9QVV" localSheetId="10" hidden="1">#REF!</definedName>
    <definedName name="BEx3G201R8NLJ6FIHO2QS0SW9QVV" localSheetId="12" hidden="1">#REF!</definedName>
    <definedName name="BEx3G201R8NLJ6FIHO2QS0SW9QVV" localSheetId="9" hidden="1">'Customer data'!#REF!</definedName>
    <definedName name="BEx3G201R8NLJ6FIHO2QS0SW9QVV" localSheetId="8" hidden="1">'Largest debtors'!#REF!</definedName>
    <definedName name="BEx3G201R8NLJ6FIHO2QS0SW9QVV" localSheetId="11" hidden="1">#REF!</definedName>
    <definedName name="BEx3G201R8NLJ6FIHO2QS0SW9QVV" localSheetId="6" hidden="1">Stock!#REF!</definedName>
    <definedName name="BEx3G201R8NLJ6FIHO2QS0SW9QVV" hidden="1">#REF!</definedName>
    <definedName name="BEx3GEVV18SEQDI1JGY7EN6D1GT1" localSheetId="7" hidden="1">'Aged debtors'!#REF!</definedName>
    <definedName name="BEx3GEVV18SEQDI1JGY7EN6D1GT1" localSheetId="10" hidden="1">#REF!</definedName>
    <definedName name="BEx3GEVV18SEQDI1JGY7EN6D1GT1" localSheetId="12" hidden="1">#REF!</definedName>
    <definedName name="BEx3GEVV18SEQDI1JGY7EN6D1GT1" localSheetId="9" hidden="1">'Customer data'!#REF!</definedName>
    <definedName name="BEx3GEVV18SEQDI1JGY7EN6D1GT1" localSheetId="8" hidden="1">'Largest debtors'!#REF!</definedName>
    <definedName name="BEx3GEVV18SEQDI1JGY7EN6D1GT1" localSheetId="11" hidden="1">#REF!</definedName>
    <definedName name="BEx3GEVV18SEQDI1JGY7EN6D1GT1" localSheetId="6" hidden="1">Stock!#REF!</definedName>
    <definedName name="BEx3GEVV18SEQDI1JGY7EN6D1GT1" hidden="1">#REF!</definedName>
    <definedName name="BEx3GKFH64MKQX61S7DYTZ15JCPY" localSheetId="7" hidden="1">'Aged debtors'!#REF!</definedName>
    <definedName name="BEx3GKFH64MKQX61S7DYTZ15JCPY" localSheetId="10" hidden="1">#REF!</definedName>
    <definedName name="BEx3GKFH64MKQX61S7DYTZ15JCPY" localSheetId="12" hidden="1">#REF!</definedName>
    <definedName name="BEx3GKFH64MKQX61S7DYTZ15JCPY" localSheetId="9" hidden="1">'Customer data'!#REF!</definedName>
    <definedName name="BEx3GKFH64MKQX61S7DYTZ15JCPY" localSheetId="8" hidden="1">'Largest debtors'!#REF!</definedName>
    <definedName name="BEx3GKFH64MKQX61S7DYTZ15JCPY" localSheetId="11" hidden="1">#REF!</definedName>
    <definedName name="BEx3GKFH64MKQX61S7DYTZ15JCPY" localSheetId="6" hidden="1">Stock!#REF!</definedName>
    <definedName name="BEx3GKFH64MKQX61S7DYTZ15JCPY" hidden="1">#REF!</definedName>
    <definedName name="BEx3GMJ1Y6UU02DLRL0QXCEKDA6C" localSheetId="7" hidden="1">'Aged debtors'!#REF!</definedName>
    <definedName name="BEx3GMJ1Y6UU02DLRL0QXCEKDA6C" localSheetId="10" hidden="1">#REF!</definedName>
    <definedName name="BEx3GMJ1Y6UU02DLRL0QXCEKDA6C" localSheetId="12" hidden="1">#REF!</definedName>
    <definedName name="BEx3GMJ1Y6UU02DLRL0QXCEKDA6C" localSheetId="9" hidden="1">'Customer data'!#REF!</definedName>
    <definedName name="BEx3GMJ1Y6UU02DLRL0QXCEKDA6C" localSheetId="8" hidden="1">'Largest debtors'!#REF!</definedName>
    <definedName name="BEx3GMJ1Y6UU02DLRL0QXCEKDA6C" localSheetId="11" hidden="1">#REF!</definedName>
    <definedName name="BEx3GMJ1Y6UU02DLRL0QXCEKDA6C" localSheetId="6" hidden="1">Stock!#REF!</definedName>
    <definedName name="BEx3GMJ1Y6UU02DLRL0QXCEKDA6C" hidden="1">#REF!</definedName>
    <definedName name="BEx3GN4LY0135CBDIN1TU2UEODGF" localSheetId="7" hidden="1">'Aged debtors'!#REF!</definedName>
    <definedName name="BEx3GN4LY0135CBDIN1TU2UEODGF" localSheetId="10" hidden="1">#REF!</definedName>
    <definedName name="BEx3GN4LY0135CBDIN1TU2UEODGF" localSheetId="12" hidden="1">#REF!</definedName>
    <definedName name="BEx3GN4LY0135CBDIN1TU2UEODGF" localSheetId="9" hidden="1">'Customer data'!#REF!</definedName>
    <definedName name="BEx3GN4LY0135CBDIN1TU2UEODGF" localSheetId="8" hidden="1">'Largest debtors'!#REF!</definedName>
    <definedName name="BEx3GN4LY0135CBDIN1TU2UEODGF" localSheetId="11" hidden="1">#REF!</definedName>
    <definedName name="BEx3GN4LY0135CBDIN1TU2UEODGF" localSheetId="6" hidden="1">Stock!#REF!</definedName>
    <definedName name="BEx3GN4LY0135CBDIN1TU2UEODGF" hidden="1">#REF!</definedName>
    <definedName name="BEx3GPDH2AH4QKT4OOSN563XUHBD" localSheetId="7" hidden="1">'Aged debtors'!#REF!</definedName>
    <definedName name="BEx3GPDH2AH4QKT4OOSN563XUHBD" localSheetId="10" hidden="1">#REF!</definedName>
    <definedName name="BEx3GPDH2AH4QKT4OOSN563XUHBD" localSheetId="12" hidden="1">#REF!</definedName>
    <definedName name="BEx3GPDH2AH4QKT4OOSN563XUHBD" localSheetId="9" hidden="1">'Customer data'!#REF!</definedName>
    <definedName name="BEx3GPDH2AH4QKT4OOSN563XUHBD" localSheetId="8" hidden="1">'Largest debtors'!#REF!</definedName>
    <definedName name="BEx3GPDH2AH4QKT4OOSN563XUHBD" localSheetId="11" hidden="1">#REF!</definedName>
    <definedName name="BEx3GPDH2AH4QKT4OOSN563XUHBD" localSheetId="6" hidden="1">Stock!#REF!</definedName>
    <definedName name="BEx3GPDH2AH4QKT4OOSN563XUHBD" hidden="1">#REF!</definedName>
    <definedName name="BEx3H5UX2GZFZZT657YR76RHW5I6" localSheetId="7" hidden="1">'Aged debtors'!#REF!</definedName>
    <definedName name="BEx3H5UX2GZFZZT657YR76RHW5I6" localSheetId="10" hidden="1">#REF!</definedName>
    <definedName name="BEx3H5UX2GZFZZT657YR76RHW5I6" localSheetId="12" hidden="1">#REF!</definedName>
    <definedName name="BEx3H5UX2GZFZZT657YR76RHW5I6" localSheetId="9" hidden="1">'Customer data'!#REF!</definedName>
    <definedName name="BEx3H5UX2GZFZZT657YR76RHW5I6" localSheetId="8" hidden="1">'Largest debtors'!#REF!</definedName>
    <definedName name="BEx3H5UX2GZFZZT657YR76RHW5I6" localSheetId="11" hidden="1">#REF!</definedName>
    <definedName name="BEx3H5UX2GZFZZT657YR76RHW5I6" localSheetId="6" hidden="1">Stock!#REF!</definedName>
    <definedName name="BEx3H5UX2GZFZZT657YR76RHW5I6" hidden="1">#REF!</definedName>
    <definedName name="BEx3HWJ5SQSD2CVCQNR183X44FR8" localSheetId="7" hidden="1">'Aged debtors'!#REF!</definedName>
    <definedName name="BEx3HWJ5SQSD2CVCQNR183X44FR8" localSheetId="10" hidden="1">#REF!</definedName>
    <definedName name="BEx3HWJ5SQSD2CVCQNR183X44FR8" localSheetId="12" hidden="1">#REF!</definedName>
    <definedName name="BEx3HWJ5SQSD2CVCQNR183X44FR8" localSheetId="9" hidden="1">'Customer data'!#REF!</definedName>
    <definedName name="BEx3HWJ5SQSD2CVCQNR183X44FR8" localSheetId="8" hidden="1">'Largest debtors'!#REF!</definedName>
    <definedName name="BEx3HWJ5SQSD2CVCQNR183X44FR8" localSheetId="11" hidden="1">#REF!</definedName>
    <definedName name="BEx3HWJ5SQSD2CVCQNR183X44FR8" localSheetId="6" hidden="1">Stock!#REF!</definedName>
    <definedName name="BEx3HWJ5SQSD2CVCQNR183X44FR8" hidden="1">#REF!</definedName>
    <definedName name="BEx3I09YVXO0G4X7KGSA4WGORM35" localSheetId="7" hidden="1">'Aged debtors'!#REF!</definedName>
    <definedName name="BEx3I09YVXO0G4X7KGSA4WGORM35" localSheetId="10" hidden="1">#REF!</definedName>
    <definedName name="BEx3I09YVXO0G4X7KGSA4WGORM35" localSheetId="12" hidden="1">#REF!</definedName>
    <definedName name="BEx3I09YVXO0G4X7KGSA4WGORM35" localSheetId="9" hidden="1">'Customer data'!#REF!</definedName>
    <definedName name="BEx3I09YVXO0G4X7KGSA4WGORM35" localSheetId="8" hidden="1">'Largest debtors'!#REF!</definedName>
    <definedName name="BEx3I09YVXO0G4X7KGSA4WGORM35" localSheetId="11" hidden="1">#REF!</definedName>
    <definedName name="BEx3I09YVXO0G4X7KGSA4WGORM35" localSheetId="6" hidden="1">Stock!#REF!</definedName>
    <definedName name="BEx3I09YVXO0G4X7KGSA4WGORM35" hidden="1">#REF!</definedName>
    <definedName name="BEx3ICF1GY8HQEBIU9S43PDJ90BX" localSheetId="7" hidden="1">'Aged debtors'!#REF!</definedName>
    <definedName name="BEx3ICF1GY8HQEBIU9S43PDJ90BX" localSheetId="10" hidden="1">#REF!</definedName>
    <definedName name="BEx3ICF1GY8HQEBIU9S43PDJ90BX" localSheetId="12" hidden="1">#REF!</definedName>
    <definedName name="BEx3ICF1GY8HQEBIU9S43PDJ90BX" localSheetId="9" hidden="1">'Customer data'!#REF!</definedName>
    <definedName name="BEx3ICF1GY8HQEBIU9S43PDJ90BX" localSheetId="8" hidden="1">'Largest debtors'!#REF!</definedName>
    <definedName name="BEx3ICF1GY8HQEBIU9S43PDJ90BX" localSheetId="11" hidden="1">#REF!</definedName>
    <definedName name="BEx3ICF1GY8HQEBIU9S43PDJ90BX" localSheetId="6" hidden="1">Stock!#REF!</definedName>
    <definedName name="BEx3ICF1GY8HQEBIU9S43PDJ90BX" hidden="1">#REF!</definedName>
    <definedName name="BEx3IZXXSYEW50379N2EAFWO8DZV" localSheetId="7" hidden="1">'Aged debtors'!#REF!</definedName>
    <definedName name="BEx3IZXXSYEW50379N2EAFWO8DZV" localSheetId="10" hidden="1">#REF!</definedName>
    <definedName name="BEx3IZXXSYEW50379N2EAFWO8DZV" localSheetId="12" hidden="1">#REF!</definedName>
    <definedName name="BEx3IZXXSYEW50379N2EAFWO8DZV" localSheetId="9" hidden="1">'Customer data'!#REF!</definedName>
    <definedName name="BEx3IZXXSYEW50379N2EAFWO8DZV" localSheetId="8" hidden="1">'Largest debtors'!#REF!</definedName>
    <definedName name="BEx3IZXXSYEW50379N2EAFWO8DZV" localSheetId="11" hidden="1">#REF!</definedName>
    <definedName name="BEx3IZXXSYEW50379N2EAFWO8DZV" localSheetId="6" hidden="1">Stock!#REF!</definedName>
    <definedName name="BEx3IZXXSYEW50379N2EAFWO8DZV" hidden="1">#REF!</definedName>
    <definedName name="BEx3J1VZVGTKT4ATPO9O5JCSFTTR" localSheetId="7" hidden="1">'Aged debtors'!#REF!</definedName>
    <definedName name="BEx3J1VZVGTKT4ATPO9O5JCSFTTR" localSheetId="10" hidden="1">#REF!</definedName>
    <definedName name="BEx3J1VZVGTKT4ATPO9O5JCSFTTR" localSheetId="12" hidden="1">#REF!</definedName>
    <definedName name="BEx3J1VZVGTKT4ATPO9O5JCSFTTR" localSheetId="9" hidden="1">'Customer data'!#REF!</definedName>
    <definedName name="BEx3J1VZVGTKT4ATPO9O5JCSFTTR" localSheetId="8" hidden="1">'Largest debtors'!#REF!</definedName>
    <definedName name="BEx3J1VZVGTKT4ATPO9O5JCSFTTR" localSheetId="11" hidden="1">#REF!</definedName>
    <definedName name="BEx3J1VZVGTKT4ATPO9O5JCSFTTR" localSheetId="6" hidden="1">Stock!#REF!</definedName>
    <definedName name="BEx3J1VZVGTKT4ATPO9O5JCSFTTR" hidden="1">#REF!</definedName>
    <definedName name="BEx3JC2TY7JNAAC3L7QHVPQXLGQ8" localSheetId="7" hidden="1">'Aged debtors'!#REF!</definedName>
    <definedName name="BEx3JC2TY7JNAAC3L7QHVPQXLGQ8" localSheetId="10" hidden="1">#REF!</definedName>
    <definedName name="BEx3JC2TY7JNAAC3L7QHVPQXLGQ8" localSheetId="12" hidden="1">#REF!</definedName>
    <definedName name="BEx3JC2TY7JNAAC3L7QHVPQXLGQ8" localSheetId="9" hidden="1">'Customer data'!#REF!</definedName>
    <definedName name="BEx3JC2TY7JNAAC3L7QHVPQXLGQ8" localSheetId="8" hidden="1">'Largest debtors'!#REF!</definedName>
    <definedName name="BEx3JC2TY7JNAAC3L7QHVPQXLGQ8" localSheetId="11" hidden="1">#REF!</definedName>
    <definedName name="BEx3JC2TY7JNAAC3L7QHVPQXLGQ8" localSheetId="6" hidden="1">Stock!#REF!</definedName>
    <definedName name="BEx3JC2TY7JNAAC3L7QHVPQXLGQ8" hidden="1">#REF!</definedName>
    <definedName name="BEx3JXCXCVBZJGV5VEG9MJEI01AL" localSheetId="7" hidden="1">'Aged debtors'!#REF!</definedName>
    <definedName name="BEx3JXCXCVBZJGV5VEG9MJEI01AL" localSheetId="10" hidden="1">#REF!</definedName>
    <definedName name="BEx3JXCXCVBZJGV5VEG9MJEI01AL" localSheetId="12" hidden="1">#REF!</definedName>
    <definedName name="BEx3JXCXCVBZJGV5VEG9MJEI01AL" localSheetId="9" hidden="1">'Customer data'!#REF!</definedName>
    <definedName name="BEx3JXCXCVBZJGV5VEG9MJEI01AL" localSheetId="8" hidden="1">'Largest debtors'!#REF!</definedName>
    <definedName name="BEx3JXCXCVBZJGV5VEG9MJEI01AL" localSheetId="11" hidden="1">#REF!</definedName>
    <definedName name="BEx3JXCXCVBZJGV5VEG9MJEI01AL" localSheetId="6" hidden="1">Stock!#REF!</definedName>
    <definedName name="BEx3JXCXCVBZJGV5VEG9MJEI01AL" hidden="1">#REF!</definedName>
    <definedName name="BEx3JYK2N7X59TPJSKYZ77ENY8SS" localSheetId="7" hidden="1">'Aged debtors'!#REF!</definedName>
    <definedName name="BEx3JYK2N7X59TPJSKYZ77ENY8SS" localSheetId="10" hidden="1">#REF!</definedName>
    <definedName name="BEx3JYK2N7X59TPJSKYZ77ENY8SS" localSheetId="12" hidden="1">#REF!</definedName>
    <definedName name="BEx3JYK2N7X59TPJSKYZ77ENY8SS" localSheetId="9" hidden="1">'Customer data'!#REF!</definedName>
    <definedName name="BEx3JYK2N7X59TPJSKYZ77ENY8SS" localSheetId="8" hidden="1">'Largest debtors'!#REF!</definedName>
    <definedName name="BEx3JYK2N7X59TPJSKYZ77ENY8SS" localSheetId="11" hidden="1">#REF!</definedName>
    <definedName name="BEx3JYK2N7X59TPJSKYZ77ENY8SS" localSheetId="6" hidden="1">Stock!#REF!</definedName>
    <definedName name="BEx3JYK2N7X59TPJSKYZ77ENY8SS" hidden="1">#REF!</definedName>
    <definedName name="BEx3K4EII7GU1CG0BN7UL15M6J8Z" localSheetId="7" hidden="1">'Aged debtors'!#REF!</definedName>
    <definedName name="BEx3K4EII7GU1CG0BN7UL15M6J8Z" localSheetId="10" hidden="1">#REF!</definedName>
    <definedName name="BEx3K4EII7GU1CG0BN7UL15M6J8Z" localSheetId="12" hidden="1">#REF!</definedName>
    <definedName name="BEx3K4EII7GU1CG0BN7UL15M6J8Z" localSheetId="9" hidden="1">'Customer data'!#REF!</definedName>
    <definedName name="BEx3K4EII7GU1CG0BN7UL15M6J8Z" localSheetId="8" hidden="1">'Largest debtors'!#REF!</definedName>
    <definedName name="BEx3K4EII7GU1CG0BN7UL15M6J8Z" localSheetId="11" hidden="1">#REF!</definedName>
    <definedName name="BEx3K4EII7GU1CG0BN7UL15M6J8Z" localSheetId="6" hidden="1">Stock!#REF!</definedName>
    <definedName name="BEx3K4EII7GU1CG0BN7UL15M6J8Z" hidden="1">#REF!</definedName>
    <definedName name="BEx3KEFXUCVNVPH7KSEGAZYX13B5" localSheetId="7" hidden="1">'Aged debtors'!#REF!</definedName>
    <definedName name="BEx3KEFXUCVNVPH7KSEGAZYX13B5" localSheetId="10" hidden="1">#REF!</definedName>
    <definedName name="BEx3KEFXUCVNVPH7KSEGAZYX13B5" localSheetId="12" hidden="1">#REF!</definedName>
    <definedName name="BEx3KEFXUCVNVPH7KSEGAZYX13B5" localSheetId="9" hidden="1">'Customer data'!#REF!</definedName>
    <definedName name="BEx3KEFXUCVNVPH7KSEGAZYX13B5" localSheetId="8" hidden="1">'Largest debtors'!#REF!</definedName>
    <definedName name="BEx3KEFXUCVNVPH7KSEGAZYX13B5" localSheetId="11" hidden="1">#REF!</definedName>
    <definedName name="BEx3KEFXUCVNVPH7KSEGAZYX13B5" localSheetId="6" hidden="1">Stock!#REF!</definedName>
    <definedName name="BEx3KEFXUCVNVPH7KSEGAZYX13B5" hidden="1">#REF!</definedName>
    <definedName name="BEx3KIXQYOGMPK4WJJAVBRX4NR28" localSheetId="7" hidden="1">'Aged debtors'!#REF!</definedName>
    <definedName name="BEx3KIXQYOGMPK4WJJAVBRX4NR28" localSheetId="10" hidden="1">#REF!</definedName>
    <definedName name="BEx3KIXQYOGMPK4WJJAVBRX4NR28" localSheetId="12" hidden="1">#REF!</definedName>
    <definedName name="BEx3KIXQYOGMPK4WJJAVBRX4NR28" localSheetId="9" hidden="1">'Customer data'!#REF!</definedName>
    <definedName name="BEx3KIXQYOGMPK4WJJAVBRX4NR28" localSheetId="8" hidden="1">'Largest debtors'!#REF!</definedName>
    <definedName name="BEx3KIXQYOGMPK4WJJAVBRX4NR28" localSheetId="11" hidden="1">#REF!</definedName>
    <definedName name="BEx3KIXQYOGMPK4WJJAVBRX4NR28" localSheetId="6" hidden="1">Stock!#REF!</definedName>
    <definedName name="BEx3KIXQYOGMPK4WJJAVBRX4NR28" hidden="1">#REF!</definedName>
    <definedName name="BEx3KJOMVOSFZVJUL3GKCNP6DQDS" localSheetId="7" hidden="1">'Aged debtors'!#REF!</definedName>
    <definedName name="BEx3KJOMVOSFZVJUL3GKCNP6DQDS" localSheetId="10" hidden="1">#REF!</definedName>
    <definedName name="BEx3KJOMVOSFZVJUL3GKCNP6DQDS" localSheetId="12" hidden="1">#REF!</definedName>
    <definedName name="BEx3KJOMVOSFZVJUL3GKCNP6DQDS" localSheetId="9" hidden="1">'Customer data'!#REF!</definedName>
    <definedName name="BEx3KJOMVOSFZVJUL3GKCNP6DQDS" localSheetId="8" hidden="1">'Largest debtors'!#REF!</definedName>
    <definedName name="BEx3KJOMVOSFZVJUL3GKCNP6DQDS" localSheetId="11" hidden="1">#REF!</definedName>
    <definedName name="BEx3KJOMVOSFZVJUL3GKCNP6DQDS" localSheetId="6" hidden="1">Stock!#REF!</definedName>
    <definedName name="BEx3KJOMVOSFZVJUL3GKCNP6DQDS" hidden="1">#REF!</definedName>
    <definedName name="BEx3KP2VRBMORK0QEAZUYCXL3DHJ" localSheetId="7" hidden="1">'Aged debtors'!#REF!</definedName>
    <definedName name="BEx3KP2VRBMORK0QEAZUYCXL3DHJ" localSheetId="10" hidden="1">#REF!</definedName>
    <definedName name="BEx3KP2VRBMORK0QEAZUYCXL3DHJ" localSheetId="12" hidden="1">#REF!</definedName>
    <definedName name="BEx3KP2VRBMORK0QEAZUYCXL3DHJ" localSheetId="9" hidden="1">'Customer data'!#REF!</definedName>
    <definedName name="BEx3KP2VRBMORK0QEAZUYCXL3DHJ" localSheetId="8" hidden="1">'Largest debtors'!#REF!</definedName>
    <definedName name="BEx3KP2VRBMORK0QEAZUYCXL3DHJ" localSheetId="11" hidden="1">#REF!</definedName>
    <definedName name="BEx3KP2VRBMORK0QEAZUYCXL3DHJ" localSheetId="6" hidden="1">Stock!#REF!</definedName>
    <definedName name="BEx3KP2VRBMORK0QEAZUYCXL3DHJ" hidden="1">#REF!</definedName>
    <definedName name="BEx3L4IN3LI4C26SITKTGAH27CDU" localSheetId="7" hidden="1">'Aged debtors'!#REF!</definedName>
    <definedName name="BEx3L4IN3LI4C26SITKTGAH27CDU" localSheetId="10" hidden="1">#REF!</definedName>
    <definedName name="BEx3L4IN3LI4C26SITKTGAH27CDU" localSheetId="12" hidden="1">#REF!</definedName>
    <definedName name="BEx3L4IN3LI4C26SITKTGAH27CDU" localSheetId="9" hidden="1">'Customer data'!#REF!</definedName>
    <definedName name="BEx3L4IN3LI4C26SITKTGAH27CDU" localSheetId="8" hidden="1">'Largest debtors'!#REF!</definedName>
    <definedName name="BEx3L4IN3LI4C26SITKTGAH27CDU" localSheetId="11" hidden="1">#REF!</definedName>
    <definedName name="BEx3L4IN3LI4C26SITKTGAH27CDU" localSheetId="6" hidden="1">Stock!#REF!</definedName>
    <definedName name="BEx3L4IN3LI4C26SITKTGAH27CDU" hidden="1">#REF!</definedName>
    <definedName name="BEx3L4YQ0J7ZU0M5QM6YIPCEYC9K" localSheetId="7" hidden="1">'Aged debtors'!#REF!</definedName>
    <definedName name="BEx3L4YQ0J7ZU0M5QM6YIPCEYC9K" localSheetId="10" hidden="1">#REF!</definedName>
    <definedName name="BEx3L4YQ0J7ZU0M5QM6YIPCEYC9K" localSheetId="12" hidden="1">#REF!</definedName>
    <definedName name="BEx3L4YQ0J7ZU0M5QM6YIPCEYC9K" localSheetId="9" hidden="1">'Customer data'!#REF!</definedName>
    <definedName name="BEx3L4YQ0J7ZU0M5QM6YIPCEYC9K" localSheetId="8" hidden="1">'Largest debtors'!#REF!</definedName>
    <definedName name="BEx3L4YQ0J7ZU0M5QM6YIPCEYC9K" localSheetId="11" hidden="1">#REF!</definedName>
    <definedName name="BEx3L4YQ0J7ZU0M5QM6YIPCEYC9K" localSheetId="6" hidden="1">Stock!#REF!</definedName>
    <definedName name="BEx3L4YQ0J7ZU0M5QM6YIPCEYC9K" hidden="1">#REF!</definedName>
    <definedName name="BEx3L60DJOR7NQN42G7YSAODP1EX" localSheetId="7" hidden="1">'Aged debtors'!#REF!</definedName>
    <definedName name="BEx3L60DJOR7NQN42G7YSAODP1EX" localSheetId="10" hidden="1">#REF!</definedName>
    <definedName name="BEx3L60DJOR7NQN42G7YSAODP1EX" localSheetId="12" hidden="1">#REF!</definedName>
    <definedName name="BEx3L60DJOR7NQN42G7YSAODP1EX" localSheetId="9" hidden="1">'Customer data'!#REF!</definedName>
    <definedName name="BEx3L60DJOR7NQN42G7YSAODP1EX" localSheetId="8" hidden="1">'Largest debtors'!#REF!</definedName>
    <definedName name="BEx3L60DJOR7NQN42G7YSAODP1EX" localSheetId="11" hidden="1">#REF!</definedName>
    <definedName name="BEx3L60DJOR7NQN42G7YSAODP1EX" localSheetId="6" hidden="1">Stock!#REF!</definedName>
    <definedName name="BEx3L60DJOR7NQN42G7YSAODP1EX" hidden="1">#REF!</definedName>
    <definedName name="BEx3L7D0PI38HWZ7VADU16C9E33D" localSheetId="7" hidden="1">'Aged debtors'!#REF!</definedName>
    <definedName name="BEx3L7D0PI38HWZ7VADU16C9E33D" localSheetId="10" hidden="1">#REF!</definedName>
    <definedName name="BEx3L7D0PI38HWZ7VADU16C9E33D" localSheetId="12" hidden="1">#REF!</definedName>
    <definedName name="BEx3L7D0PI38HWZ7VADU16C9E33D" localSheetId="9" hidden="1">'Customer data'!#REF!</definedName>
    <definedName name="BEx3L7D0PI38HWZ7VADU16C9E33D" localSheetId="8" hidden="1">'Largest debtors'!#REF!</definedName>
    <definedName name="BEx3L7D0PI38HWZ7VADU16C9E33D" localSheetId="11" hidden="1">#REF!</definedName>
    <definedName name="BEx3L7D0PI38HWZ7VADU16C9E33D" localSheetId="6" hidden="1">Stock!#REF!</definedName>
    <definedName name="BEx3L7D0PI38HWZ7VADU16C9E33D" hidden="1">#REF!</definedName>
    <definedName name="BEx3LM1PR4Y7KINKMTMKR984GX8Q" localSheetId="7" hidden="1">'Aged debtors'!#REF!</definedName>
    <definedName name="BEx3LM1PR4Y7KINKMTMKR984GX8Q" localSheetId="10" hidden="1">#REF!</definedName>
    <definedName name="BEx3LM1PR4Y7KINKMTMKR984GX8Q" localSheetId="12" hidden="1">#REF!</definedName>
    <definedName name="BEx3LM1PR4Y7KINKMTMKR984GX8Q" localSheetId="9" hidden="1">'Customer data'!#REF!</definedName>
    <definedName name="BEx3LM1PR4Y7KINKMTMKR984GX8Q" localSheetId="8" hidden="1">'Largest debtors'!#REF!</definedName>
    <definedName name="BEx3LM1PR4Y7KINKMTMKR984GX8Q" localSheetId="11" hidden="1">#REF!</definedName>
    <definedName name="BEx3LM1PR4Y7KINKMTMKR984GX8Q" localSheetId="6" hidden="1">Stock!#REF!</definedName>
    <definedName name="BEx3LM1PR4Y7KINKMTMKR984GX8Q" hidden="1">#REF!</definedName>
    <definedName name="BEx3LPCEZ1C0XEKNCM3YT09JWCUO" localSheetId="7" hidden="1">'Aged debtors'!#REF!</definedName>
    <definedName name="BEx3LPCEZ1C0XEKNCM3YT09JWCUO" localSheetId="10" hidden="1">#REF!</definedName>
    <definedName name="BEx3LPCEZ1C0XEKNCM3YT09JWCUO" localSheetId="12" hidden="1">#REF!</definedName>
    <definedName name="BEx3LPCEZ1C0XEKNCM3YT09JWCUO" localSheetId="9" hidden="1">'Customer data'!#REF!</definedName>
    <definedName name="BEx3LPCEZ1C0XEKNCM3YT09JWCUO" localSheetId="8" hidden="1">'Largest debtors'!#REF!</definedName>
    <definedName name="BEx3LPCEZ1C0XEKNCM3YT09JWCUO" localSheetId="11" hidden="1">#REF!</definedName>
    <definedName name="BEx3LPCEZ1C0XEKNCM3YT09JWCUO" localSheetId="6" hidden="1">Stock!#REF!</definedName>
    <definedName name="BEx3LPCEZ1C0XEKNCM3YT09JWCUO" hidden="1">#REF!</definedName>
    <definedName name="BEx3M1MR1K1NQD03H74BFWOK4MWQ" localSheetId="7" hidden="1">'Aged debtors'!#REF!</definedName>
    <definedName name="BEx3M1MR1K1NQD03H74BFWOK4MWQ" localSheetId="10" hidden="1">#REF!</definedName>
    <definedName name="BEx3M1MR1K1NQD03H74BFWOK4MWQ" localSheetId="12" hidden="1">#REF!</definedName>
    <definedName name="BEx3M1MR1K1NQD03H74BFWOK4MWQ" localSheetId="9" hidden="1">'Customer data'!#REF!</definedName>
    <definedName name="BEx3M1MR1K1NQD03H74BFWOK4MWQ" localSheetId="8" hidden="1">'Largest debtors'!#REF!</definedName>
    <definedName name="BEx3M1MR1K1NQD03H74BFWOK4MWQ" localSheetId="11" hidden="1">#REF!</definedName>
    <definedName name="BEx3M1MR1K1NQD03H74BFWOK4MWQ" localSheetId="6" hidden="1">Stock!#REF!</definedName>
    <definedName name="BEx3M1MR1K1NQD03H74BFWOK4MWQ" hidden="1">#REF!</definedName>
    <definedName name="BEx3M4H77MYUKOOD31H9F80NMVK8" localSheetId="7" hidden="1">'Aged debtors'!#REF!</definedName>
    <definedName name="BEx3M4H77MYUKOOD31H9F80NMVK8" localSheetId="10" hidden="1">#REF!</definedName>
    <definedName name="BEx3M4H77MYUKOOD31H9F80NMVK8" localSheetId="12" hidden="1">#REF!</definedName>
    <definedName name="BEx3M4H77MYUKOOD31H9F80NMVK8" localSheetId="9" hidden="1">'Customer data'!#REF!</definedName>
    <definedName name="BEx3M4H77MYUKOOD31H9F80NMVK8" localSheetId="8" hidden="1">'Largest debtors'!#REF!</definedName>
    <definedName name="BEx3M4H77MYUKOOD31H9F80NMVK8" localSheetId="11" hidden="1">#REF!</definedName>
    <definedName name="BEx3M4H77MYUKOOD31H9F80NMVK8" localSheetId="6" hidden="1">Stock!#REF!</definedName>
    <definedName name="BEx3M4H77MYUKOOD31H9F80NMVK8" hidden="1">#REF!</definedName>
    <definedName name="BEx3M9VFX329PZWYC4DMZ6P3W9R2" localSheetId="7" hidden="1">'Aged debtors'!#REF!</definedName>
    <definedName name="BEx3M9VFX329PZWYC4DMZ6P3W9R2" localSheetId="10" hidden="1">#REF!</definedName>
    <definedName name="BEx3M9VFX329PZWYC4DMZ6P3W9R2" localSheetId="12" hidden="1">#REF!</definedName>
    <definedName name="BEx3M9VFX329PZWYC4DMZ6P3W9R2" localSheetId="9" hidden="1">'Customer data'!#REF!</definedName>
    <definedName name="BEx3M9VFX329PZWYC4DMZ6P3W9R2" localSheetId="8" hidden="1">'Largest debtors'!#REF!</definedName>
    <definedName name="BEx3M9VFX329PZWYC4DMZ6P3W9R2" localSheetId="11" hidden="1">#REF!</definedName>
    <definedName name="BEx3M9VFX329PZWYC4DMZ6P3W9R2" localSheetId="6" hidden="1">Stock!#REF!</definedName>
    <definedName name="BEx3M9VFX329PZWYC4DMZ6P3W9R2" hidden="1">#REF!</definedName>
    <definedName name="BEx3MREOFWJQEYMCMBL7ZE06NBN6" localSheetId="7" hidden="1">'Aged debtors'!#REF!</definedName>
    <definedName name="BEx3MREOFWJQEYMCMBL7ZE06NBN6" localSheetId="10" hidden="1">#REF!</definedName>
    <definedName name="BEx3MREOFWJQEYMCMBL7ZE06NBN6" localSheetId="12" hidden="1">#REF!</definedName>
    <definedName name="BEx3MREOFWJQEYMCMBL7ZE06NBN6" localSheetId="9" hidden="1">'Customer data'!#REF!</definedName>
    <definedName name="BEx3MREOFWJQEYMCMBL7ZE06NBN6" localSheetId="8" hidden="1">'Largest debtors'!#REF!</definedName>
    <definedName name="BEx3MREOFWJQEYMCMBL7ZE06NBN6" localSheetId="11" hidden="1">#REF!</definedName>
    <definedName name="BEx3MREOFWJQEYMCMBL7ZE06NBN6" localSheetId="6" hidden="1">Stock!#REF!</definedName>
    <definedName name="BEx3MREOFWJQEYMCMBL7ZE06NBN6" hidden="1">#REF!</definedName>
    <definedName name="BEx3NMQ4BVC94728AUM7CCX7UHTU" localSheetId="7" hidden="1">'Aged debtors'!#REF!</definedName>
    <definedName name="BEx3NMQ4BVC94728AUM7CCX7UHTU" localSheetId="10" hidden="1">#REF!</definedName>
    <definedName name="BEx3NMQ4BVC94728AUM7CCX7UHTU" localSheetId="12" hidden="1">#REF!</definedName>
    <definedName name="BEx3NMQ4BVC94728AUM7CCX7UHTU" localSheetId="9" hidden="1">'Customer data'!#REF!</definedName>
    <definedName name="BEx3NMQ4BVC94728AUM7CCX7UHTU" localSheetId="8" hidden="1">'Largest debtors'!#REF!</definedName>
    <definedName name="BEx3NMQ4BVC94728AUM7CCX7UHTU" localSheetId="11" hidden="1">#REF!</definedName>
    <definedName name="BEx3NMQ4BVC94728AUM7CCX7UHTU" localSheetId="6" hidden="1">Stock!#REF!</definedName>
    <definedName name="BEx3NMQ4BVC94728AUM7CCX7UHTU" hidden="1">#REF!</definedName>
    <definedName name="BEx3NR2I4OUFP3Z2QZEDU2PIFIDI" localSheetId="7" hidden="1">'Aged debtors'!#REF!</definedName>
    <definedName name="BEx3NR2I4OUFP3Z2QZEDU2PIFIDI" localSheetId="10" hidden="1">#REF!</definedName>
    <definedName name="BEx3NR2I4OUFP3Z2QZEDU2PIFIDI" localSheetId="12" hidden="1">#REF!</definedName>
    <definedName name="BEx3NR2I4OUFP3Z2QZEDU2PIFIDI" localSheetId="9" hidden="1">'Customer data'!#REF!</definedName>
    <definedName name="BEx3NR2I4OUFP3Z2QZEDU2PIFIDI" localSheetId="8" hidden="1">'Largest debtors'!#REF!</definedName>
    <definedName name="BEx3NR2I4OUFP3Z2QZEDU2PIFIDI" localSheetId="11" hidden="1">#REF!</definedName>
    <definedName name="BEx3NR2I4OUFP3Z2QZEDU2PIFIDI" localSheetId="6" hidden="1">Stock!#REF!</definedName>
    <definedName name="BEx3NR2I4OUFP3Z2QZEDU2PIFIDI" hidden="1">#REF!</definedName>
    <definedName name="BEx3O19B8FTTAPVT5DZXQGQXWFR8" localSheetId="7" hidden="1">'Aged debtors'!#REF!</definedName>
    <definedName name="BEx3O19B8FTTAPVT5DZXQGQXWFR8" localSheetId="10" hidden="1">#REF!</definedName>
    <definedName name="BEx3O19B8FTTAPVT5DZXQGQXWFR8" localSheetId="12" hidden="1">#REF!</definedName>
    <definedName name="BEx3O19B8FTTAPVT5DZXQGQXWFR8" localSheetId="9" hidden="1">'Customer data'!#REF!</definedName>
    <definedName name="BEx3O19B8FTTAPVT5DZXQGQXWFR8" localSheetId="8" hidden="1">'Largest debtors'!#REF!</definedName>
    <definedName name="BEx3O19B8FTTAPVT5DZXQGQXWFR8" localSheetId="11" hidden="1">#REF!</definedName>
    <definedName name="BEx3O19B8FTTAPVT5DZXQGQXWFR8" localSheetId="6" hidden="1">Stock!#REF!</definedName>
    <definedName name="BEx3O19B8FTTAPVT5DZXQGQXWFR8" hidden="1">#REF!</definedName>
    <definedName name="BEx3O85IKWARA6NCJOLRBRJFMEWW" localSheetId="7" hidden="1">'Aged debtors'!#REF!</definedName>
    <definedName name="BEx3O85IKWARA6NCJOLRBRJFMEWW" localSheetId="10" hidden="1">#REF!</definedName>
    <definedName name="BEx3O85IKWARA6NCJOLRBRJFMEWW" localSheetId="12" hidden="1">#REF!</definedName>
    <definedName name="BEx3O85IKWARA6NCJOLRBRJFMEWW" localSheetId="9" hidden="1">'Customer data'!#REF!</definedName>
    <definedName name="BEx3O85IKWARA6NCJOLRBRJFMEWW" localSheetId="8" hidden="1">'Largest debtors'!#REF!</definedName>
    <definedName name="BEx3O85IKWARA6NCJOLRBRJFMEWW" localSheetId="11" hidden="1">#REF!</definedName>
    <definedName name="BEx3O85IKWARA6NCJOLRBRJFMEWW" localSheetId="6" hidden="1">Stock!#REF!</definedName>
    <definedName name="BEx3O85IKWARA6NCJOLRBRJFMEWW" hidden="1">#REF!</definedName>
    <definedName name="BEx3OV8BH6PYNZT7C246LOAU9SVX" localSheetId="7" hidden="1">'Aged debtors'!#REF!</definedName>
    <definedName name="BEx3OV8BH6PYNZT7C246LOAU9SVX" localSheetId="10" hidden="1">#REF!</definedName>
    <definedName name="BEx3OV8BH6PYNZT7C246LOAU9SVX" localSheetId="12" hidden="1">#REF!</definedName>
    <definedName name="BEx3OV8BH6PYNZT7C246LOAU9SVX" localSheetId="9" hidden="1">'Customer data'!#REF!</definedName>
    <definedName name="BEx3OV8BH6PYNZT7C246LOAU9SVX" localSheetId="8" hidden="1">'Largest debtors'!#REF!</definedName>
    <definedName name="BEx3OV8BH6PYNZT7C246LOAU9SVX" localSheetId="11" hidden="1">#REF!</definedName>
    <definedName name="BEx3OV8BH6PYNZT7C246LOAU9SVX" localSheetId="6" hidden="1">Stock!#REF!</definedName>
    <definedName name="BEx3OV8BH6PYNZT7C246LOAU9SVX" hidden="1">#REF!</definedName>
    <definedName name="BEx3P59TTRSGQY888P5C1O7M2PQT" localSheetId="7" hidden="1">'Aged debtors'!#REF!</definedName>
    <definedName name="BEx3P59TTRSGQY888P5C1O7M2PQT" localSheetId="10" hidden="1">#REF!</definedName>
    <definedName name="BEx3P59TTRSGQY888P5C1O7M2PQT" localSheetId="12" hidden="1">#REF!</definedName>
    <definedName name="BEx3P59TTRSGQY888P5C1O7M2PQT" localSheetId="9" hidden="1">'Customer data'!#REF!</definedName>
    <definedName name="BEx3P59TTRSGQY888P5C1O7M2PQT" localSheetId="8" hidden="1">'Largest debtors'!#REF!</definedName>
    <definedName name="BEx3P59TTRSGQY888P5C1O7M2PQT" localSheetId="11" hidden="1">#REF!</definedName>
    <definedName name="BEx3P59TTRSGQY888P5C1O7M2PQT" localSheetId="6" hidden="1">Stock!#REF!</definedName>
    <definedName name="BEx3P59TTRSGQY888P5C1O7M2PQT" hidden="1">#REF!</definedName>
    <definedName name="BEx3PDT8GNPWLLN02IH1XPV90XYK" localSheetId="7" hidden="1">'Aged debtors'!#REF!</definedName>
    <definedName name="BEx3PDT8GNPWLLN02IH1XPV90XYK" localSheetId="10" hidden="1">#REF!</definedName>
    <definedName name="BEx3PDT8GNPWLLN02IH1XPV90XYK" localSheetId="12" hidden="1">#REF!</definedName>
    <definedName name="BEx3PDT8GNPWLLN02IH1XPV90XYK" localSheetId="9" hidden="1">'Customer data'!#REF!</definedName>
    <definedName name="BEx3PDT8GNPWLLN02IH1XPV90XYK" localSheetId="8" hidden="1">'Largest debtors'!#REF!</definedName>
    <definedName name="BEx3PDT8GNPWLLN02IH1XPV90XYK" localSheetId="11" hidden="1">#REF!</definedName>
    <definedName name="BEx3PDT8GNPWLLN02IH1XPV90XYK" localSheetId="6" hidden="1">Stock!#REF!</definedName>
    <definedName name="BEx3PDT8GNPWLLN02IH1XPV90XYK" hidden="1">#REF!</definedName>
    <definedName name="BEx3PKEMDW8KZEP11IL927C5O7I2" localSheetId="7" hidden="1">'Aged debtors'!#REF!</definedName>
    <definedName name="BEx3PKEMDW8KZEP11IL927C5O7I2" localSheetId="10" hidden="1">#REF!</definedName>
    <definedName name="BEx3PKEMDW8KZEP11IL927C5O7I2" localSheetId="12" hidden="1">#REF!</definedName>
    <definedName name="BEx3PKEMDW8KZEP11IL927C5O7I2" localSheetId="9" hidden="1">'Customer data'!#REF!</definedName>
    <definedName name="BEx3PKEMDW8KZEP11IL927C5O7I2" localSheetId="8" hidden="1">'Largest debtors'!#REF!</definedName>
    <definedName name="BEx3PKEMDW8KZEP11IL927C5O7I2" localSheetId="11" hidden="1">#REF!</definedName>
    <definedName name="BEx3PKEMDW8KZEP11IL927C5O7I2" localSheetId="6" hidden="1">Stock!#REF!</definedName>
    <definedName name="BEx3PKEMDW8KZEP11IL927C5O7I2" hidden="1">#REF!</definedName>
    <definedName name="BEx3PMNG53Z5HY138H99QOMTX8W3" localSheetId="7" hidden="1">'Aged debtors'!#REF!</definedName>
    <definedName name="BEx3PMNG53Z5HY138H99QOMTX8W3" localSheetId="10" hidden="1">#REF!</definedName>
    <definedName name="BEx3PMNG53Z5HY138H99QOMTX8W3" localSheetId="12" hidden="1">#REF!</definedName>
    <definedName name="BEx3PMNG53Z5HY138H99QOMTX8W3" localSheetId="9" hidden="1">'Customer data'!#REF!</definedName>
    <definedName name="BEx3PMNG53Z5HY138H99QOMTX8W3" localSheetId="8" hidden="1">'Largest debtors'!#REF!</definedName>
    <definedName name="BEx3PMNG53Z5HY138H99QOMTX8W3" localSheetId="11" hidden="1">#REF!</definedName>
    <definedName name="BEx3PMNG53Z5HY138H99QOMTX8W3" localSheetId="6" hidden="1">Stock!#REF!</definedName>
    <definedName name="BEx3PMNG53Z5HY138H99QOMTX8W3" hidden="1">#REF!</definedName>
    <definedName name="BEx3PP1RRSFZ8UC0JC9R91W6LNKW" localSheetId="7" hidden="1">'Aged debtors'!#REF!</definedName>
    <definedName name="BEx3PP1RRSFZ8UC0JC9R91W6LNKW" localSheetId="10" hidden="1">#REF!</definedName>
    <definedName name="BEx3PP1RRSFZ8UC0JC9R91W6LNKW" localSheetId="12" hidden="1">#REF!</definedName>
    <definedName name="BEx3PP1RRSFZ8UC0JC9R91W6LNKW" localSheetId="9" hidden="1">'Customer data'!#REF!</definedName>
    <definedName name="BEx3PP1RRSFZ8UC0JC9R91W6LNKW" localSheetId="8" hidden="1">'Largest debtors'!#REF!</definedName>
    <definedName name="BEx3PP1RRSFZ8UC0JC9R91W6LNKW" localSheetId="11" hidden="1">#REF!</definedName>
    <definedName name="BEx3PP1RRSFZ8UC0JC9R91W6LNKW" localSheetId="6" hidden="1">Stock!#REF!</definedName>
    <definedName name="BEx3PP1RRSFZ8UC0JC9R91W6LNKW" hidden="1">#REF!</definedName>
    <definedName name="BEx3PVXYZC8WB9ZJE7OCKUXZ46EA" localSheetId="7" hidden="1">'Aged debtors'!#REF!</definedName>
    <definedName name="BEx3PVXYZC8WB9ZJE7OCKUXZ46EA" localSheetId="10" hidden="1">#REF!</definedName>
    <definedName name="BEx3PVXYZC8WB9ZJE7OCKUXZ46EA" localSheetId="12" hidden="1">#REF!</definedName>
    <definedName name="BEx3PVXYZC8WB9ZJE7OCKUXZ46EA" localSheetId="9" hidden="1">'Customer data'!#REF!</definedName>
    <definedName name="BEx3PVXYZC8WB9ZJE7OCKUXZ46EA" localSheetId="8" hidden="1">'Largest debtors'!#REF!</definedName>
    <definedName name="BEx3PVXYZC8WB9ZJE7OCKUXZ46EA" localSheetId="11" hidden="1">#REF!</definedName>
    <definedName name="BEx3PVXYZC8WB9ZJE7OCKUXZ46EA" localSheetId="6" hidden="1">Stock!#REF!</definedName>
    <definedName name="BEx3PVXYZC8WB9ZJE7OCKUXZ46EA" hidden="1">#REF!</definedName>
    <definedName name="BEx3Q0VWPU5EQECK7MQ47TYJ3SWW" localSheetId="7" hidden="1">'Aged debtors'!#REF!</definedName>
    <definedName name="BEx3Q0VWPU5EQECK7MQ47TYJ3SWW" localSheetId="10" hidden="1">#REF!</definedName>
    <definedName name="BEx3Q0VWPU5EQECK7MQ47TYJ3SWW" localSheetId="12" hidden="1">#REF!</definedName>
    <definedName name="BEx3Q0VWPU5EQECK7MQ47TYJ3SWW" localSheetId="9" hidden="1">'Customer data'!#REF!</definedName>
    <definedName name="BEx3Q0VWPU5EQECK7MQ47TYJ3SWW" localSheetId="8" hidden="1">'Largest debtors'!#REF!</definedName>
    <definedName name="BEx3Q0VWPU5EQECK7MQ47TYJ3SWW" localSheetId="11" hidden="1">#REF!</definedName>
    <definedName name="BEx3Q0VWPU5EQECK7MQ47TYJ3SWW" localSheetId="6" hidden="1">Stock!#REF!</definedName>
    <definedName name="BEx3Q0VWPU5EQECK7MQ47TYJ3SWW" hidden="1">#REF!</definedName>
    <definedName name="BEx3Q7BZ9PUXK2RLIOFSIS9AHU1B" localSheetId="7" hidden="1">'Aged debtors'!#REF!</definedName>
    <definedName name="BEx3Q7BZ9PUXK2RLIOFSIS9AHU1B" localSheetId="10" hidden="1">#REF!</definedName>
    <definedName name="BEx3Q7BZ9PUXK2RLIOFSIS9AHU1B" localSheetId="12" hidden="1">#REF!</definedName>
    <definedName name="BEx3Q7BZ9PUXK2RLIOFSIS9AHU1B" localSheetId="9" hidden="1">'Customer data'!#REF!</definedName>
    <definedName name="BEx3Q7BZ9PUXK2RLIOFSIS9AHU1B" localSheetId="8" hidden="1">'Largest debtors'!#REF!</definedName>
    <definedName name="BEx3Q7BZ9PUXK2RLIOFSIS9AHU1B" localSheetId="11" hidden="1">#REF!</definedName>
    <definedName name="BEx3Q7BZ9PUXK2RLIOFSIS9AHU1B" localSheetId="6" hidden="1">Stock!#REF!</definedName>
    <definedName name="BEx3Q7BZ9PUXK2RLIOFSIS9AHU1B" hidden="1">#REF!</definedName>
    <definedName name="BEx3QEDFOYFY5NBTININ5W4RLD4Q" localSheetId="7" hidden="1">'Aged debtors'!#REF!</definedName>
    <definedName name="BEx3QEDFOYFY5NBTININ5W4RLD4Q" localSheetId="10" hidden="1">#REF!</definedName>
    <definedName name="BEx3QEDFOYFY5NBTININ5W4RLD4Q" localSheetId="12" hidden="1">#REF!</definedName>
    <definedName name="BEx3QEDFOYFY5NBTININ5W4RLD4Q" localSheetId="9" hidden="1">'Customer data'!#REF!</definedName>
    <definedName name="BEx3QEDFOYFY5NBTININ5W4RLD4Q" localSheetId="8" hidden="1">'Largest debtors'!#REF!</definedName>
    <definedName name="BEx3QEDFOYFY5NBTININ5W4RLD4Q" localSheetId="11" hidden="1">#REF!</definedName>
    <definedName name="BEx3QEDFOYFY5NBTININ5W4RLD4Q" localSheetId="6" hidden="1">Stock!#REF!</definedName>
    <definedName name="BEx3QEDFOYFY5NBTININ5W4RLD4Q" hidden="1">#REF!</definedName>
    <definedName name="BEx3QR9D45DHW50VQ7Y3Q1AXPOB9" localSheetId="7" hidden="1">'Aged debtors'!#REF!</definedName>
    <definedName name="BEx3QR9D45DHW50VQ7Y3Q1AXPOB9" localSheetId="10" hidden="1">#REF!</definedName>
    <definedName name="BEx3QR9D45DHW50VQ7Y3Q1AXPOB9" localSheetId="12" hidden="1">#REF!</definedName>
    <definedName name="BEx3QR9D45DHW50VQ7Y3Q1AXPOB9" localSheetId="9" hidden="1">'Customer data'!#REF!</definedName>
    <definedName name="BEx3QR9D45DHW50VQ7Y3Q1AXPOB9" localSheetId="8" hidden="1">'Largest debtors'!#REF!</definedName>
    <definedName name="BEx3QR9D45DHW50VQ7Y3Q1AXPOB9" localSheetId="11" hidden="1">#REF!</definedName>
    <definedName name="BEx3QR9D45DHW50VQ7Y3Q1AXPOB9" localSheetId="6" hidden="1">Stock!#REF!</definedName>
    <definedName name="BEx3QR9D45DHW50VQ7Y3Q1AXPOB9" hidden="1">#REF!</definedName>
    <definedName name="BEx3QVGG7Q2X4HZHJAM35A8T3VR7" localSheetId="7" hidden="1">'Aged debtors'!#REF!</definedName>
    <definedName name="BEx3QVGG7Q2X4HZHJAM35A8T3VR7" localSheetId="10" hidden="1">#REF!</definedName>
    <definedName name="BEx3QVGG7Q2X4HZHJAM35A8T3VR7" localSheetId="12" hidden="1">#REF!</definedName>
    <definedName name="BEx3QVGG7Q2X4HZHJAM35A8T3VR7" localSheetId="9" hidden="1">'Customer data'!#REF!</definedName>
    <definedName name="BEx3QVGG7Q2X4HZHJAM35A8T3VR7" localSheetId="8" hidden="1">'Largest debtors'!#REF!</definedName>
    <definedName name="BEx3QVGG7Q2X4HZHJAM35A8T3VR7" localSheetId="11" hidden="1">#REF!</definedName>
    <definedName name="BEx3QVGG7Q2X4HZHJAM35A8T3VR7" localSheetId="6" hidden="1">Stock!#REF!</definedName>
    <definedName name="BEx3QVGG7Q2X4HZHJAM35A8T3VR7" hidden="1">#REF!</definedName>
    <definedName name="BEx3R0JUB9YN8PHPPQTAMIT1IHWK" localSheetId="7" hidden="1">'Aged debtors'!#REF!</definedName>
    <definedName name="BEx3R0JUB9YN8PHPPQTAMIT1IHWK" localSheetId="10" hidden="1">#REF!</definedName>
    <definedName name="BEx3R0JUB9YN8PHPPQTAMIT1IHWK" localSheetId="12" hidden="1">#REF!</definedName>
    <definedName name="BEx3R0JUB9YN8PHPPQTAMIT1IHWK" localSheetId="9" hidden="1">'Customer data'!#REF!</definedName>
    <definedName name="BEx3R0JUB9YN8PHPPQTAMIT1IHWK" localSheetId="8" hidden="1">'Largest debtors'!#REF!</definedName>
    <definedName name="BEx3R0JUB9YN8PHPPQTAMIT1IHWK" localSheetId="11" hidden="1">#REF!</definedName>
    <definedName name="BEx3R0JUB9YN8PHPPQTAMIT1IHWK" localSheetId="6" hidden="1">Stock!#REF!</definedName>
    <definedName name="BEx3R0JUB9YN8PHPPQTAMIT1IHWK" hidden="1">#REF!</definedName>
    <definedName name="BEx3R81NFRO7M81VHVKOBFT0QBIL" localSheetId="7" hidden="1">'Aged debtors'!#REF!</definedName>
    <definedName name="BEx3R81NFRO7M81VHVKOBFT0QBIL" localSheetId="10" hidden="1">#REF!</definedName>
    <definedName name="BEx3R81NFRO7M81VHVKOBFT0QBIL" localSheetId="12" hidden="1">#REF!</definedName>
    <definedName name="BEx3R81NFRO7M81VHVKOBFT0QBIL" localSheetId="9" hidden="1">'Customer data'!#REF!</definedName>
    <definedName name="BEx3R81NFRO7M81VHVKOBFT0QBIL" localSheetId="8" hidden="1">'Largest debtors'!#REF!</definedName>
    <definedName name="BEx3R81NFRO7M81VHVKOBFT0QBIL" localSheetId="11" hidden="1">#REF!</definedName>
    <definedName name="BEx3R81NFRO7M81VHVKOBFT0QBIL" localSheetId="6" hidden="1">Stock!#REF!</definedName>
    <definedName name="BEx3R81NFRO7M81VHVKOBFT0QBIL" hidden="1">#REF!</definedName>
    <definedName name="BEx3RHC2ZD5UFS6QD4OPFCNNMWH1" localSheetId="7" hidden="1">'Aged debtors'!#REF!</definedName>
    <definedName name="BEx3RHC2ZD5UFS6QD4OPFCNNMWH1" localSheetId="10" hidden="1">#REF!</definedName>
    <definedName name="BEx3RHC2ZD5UFS6QD4OPFCNNMWH1" localSheetId="12" hidden="1">#REF!</definedName>
    <definedName name="BEx3RHC2ZD5UFS6QD4OPFCNNMWH1" localSheetId="9" hidden="1">'Customer data'!#REF!</definedName>
    <definedName name="BEx3RHC2ZD5UFS6QD4OPFCNNMWH1" localSheetId="8" hidden="1">'Largest debtors'!#REF!</definedName>
    <definedName name="BEx3RHC2ZD5UFS6QD4OPFCNNMWH1" localSheetId="11" hidden="1">#REF!</definedName>
    <definedName name="BEx3RHC2ZD5UFS6QD4OPFCNNMWH1" localSheetId="6" hidden="1">Stock!#REF!</definedName>
    <definedName name="BEx3RHC2ZD5UFS6QD4OPFCNNMWH1" hidden="1">#REF!</definedName>
    <definedName name="BEx3RQ10QIWBAPHALAA91BUUCM2X" localSheetId="7" hidden="1">'Aged debtors'!#REF!</definedName>
    <definedName name="BEx3RQ10QIWBAPHALAA91BUUCM2X" localSheetId="10" hidden="1">#REF!</definedName>
    <definedName name="BEx3RQ10QIWBAPHALAA91BUUCM2X" localSheetId="12" hidden="1">#REF!</definedName>
    <definedName name="BEx3RQ10QIWBAPHALAA91BUUCM2X" localSheetId="9" hidden="1">'Customer data'!#REF!</definedName>
    <definedName name="BEx3RQ10QIWBAPHALAA91BUUCM2X" localSheetId="8" hidden="1">'Largest debtors'!#REF!</definedName>
    <definedName name="BEx3RQ10QIWBAPHALAA91BUUCM2X" localSheetId="11" hidden="1">#REF!</definedName>
    <definedName name="BEx3RQ10QIWBAPHALAA91BUUCM2X" localSheetId="6" hidden="1">Stock!#REF!</definedName>
    <definedName name="BEx3RQ10QIWBAPHALAA91BUUCM2X" hidden="1">#REF!</definedName>
    <definedName name="BEx3RV4E1WT43SZBUN09RTB8EK1O" localSheetId="7" hidden="1">'Aged debtors'!#REF!</definedName>
    <definedName name="BEx3RV4E1WT43SZBUN09RTB8EK1O" localSheetId="10" hidden="1">#REF!</definedName>
    <definedName name="BEx3RV4E1WT43SZBUN09RTB8EK1O" localSheetId="12" hidden="1">#REF!</definedName>
    <definedName name="BEx3RV4E1WT43SZBUN09RTB8EK1O" localSheetId="9" hidden="1">'Customer data'!#REF!</definedName>
    <definedName name="BEx3RV4E1WT43SZBUN09RTB8EK1O" localSheetId="8" hidden="1">'Largest debtors'!#REF!</definedName>
    <definedName name="BEx3RV4E1WT43SZBUN09RTB8EK1O" localSheetId="11" hidden="1">#REF!</definedName>
    <definedName name="BEx3RV4E1WT43SZBUN09RTB8EK1O" localSheetId="6" hidden="1">Stock!#REF!</definedName>
    <definedName name="BEx3RV4E1WT43SZBUN09RTB8EK1O" hidden="1">#REF!</definedName>
    <definedName name="BEx3RXYU0QLFXSFTM5EB20GD03W5" localSheetId="7" hidden="1">'Aged debtors'!#REF!</definedName>
    <definedName name="BEx3RXYU0QLFXSFTM5EB20GD03W5" localSheetId="10" hidden="1">#REF!</definedName>
    <definedName name="BEx3RXYU0QLFXSFTM5EB20GD03W5" localSheetId="12" hidden="1">#REF!</definedName>
    <definedName name="BEx3RXYU0QLFXSFTM5EB20GD03W5" localSheetId="9" hidden="1">'Customer data'!#REF!</definedName>
    <definedName name="BEx3RXYU0QLFXSFTM5EB20GD03W5" localSheetId="8" hidden="1">'Largest debtors'!#REF!</definedName>
    <definedName name="BEx3RXYU0QLFXSFTM5EB20GD03W5" localSheetId="11" hidden="1">#REF!</definedName>
    <definedName name="BEx3RXYU0QLFXSFTM5EB20GD03W5" localSheetId="6" hidden="1">Stock!#REF!</definedName>
    <definedName name="BEx3RXYU0QLFXSFTM5EB20GD03W5" hidden="1">#REF!</definedName>
    <definedName name="BEx3RYKLC3QQO3XTUN7BEW2AQL98" localSheetId="7" hidden="1">'Aged debtors'!#REF!</definedName>
    <definedName name="BEx3RYKLC3QQO3XTUN7BEW2AQL98" localSheetId="10" hidden="1">#REF!</definedName>
    <definedName name="BEx3RYKLC3QQO3XTUN7BEW2AQL98" localSheetId="12" hidden="1">#REF!</definedName>
    <definedName name="BEx3RYKLC3QQO3XTUN7BEW2AQL98" localSheetId="9" hidden="1">'Customer data'!#REF!</definedName>
    <definedName name="BEx3RYKLC3QQO3XTUN7BEW2AQL98" localSheetId="8" hidden="1">'Largest debtors'!#REF!</definedName>
    <definedName name="BEx3RYKLC3QQO3XTUN7BEW2AQL98" localSheetId="11" hidden="1">#REF!</definedName>
    <definedName name="BEx3RYKLC3QQO3XTUN7BEW2AQL98" localSheetId="6" hidden="1">Stock!#REF!</definedName>
    <definedName name="BEx3RYKLC3QQO3XTUN7BEW2AQL98" hidden="1">#REF!</definedName>
    <definedName name="BEx3SICJ45BYT6FHBER86PJT25FC" localSheetId="7" hidden="1">'Aged debtors'!#REF!</definedName>
    <definedName name="BEx3SICJ45BYT6FHBER86PJT25FC" localSheetId="10" hidden="1">#REF!</definedName>
    <definedName name="BEx3SICJ45BYT6FHBER86PJT25FC" localSheetId="12" hidden="1">#REF!</definedName>
    <definedName name="BEx3SICJ45BYT6FHBER86PJT25FC" localSheetId="9" hidden="1">'Customer data'!#REF!</definedName>
    <definedName name="BEx3SICJ45BYT6FHBER86PJT25FC" localSheetId="8" hidden="1">'Largest debtors'!#REF!</definedName>
    <definedName name="BEx3SICJ45BYT6FHBER86PJT25FC" localSheetId="11" hidden="1">#REF!</definedName>
    <definedName name="BEx3SICJ45BYT6FHBER86PJT25FC" localSheetId="6" hidden="1">Stock!#REF!</definedName>
    <definedName name="BEx3SICJ45BYT6FHBER86PJT25FC" hidden="1">#REF!</definedName>
    <definedName name="BEx3SMUCMJVGQ2H4EHQI5ZFHEF0P" localSheetId="7" hidden="1">'Aged debtors'!#REF!</definedName>
    <definedName name="BEx3SMUCMJVGQ2H4EHQI5ZFHEF0P" localSheetId="10" hidden="1">#REF!</definedName>
    <definedName name="BEx3SMUCMJVGQ2H4EHQI5ZFHEF0P" localSheetId="12" hidden="1">#REF!</definedName>
    <definedName name="BEx3SMUCMJVGQ2H4EHQI5ZFHEF0P" localSheetId="9" hidden="1">'Customer data'!#REF!</definedName>
    <definedName name="BEx3SMUCMJVGQ2H4EHQI5ZFHEF0P" localSheetId="8" hidden="1">'Largest debtors'!#REF!</definedName>
    <definedName name="BEx3SMUCMJVGQ2H4EHQI5ZFHEF0P" localSheetId="11" hidden="1">#REF!</definedName>
    <definedName name="BEx3SMUCMJVGQ2H4EHQI5ZFHEF0P" localSheetId="6" hidden="1">Stock!#REF!</definedName>
    <definedName name="BEx3SMUCMJVGQ2H4EHQI5ZFHEF0P" hidden="1">#REF!</definedName>
    <definedName name="BEx3SN56F03CPDRDA7LZ763V0N4I" localSheetId="7" hidden="1">'Aged debtors'!#REF!</definedName>
    <definedName name="BEx3SN56F03CPDRDA7LZ763V0N4I" localSheetId="10" hidden="1">#REF!</definedName>
    <definedName name="BEx3SN56F03CPDRDA7LZ763V0N4I" localSheetId="12" hidden="1">#REF!</definedName>
    <definedName name="BEx3SN56F03CPDRDA7LZ763V0N4I" localSheetId="9" hidden="1">'Customer data'!#REF!</definedName>
    <definedName name="BEx3SN56F03CPDRDA7LZ763V0N4I" localSheetId="8" hidden="1">'Largest debtors'!#REF!</definedName>
    <definedName name="BEx3SN56F03CPDRDA7LZ763V0N4I" localSheetId="11" hidden="1">#REF!</definedName>
    <definedName name="BEx3SN56F03CPDRDA7LZ763V0N4I" localSheetId="6" hidden="1">Stock!#REF!</definedName>
    <definedName name="BEx3SN56F03CPDRDA7LZ763V0N4I" hidden="1">#REF!</definedName>
    <definedName name="BEx3SPE6N1ORXPRCDL3JPZD73Z9F" localSheetId="7" hidden="1">'Aged debtors'!#REF!</definedName>
    <definedName name="BEx3SPE6N1ORXPRCDL3JPZD73Z9F" localSheetId="10" hidden="1">#REF!</definedName>
    <definedName name="BEx3SPE6N1ORXPRCDL3JPZD73Z9F" localSheetId="12" hidden="1">#REF!</definedName>
    <definedName name="BEx3SPE6N1ORXPRCDL3JPZD73Z9F" localSheetId="9" hidden="1">'Customer data'!#REF!</definedName>
    <definedName name="BEx3SPE6N1ORXPRCDL3JPZD73Z9F" localSheetId="8" hidden="1">'Largest debtors'!#REF!</definedName>
    <definedName name="BEx3SPE6N1ORXPRCDL3JPZD73Z9F" localSheetId="11" hidden="1">#REF!</definedName>
    <definedName name="BEx3SPE6N1ORXPRCDL3JPZD73Z9F" localSheetId="6" hidden="1">Stock!#REF!</definedName>
    <definedName name="BEx3SPE6N1ORXPRCDL3JPZD73Z9F" hidden="1">#REF!</definedName>
    <definedName name="BEx3T29ZTULQE0OMSMWUMZDU9ZZ0" localSheetId="7" hidden="1">'Aged debtors'!#REF!</definedName>
    <definedName name="BEx3T29ZTULQE0OMSMWUMZDU9ZZ0" localSheetId="10" hidden="1">#REF!</definedName>
    <definedName name="BEx3T29ZTULQE0OMSMWUMZDU9ZZ0" localSheetId="12" hidden="1">#REF!</definedName>
    <definedName name="BEx3T29ZTULQE0OMSMWUMZDU9ZZ0" localSheetId="9" hidden="1">'Customer data'!#REF!</definedName>
    <definedName name="BEx3T29ZTULQE0OMSMWUMZDU9ZZ0" localSheetId="8" hidden="1">'Largest debtors'!#REF!</definedName>
    <definedName name="BEx3T29ZTULQE0OMSMWUMZDU9ZZ0" localSheetId="11" hidden="1">#REF!</definedName>
    <definedName name="BEx3T29ZTULQE0OMSMWUMZDU9ZZ0" localSheetId="6" hidden="1">Stock!#REF!</definedName>
    <definedName name="BEx3T29ZTULQE0OMSMWUMZDU9ZZ0" hidden="1">#REF!</definedName>
    <definedName name="BEx3TPCSI16OAB2L9M9IULQMQ9J9" localSheetId="7" hidden="1">'Aged debtors'!#REF!</definedName>
    <definedName name="BEx3TPCSI16OAB2L9M9IULQMQ9J9" localSheetId="10" hidden="1">#REF!</definedName>
    <definedName name="BEx3TPCSI16OAB2L9M9IULQMQ9J9" localSheetId="12" hidden="1">#REF!</definedName>
    <definedName name="BEx3TPCSI16OAB2L9M9IULQMQ9J9" localSheetId="9" hidden="1">'Customer data'!#REF!</definedName>
    <definedName name="BEx3TPCSI16OAB2L9M9IULQMQ9J9" localSheetId="8" hidden="1">'Largest debtors'!#REF!</definedName>
    <definedName name="BEx3TPCSI16OAB2L9M9IULQMQ9J9" localSheetId="11" hidden="1">#REF!</definedName>
    <definedName name="BEx3TPCSI16OAB2L9M9IULQMQ9J9" localSheetId="6" hidden="1">Stock!#REF!</definedName>
    <definedName name="BEx3TPCSI16OAB2L9M9IULQMQ9J9" hidden="1">#REF!</definedName>
    <definedName name="BEx3U94WCEA5DKMWBEX1GU0LKYG2" localSheetId="7" hidden="1">'Aged debtors'!#REF!</definedName>
    <definedName name="BEx3U94WCEA5DKMWBEX1GU0LKYG2" localSheetId="10" hidden="1">#REF!</definedName>
    <definedName name="BEx3U94WCEA5DKMWBEX1GU0LKYG2" localSheetId="12" hidden="1">#REF!</definedName>
    <definedName name="BEx3U94WCEA5DKMWBEX1GU0LKYG2" localSheetId="9" hidden="1">'Customer data'!#REF!</definedName>
    <definedName name="BEx3U94WCEA5DKMWBEX1GU0LKYG2" localSheetId="8" hidden="1">'Largest debtors'!#REF!</definedName>
    <definedName name="BEx3U94WCEA5DKMWBEX1GU0LKYG2" localSheetId="11" hidden="1">#REF!</definedName>
    <definedName name="BEx3U94WCEA5DKMWBEX1GU0LKYG2" localSheetId="6" hidden="1">Stock!#REF!</definedName>
    <definedName name="BEx3U94WCEA5DKMWBEX1GU0LKYG2" hidden="1">#REF!</definedName>
    <definedName name="BEx3UIQ5WRJBGNTFCCLOR4N7B1OQ" localSheetId="7" hidden="1">'Aged debtors'!#REF!</definedName>
    <definedName name="BEx3UIQ5WRJBGNTFCCLOR4N7B1OQ" localSheetId="10" hidden="1">#REF!</definedName>
    <definedName name="BEx3UIQ5WRJBGNTFCCLOR4N7B1OQ" localSheetId="12" hidden="1">#REF!</definedName>
    <definedName name="BEx3UIQ5WRJBGNTFCCLOR4N7B1OQ" localSheetId="9" hidden="1">'Customer data'!#REF!</definedName>
    <definedName name="BEx3UIQ5WRJBGNTFCCLOR4N7B1OQ" localSheetId="8" hidden="1">'Largest debtors'!#REF!</definedName>
    <definedName name="BEx3UIQ5WRJBGNTFCCLOR4N7B1OQ" localSheetId="11" hidden="1">#REF!</definedName>
    <definedName name="BEx3UIQ5WRJBGNTFCCLOR4N7B1OQ" localSheetId="6" hidden="1">Stock!#REF!</definedName>
    <definedName name="BEx3UIQ5WRJBGNTFCCLOR4N7B1OQ" hidden="1">#REF!</definedName>
    <definedName name="BEx3UJMIX2NUSSWGMSI25A5DM4CH" localSheetId="7" hidden="1">'Aged debtors'!#REF!</definedName>
    <definedName name="BEx3UJMIX2NUSSWGMSI25A5DM4CH" localSheetId="10" hidden="1">#REF!</definedName>
    <definedName name="BEx3UJMIX2NUSSWGMSI25A5DM4CH" localSheetId="12" hidden="1">#REF!</definedName>
    <definedName name="BEx3UJMIX2NUSSWGMSI25A5DM4CH" localSheetId="9" hidden="1">'Customer data'!#REF!</definedName>
    <definedName name="BEx3UJMIX2NUSSWGMSI25A5DM4CH" localSheetId="8" hidden="1">'Largest debtors'!#REF!</definedName>
    <definedName name="BEx3UJMIX2NUSSWGMSI25A5DM4CH" localSheetId="11" hidden="1">#REF!</definedName>
    <definedName name="BEx3UJMIX2NUSSWGMSI25A5DM4CH" localSheetId="6" hidden="1">Stock!#REF!</definedName>
    <definedName name="BEx3UJMIX2NUSSWGMSI25A5DM4CH" hidden="1">#REF!</definedName>
    <definedName name="BEx3UKOCOQG7S1YQ436S997K1KWV" localSheetId="7" hidden="1">'Aged debtors'!#REF!</definedName>
    <definedName name="BEx3UKOCOQG7S1YQ436S997K1KWV" localSheetId="10" hidden="1">#REF!</definedName>
    <definedName name="BEx3UKOCOQG7S1YQ436S997K1KWV" localSheetId="12" hidden="1">#REF!</definedName>
    <definedName name="BEx3UKOCOQG7S1YQ436S997K1KWV" localSheetId="9" hidden="1">'Customer data'!#REF!</definedName>
    <definedName name="BEx3UKOCOQG7S1YQ436S997K1KWV" localSheetId="8" hidden="1">'Largest debtors'!#REF!</definedName>
    <definedName name="BEx3UKOCOQG7S1YQ436S997K1KWV" localSheetId="11" hidden="1">#REF!</definedName>
    <definedName name="BEx3UKOCOQG7S1YQ436S997K1KWV" localSheetId="6" hidden="1">Stock!#REF!</definedName>
    <definedName name="BEx3UKOCOQG7S1YQ436S997K1KWV" hidden="1">#REF!</definedName>
    <definedName name="BEx3VML7CG70HPISMVYIUEN3711Q" localSheetId="7" hidden="1">'Aged debtors'!#REF!</definedName>
    <definedName name="BEx3VML7CG70HPISMVYIUEN3711Q" localSheetId="10" hidden="1">#REF!</definedName>
    <definedName name="BEx3VML7CG70HPISMVYIUEN3711Q" localSheetId="12" hidden="1">#REF!</definedName>
    <definedName name="BEx3VML7CG70HPISMVYIUEN3711Q" localSheetId="9" hidden="1">'Customer data'!#REF!</definedName>
    <definedName name="BEx3VML7CG70HPISMVYIUEN3711Q" localSheetId="8" hidden="1">'Largest debtors'!#REF!</definedName>
    <definedName name="BEx3VML7CG70HPISMVYIUEN3711Q" localSheetId="11" hidden="1">#REF!</definedName>
    <definedName name="BEx3VML7CG70HPISMVYIUEN3711Q" localSheetId="6" hidden="1">Stock!#REF!</definedName>
    <definedName name="BEx3VML7CG70HPISMVYIUEN3711Q" hidden="1">#REF!</definedName>
    <definedName name="BEx57ODWQA22EXS48QUG5O3EG6QO" localSheetId="7" hidden="1">'Aged debtors'!#REF!</definedName>
    <definedName name="BEx57ODWQA22EXS48QUG5O3EG6QO" localSheetId="10" hidden="1">#REF!</definedName>
    <definedName name="BEx57ODWQA22EXS48QUG5O3EG6QO" localSheetId="12" hidden="1">#REF!</definedName>
    <definedName name="BEx57ODWQA22EXS48QUG5O3EG6QO" localSheetId="9" hidden="1">'Customer data'!#REF!</definedName>
    <definedName name="BEx57ODWQA22EXS48QUG5O3EG6QO" localSheetId="8" hidden="1">'Largest debtors'!#REF!</definedName>
    <definedName name="BEx57ODWQA22EXS48QUG5O3EG6QO" localSheetId="11" hidden="1">#REF!</definedName>
    <definedName name="BEx57ODWQA22EXS48QUG5O3EG6QO" localSheetId="6" hidden="1">Stock!#REF!</definedName>
    <definedName name="BEx57ODWQA22EXS48QUG5O3EG6QO" hidden="1">#REF!</definedName>
    <definedName name="BEx587KFQ3VKCOCY1SA5F24PQGUI" localSheetId="7" hidden="1">'Aged debtors'!#REF!</definedName>
    <definedName name="BEx587KFQ3VKCOCY1SA5F24PQGUI" localSheetId="10" hidden="1">#REF!</definedName>
    <definedName name="BEx587KFQ3VKCOCY1SA5F24PQGUI" localSheetId="12" hidden="1">#REF!</definedName>
    <definedName name="BEx587KFQ3VKCOCY1SA5F24PQGUI" localSheetId="9" hidden="1">'Customer data'!#REF!</definedName>
    <definedName name="BEx587KFQ3VKCOCY1SA5F24PQGUI" localSheetId="8" hidden="1">'Largest debtors'!#REF!</definedName>
    <definedName name="BEx587KFQ3VKCOCY1SA5F24PQGUI" localSheetId="11" hidden="1">#REF!</definedName>
    <definedName name="BEx587KFQ3VKCOCY1SA5F24PQGUI" localSheetId="6" hidden="1">Stock!#REF!</definedName>
    <definedName name="BEx587KFQ3VKCOCY1SA5F24PQGUI" hidden="1">#REF!</definedName>
    <definedName name="BEx58O780PQ05NF0Z1SKKRB3N099" localSheetId="7" hidden="1">'Aged debtors'!#REF!</definedName>
    <definedName name="BEx58O780PQ05NF0Z1SKKRB3N099" localSheetId="10" hidden="1">#REF!</definedName>
    <definedName name="BEx58O780PQ05NF0Z1SKKRB3N099" localSheetId="12" hidden="1">#REF!</definedName>
    <definedName name="BEx58O780PQ05NF0Z1SKKRB3N099" localSheetId="9" hidden="1">'Customer data'!#REF!</definedName>
    <definedName name="BEx58O780PQ05NF0Z1SKKRB3N099" localSheetId="8" hidden="1">'Largest debtors'!#REF!</definedName>
    <definedName name="BEx58O780PQ05NF0Z1SKKRB3N099" localSheetId="11" hidden="1">#REF!</definedName>
    <definedName name="BEx58O780PQ05NF0Z1SKKRB3N099" localSheetId="6" hidden="1">Stock!#REF!</definedName>
    <definedName name="BEx58O780PQ05NF0Z1SKKRB3N099" hidden="1">#REF!</definedName>
    <definedName name="BEx59P7MAPNU129ZTC5H3EH892G1" localSheetId="7" hidden="1">'Aged debtors'!#REF!</definedName>
    <definedName name="BEx59P7MAPNU129ZTC5H3EH892G1" localSheetId="10" hidden="1">#REF!</definedName>
    <definedName name="BEx59P7MAPNU129ZTC5H3EH892G1" localSheetId="12" hidden="1">#REF!</definedName>
    <definedName name="BEx59P7MAPNU129ZTC5H3EH892G1" localSheetId="9" hidden="1">'Customer data'!#REF!</definedName>
    <definedName name="BEx59P7MAPNU129ZTC5H3EH892G1" localSheetId="8" hidden="1">'Largest debtors'!#REF!</definedName>
    <definedName name="BEx59P7MAPNU129ZTC5H3EH892G1" localSheetId="11" hidden="1">#REF!</definedName>
    <definedName name="BEx59P7MAPNU129ZTC5H3EH892G1" localSheetId="6" hidden="1">Stock!#REF!</definedName>
    <definedName name="BEx59P7MAPNU129ZTC5H3EH892G1" hidden="1">#REF!</definedName>
    <definedName name="BEx5A7CIGCOTHJKHGUBDZG91JGPZ" localSheetId="7" hidden="1">'Aged debtors'!#REF!</definedName>
    <definedName name="BEx5A7CIGCOTHJKHGUBDZG91JGPZ" localSheetId="10" hidden="1">#REF!</definedName>
    <definedName name="BEx5A7CIGCOTHJKHGUBDZG91JGPZ" localSheetId="12" hidden="1">#REF!</definedName>
    <definedName name="BEx5A7CIGCOTHJKHGUBDZG91JGPZ" localSheetId="9" hidden="1">'Customer data'!#REF!</definedName>
    <definedName name="BEx5A7CIGCOTHJKHGUBDZG91JGPZ" localSheetId="8" hidden="1">'Largest debtors'!#REF!</definedName>
    <definedName name="BEx5A7CIGCOTHJKHGUBDZG91JGPZ" localSheetId="11" hidden="1">#REF!</definedName>
    <definedName name="BEx5A7CIGCOTHJKHGUBDZG91JGPZ" localSheetId="6" hidden="1">Stock!#REF!</definedName>
    <definedName name="BEx5A7CIGCOTHJKHGUBDZG91JGPZ" hidden="1">#REF!</definedName>
    <definedName name="BEx5AOFIO8KVRHIZ1RII337AA8ML" localSheetId="7" hidden="1">'Aged debtors'!#REF!</definedName>
    <definedName name="BEx5AOFIO8KVRHIZ1RII337AA8ML" localSheetId="10" hidden="1">#REF!</definedName>
    <definedName name="BEx5AOFIO8KVRHIZ1RII337AA8ML" localSheetId="12" hidden="1">#REF!</definedName>
    <definedName name="BEx5AOFIO8KVRHIZ1RII337AA8ML" localSheetId="9" hidden="1">'Customer data'!#REF!</definedName>
    <definedName name="BEx5AOFIO8KVRHIZ1RII337AA8ML" localSheetId="8" hidden="1">'Largest debtors'!#REF!</definedName>
    <definedName name="BEx5AOFIO8KVRHIZ1RII337AA8ML" localSheetId="11" hidden="1">#REF!</definedName>
    <definedName name="BEx5AOFIO8KVRHIZ1RII337AA8ML" localSheetId="6" hidden="1">Stock!#REF!</definedName>
    <definedName name="BEx5AOFIO8KVRHIZ1RII337AA8ML" hidden="1">#REF!</definedName>
    <definedName name="BEx5APRZ66L5BWHFE8E4YYNEDTI4" localSheetId="7" hidden="1">'Aged debtors'!#REF!</definedName>
    <definedName name="BEx5APRZ66L5BWHFE8E4YYNEDTI4" localSheetId="10" hidden="1">#REF!</definedName>
    <definedName name="BEx5APRZ66L5BWHFE8E4YYNEDTI4" localSheetId="12" hidden="1">#REF!</definedName>
    <definedName name="BEx5APRZ66L5BWHFE8E4YYNEDTI4" localSheetId="9" hidden="1">'Customer data'!#REF!</definedName>
    <definedName name="BEx5APRZ66L5BWHFE8E4YYNEDTI4" localSheetId="8" hidden="1">'Largest debtors'!#REF!</definedName>
    <definedName name="BEx5APRZ66L5BWHFE8E4YYNEDTI4" localSheetId="11" hidden="1">#REF!</definedName>
    <definedName name="BEx5APRZ66L5BWHFE8E4YYNEDTI4" localSheetId="6" hidden="1">Stock!#REF!</definedName>
    <definedName name="BEx5APRZ66L5BWHFE8E4YYNEDTI4" hidden="1">#REF!</definedName>
    <definedName name="BEx5B4RHHX0J1BF2FZKEA0SPP29O" localSheetId="7" hidden="1">'Aged debtors'!#REF!</definedName>
    <definedName name="BEx5B4RHHX0J1BF2FZKEA0SPP29O" localSheetId="10" hidden="1">#REF!</definedName>
    <definedName name="BEx5B4RHHX0J1BF2FZKEA0SPP29O" localSheetId="12" hidden="1">#REF!</definedName>
    <definedName name="BEx5B4RHHX0J1BF2FZKEA0SPP29O" localSheetId="9" hidden="1">'Customer data'!#REF!</definedName>
    <definedName name="BEx5B4RHHX0J1BF2FZKEA0SPP29O" localSheetId="8" hidden="1">'Largest debtors'!#REF!</definedName>
    <definedName name="BEx5B4RHHX0J1BF2FZKEA0SPP29O" localSheetId="11" hidden="1">#REF!</definedName>
    <definedName name="BEx5B4RHHX0J1BF2FZKEA0SPP29O" localSheetId="6" hidden="1">Stock!#REF!</definedName>
    <definedName name="BEx5B4RHHX0J1BF2FZKEA0SPP29O" hidden="1">#REF!</definedName>
    <definedName name="BEx5B5YMSWP0OVI5CIQRP5V18D0C" localSheetId="7" hidden="1">'Aged debtors'!#REF!</definedName>
    <definedName name="BEx5B5YMSWP0OVI5CIQRP5V18D0C" localSheetId="10" hidden="1">#REF!</definedName>
    <definedName name="BEx5B5YMSWP0OVI5CIQRP5V18D0C" localSheetId="12" hidden="1">#REF!</definedName>
    <definedName name="BEx5B5YMSWP0OVI5CIQRP5V18D0C" localSheetId="9" hidden="1">'Customer data'!#REF!</definedName>
    <definedName name="BEx5B5YMSWP0OVI5CIQRP5V18D0C" localSheetId="8" hidden="1">'Largest debtors'!#REF!</definedName>
    <definedName name="BEx5B5YMSWP0OVI5CIQRP5V18D0C" localSheetId="11" hidden="1">#REF!</definedName>
    <definedName name="BEx5B5YMSWP0OVI5CIQRP5V18D0C" localSheetId="6" hidden="1">Stock!#REF!</definedName>
    <definedName name="BEx5B5YMSWP0OVI5CIQRP5V18D0C" hidden="1">#REF!</definedName>
    <definedName name="BEx5B825RW35M5H0UB2IZGGRS4ER" localSheetId="7" hidden="1">'Aged debtors'!#REF!</definedName>
    <definedName name="BEx5B825RW35M5H0UB2IZGGRS4ER" localSheetId="10" hidden="1">#REF!</definedName>
    <definedName name="BEx5B825RW35M5H0UB2IZGGRS4ER" localSheetId="12" hidden="1">#REF!</definedName>
    <definedName name="BEx5B825RW35M5H0UB2IZGGRS4ER" localSheetId="9" hidden="1">'Customer data'!#REF!</definedName>
    <definedName name="BEx5B825RW35M5H0UB2IZGGRS4ER" localSheetId="8" hidden="1">'Largest debtors'!#REF!</definedName>
    <definedName name="BEx5B825RW35M5H0UB2IZGGRS4ER" localSheetId="11" hidden="1">#REF!</definedName>
    <definedName name="BEx5B825RW35M5H0UB2IZGGRS4ER" localSheetId="6" hidden="1">Stock!#REF!</definedName>
    <definedName name="BEx5B825RW35M5H0UB2IZGGRS4ER" hidden="1">#REF!</definedName>
    <definedName name="BEx5BAWPMY0TL684WDXX6KKJLRCN" localSheetId="7" hidden="1">'Aged debtors'!#REF!</definedName>
    <definedName name="BEx5BAWPMY0TL684WDXX6KKJLRCN" localSheetId="10" hidden="1">#REF!</definedName>
    <definedName name="BEx5BAWPMY0TL684WDXX6KKJLRCN" localSheetId="12" hidden="1">#REF!</definedName>
    <definedName name="BEx5BAWPMY0TL684WDXX6KKJLRCN" localSheetId="9" hidden="1">'Customer data'!#REF!</definedName>
    <definedName name="BEx5BAWPMY0TL684WDXX6KKJLRCN" localSheetId="8" hidden="1">'Largest debtors'!#REF!</definedName>
    <definedName name="BEx5BAWPMY0TL684WDXX6KKJLRCN" localSheetId="11" hidden="1">#REF!</definedName>
    <definedName name="BEx5BAWPMY0TL684WDXX6KKJLRCN" localSheetId="6" hidden="1">Stock!#REF!</definedName>
    <definedName name="BEx5BAWPMY0TL684WDXX6KKJLRCN" hidden="1">#REF!</definedName>
    <definedName name="BEx5BBI61U4Y65GD0ARMTALPP7SJ" localSheetId="7" hidden="1">'Aged debtors'!#REF!</definedName>
    <definedName name="BEx5BBI61U4Y65GD0ARMTALPP7SJ" localSheetId="10" hidden="1">#REF!</definedName>
    <definedName name="BEx5BBI61U4Y65GD0ARMTALPP7SJ" localSheetId="12" hidden="1">#REF!</definedName>
    <definedName name="BEx5BBI61U4Y65GD0ARMTALPP7SJ" localSheetId="9" hidden="1">'Customer data'!#REF!</definedName>
    <definedName name="BEx5BBI61U4Y65GD0ARMTALPP7SJ" localSheetId="8" hidden="1">'Largest debtors'!#REF!</definedName>
    <definedName name="BEx5BBI61U4Y65GD0ARMTALPP7SJ" localSheetId="11" hidden="1">#REF!</definedName>
    <definedName name="BEx5BBI61U4Y65GD0ARMTALPP7SJ" localSheetId="6" hidden="1">Stock!#REF!</definedName>
    <definedName name="BEx5BBI61U4Y65GD0ARMTALPP7SJ" hidden="1">#REF!</definedName>
    <definedName name="BEx5BESZC5H329SKHGJOHZFILYJJ" localSheetId="7" hidden="1">'Aged debtors'!#REF!</definedName>
    <definedName name="BEx5BESZC5H329SKHGJOHZFILYJJ" localSheetId="10" hidden="1">#REF!</definedName>
    <definedName name="BEx5BESZC5H329SKHGJOHZFILYJJ" localSheetId="12" hidden="1">#REF!</definedName>
    <definedName name="BEx5BESZC5H329SKHGJOHZFILYJJ" localSheetId="9" hidden="1">'Customer data'!#REF!</definedName>
    <definedName name="BEx5BESZC5H329SKHGJOHZFILYJJ" localSheetId="8" hidden="1">'Largest debtors'!#REF!</definedName>
    <definedName name="BEx5BESZC5H329SKHGJOHZFILYJJ" localSheetId="11" hidden="1">#REF!</definedName>
    <definedName name="BEx5BESZC5H329SKHGJOHZFILYJJ" localSheetId="6" hidden="1">Stock!#REF!</definedName>
    <definedName name="BEx5BESZC5H329SKHGJOHZFILYJJ" hidden="1">#REF!</definedName>
    <definedName name="BEx5BHSQ42B50IU1TEQFUXFX9XQD" localSheetId="7" hidden="1">'Aged debtors'!#REF!</definedName>
    <definedName name="BEx5BHSQ42B50IU1TEQFUXFX9XQD" localSheetId="10" hidden="1">#REF!</definedName>
    <definedName name="BEx5BHSQ42B50IU1TEQFUXFX9XQD" localSheetId="12" hidden="1">#REF!</definedName>
    <definedName name="BEx5BHSQ42B50IU1TEQFUXFX9XQD" localSheetId="9" hidden="1">'Customer data'!#REF!</definedName>
    <definedName name="BEx5BHSQ42B50IU1TEQFUXFX9XQD" localSheetId="8" hidden="1">'Largest debtors'!#REF!</definedName>
    <definedName name="BEx5BHSQ42B50IU1TEQFUXFX9XQD" localSheetId="11" hidden="1">#REF!</definedName>
    <definedName name="BEx5BHSQ42B50IU1TEQFUXFX9XQD" localSheetId="6" hidden="1">Stock!#REF!</definedName>
    <definedName name="BEx5BHSQ42B50IU1TEQFUXFX9XQD" hidden="1">#REF!</definedName>
    <definedName name="BEx5BKSM4UN4C1DM3EYKM79MRC5K" localSheetId="7" hidden="1">'Aged debtors'!#REF!</definedName>
    <definedName name="BEx5BKSM4UN4C1DM3EYKM79MRC5K" localSheetId="10" hidden="1">#REF!</definedName>
    <definedName name="BEx5BKSM4UN4C1DM3EYKM79MRC5K" localSheetId="12" hidden="1">#REF!</definedName>
    <definedName name="BEx5BKSM4UN4C1DM3EYKM79MRC5K" localSheetId="9" hidden="1">'Customer data'!#REF!</definedName>
    <definedName name="BEx5BKSM4UN4C1DM3EYKM79MRC5K" localSheetId="8" hidden="1">'Largest debtors'!#REF!</definedName>
    <definedName name="BEx5BKSM4UN4C1DM3EYKM79MRC5K" localSheetId="11" hidden="1">#REF!</definedName>
    <definedName name="BEx5BKSM4UN4C1DM3EYKM79MRC5K" localSheetId="6" hidden="1">Stock!#REF!</definedName>
    <definedName name="BEx5BKSM4UN4C1DM3EYKM79MRC5K" hidden="1">#REF!</definedName>
    <definedName name="BEx5BNN8NPH9KVOBARB9CDD9WLB6" localSheetId="7" hidden="1">'Aged debtors'!#REF!</definedName>
    <definedName name="BEx5BNN8NPH9KVOBARB9CDD9WLB6" localSheetId="10" hidden="1">#REF!</definedName>
    <definedName name="BEx5BNN8NPH9KVOBARB9CDD9WLB6" localSheetId="12" hidden="1">#REF!</definedName>
    <definedName name="BEx5BNN8NPH9KVOBARB9CDD9WLB6" localSheetId="9" hidden="1">'Customer data'!#REF!</definedName>
    <definedName name="BEx5BNN8NPH9KVOBARB9CDD9WLB6" localSheetId="8" hidden="1">'Largest debtors'!#REF!</definedName>
    <definedName name="BEx5BNN8NPH9KVOBARB9CDD9WLB6" localSheetId="11" hidden="1">#REF!</definedName>
    <definedName name="BEx5BNN8NPH9KVOBARB9CDD9WLB6" localSheetId="6" hidden="1">Stock!#REF!</definedName>
    <definedName name="BEx5BNN8NPH9KVOBARB9CDD9WLB6" hidden="1">#REF!</definedName>
    <definedName name="BEx5C2BWFW6SHZBFDEISKGXHZCQW" localSheetId="7" hidden="1">'Aged debtors'!#REF!</definedName>
    <definedName name="BEx5C2BWFW6SHZBFDEISKGXHZCQW" localSheetId="10" hidden="1">#REF!</definedName>
    <definedName name="BEx5C2BWFW6SHZBFDEISKGXHZCQW" localSheetId="12" hidden="1">#REF!</definedName>
    <definedName name="BEx5C2BWFW6SHZBFDEISKGXHZCQW" localSheetId="9" hidden="1">'Customer data'!#REF!</definedName>
    <definedName name="BEx5C2BWFW6SHZBFDEISKGXHZCQW" localSheetId="8" hidden="1">'Largest debtors'!#REF!</definedName>
    <definedName name="BEx5C2BWFW6SHZBFDEISKGXHZCQW" localSheetId="11" hidden="1">#REF!</definedName>
    <definedName name="BEx5C2BWFW6SHZBFDEISKGXHZCQW" localSheetId="6" hidden="1">Stock!#REF!</definedName>
    <definedName name="BEx5C2BWFW6SHZBFDEISKGXHZCQW" hidden="1">#REF!</definedName>
    <definedName name="BEx5C49ZFH8TO9ZU55729C3F7XG7" localSheetId="7" hidden="1">'Aged debtors'!#REF!</definedName>
    <definedName name="BEx5C49ZFH8TO9ZU55729C3F7XG7" localSheetId="10" hidden="1">#REF!</definedName>
    <definedName name="BEx5C49ZFH8TO9ZU55729C3F7XG7" localSheetId="12" hidden="1">#REF!</definedName>
    <definedName name="BEx5C49ZFH8TO9ZU55729C3F7XG7" localSheetId="9" hidden="1">'Customer data'!#REF!</definedName>
    <definedName name="BEx5C49ZFH8TO9ZU55729C3F7XG7" localSheetId="8" hidden="1">'Largest debtors'!#REF!</definedName>
    <definedName name="BEx5C49ZFH8TO9ZU55729C3F7XG7" localSheetId="11" hidden="1">#REF!</definedName>
    <definedName name="BEx5C49ZFH8TO9ZU55729C3F7XG7" localSheetId="6" hidden="1">Stock!#REF!</definedName>
    <definedName name="BEx5C49ZFH8TO9ZU55729C3F7XG7" hidden="1">#REF!</definedName>
    <definedName name="BEx5CAPTVN2NBT3UOMA1UFAL1C2R" localSheetId="7" hidden="1">'Aged debtors'!#REF!</definedName>
    <definedName name="BEx5CAPTVN2NBT3UOMA1UFAL1C2R" localSheetId="10" hidden="1">#REF!</definedName>
    <definedName name="BEx5CAPTVN2NBT3UOMA1UFAL1C2R" localSheetId="12" hidden="1">#REF!</definedName>
    <definedName name="BEx5CAPTVN2NBT3UOMA1UFAL1C2R" localSheetId="9" hidden="1">'Customer data'!#REF!</definedName>
    <definedName name="BEx5CAPTVN2NBT3UOMA1UFAL1C2R" localSheetId="8" hidden="1">'Largest debtors'!#REF!</definedName>
    <definedName name="BEx5CAPTVN2NBT3UOMA1UFAL1C2R" localSheetId="11" hidden="1">#REF!</definedName>
    <definedName name="BEx5CAPTVN2NBT3UOMA1UFAL1C2R" localSheetId="6" hidden="1">Stock!#REF!</definedName>
    <definedName name="BEx5CAPTVN2NBT3UOMA1UFAL1C2R" hidden="1">#REF!</definedName>
    <definedName name="BEx5CEM3SYF9XP0ZZVE0GEPCLV3F" localSheetId="7" hidden="1">'Aged debtors'!#REF!</definedName>
    <definedName name="BEx5CEM3SYF9XP0ZZVE0GEPCLV3F" localSheetId="10" hidden="1">#REF!</definedName>
    <definedName name="BEx5CEM3SYF9XP0ZZVE0GEPCLV3F" localSheetId="12" hidden="1">#REF!</definedName>
    <definedName name="BEx5CEM3SYF9XP0ZZVE0GEPCLV3F" localSheetId="9" hidden="1">'Customer data'!#REF!</definedName>
    <definedName name="BEx5CEM3SYF9XP0ZZVE0GEPCLV3F" localSheetId="8" hidden="1">'Largest debtors'!#REF!</definedName>
    <definedName name="BEx5CEM3SYF9XP0ZZVE0GEPCLV3F" localSheetId="11" hidden="1">#REF!</definedName>
    <definedName name="BEx5CEM3SYF9XP0ZZVE0GEPCLV3F" localSheetId="6" hidden="1">Stock!#REF!</definedName>
    <definedName name="BEx5CEM3SYF9XP0ZZVE0GEPCLV3F" hidden="1">#REF!</definedName>
    <definedName name="BEx5CFYQ0F1Z6P8SCVJ0I3UPVFE4" localSheetId="7" hidden="1">'Aged debtors'!#REF!</definedName>
    <definedName name="BEx5CFYQ0F1Z6P8SCVJ0I3UPVFE4" localSheetId="10" hidden="1">#REF!</definedName>
    <definedName name="BEx5CFYQ0F1Z6P8SCVJ0I3UPVFE4" localSheetId="12" hidden="1">#REF!</definedName>
    <definedName name="BEx5CFYQ0F1Z6P8SCVJ0I3UPVFE4" localSheetId="9" hidden="1">'Customer data'!#REF!</definedName>
    <definedName name="BEx5CFYQ0F1Z6P8SCVJ0I3UPVFE4" localSheetId="8" hidden="1">'Largest debtors'!#REF!</definedName>
    <definedName name="BEx5CFYQ0F1Z6P8SCVJ0I3UPVFE4" localSheetId="11" hidden="1">#REF!</definedName>
    <definedName name="BEx5CFYQ0F1Z6P8SCVJ0I3UPVFE4" localSheetId="6" hidden="1">Stock!#REF!</definedName>
    <definedName name="BEx5CFYQ0F1Z6P8SCVJ0I3UPVFE4" hidden="1">#REF!</definedName>
    <definedName name="BEx5CPEKNSJORIPFQC2E1LTRYY8L" localSheetId="7" hidden="1">'Aged debtors'!#REF!</definedName>
    <definedName name="BEx5CPEKNSJORIPFQC2E1LTRYY8L" localSheetId="10" hidden="1">#REF!</definedName>
    <definedName name="BEx5CPEKNSJORIPFQC2E1LTRYY8L" localSheetId="12" hidden="1">#REF!</definedName>
    <definedName name="BEx5CPEKNSJORIPFQC2E1LTRYY8L" localSheetId="9" hidden="1">'Customer data'!#REF!</definedName>
    <definedName name="BEx5CPEKNSJORIPFQC2E1LTRYY8L" localSheetId="8" hidden="1">'Largest debtors'!#REF!</definedName>
    <definedName name="BEx5CPEKNSJORIPFQC2E1LTRYY8L" localSheetId="11" hidden="1">#REF!</definedName>
    <definedName name="BEx5CPEKNSJORIPFQC2E1LTRYY8L" localSheetId="6" hidden="1">Stock!#REF!</definedName>
    <definedName name="BEx5CPEKNSJORIPFQC2E1LTRYY8L" hidden="1">#REF!</definedName>
    <definedName name="BEx5CSUOL05D8PAM2TRDA9VRJT1O" localSheetId="7" hidden="1">'Aged debtors'!#REF!</definedName>
    <definedName name="BEx5CSUOL05D8PAM2TRDA9VRJT1O" localSheetId="10" hidden="1">#REF!</definedName>
    <definedName name="BEx5CSUOL05D8PAM2TRDA9VRJT1O" localSheetId="12" hidden="1">#REF!</definedName>
    <definedName name="BEx5CSUOL05D8PAM2TRDA9VRJT1O" localSheetId="9" hidden="1">'Customer data'!#REF!</definedName>
    <definedName name="BEx5CSUOL05D8PAM2TRDA9VRJT1O" localSheetId="8" hidden="1">'Largest debtors'!#REF!</definedName>
    <definedName name="BEx5CSUOL05D8PAM2TRDA9VRJT1O" localSheetId="11" hidden="1">#REF!</definedName>
    <definedName name="BEx5CSUOL05D8PAM2TRDA9VRJT1O" localSheetId="6" hidden="1">Stock!#REF!</definedName>
    <definedName name="BEx5CSUOL05D8PAM2TRDA9VRJT1O" hidden="1">#REF!</definedName>
    <definedName name="BEx5D8L47OF0WHBPFWXGZINZWUBZ" localSheetId="7" hidden="1">'Aged debtors'!#REF!</definedName>
    <definedName name="BEx5D8L47OF0WHBPFWXGZINZWUBZ" localSheetId="10" hidden="1">#REF!</definedName>
    <definedName name="BEx5D8L47OF0WHBPFWXGZINZWUBZ" localSheetId="12" hidden="1">#REF!</definedName>
    <definedName name="BEx5D8L47OF0WHBPFWXGZINZWUBZ" localSheetId="9" hidden="1">'Customer data'!#REF!</definedName>
    <definedName name="BEx5D8L47OF0WHBPFWXGZINZWUBZ" localSheetId="8" hidden="1">'Largest debtors'!#REF!</definedName>
    <definedName name="BEx5D8L47OF0WHBPFWXGZINZWUBZ" localSheetId="11" hidden="1">#REF!</definedName>
    <definedName name="BEx5D8L47OF0WHBPFWXGZINZWUBZ" localSheetId="6" hidden="1">Stock!#REF!</definedName>
    <definedName name="BEx5D8L47OF0WHBPFWXGZINZWUBZ" hidden="1">#REF!</definedName>
    <definedName name="BEx5DAJAHQ2SKUPCKSCR3PYML67L" localSheetId="7" hidden="1">'Aged debtors'!#REF!</definedName>
    <definedName name="BEx5DAJAHQ2SKUPCKSCR3PYML67L" localSheetId="10" hidden="1">#REF!</definedName>
    <definedName name="BEx5DAJAHQ2SKUPCKSCR3PYML67L" localSheetId="12" hidden="1">#REF!</definedName>
    <definedName name="BEx5DAJAHQ2SKUPCKSCR3PYML67L" localSheetId="9" hidden="1">'Customer data'!#REF!</definedName>
    <definedName name="BEx5DAJAHQ2SKUPCKSCR3PYML67L" localSheetId="8" hidden="1">'Largest debtors'!#REF!</definedName>
    <definedName name="BEx5DAJAHQ2SKUPCKSCR3PYML67L" localSheetId="11" hidden="1">#REF!</definedName>
    <definedName name="BEx5DAJAHQ2SKUPCKSCR3PYML67L" localSheetId="6" hidden="1">Stock!#REF!</definedName>
    <definedName name="BEx5DAJAHQ2SKUPCKSCR3PYML67L" hidden="1">#REF!</definedName>
    <definedName name="BEx5ER4TJTFPN7IB1MNEB1ZFR5M6" localSheetId="7" hidden="1">'Aged debtors'!#REF!</definedName>
    <definedName name="BEx5ER4TJTFPN7IB1MNEB1ZFR5M6" localSheetId="10" hidden="1">#REF!</definedName>
    <definedName name="BEx5ER4TJTFPN7IB1MNEB1ZFR5M6" localSheetId="12" hidden="1">#REF!</definedName>
    <definedName name="BEx5ER4TJTFPN7IB1MNEB1ZFR5M6" localSheetId="9" hidden="1">'Customer data'!#REF!</definedName>
    <definedName name="BEx5ER4TJTFPN7IB1MNEB1ZFR5M6" localSheetId="8" hidden="1">'Largest debtors'!#REF!</definedName>
    <definedName name="BEx5ER4TJTFPN7IB1MNEB1ZFR5M6" localSheetId="11" hidden="1">#REF!</definedName>
    <definedName name="BEx5ER4TJTFPN7IB1MNEB1ZFR5M6" localSheetId="6" hidden="1">Stock!#REF!</definedName>
    <definedName name="BEx5ER4TJTFPN7IB1MNEB1ZFR5M6" hidden="1">#REF!</definedName>
    <definedName name="BEx5FLJWHLW3BTZILDPN5NMA449V" localSheetId="7" hidden="1">'Aged debtors'!#REF!</definedName>
    <definedName name="BEx5FLJWHLW3BTZILDPN5NMA449V" localSheetId="10" hidden="1">#REF!</definedName>
    <definedName name="BEx5FLJWHLW3BTZILDPN5NMA449V" localSheetId="12" hidden="1">#REF!</definedName>
    <definedName name="BEx5FLJWHLW3BTZILDPN5NMA449V" localSheetId="9" hidden="1">'Customer data'!#REF!</definedName>
    <definedName name="BEx5FLJWHLW3BTZILDPN5NMA449V" localSheetId="8" hidden="1">'Largest debtors'!#REF!</definedName>
    <definedName name="BEx5FLJWHLW3BTZILDPN5NMA449V" localSheetId="11" hidden="1">#REF!</definedName>
    <definedName name="BEx5FLJWHLW3BTZILDPN5NMA449V" localSheetId="6" hidden="1">Stock!#REF!</definedName>
    <definedName name="BEx5FLJWHLW3BTZILDPN5NMA449V" hidden="1">#REF!</definedName>
    <definedName name="BEx5FO8YRFSZCG3L608EHIHIHFY4" localSheetId="7" hidden="1">'Aged debtors'!#REF!</definedName>
    <definedName name="BEx5FO8YRFSZCG3L608EHIHIHFY4" localSheetId="10" hidden="1">#REF!</definedName>
    <definedName name="BEx5FO8YRFSZCG3L608EHIHIHFY4" localSheetId="12" hidden="1">#REF!</definedName>
    <definedName name="BEx5FO8YRFSZCG3L608EHIHIHFY4" localSheetId="9" hidden="1">'Customer data'!#REF!</definedName>
    <definedName name="BEx5FO8YRFSZCG3L608EHIHIHFY4" localSheetId="8" hidden="1">'Largest debtors'!#REF!</definedName>
    <definedName name="BEx5FO8YRFSZCG3L608EHIHIHFY4" localSheetId="11" hidden="1">#REF!</definedName>
    <definedName name="BEx5FO8YRFSZCG3L608EHIHIHFY4" localSheetId="6" hidden="1">Stock!#REF!</definedName>
    <definedName name="BEx5FO8YRFSZCG3L608EHIHIHFY4" hidden="1">#REF!</definedName>
    <definedName name="BEx5FQNA6V4CNYSH013K45RI4BCV" localSheetId="7" hidden="1">'Aged debtors'!#REF!</definedName>
    <definedName name="BEx5FQNA6V4CNYSH013K45RI4BCV" localSheetId="10" hidden="1">#REF!</definedName>
    <definedName name="BEx5FQNA6V4CNYSH013K45RI4BCV" localSheetId="12" hidden="1">#REF!</definedName>
    <definedName name="BEx5FQNA6V4CNYSH013K45RI4BCV" localSheetId="9" hidden="1">'Customer data'!#REF!</definedName>
    <definedName name="BEx5FQNA6V4CNYSH013K45RI4BCV" localSheetId="8" hidden="1">'Largest debtors'!#REF!</definedName>
    <definedName name="BEx5FQNA6V4CNYSH013K45RI4BCV" localSheetId="11" hidden="1">#REF!</definedName>
    <definedName name="BEx5FQNA6V4CNYSH013K45RI4BCV" localSheetId="6" hidden="1">Stock!#REF!</definedName>
    <definedName name="BEx5FQNA6V4CNYSH013K45RI4BCV" hidden="1">#REF!</definedName>
    <definedName name="BEx5FVQPPEU32CPNV9RRQ9MNLLVE" localSheetId="7" hidden="1">'Aged debtors'!#REF!</definedName>
    <definedName name="BEx5FVQPPEU32CPNV9RRQ9MNLLVE" localSheetId="10" hidden="1">#REF!</definedName>
    <definedName name="BEx5FVQPPEU32CPNV9RRQ9MNLLVE" localSheetId="12" hidden="1">#REF!</definedName>
    <definedName name="BEx5FVQPPEU32CPNV9RRQ9MNLLVE" localSheetId="9" hidden="1">'Customer data'!#REF!</definedName>
    <definedName name="BEx5FVQPPEU32CPNV9RRQ9MNLLVE" localSheetId="8" hidden="1">'Largest debtors'!#REF!</definedName>
    <definedName name="BEx5FVQPPEU32CPNV9RRQ9MNLLVE" localSheetId="11" hidden="1">#REF!</definedName>
    <definedName name="BEx5FVQPPEU32CPNV9RRQ9MNLLVE" localSheetId="6" hidden="1">Stock!#REF!</definedName>
    <definedName name="BEx5FVQPPEU32CPNV9RRQ9MNLLVE" hidden="1">#REF!</definedName>
    <definedName name="BEx5G1L0QO91KEPDMV1D8OT4BT73" localSheetId="7" hidden="1">'Aged debtors'!#REF!</definedName>
    <definedName name="BEx5G1L0QO91KEPDMV1D8OT4BT73" localSheetId="10" hidden="1">#REF!</definedName>
    <definedName name="BEx5G1L0QO91KEPDMV1D8OT4BT73" localSheetId="12" hidden="1">#REF!</definedName>
    <definedName name="BEx5G1L0QO91KEPDMV1D8OT4BT73" localSheetId="9" hidden="1">'Customer data'!#REF!</definedName>
    <definedName name="BEx5G1L0QO91KEPDMV1D8OT4BT73" localSheetId="8" hidden="1">'Largest debtors'!#REF!</definedName>
    <definedName name="BEx5G1L0QO91KEPDMV1D8OT4BT73" localSheetId="11" hidden="1">#REF!</definedName>
    <definedName name="BEx5G1L0QO91KEPDMV1D8OT4BT73" localSheetId="6" hidden="1">Stock!#REF!</definedName>
    <definedName name="BEx5G1L0QO91KEPDMV1D8OT4BT73" hidden="1">#REF!</definedName>
    <definedName name="BEx5G86DZL1VYUX6KWODAP3WFAWP" localSheetId="7" hidden="1">'Aged debtors'!#REF!</definedName>
    <definedName name="BEx5G86DZL1VYUX6KWODAP3WFAWP" localSheetId="10" hidden="1">#REF!</definedName>
    <definedName name="BEx5G86DZL1VYUX6KWODAP3WFAWP" localSheetId="12" hidden="1">#REF!</definedName>
    <definedName name="BEx5G86DZL1VYUX6KWODAP3WFAWP" localSheetId="9" hidden="1">'Customer data'!#REF!</definedName>
    <definedName name="BEx5G86DZL1VYUX6KWODAP3WFAWP" localSheetId="8" hidden="1">'Largest debtors'!#REF!</definedName>
    <definedName name="BEx5G86DZL1VYUX6KWODAP3WFAWP" localSheetId="11" hidden="1">#REF!</definedName>
    <definedName name="BEx5G86DZL1VYUX6KWODAP3WFAWP" localSheetId="6" hidden="1">Stock!#REF!</definedName>
    <definedName name="BEx5G86DZL1VYUX6KWODAP3WFAWP" hidden="1">#REF!</definedName>
    <definedName name="BEx5GID9MVBUPFFT9M8K8B5MO9NV" localSheetId="7" hidden="1">'Aged debtors'!#REF!</definedName>
    <definedName name="BEx5GID9MVBUPFFT9M8K8B5MO9NV" localSheetId="10" hidden="1">#REF!</definedName>
    <definedName name="BEx5GID9MVBUPFFT9M8K8B5MO9NV" localSheetId="12" hidden="1">#REF!</definedName>
    <definedName name="BEx5GID9MVBUPFFT9M8K8B5MO9NV" localSheetId="9" hidden="1">'Customer data'!#REF!</definedName>
    <definedName name="BEx5GID9MVBUPFFT9M8K8B5MO9NV" localSheetId="8" hidden="1">'Largest debtors'!#REF!</definedName>
    <definedName name="BEx5GID9MVBUPFFT9M8K8B5MO9NV" localSheetId="11" hidden="1">#REF!</definedName>
    <definedName name="BEx5GID9MVBUPFFT9M8K8B5MO9NV" localSheetId="6" hidden="1">Stock!#REF!</definedName>
    <definedName name="BEx5GID9MVBUPFFT9M8K8B5MO9NV" hidden="1">#REF!</definedName>
    <definedName name="BEx5GN0EWA9SCQDPQ7NTUQH82QVK" localSheetId="7" hidden="1">'Aged debtors'!#REF!</definedName>
    <definedName name="BEx5GN0EWA9SCQDPQ7NTUQH82QVK" localSheetId="10" hidden="1">#REF!</definedName>
    <definedName name="BEx5GN0EWA9SCQDPQ7NTUQH82QVK" localSheetId="12" hidden="1">#REF!</definedName>
    <definedName name="BEx5GN0EWA9SCQDPQ7NTUQH82QVK" localSheetId="9" hidden="1">'Customer data'!#REF!</definedName>
    <definedName name="BEx5GN0EWA9SCQDPQ7NTUQH82QVK" localSheetId="8" hidden="1">'Largest debtors'!#REF!</definedName>
    <definedName name="BEx5GN0EWA9SCQDPQ7NTUQH82QVK" localSheetId="11" hidden="1">#REF!</definedName>
    <definedName name="BEx5GN0EWA9SCQDPQ7NTUQH82QVK" localSheetId="6" hidden="1">Stock!#REF!</definedName>
    <definedName name="BEx5GN0EWA9SCQDPQ7NTUQH82QVK" hidden="1">#REF!</definedName>
    <definedName name="BEx5GUCTYC7QCWGWU5BTO7Y7HDZX" localSheetId="7" hidden="1">'Aged debtors'!#REF!</definedName>
    <definedName name="BEx5GUCTYC7QCWGWU5BTO7Y7HDZX" localSheetId="10" hidden="1">#REF!</definedName>
    <definedName name="BEx5GUCTYC7QCWGWU5BTO7Y7HDZX" localSheetId="12" hidden="1">#REF!</definedName>
    <definedName name="BEx5GUCTYC7QCWGWU5BTO7Y7HDZX" localSheetId="9" hidden="1">'Customer data'!#REF!</definedName>
    <definedName name="BEx5GUCTYC7QCWGWU5BTO7Y7HDZX" localSheetId="8" hidden="1">'Largest debtors'!#REF!</definedName>
    <definedName name="BEx5GUCTYC7QCWGWU5BTO7Y7HDZX" localSheetId="11" hidden="1">#REF!</definedName>
    <definedName name="BEx5GUCTYC7QCWGWU5BTO7Y7HDZX" localSheetId="6" hidden="1">Stock!#REF!</definedName>
    <definedName name="BEx5GUCTYC7QCWGWU5BTO7Y7HDZX" hidden="1">#REF!</definedName>
    <definedName name="BEx5GYUPJULJQ624TEESYFG1NFOH" localSheetId="7" hidden="1">'Aged debtors'!#REF!</definedName>
    <definedName name="BEx5GYUPJULJQ624TEESYFG1NFOH" localSheetId="10" hidden="1">#REF!</definedName>
    <definedName name="BEx5GYUPJULJQ624TEESYFG1NFOH" localSheetId="12" hidden="1">#REF!</definedName>
    <definedName name="BEx5GYUPJULJQ624TEESYFG1NFOH" localSheetId="9" hidden="1">'Customer data'!#REF!</definedName>
    <definedName name="BEx5GYUPJULJQ624TEESYFG1NFOH" localSheetId="8" hidden="1">'Largest debtors'!#REF!</definedName>
    <definedName name="BEx5GYUPJULJQ624TEESYFG1NFOH" localSheetId="11" hidden="1">#REF!</definedName>
    <definedName name="BEx5GYUPJULJQ624TEESYFG1NFOH" localSheetId="6" hidden="1">Stock!#REF!</definedName>
    <definedName name="BEx5GYUPJULJQ624TEESYFG1NFOH" hidden="1">#REF!</definedName>
    <definedName name="BEx5H0NEE0AIN5E2UHJ9J9ISU9N1" localSheetId="7" hidden="1">'Aged debtors'!#REF!</definedName>
    <definedName name="BEx5H0NEE0AIN5E2UHJ9J9ISU9N1" localSheetId="10" hidden="1">#REF!</definedName>
    <definedName name="BEx5H0NEE0AIN5E2UHJ9J9ISU9N1" localSheetId="12" hidden="1">#REF!</definedName>
    <definedName name="BEx5H0NEE0AIN5E2UHJ9J9ISU9N1" localSheetId="9" hidden="1">'Customer data'!#REF!</definedName>
    <definedName name="BEx5H0NEE0AIN5E2UHJ9J9ISU9N1" localSheetId="8" hidden="1">'Largest debtors'!#REF!</definedName>
    <definedName name="BEx5H0NEE0AIN5E2UHJ9J9ISU9N1" localSheetId="11" hidden="1">#REF!</definedName>
    <definedName name="BEx5H0NEE0AIN5E2UHJ9J9ISU9N1" localSheetId="6" hidden="1">Stock!#REF!</definedName>
    <definedName name="BEx5H0NEE0AIN5E2UHJ9J9ISU9N1" hidden="1">#REF!</definedName>
    <definedName name="BEx5H1UJSEUQM2K8QHQXO5THVHSO" localSheetId="7" hidden="1">'Aged debtors'!#REF!</definedName>
    <definedName name="BEx5H1UJSEUQM2K8QHQXO5THVHSO" localSheetId="10" hidden="1">#REF!</definedName>
    <definedName name="BEx5H1UJSEUQM2K8QHQXO5THVHSO" localSheetId="12" hidden="1">#REF!</definedName>
    <definedName name="BEx5H1UJSEUQM2K8QHQXO5THVHSO" localSheetId="9" hidden="1">'Customer data'!#REF!</definedName>
    <definedName name="BEx5H1UJSEUQM2K8QHQXO5THVHSO" localSheetId="8" hidden="1">'Largest debtors'!#REF!</definedName>
    <definedName name="BEx5H1UJSEUQM2K8QHQXO5THVHSO" localSheetId="11" hidden="1">#REF!</definedName>
    <definedName name="BEx5H1UJSEUQM2K8QHQXO5THVHSO" localSheetId="6" hidden="1">Stock!#REF!</definedName>
    <definedName name="BEx5H1UJSEUQM2K8QHQXO5THVHSO" hidden="1">#REF!</definedName>
    <definedName name="BEx5HFHMABAT0H9KKS754X4T304E" localSheetId="7" hidden="1">'Aged debtors'!#REF!</definedName>
    <definedName name="BEx5HFHMABAT0H9KKS754X4T304E" localSheetId="10" hidden="1">#REF!</definedName>
    <definedName name="BEx5HFHMABAT0H9KKS754X4T304E" localSheetId="12" hidden="1">#REF!</definedName>
    <definedName name="BEx5HFHMABAT0H9KKS754X4T304E" localSheetId="9" hidden="1">'Customer data'!#REF!</definedName>
    <definedName name="BEx5HFHMABAT0H9KKS754X4T304E" localSheetId="8" hidden="1">'Largest debtors'!#REF!</definedName>
    <definedName name="BEx5HFHMABAT0H9KKS754X4T304E" localSheetId="11" hidden="1">#REF!</definedName>
    <definedName name="BEx5HFHMABAT0H9KKS754X4T304E" localSheetId="6" hidden="1">Stock!#REF!</definedName>
    <definedName name="BEx5HFHMABAT0H9KKS754X4T304E" hidden="1">#REF!</definedName>
    <definedName name="BEx5HJZ9FAVNZSSBTAYRPZDYM9NU" localSheetId="7" hidden="1">'Aged debtors'!#REF!</definedName>
    <definedName name="BEx5HJZ9FAVNZSSBTAYRPZDYM9NU" localSheetId="10" hidden="1">#REF!</definedName>
    <definedName name="BEx5HJZ9FAVNZSSBTAYRPZDYM9NU" localSheetId="12" hidden="1">#REF!</definedName>
    <definedName name="BEx5HJZ9FAVNZSSBTAYRPZDYM9NU" localSheetId="9" hidden="1">'Customer data'!#REF!</definedName>
    <definedName name="BEx5HJZ9FAVNZSSBTAYRPZDYM9NU" localSheetId="8" hidden="1">'Largest debtors'!#REF!</definedName>
    <definedName name="BEx5HJZ9FAVNZSSBTAYRPZDYM9NU" localSheetId="11" hidden="1">#REF!</definedName>
    <definedName name="BEx5HJZ9FAVNZSSBTAYRPZDYM9NU" localSheetId="6" hidden="1">Stock!#REF!</definedName>
    <definedName name="BEx5HJZ9FAVNZSSBTAYRPZDYM9NU" hidden="1">#REF!</definedName>
    <definedName name="BEx5HORX6SRPD9I5127PYWMH813O" localSheetId="7" hidden="1">'Aged debtors'!#REF!</definedName>
    <definedName name="BEx5HORX6SRPD9I5127PYWMH813O" localSheetId="10" hidden="1">#REF!</definedName>
    <definedName name="BEx5HORX6SRPD9I5127PYWMH813O" localSheetId="12" hidden="1">#REF!</definedName>
    <definedName name="BEx5HORX6SRPD9I5127PYWMH813O" localSheetId="9" hidden="1">'Customer data'!#REF!</definedName>
    <definedName name="BEx5HORX6SRPD9I5127PYWMH813O" localSheetId="8" hidden="1">'Largest debtors'!#REF!</definedName>
    <definedName name="BEx5HORX6SRPD9I5127PYWMH813O" localSheetId="11" hidden="1">#REF!</definedName>
    <definedName name="BEx5HORX6SRPD9I5127PYWMH813O" localSheetId="6" hidden="1">Stock!#REF!</definedName>
    <definedName name="BEx5HORX6SRPD9I5127PYWMH813O" hidden="1">#REF!</definedName>
    <definedName name="BEx5HZ9JMKHNLFWLVUB1WP5B39BL" localSheetId="7" hidden="1">'Aged debtors'!#REF!</definedName>
    <definedName name="BEx5HZ9JMKHNLFWLVUB1WP5B39BL" localSheetId="10" hidden="1">#REF!</definedName>
    <definedName name="BEx5HZ9JMKHNLFWLVUB1WP5B39BL" localSheetId="12" hidden="1">#REF!</definedName>
    <definedName name="BEx5HZ9JMKHNLFWLVUB1WP5B39BL" localSheetId="9" hidden="1">'Customer data'!#REF!</definedName>
    <definedName name="BEx5HZ9JMKHNLFWLVUB1WP5B39BL" localSheetId="8" hidden="1">'Largest debtors'!#REF!</definedName>
    <definedName name="BEx5HZ9JMKHNLFWLVUB1WP5B39BL" localSheetId="11" hidden="1">#REF!</definedName>
    <definedName name="BEx5HZ9JMKHNLFWLVUB1WP5B39BL" localSheetId="6" hidden="1">Stock!#REF!</definedName>
    <definedName name="BEx5HZ9JMKHNLFWLVUB1WP5B39BL" hidden="1">#REF!</definedName>
    <definedName name="BEx5I8PBP4LIXDGID5BP0THLO0AQ" localSheetId="7" hidden="1">'Aged debtors'!#REF!</definedName>
    <definedName name="BEx5I8PBP4LIXDGID5BP0THLO0AQ" localSheetId="10" hidden="1">#REF!</definedName>
    <definedName name="BEx5I8PBP4LIXDGID5BP0THLO0AQ" localSheetId="12" hidden="1">#REF!</definedName>
    <definedName name="BEx5I8PBP4LIXDGID5BP0THLO0AQ" localSheetId="9" hidden="1">'Customer data'!#REF!</definedName>
    <definedName name="BEx5I8PBP4LIXDGID5BP0THLO0AQ" localSheetId="8" hidden="1">'Largest debtors'!#REF!</definedName>
    <definedName name="BEx5I8PBP4LIXDGID5BP0THLO0AQ" localSheetId="11" hidden="1">#REF!</definedName>
    <definedName name="BEx5I8PBP4LIXDGID5BP0THLO0AQ" localSheetId="6" hidden="1">Stock!#REF!</definedName>
    <definedName name="BEx5I8PBP4LIXDGID5BP0THLO0AQ" hidden="1">#REF!</definedName>
    <definedName name="BEx5J0FFP1KS4NGY20AEJI8VREEA" localSheetId="7" hidden="1">'Aged debtors'!#REF!</definedName>
    <definedName name="BEx5J0FFP1KS4NGY20AEJI8VREEA" localSheetId="10" hidden="1">#REF!</definedName>
    <definedName name="BEx5J0FFP1KS4NGY20AEJI8VREEA" localSheetId="12" hidden="1">#REF!</definedName>
    <definedName name="BEx5J0FFP1KS4NGY20AEJI8VREEA" localSheetId="9" hidden="1">'Customer data'!#REF!</definedName>
    <definedName name="BEx5J0FFP1KS4NGY20AEJI8VREEA" localSheetId="8" hidden="1">'Largest debtors'!#REF!</definedName>
    <definedName name="BEx5J0FFP1KS4NGY20AEJI8VREEA" localSheetId="11" hidden="1">#REF!</definedName>
    <definedName name="BEx5J0FFP1KS4NGY20AEJI8VREEA" localSheetId="6" hidden="1">Stock!#REF!</definedName>
    <definedName name="BEx5J0FFP1KS4NGY20AEJI8VREEA" hidden="1">#REF!</definedName>
    <definedName name="BEx5JF3ZXLDIS8VNKDCY7ZI7H1CI" localSheetId="7" hidden="1">'Aged debtors'!#REF!</definedName>
    <definedName name="BEx5JF3ZXLDIS8VNKDCY7ZI7H1CI" localSheetId="10" hidden="1">#REF!</definedName>
    <definedName name="BEx5JF3ZXLDIS8VNKDCY7ZI7H1CI" localSheetId="12" hidden="1">#REF!</definedName>
    <definedName name="BEx5JF3ZXLDIS8VNKDCY7ZI7H1CI" localSheetId="9" hidden="1">'Customer data'!#REF!</definedName>
    <definedName name="BEx5JF3ZXLDIS8VNKDCY7ZI7H1CI" localSheetId="8" hidden="1">'Largest debtors'!#REF!</definedName>
    <definedName name="BEx5JF3ZXLDIS8VNKDCY7ZI7H1CI" localSheetId="11" hidden="1">#REF!</definedName>
    <definedName name="BEx5JF3ZXLDIS8VNKDCY7ZI7H1CI" localSheetId="6" hidden="1">Stock!#REF!</definedName>
    <definedName name="BEx5JF3ZXLDIS8VNKDCY7ZI7H1CI" hidden="1">#REF!</definedName>
    <definedName name="BEx5JHCZJ8G6OOOW6EF3GABXKH6F" localSheetId="7" hidden="1">'Aged debtors'!#REF!</definedName>
    <definedName name="BEx5JHCZJ8G6OOOW6EF3GABXKH6F" localSheetId="10" hidden="1">#REF!</definedName>
    <definedName name="BEx5JHCZJ8G6OOOW6EF3GABXKH6F" localSheetId="12" hidden="1">#REF!</definedName>
    <definedName name="BEx5JHCZJ8G6OOOW6EF3GABXKH6F" localSheetId="9" hidden="1">'Customer data'!#REF!</definedName>
    <definedName name="BEx5JHCZJ8G6OOOW6EF3GABXKH6F" localSheetId="8" hidden="1">'Largest debtors'!#REF!</definedName>
    <definedName name="BEx5JHCZJ8G6OOOW6EF3GABXKH6F" localSheetId="11" hidden="1">#REF!</definedName>
    <definedName name="BEx5JHCZJ8G6OOOW6EF3GABXKH6F" localSheetId="6" hidden="1">Stock!#REF!</definedName>
    <definedName name="BEx5JHCZJ8G6OOOW6EF3GABXKH6F" hidden="1">#REF!</definedName>
    <definedName name="BEx5JJB6W446THXQCRUKD3I7RKLP" localSheetId="7" hidden="1">'Aged debtors'!#REF!</definedName>
    <definedName name="BEx5JJB6W446THXQCRUKD3I7RKLP" localSheetId="10" hidden="1">#REF!</definedName>
    <definedName name="BEx5JJB6W446THXQCRUKD3I7RKLP" localSheetId="12" hidden="1">#REF!</definedName>
    <definedName name="BEx5JJB6W446THXQCRUKD3I7RKLP" localSheetId="9" hidden="1">'Customer data'!#REF!</definedName>
    <definedName name="BEx5JJB6W446THXQCRUKD3I7RKLP" localSheetId="8" hidden="1">'Largest debtors'!#REF!</definedName>
    <definedName name="BEx5JJB6W446THXQCRUKD3I7RKLP" localSheetId="11" hidden="1">#REF!</definedName>
    <definedName name="BEx5JJB6W446THXQCRUKD3I7RKLP" localSheetId="6" hidden="1">Stock!#REF!</definedName>
    <definedName name="BEx5JJB6W446THXQCRUKD3I7RKLP" hidden="1">#REF!</definedName>
    <definedName name="BEx5K08PYKE6JOKBYIB006TX619P" localSheetId="7" hidden="1">'Aged debtors'!#REF!</definedName>
    <definedName name="BEx5K08PYKE6JOKBYIB006TX619P" localSheetId="10" hidden="1">#REF!</definedName>
    <definedName name="BEx5K08PYKE6JOKBYIB006TX619P" localSheetId="12" hidden="1">#REF!</definedName>
    <definedName name="BEx5K08PYKE6JOKBYIB006TX619P" localSheetId="9" hidden="1">'Customer data'!#REF!</definedName>
    <definedName name="BEx5K08PYKE6JOKBYIB006TX619P" localSheetId="8" hidden="1">'Largest debtors'!#REF!</definedName>
    <definedName name="BEx5K08PYKE6JOKBYIB006TX619P" localSheetId="11" hidden="1">#REF!</definedName>
    <definedName name="BEx5K08PYKE6JOKBYIB006TX619P" localSheetId="6" hidden="1">Stock!#REF!</definedName>
    <definedName name="BEx5K08PYKE6JOKBYIB006TX619P" hidden="1">#REF!</definedName>
    <definedName name="BEx5K51DSERT1TR7B4A29R41W4NX" localSheetId="7" hidden="1">'Aged debtors'!#REF!</definedName>
    <definedName name="BEx5K51DSERT1TR7B4A29R41W4NX" localSheetId="10" hidden="1">#REF!</definedName>
    <definedName name="BEx5K51DSERT1TR7B4A29R41W4NX" localSheetId="12" hidden="1">#REF!</definedName>
    <definedName name="BEx5K51DSERT1TR7B4A29R41W4NX" localSheetId="9" hidden="1">'Customer data'!#REF!</definedName>
    <definedName name="BEx5K51DSERT1TR7B4A29R41W4NX" localSheetId="8" hidden="1">'Largest debtors'!#REF!</definedName>
    <definedName name="BEx5K51DSERT1TR7B4A29R41W4NX" localSheetId="11" hidden="1">#REF!</definedName>
    <definedName name="BEx5K51DSERT1TR7B4A29R41W4NX" localSheetId="6" hidden="1">Stock!#REF!</definedName>
    <definedName name="BEx5K51DSERT1TR7B4A29R41W4NX" hidden="1">#REF!</definedName>
    <definedName name="BEx5KYER580I4T7WTLMUN7NLNP5K" localSheetId="7" hidden="1">'Aged debtors'!#REF!</definedName>
    <definedName name="BEx5KYER580I4T7WTLMUN7NLNP5K" localSheetId="10" hidden="1">#REF!</definedName>
    <definedName name="BEx5KYER580I4T7WTLMUN7NLNP5K" localSheetId="12" hidden="1">#REF!</definedName>
    <definedName name="BEx5KYER580I4T7WTLMUN7NLNP5K" localSheetId="9" hidden="1">'Customer data'!#REF!</definedName>
    <definedName name="BEx5KYER580I4T7WTLMUN7NLNP5K" localSheetId="8" hidden="1">'Largest debtors'!#REF!</definedName>
    <definedName name="BEx5KYER580I4T7WTLMUN7NLNP5K" localSheetId="11" hidden="1">#REF!</definedName>
    <definedName name="BEx5KYER580I4T7WTLMUN7NLNP5K" localSheetId="6" hidden="1">Stock!#REF!</definedName>
    <definedName name="BEx5KYER580I4T7WTLMUN7NLNP5K" hidden="1">#REF!</definedName>
    <definedName name="BEx5LHLB3M6K4ZKY2F42QBZT30ZH" localSheetId="7" hidden="1">'Aged debtors'!#REF!</definedName>
    <definedName name="BEx5LHLB3M6K4ZKY2F42QBZT30ZH" localSheetId="10" hidden="1">#REF!</definedName>
    <definedName name="BEx5LHLB3M6K4ZKY2F42QBZT30ZH" localSheetId="12" hidden="1">#REF!</definedName>
    <definedName name="BEx5LHLB3M6K4ZKY2F42QBZT30ZH" localSheetId="9" hidden="1">'Customer data'!#REF!</definedName>
    <definedName name="BEx5LHLB3M6K4ZKY2F42QBZT30ZH" localSheetId="8" hidden="1">'Largest debtors'!#REF!</definedName>
    <definedName name="BEx5LHLB3M6K4ZKY2F42QBZT30ZH" localSheetId="11" hidden="1">#REF!</definedName>
    <definedName name="BEx5LHLB3M6K4ZKY2F42QBZT30ZH" localSheetId="6" hidden="1">Stock!#REF!</definedName>
    <definedName name="BEx5LHLB3M6K4ZKY2F42QBZT30ZH" hidden="1">#REF!</definedName>
    <definedName name="BEx5LRMNU3HXIE1BUMDHRU31F7JJ" localSheetId="7" hidden="1">'Aged debtors'!#REF!</definedName>
    <definedName name="BEx5LRMNU3HXIE1BUMDHRU31F7JJ" localSheetId="10" hidden="1">#REF!</definedName>
    <definedName name="BEx5LRMNU3HXIE1BUMDHRU31F7JJ" localSheetId="12" hidden="1">#REF!</definedName>
    <definedName name="BEx5LRMNU3HXIE1BUMDHRU31F7JJ" localSheetId="9" hidden="1">'Customer data'!#REF!</definedName>
    <definedName name="BEx5LRMNU3HXIE1BUMDHRU31F7JJ" localSheetId="8" hidden="1">'Largest debtors'!#REF!</definedName>
    <definedName name="BEx5LRMNU3HXIE1BUMDHRU31F7JJ" localSheetId="11" hidden="1">#REF!</definedName>
    <definedName name="BEx5LRMNU3HXIE1BUMDHRU31F7JJ" localSheetId="6" hidden="1">Stock!#REF!</definedName>
    <definedName name="BEx5LRMNU3HXIE1BUMDHRU31F7JJ" hidden="1">#REF!</definedName>
    <definedName name="BEx5LSJ1LPUAX3ENSPECWPG4J7D1" localSheetId="7" hidden="1">'Aged debtors'!#REF!</definedName>
    <definedName name="BEx5LSJ1LPUAX3ENSPECWPG4J7D1" localSheetId="10" hidden="1">#REF!</definedName>
    <definedName name="BEx5LSJ1LPUAX3ENSPECWPG4J7D1" localSheetId="12" hidden="1">#REF!</definedName>
    <definedName name="BEx5LSJ1LPUAX3ENSPECWPG4J7D1" localSheetId="9" hidden="1">'Customer data'!#REF!</definedName>
    <definedName name="BEx5LSJ1LPUAX3ENSPECWPG4J7D1" localSheetId="8" hidden="1">'Largest debtors'!#REF!</definedName>
    <definedName name="BEx5LSJ1LPUAX3ENSPECWPG4J7D1" localSheetId="11" hidden="1">#REF!</definedName>
    <definedName name="BEx5LSJ1LPUAX3ENSPECWPG4J7D1" localSheetId="6" hidden="1">Stock!#REF!</definedName>
    <definedName name="BEx5LSJ1LPUAX3ENSPECWPG4J7D1" hidden="1">#REF!</definedName>
    <definedName name="BEx5MB9BR71LZDG7XXQ2EO58JC5F" localSheetId="7" hidden="1">'Aged debtors'!#REF!</definedName>
    <definedName name="BEx5MB9BR71LZDG7XXQ2EO58JC5F" localSheetId="10" hidden="1">#REF!</definedName>
    <definedName name="BEx5MB9BR71LZDG7XXQ2EO58JC5F" localSheetId="12" hidden="1">#REF!</definedName>
    <definedName name="BEx5MB9BR71LZDG7XXQ2EO58JC5F" localSheetId="9" hidden="1">'Customer data'!#REF!</definedName>
    <definedName name="BEx5MB9BR71LZDG7XXQ2EO58JC5F" localSheetId="8" hidden="1">'Largest debtors'!#REF!</definedName>
    <definedName name="BEx5MB9BR71LZDG7XXQ2EO58JC5F" localSheetId="11" hidden="1">#REF!</definedName>
    <definedName name="BEx5MB9BR71LZDG7XXQ2EO58JC5F" localSheetId="6" hidden="1">Stock!#REF!</definedName>
    <definedName name="BEx5MB9BR71LZDG7XXQ2EO58JC5F" hidden="1">#REF!</definedName>
    <definedName name="BEx5MLQZM68YQSKARVWTTPINFQ2C" localSheetId="7" hidden="1">'Aged debtors'!#REF!</definedName>
    <definedName name="BEx5MLQZM68YQSKARVWTTPINFQ2C" localSheetId="10" hidden="1">#REF!</definedName>
    <definedName name="BEx5MLQZM68YQSKARVWTTPINFQ2C" localSheetId="12" hidden="1">#REF!</definedName>
    <definedName name="BEx5MLQZM68YQSKARVWTTPINFQ2C" localSheetId="9" hidden="1">'Customer data'!#REF!</definedName>
    <definedName name="BEx5MLQZM68YQSKARVWTTPINFQ2C" localSheetId="8" hidden="1">'Largest debtors'!#REF!</definedName>
    <definedName name="BEx5MLQZM68YQSKARVWTTPINFQ2C" localSheetId="11" hidden="1">#REF!</definedName>
    <definedName name="BEx5MLQZM68YQSKARVWTTPINFQ2C" localSheetId="6" hidden="1">Stock!#REF!</definedName>
    <definedName name="BEx5MLQZM68YQSKARVWTTPINFQ2C" hidden="1">#REF!</definedName>
    <definedName name="BEx5NA68N6FJFX9UJXK4M14U487F" localSheetId="7" hidden="1">'Aged debtors'!#REF!</definedName>
    <definedName name="BEx5NA68N6FJFX9UJXK4M14U487F" localSheetId="10" hidden="1">#REF!</definedName>
    <definedName name="BEx5NA68N6FJFX9UJXK4M14U487F" localSheetId="12" hidden="1">#REF!</definedName>
    <definedName name="BEx5NA68N6FJFX9UJXK4M14U487F" localSheetId="9" hidden="1">'Customer data'!#REF!</definedName>
    <definedName name="BEx5NA68N6FJFX9UJXK4M14U487F" localSheetId="8" hidden="1">'Largest debtors'!#REF!</definedName>
    <definedName name="BEx5NA68N6FJFX9UJXK4M14U487F" localSheetId="11" hidden="1">#REF!</definedName>
    <definedName name="BEx5NA68N6FJFX9UJXK4M14U487F" localSheetId="6" hidden="1">Stock!#REF!</definedName>
    <definedName name="BEx5NA68N6FJFX9UJXK4M14U487F" hidden="1">#REF!</definedName>
    <definedName name="BEx5NIKBG2GDJOYGE3WCXKU7YY51" localSheetId="7" hidden="1">'Aged debtors'!#REF!</definedName>
    <definedName name="BEx5NIKBG2GDJOYGE3WCXKU7YY51" localSheetId="10" hidden="1">#REF!</definedName>
    <definedName name="BEx5NIKBG2GDJOYGE3WCXKU7YY51" localSheetId="12" hidden="1">#REF!</definedName>
    <definedName name="BEx5NIKBG2GDJOYGE3WCXKU7YY51" localSheetId="9" hidden="1">'Customer data'!#REF!</definedName>
    <definedName name="BEx5NIKBG2GDJOYGE3WCXKU7YY51" localSheetId="8" hidden="1">'Largest debtors'!#REF!</definedName>
    <definedName name="BEx5NIKBG2GDJOYGE3WCXKU7YY51" localSheetId="11" hidden="1">#REF!</definedName>
    <definedName name="BEx5NIKBG2GDJOYGE3WCXKU7YY51" localSheetId="6" hidden="1">Stock!#REF!</definedName>
    <definedName name="BEx5NIKBG2GDJOYGE3WCXKU7YY51" hidden="1">#REF!</definedName>
    <definedName name="BEx5NZSSQ6PY99ZX2D7Q9IGOR34W" localSheetId="7" hidden="1">'Aged debtors'!#REF!</definedName>
    <definedName name="BEx5NZSSQ6PY99ZX2D7Q9IGOR34W" localSheetId="10" hidden="1">#REF!</definedName>
    <definedName name="BEx5NZSSQ6PY99ZX2D7Q9IGOR34W" localSheetId="12" hidden="1">#REF!</definedName>
    <definedName name="BEx5NZSSQ6PY99ZX2D7Q9IGOR34W" localSheetId="9" hidden="1">'Customer data'!#REF!</definedName>
    <definedName name="BEx5NZSSQ6PY99ZX2D7Q9IGOR34W" localSheetId="8" hidden="1">'Largest debtors'!#REF!</definedName>
    <definedName name="BEx5NZSSQ6PY99ZX2D7Q9IGOR34W" localSheetId="11" hidden="1">#REF!</definedName>
    <definedName name="BEx5NZSSQ6PY99ZX2D7Q9IGOR34W" localSheetId="6" hidden="1">Stock!#REF!</definedName>
    <definedName name="BEx5NZSSQ6PY99ZX2D7Q9IGOR34W" hidden="1">#REF!</definedName>
    <definedName name="BEx5O3ZUQ2OARA1CDOZ3NC4UE5AA" localSheetId="7" hidden="1">'Aged debtors'!#REF!</definedName>
    <definedName name="BEx5O3ZUQ2OARA1CDOZ3NC4UE5AA" localSheetId="10" hidden="1">#REF!</definedName>
    <definedName name="BEx5O3ZUQ2OARA1CDOZ3NC4UE5AA" localSheetId="12" hidden="1">#REF!</definedName>
    <definedName name="BEx5O3ZUQ2OARA1CDOZ3NC4UE5AA" localSheetId="9" hidden="1">'Customer data'!#REF!</definedName>
    <definedName name="BEx5O3ZUQ2OARA1CDOZ3NC4UE5AA" localSheetId="8" hidden="1">'Largest debtors'!#REF!</definedName>
    <definedName name="BEx5O3ZUQ2OARA1CDOZ3NC4UE5AA" localSheetId="11" hidden="1">#REF!</definedName>
    <definedName name="BEx5O3ZUQ2OARA1CDOZ3NC4UE5AA" localSheetId="6" hidden="1">Stock!#REF!</definedName>
    <definedName name="BEx5O3ZUQ2OARA1CDOZ3NC4UE5AA" hidden="1">#REF!</definedName>
    <definedName name="BEx5OAFS0NJ2CB86A02E1JYHMLQ1" localSheetId="7" hidden="1">'Aged debtors'!#REF!</definedName>
    <definedName name="BEx5OAFS0NJ2CB86A02E1JYHMLQ1" localSheetId="10" hidden="1">#REF!</definedName>
    <definedName name="BEx5OAFS0NJ2CB86A02E1JYHMLQ1" localSheetId="12" hidden="1">#REF!</definedName>
    <definedName name="BEx5OAFS0NJ2CB86A02E1JYHMLQ1" localSheetId="9" hidden="1">'Customer data'!#REF!</definedName>
    <definedName name="BEx5OAFS0NJ2CB86A02E1JYHMLQ1" localSheetId="8" hidden="1">'Largest debtors'!#REF!</definedName>
    <definedName name="BEx5OAFS0NJ2CB86A02E1JYHMLQ1" localSheetId="11" hidden="1">#REF!</definedName>
    <definedName name="BEx5OAFS0NJ2CB86A02E1JYHMLQ1" localSheetId="6" hidden="1">Stock!#REF!</definedName>
    <definedName name="BEx5OAFS0NJ2CB86A02E1JYHMLQ1" hidden="1">#REF!</definedName>
    <definedName name="BEx5OG4RPU8W1ETWDWM234NYYYEN" localSheetId="7" hidden="1">'Aged debtors'!#REF!</definedName>
    <definedName name="BEx5OG4RPU8W1ETWDWM234NYYYEN" localSheetId="10" hidden="1">#REF!</definedName>
    <definedName name="BEx5OG4RPU8W1ETWDWM234NYYYEN" localSheetId="12" hidden="1">#REF!</definedName>
    <definedName name="BEx5OG4RPU8W1ETWDWM234NYYYEN" localSheetId="9" hidden="1">'Customer data'!#REF!</definedName>
    <definedName name="BEx5OG4RPU8W1ETWDWM234NYYYEN" localSheetId="8" hidden="1">'Largest debtors'!#REF!</definedName>
    <definedName name="BEx5OG4RPU8W1ETWDWM234NYYYEN" localSheetId="11" hidden="1">#REF!</definedName>
    <definedName name="BEx5OG4RPU8W1ETWDWM234NYYYEN" localSheetId="6" hidden="1">Stock!#REF!</definedName>
    <definedName name="BEx5OG4RPU8W1ETWDWM234NYYYEN" hidden="1">#REF!</definedName>
    <definedName name="BEx5OP9Y43F99O2IT69MKCCXGL61" localSheetId="7" hidden="1">'Aged debtors'!#REF!</definedName>
    <definedName name="BEx5OP9Y43F99O2IT69MKCCXGL61" localSheetId="10" hidden="1">#REF!</definedName>
    <definedName name="BEx5OP9Y43F99O2IT69MKCCXGL61" localSheetId="12" hidden="1">#REF!</definedName>
    <definedName name="BEx5OP9Y43F99O2IT69MKCCXGL61" localSheetId="9" hidden="1">'Customer data'!#REF!</definedName>
    <definedName name="BEx5OP9Y43F99O2IT69MKCCXGL61" localSheetId="8" hidden="1">'Largest debtors'!#REF!</definedName>
    <definedName name="BEx5OP9Y43F99O2IT69MKCCXGL61" localSheetId="11" hidden="1">#REF!</definedName>
    <definedName name="BEx5OP9Y43F99O2IT69MKCCXGL61" localSheetId="6" hidden="1">Stock!#REF!</definedName>
    <definedName name="BEx5OP9Y43F99O2IT69MKCCXGL61" hidden="1">#REF!</definedName>
    <definedName name="BEx5PJP02W68K2E46L5C5YBSNU6T" localSheetId="7" hidden="1">'Aged debtors'!#REF!</definedName>
    <definedName name="BEx5PJP02W68K2E46L5C5YBSNU6T" localSheetId="10" hidden="1">#REF!</definedName>
    <definedName name="BEx5PJP02W68K2E46L5C5YBSNU6T" localSheetId="12" hidden="1">#REF!</definedName>
    <definedName name="BEx5PJP02W68K2E46L5C5YBSNU6T" localSheetId="9" hidden="1">'Customer data'!#REF!</definedName>
    <definedName name="BEx5PJP02W68K2E46L5C5YBSNU6T" localSheetId="8" hidden="1">'Largest debtors'!#REF!</definedName>
    <definedName name="BEx5PJP02W68K2E46L5C5YBSNU6T" localSheetId="11" hidden="1">#REF!</definedName>
    <definedName name="BEx5PJP02W68K2E46L5C5YBSNU6T" localSheetId="6" hidden="1">Stock!#REF!</definedName>
    <definedName name="BEx5PJP02W68K2E46L5C5YBSNU6T" hidden="1">#REF!</definedName>
    <definedName name="BEx5PRXMZ5M65Z732WNNGV564C2J" localSheetId="7" hidden="1">'Aged debtors'!#REF!</definedName>
    <definedName name="BEx5PRXMZ5M65Z732WNNGV564C2J" localSheetId="10" hidden="1">#REF!</definedName>
    <definedName name="BEx5PRXMZ5M65Z732WNNGV564C2J" localSheetId="12" hidden="1">#REF!</definedName>
    <definedName name="BEx5PRXMZ5M65Z732WNNGV564C2J" localSheetId="9" hidden="1">'Customer data'!#REF!</definedName>
    <definedName name="BEx5PRXMZ5M65Z732WNNGV564C2J" localSheetId="8" hidden="1">'Largest debtors'!#REF!</definedName>
    <definedName name="BEx5PRXMZ5M65Z732WNNGV564C2J" localSheetId="11" hidden="1">#REF!</definedName>
    <definedName name="BEx5PRXMZ5M65Z732WNNGV564C2J" localSheetId="6" hidden="1">Stock!#REF!</definedName>
    <definedName name="BEx5PRXMZ5M65Z732WNNGV564C2J" hidden="1">#REF!</definedName>
    <definedName name="BEx73V0EP8EMNRC3EZJJKKVKWQVB" localSheetId="7" hidden="1">'Aged debtors'!#REF!</definedName>
    <definedName name="BEx73V0EP8EMNRC3EZJJKKVKWQVB" localSheetId="10" hidden="1">#REF!</definedName>
    <definedName name="BEx73V0EP8EMNRC3EZJJKKVKWQVB" localSheetId="12" hidden="1">#REF!</definedName>
    <definedName name="BEx73V0EP8EMNRC3EZJJKKVKWQVB" localSheetId="9" hidden="1">'Customer data'!#REF!</definedName>
    <definedName name="BEx73V0EP8EMNRC3EZJJKKVKWQVB" localSheetId="8" hidden="1">'Largest debtors'!#REF!</definedName>
    <definedName name="BEx73V0EP8EMNRC3EZJJKKVKWQVB" localSheetId="11" hidden="1">#REF!</definedName>
    <definedName name="BEx73V0EP8EMNRC3EZJJKKVKWQVB" localSheetId="6" hidden="1">Stock!#REF!</definedName>
    <definedName name="BEx73V0EP8EMNRC3EZJJKKVKWQVB" hidden="1">#REF!</definedName>
    <definedName name="BEx741WJHIJVXUX131SBXTVW8D71" localSheetId="7" hidden="1">'Aged debtors'!#REF!</definedName>
    <definedName name="BEx741WJHIJVXUX131SBXTVW8D71" localSheetId="10" hidden="1">#REF!</definedName>
    <definedName name="BEx741WJHIJVXUX131SBXTVW8D71" localSheetId="12" hidden="1">#REF!</definedName>
    <definedName name="BEx741WJHIJVXUX131SBXTVW8D71" localSheetId="9" hidden="1">'Customer data'!#REF!</definedName>
    <definedName name="BEx741WJHIJVXUX131SBXTVW8D71" localSheetId="8" hidden="1">'Largest debtors'!#REF!</definedName>
    <definedName name="BEx741WJHIJVXUX131SBXTVW8D71" localSheetId="11" hidden="1">#REF!</definedName>
    <definedName name="BEx741WJHIJVXUX131SBXTVW8D71" localSheetId="6" hidden="1">Stock!#REF!</definedName>
    <definedName name="BEx741WJHIJVXUX131SBXTVW8D71" hidden="1">#REF!</definedName>
    <definedName name="BEx74Q6H3O7133AWQXWC21MI2UFT" localSheetId="7" hidden="1">'Aged debtors'!#REF!</definedName>
    <definedName name="BEx74Q6H3O7133AWQXWC21MI2UFT" localSheetId="10" hidden="1">#REF!</definedName>
    <definedName name="BEx74Q6H3O7133AWQXWC21MI2UFT" localSheetId="12" hidden="1">#REF!</definedName>
    <definedName name="BEx74Q6H3O7133AWQXWC21MI2UFT" localSheetId="9" hidden="1">'Customer data'!#REF!</definedName>
    <definedName name="BEx74Q6H3O7133AWQXWC21MI2UFT" localSheetId="8" hidden="1">'Largest debtors'!#REF!</definedName>
    <definedName name="BEx74Q6H3O7133AWQXWC21MI2UFT" localSheetId="11" hidden="1">#REF!</definedName>
    <definedName name="BEx74Q6H3O7133AWQXWC21MI2UFT" localSheetId="6" hidden="1">Stock!#REF!</definedName>
    <definedName name="BEx74Q6H3O7133AWQXWC21MI2UFT" hidden="1">#REF!</definedName>
    <definedName name="BEx74W6BJ8ENO3J25WNM5H5APKA3" localSheetId="7" hidden="1">'Aged debtors'!#REF!</definedName>
    <definedName name="BEx74W6BJ8ENO3J25WNM5H5APKA3" localSheetId="10" hidden="1">#REF!</definedName>
    <definedName name="BEx74W6BJ8ENO3J25WNM5H5APKA3" localSheetId="12" hidden="1">#REF!</definedName>
    <definedName name="BEx74W6BJ8ENO3J25WNM5H5APKA3" localSheetId="9" hidden="1">'Customer data'!#REF!</definedName>
    <definedName name="BEx74W6BJ8ENO3J25WNM5H5APKA3" localSheetId="8" hidden="1">'Largest debtors'!#REF!</definedName>
    <definedName name="BEx74W6BJ8ENO3J25WNM5H5APKA3" localSheetId="11" hidden="1">#REF!</definedName>
    <definedName name="BEx74W6BJ8ENO3J25WNM5H5APKA3" localSheetId="6" hidden="1">Stock!#REF!</definedName>
    <definedName name="BEx74W6BJ8ENO3J25WNM5H5APKA3" hidden="1">#REF!</definedName>
    <definedName name="BEx759D1D5SXS5ELLZVBI0SXYUNF" localSheetId="7" hidden="1">'Aged debtors'!#REF!</definedName>
    <definedName name="BEx759D1D5SXS5ELLZVBI0SXYUNF" localSheetId="10" hidden="1">#REF!</definedName>
    <definedName name="BEx759D1D5SXS5ELLZVBI0SXYUNF" localSheetId="12" hidden="1">#REF!</definedName>
    <definedName name="BEx759D1D5SXS5ELLZVBI0SXYUNF" localSheetId="9" hidden="1">'Customer data'!#REF!</definedName>
    <definedName name="BEx759D1D5SXS5ELLZVBI0SXYUNF" localSheetId="8" hidden="1">'Largest debtors'!#REF!</definedName>
    <definedName name="BEx759D1D5SXS5ELLZVBI0SXYUNF" localSheetId="11" hidden="1">#REF!</definedName>
    <definedName name="BEx759D1D5SXS5ELLZVBI0SXYUNF" localSheetId="6" hidden="1">Stock!#REF!</definedName>
    <definedName name="BEx759D1D5SXS5ELLZVBI0SXYUNF" hidden="1">#REF!</definedName>
    <definedName name="BEx75GJZSZHUDN6OOAGQYFUDA2LP" localSheetId="7" hidden="1">'Aged debtors'!#REF!</definedName>
    <definedName name="BEx75GJZSZHUDN6OOAGQYFUDA2LP" localSheetId="10" hidden="1">#REF!</definedName>
    <definedName name="BEx75GJZSZHUDN6OOAGQYFUDA2LP" localSheetId="12" hidden="1">#REF!</definedName>
    <definedName name="BEx75GJZSZHUDN6OOAGQYFUDA2LP" localSheetId="9" hidden="1">'Customer data'!#REF!</definedName>
    <definedName name="BEx75GJZSZHUDN6OOAGQYFUDA2LP" localSheetId="8" hidden="1">'Largest debtors'!#REF!</definedName>
    <definedName name="BEx75GJZSZHUDN6OOAGQYFUDA2LP" localSheetId="11" hidden="1">#REF!</definedName>
    <definedName name="BEx75GJZSZHUDN6OOAGQYFUDA2LP" localSheetId="6" hidden="1">Stock!#REF!</definedName>
    <definedName name="BEx75GJZSZHUDN6OOAGQYFUDA2LP" hidden="1">#REF!</definedName>
    <definedName name="BEx75GURI46C1M1QJ8NMS60T1Y6F" localSheetId="7" hidden="1">'Aged debtors'!#REF!</definedName>
    <definedName name="BEx75GURI46C1M1QJ8NMS60T1Y6F" localSheetId="10" hidden="1">#REF!</definedName>
    <definedName name="BEx75GURI46C1M1QJ8NMS60T1Y6F" localSheetId="12" hidden="1">#REF!</definedName>
    <definedName name="BEx75GURI46C1M1QJ8NMS60T1Y6F" localSheetId="9" hidden="1">'Customer data'!#REF!</definedName>
    <definedName name="BEx75GURI46C1M1QJ8NMS60T1Y6F" localSheetId="8" hidden="1">'Largest debtors'!#REF!</definedName>
    <definedName name="BEx75GURI46C1M1QJ8NMS60T1Y6F" localSheetId="11" hidden="1">#REF!</definedName>
    <definedName name="BEx75GURI46C1M1QJ8NMS60T1Y6F" localSheetId="6" hidden="1">Stock!#REF!</definedName>
    <definedName name="BEx75GURI46C1M1QJ8NMS60T1Y6F" hidden="1">#REF!</definedName>
    <definedName name="BEx75HGCCV5K4UCJWYV8EV9AG5YT" localSheetId="7" hidden="1">'Aged debtors'!#REF!</definedName>
    <definedName name="BEx75HGCCV5K4UCJWYV8EV9AG5YT" localSheetId="10" hidden="1">#REF!</definedName>
    <definedName name="BEx75HGCCV5K4UCJWYV8EV9AG5YT" localSheetId="12" hidden="1">#REF!</definedName>
    <definedName name="BEx75HGCCV5K4UCJWYV8EV9AG5YT" localSheetId="9" hidden="1">'Customer data'!#REF!</definedName>
    <definedName name="BEx75HGCCV5K4UCJWYV8EV9AG5YT" localSheetId="8" hidden="1">'Largest debtors'!#REF!</definedName>
    <definedName name="BEx75HGCCV5K4UCJWYV8EV9AG5YT" localSheetId="11" hidden="1">#REF!</definedName>
    <definedName name="BEx75HGCCV5K4UCJWYV8EV9AG5YT" localSheetId="6" hidden="1">Stock!#REF!</definedName>
    <definedName name="BEx75HGCCV5K4UCJWYV8EV9AG5YT" hidden="1">#REF!</definedName>
    <definedName name="BEx75T55F7GML8V1DMWL26WRT006" localSheetId="7" hidden="1">'Aged debtors'!#REF!</definedName>
    <definedName name="BEx75T55F7GML8V1DMWL26WRT006" localSheetId="10" hidden="1">#REF!</definedName>
    <definedName name="BEx75T55F7GML8V1DMWL26WRT006" localSheetId="12" hidden="1">#REF!</definedName>
    <definedName name="BEx75T55F7GML8V1DMWL26WRT006" localSheetId="9" hidden="1">'Customer data'!#REF!</definedName>
    <definedName name="BEx75T55F7GML8V1DMWL26WRT006" localSheetId="8" hidden="1">'Largest debtors'!#REF!</definedName>
    <definedName name="BEx75T55F7GML8V1DMWL26WRT006" localSheetId="11" hidden="1">#REF!</definedName>
    <definedName name="BEx75T55F7GML8V1DMWL26WRT006" localSheetId="6" hidden="1">Stock!#REF!</definedName>
    <definedName name="BEx75T55F7GML8V1DMWL26WRT006" hidden="1">#REF!</definedName>
    <definedName name="BEx75VJGR07JY6UUWURQ4PJ29UKC" localSheetId="7" hidden="1">'Aged debtors'!#REF!</definedName>
    <definedName name="BEx75VJGR07JY6UUWURQ4PJ29UKC" localSheetId="10" hidden="1">#REF!</definedName>
    <definedName name="BEx75VJGR07JY6UUWURQ4PJ29UKC" localSheetId="12" hidden="1">#REF!</definedName>
    <definedName name="BEx75VJGR07JY6UUWURQ4PJ29UKC" localSheetId="9" hidden="1">'Customer data'!#REF!</definedName>
    <definedName name="BEx75VJGR07JY6UUWURQ4PJ29UKC" localSheetId="8" hidden="1">'Largest debtors'!#REF!</definedName>
    <definedName name="BEx75VJGR07JY6UUWURQ4PJ29UKC" localSheetId="11" hidden="1">#REF!</definedName>
    <definedName name="BEx75VJGR07JY6UUWURQ4PJ29UKC" localSheetId="6" hidden="1">Stock!#REF!</definedName>
    <definedName name="BEx75VJGR07JY6UUWURQ4PJ29UKC" hidden="1">#REF!</definedName>
    <definedName name="BEx77P0S3GVMS7BJUL9OWUGJ1B02" localSheetId="7" hidden="1">'Aged debtors'!#REF!</definedName>
    <definedName name="BEx77P0S3GVMS7BJUL9OWUGJ1B02" localSheetId="10" hidden="1">#REF!</definedName>
    <definedName name="BEx77P0S3GVMS7BJUL9OWUGJ1B02" localSheetId="12" hidden="1">#REF!</definedName>
    <definedName name="BEx77P0S3GVMS7BJUL9OWUGJ1B02" localSheetId="9" hidden="1">'Customer data'!#REF!</definedName>
    <definedName name="BEx77P0S3GVMS7BJUL9OWUGJ1B02" localSheetId="8" hidden="1">'Largest debtors'!#REF!</definedName>
    <definedName name="BEx77P0S3GVMS7BJUL9OWUGJ1B02" localSheetId="11" hidden="1">#REF!</definedName>
    <definedName name="BEx77P0S3GVMS7BJUL9OWUGJ1B02" localSheetId="6" hidden="1">Stock!#REF!</definedName>
    <definedName name="BEx77P0S3GVMS7BJUL9OWUGJ1B02" hidden="1">#REF!</definedName>
    <definedName name="BEx77QDESURI6WW5582YXSK3A972" localSheetId="7" hidden="1">'Aged debtors'!#REF!</definedName>
    <definedName name="BEx77QDESURI6WW5582YXSK3A972" localSheetId="10" hidden="1">#REF!</definedName>
    <definedName name="BEx77QDESURI6WW5582YXSK3A972" localSheetId="12" hidden="1">#REF!</definedName>
    <definedName name="BEx77QDESURI6WW5582YXSK3A972" localSheetId="9" hidden="1">'Customer data'!#REF!</definedName>
    <definedName name="BEx77QDESURI6WW5582YXSK3A972" localSheetId="8" hidden="1">'Largest debtors'!#REF!</definedName>
    <definedName name="BEx77QDESURI6WW5582YXSK3A972" localSheetId="11" hidden="1">#REF!</definedName>
    <definedName name="BEx77QDESURI6WW5582YXSK3A972" localSheetId="6" hidden="1">Stock!#REF!</definedName>
    <definedName name="BEx77QDESURI6WW5582YXSK3A972" hidden="1">#REF!</definedName>
    <definedName name="BEx780K8XAXUHGVZGZWQ74DK4CI3" localSheetId="7" hidden="1">'Aged debtors'!#REF!</definedName>
    <definedName name="BEx780K8XAXUHGVZGZWQ74DK4CI3" localSheetId="10" hidden="1">#REF!</definedName>
    <definedName name="BEx780K8XAXUHGVZGZWQ74DK4CI3" localSheetId="12" hidden="1">#REF!</definedName>
    <definedName name="BEx780K8XAXUHGVZGZWQ74DK4CI3" localSheetId="9" hidden="1">'Customer data'!#REF!</definedName>
    <definedName name="BEx780K8XAXUHGVZGZWQ74DK4CI3" localSheetId="8" hidden="1">'Largest debtors'!#REF!</definedName>
    <definedName name="BEx780K8XAXUHGVZGZWQ74DK4CI3" localSheetId="11" hidden="1">#REF!</definedName>
    <definedName name="BEx780K8XAXUHGVZGZWQ74DK4CI3" localSheetId="6" hidden="1">Stock!#REF!</definedName>
    <definedName name="BEx780K8XAXUHGVZGZWQ74DK4CI3" hidden="1">#REF!</definedName>
    <definedName name="BEx78226TN58UE0CTY98YEDU0LSL" localSheetId="7" hidden="1">'Aged debtors'!#REF!</definedName>
    <definedName name="BEx78226TN58UE0CTY98YEDU0LSL" localSheetId="10" hidden="1">#REF!</definedName>
    <definedName name="BEx78226TN58UE0CTY98YEDU0LSL" localSheetId="12" hidden="1">#REF!</definedName>
    <definedName name="BEx78226TN58UE0CTY98YEDU0LSL" localSheetId="9" hidden="1">'Customer data'!#REF!</definedName>
    <definedName name="BEx78226TN58UE0CTY98YEDU0LSL" localSheetId="8" hidden="1">'Largest debtors'!#REF!</definedName>
    <definedName name="BEx78226TN58UE0CTY98YEDU0LSL" localSheetId="11" hidden="1">#REF!</definedName>
    <definedName name="BEx78226TN58UE0CTY98YEDU0LSL" localSheetId="6" hidden="1">Stock!#REF!</definedName>
    <definedName name="BEx78226TN58UE0CTY98YEDU0LSL" hidden="1">#REF!</definedName>
    <definedName name="BEx7881ZZBWHRAX6W2GY19J8MGEQ" localSheetId="7" hidden="1">'Aged debtors'!#REF!</definedName>
    <definedName name="BEx7881ZZBWHRAX6W2GY19J8MGEQ" localSheetId="10" hidden="1">#REF!</definedName>
    <definedName name="BEx7881ZZBWHRAX6W2GY19J8MGEQ" localSheetId="12" hidden="1">#REF!</definedName>
    <definedName name="BEx7881ZZBWHRAX6W2GY19J8MGEQ" localSheetId="9" hidden="1">'Customer data'!#REF!</definedName>
    <definedName name="BEx7881ZZBWHRAX6W2GY19J8MGEQ" localSheetId="8" hidden="1">'Largest debtors'!#REF!</definedName>
    <definedName name="BEx7881ZZBWHRAX6W2GY19J8MGEQ" localSheetId="11" hidden="1">#REF!</definedName>
    <definedName name="BEx7881ZZBWHRAX6W2GY19J8MGEQ" localSheetId="6" hidden="1">Stock!#REF!</definedName>
    <definedName name="BEx7881ZZBWHRAX6W2GY19J8MGEQ" hidden="1">#REF!</definedName>
    <definedName name="BEx78SFOYH1Z0ZDTO47W2M60TW6K" localSheetId="7" hidden="1">'Aged debtors'!#REF!</definedName>
    <definedName name="BEx78SFOYH1Z0ZDTO47W2M60TW6K" localSheetId="10" hidden="1">#REF!</definedName>
    <definedName name="BEx78SFOYH1Z0ZDTO47W2M60TW6K" localSheetId="12" hidden="1">#REF!</definedName>
    <definedName name="BEx78SFOYH1Z0ZDTO47W2M60TW6K" localSheetId="9" hidden="1">'Customer data'!#REF!</definedName>
    <definedName name="BEx78SFOYH1Z0ZDTO47W2M60TW6K" localSheetId="8" hidden="1">'Largest debtors'!#REF!</definedName>
    <definedName name="BEx78SFOYH1Z0ZDTO47W2M60TW6K" localSheetId="11" hidden="1">#REF!</definedName>
    <definedName name="BEx78SFOYH1Z0ZDTO47W2M60TW6K" localSheetId="6" hidden="1">Stock!#REF!</definedName>
    <definedName name="BEx78SFOYH1Z0ZDTO47W2M60TW6K" hidden="1">#REF!</definedName>
    <definedName name="BEx79C7TH5TQCOUXCUYWPFX948EL" localSheetId="7" hidden="1">'Aged debtors'!#REF!</definedName>
    <definedName name="BEx79C7TH5TQCOUXCUYWPFX948EL" localSheetId="10" hidden="1">#REF!</definedName>
    <definedName name="BEx79C7TH5TQCOUXCUYWPFX948EL" localSheetId="12" hidden="1">#REF!</definedName>
    <definedName name="BEx79C7TH5TQCOUXCUYWPFX948EL" localSheetId="9" hidden="1">'Customer data'!#REF!</definedName>
    <definedName name="BEx79C7TH5TQCOUXCUYWPFX948EL" localSheetId="8" hidden="1">'Largest debtors'!#REF!</definedName>
    <definedName name="BEx79C7TH5TQCOUXCUYWPFX948EL" localSheetId="11" hidden="1">#REF!</definedName>
    <definedName name="BEx79C7TH5TQCOUXCUYWPFX948EL" localSheetId="6" hidden="1">Stock!#REF!</definedName>
    <definedName name="BEx79C7TH5TQCOUXCUYWPFX948EL" hidden="1">#REF!</definedName>
    <definedName name="BEx79JK3E6JO8MX4O35A5G8NZCC8" localSheetId="7" hidden="1">'Aged debtors'!#REF!</definedName>
    <definedName name="BEx79JK3E6JO8MX4O35A5G8NZCC8" localSheetId="10" hidden="1">#REF!</definedName>
    <definedName name="BEx79JK3E6JO8MX4O35A5G8NZCC8" localSheetId="12" hidden="1">#REF!</definedName>
    <definedName name="BEx79JK3E6JO8MX4O35A5G8NZCC8" localSheetId="9" hidden="1">'Customer data'!#REF!</definedName>
    <definedName name="BEx79JK3E6JO8MX4O35A5G8NZCC8" localSheetId="8" hidden="1">'Largest debtors'!#REF!</definedName>
    <definedName name="BEx79JK3E6JO8MX4O35A5G8NZCC8" localSheetId="11" hidden="1">#REF!</definedName>
    <definedName name="BEx79JK3E6JO8MX4O35A5G8NZCC8" localSheetId="6" hidden="1">Stock!#REF!</definedName>
    <definedName name="BEx79JK3E6JO8MX4O35A5G8NZCC8" hidden="1">#REF!</definedName>
    <definedName name="BEx79OCP4HQ6XP8EWNGEUDLOZBBS" localSheetId="7" hidden="1">'Aged debtors'!#REF!</definedName>
    <definedName name="BEx79OCP4HQ6XP8EWNGEUDLOZBBS" localSheetId="10" hidden="1">#REF!</definedName>
    <definedName name="BEx79OCP4HQ6XP8EWNGEUDLOZBBS" localSheetId="12" hidden="1">#REF!</definedName>
    <definedName name="BEx79OCP4HQ6XP8EWNGEUDLOZBBS" localSheetId="9" hidden="1">'Customer data'!#REF!</definedName>
    <definedName name="BEx79OCP4HQ6XP8EWNGEUDLOZBBS" localSheetId="8" hidden="1">'Largest debtors'!#REF!</definedName>
    <definedName name="BEx79OCP4HQ6XP8EWNGEUDLOZBBS" localSheetId="11" hidden="1">#REF!</definedName>
    <definedName name="BEx79OCP4HQ6XP8EWNGEUDLOZBBS" localSheetId="6" hidden="1">Stock!#REF!</definedName>
    <definedName name="BEx79OCP4HQ6XP8EWNGEUDLOZBBS" hidden="1">#REF!</definedName>
    <definedName name="BEx79SEAYKUZB0H4LYBCD6WWJBG2" localSheetId="7" hidden="1">'Aged debtors'!#REF!</definedName>
    <definedName name="BEx79SEAYKUZB0H4LYBCD6WWJBG2" localSheetId="10" hidden="1">#REF!</definedName>
    <definedName name="BEx79SEAYKUZB0H4LYBCD6WWJBG2" localSheetId="12" hidden="1">#REF!</definedName>
    <definedName name="BEx79SEAYKUZB0H4LYBCD6WWJBG2" localSheetId="9" hidden="1">'Customer data'!#REF!</definedName>
    <definedName name="BEx79SEAYKUZB0H4LYBCD6WWJBG2" localSheetId="8" hidden="1">'Largest debtors'!#REF!</definedName>
    <definedName name="BEx79SEAYKUZB0H4LYBCD6WWJBG2" localSheetId="11" hidden="1">#REF!</definedName>
    <definedName name="BEx79SEAYKUZB0H4LYBCD6WWJBG2" localSheetId="6" hidden="1">Stock!#REF!</definedName>
    <definedName name="BEx79SEAYKUZB0H4LYBCD6WWJBG2" hidden="1">#REF!</definedName>
    <definedName name="BEx79SJRHTLS9PYM69O9BWW1FMJK" localSheetId="7" hidden="1">'Aged debtors'!#REF!</definedName>
    <definedName name="BEx79SJRHTLS9PYM69O9BWW1FMJK" localSheetId="10" hidden="1">#REF!</definedName>
    <definedName name="BEx79SJRHTLS9PYM69O9BWW1FMJK" localSheetId="12" hidden="1">#REF!</definedName>
    <definedName name="BEx79SJRHTLS9PYM69O9BWW1FMJK" localSheetId="9" hidden="1">'Customer data'!#REF!</definedName>
    <definedName name="BEx79SJRHTLS9PYM69O9BWW1FMJK" localSheetId="8" hidden="1">'Largest debtors'!#REF!</definedName>
    <definedName name="BEx79SJRHTLS9PYM69O9BWW1FMJK" localSheetId="11" hidden="1">#REF!</definedName>
    <definedName name="BEx79SJRHTLS9PYM69O9BWW1FMJK" localSheetId="6" hidden="1">Stock!#REF!</definedName>
    <definedName name="BEx79SJRHTLS9PYM69O9BWW1FMJK" hidden="1">#REF!</definedName>
    <definedName name="BEx79YUC7B0V77FSBGIRCY1BR4VK" localSheetId="7" hidden="1">'Aged debtors'!#REF!</definedName>
    <definedName name="BEx79YUC7B0V77FSBGIRCY1BR4VK" localSheetId="10" hidden="1">#REF!</definedName>
    <definedName name="BEx79YUC7B0V77FSBGIRCY1BR4VK" localSheetId="12" hidden="1">#REF!</definedName>
    <definedName name="BEx79YUC7B0V77FSBGIRCY1BR4VK" localSheetId="9" hidden="1">'Customer data'!#REF!</definedName>
    <definedName name="BEx79YUC7B0V77FSBGIRCY1BR4VK" localSheetId="8" hidden="1">'Largest debtors'!#REF!</definedName>
    <definedName name="BEx79YUC7B0V77FSBGIRCY1BR4VK" localSheetId="11" hidden="1">#REF!</definedName>
    <definedName name="BEx79YUC7B0V77FSBGIRCY1BR4VK" localSheetId="6" hidden="1">Stock!#REF!</definedName>
    <definedName name="BEx79YUC7B0V77FSBGIRCY1BR4VK" hidden="1">#REF!</definedName>
    <definedName name="BEx7A06T3RC2891FUX05G3QPRAUE" localSheetId="7" hidden="1">'Aged debtors'!#REF!</definedName>
    <definedName name="BEx7A06T3RC2891FUX05G3QPRAUE" localSheetId="10" hidden="1">#REF!</definedName>
    <definedName name="BEx7A06T3RC2891FUX05G3QPRAUE" localSheetId="12" hidden="1">#REF!</definedName>
    <definedName name="BEx7A06T3RC2891FUX05G3QPRAUE" localSheetId="9" hidden="1">'Customer data'!#REF!</definedName>
    <definedName name="BEx7A06T3RC2891FUX05G3QPRAUE" localSheetId="8" hidden="1">'Largest debtors'!#REF!</definedName>
    <definedName name="BEx7A06T3RC2891FUX05G3QPRAUE" localSheetId="11" hidden="1">#REF!</definedName>
    <definedName name="BEx7A06T3RC2891FUX05G3QPRAUE" localSheetId="6" hidden="1">Stock!#REF!</definedName>
    <definedName name="BEx7A06T3RC2891FUX05G3QPRAUE" hidden="1">#REF!</definedName>
    <definedName name="BEx7A9S3JA1X7FH4CFSQLTZC4691" localSheetId="7" hidden="1">'Aged debtors'!#REF!</definedName>
    <definedName name="BEx7A9S3JA1X7FH4CFSQLTZC4691" localSheetId="10" hidden="1">#REF!</definedName>
    <definedName name="BEx7A9S3JA1X7FH4CFSQLTZC4691" localSheetId="12" hidden="1">#REF!</definedName>
    <definedName name="BEx7A9S3JA1X7FH4CFSQLTZC4691" localSheetId="9" hidden="1">'Customer data'!#REF!</definedName>
    <definedName name="BEx7A9S3JA1X7FH4CFSQLTZC4691" localSheetId="8" hidden="1">'Largest debtors'!#REF!</definedName>
    <definedName name="BEx7A9S3JA1X7FH4CFSQLTZC4691" localSheetId="11" hidden="1">#REF!</definedName>
    <definedName name="BEx7A9S3JA1X7FH4CFSQLTZC4691" localSheetId="6" hidden="1">Stock!#REF!</definedName>
    <definedName name="BEx7A9S3JA1X7FH4CFSQLTZC4691" hidden="1">#REF!</definedName>
    <definedName name="BEx7AVYIGP0930MV5JEBWRYCJN68" localSheetId="7" hidden="1">'Aged debtors'!#REF!</definedName>
    <definedName name="BEx7AVYIGP0930MV5JEBWRYCJN68" localSheetId="10" hidden="1">#REF!</definedName>
    <definedName name="BEx7AVYIGP0930MV5JEBWRYCJN68" localSheetId="12" hidden="1">#REF!</definedName>
    <definedName name="BEx7AVYIGP0930MV5JEBWRYCJN68" localSheetId="9" hidden="1">'Customer data'!#REF!</definedName>
    <definedName name="BEx7AVYIGP0930MV5JEBWRYCJN68" localSheetId="8" hidden="1">'Largest debtors'!#REF!</definedName>
    <definedName name="BEx7AVYIGP0930MV5JEBWRYCJN68" localSheetId="11" hidden="1">#REF!</definedName>
    <definedName name="BEx7AVYIGP0930MV5JEBWRYCJN68" localSheetId="6" hidden="1">Stock!#REF!</definedName>
    <definedName name="BEx7AVYIGP0930MV5JEBWRYCJN68" hidden="1">#REF!</definedName>
    <definedName name="BEx7B6LH6917TXOSAAQ6U7HVF018" localSheetId="7" hidden="1">'Aged debtors'!#REF!</definedName>
    <definedName name="BEx7B6LH6917TXOSAAQ6U7HVF018" localSheetId="10" hidden="1">#REF!</definedName>
    <definedName name="BEx7B6LH6917TXOSAAQ6U7HVF018" localSheetId="12" hidden="1">#REF!</definedName>
    <definedName name="BEx7B6LH6917TXOSAAQ6U7HVF018" localSheetId="9" hidden="1">'Customer data'!#REF!</definedName>
    <definedName name="BEx7B6LH6917TXOSAAQ6U7HVF018" localSheetId="8" hidden="1">'Largest debtors'!#REF!</definedName>
    <definedName name="BEx7B6LH6917TXOSAAQ6U7HVF018" localSheetId="11" hidden="1">#REF!</definedName>
    <definedName name="BEx7B6LH6917TXOSAAQ6U7HVF018" localSheetId="6" hidden="1">Stock!#REF!</definedName>
    <definedName name="BEx7B6LH6917TXOSAAQ6U7HVF018" hidden="1">#REF!</definedName>
    <definedName name="BEx7BPXFZXJ79FQ0E8AQE21PGVHA" localSheetId="7" hidden="1">'Aged debtors'!#REF!</definedName>
    <definedName name="BEx7BPXFZXJ79FQ0E8AQE21PGVHA" localSheetId="10" hidden="1">#REF!</definedName>
    <definedName name="BEx7BPXFZXJ79FQ0E8AQE21PGVHA" localSheetId="12" hidden="1">#REF!</definedName>
    <definedName name="BEx7BPXFZXJ79FQ0E8AQE21PGVHA" localSheetId="9" hidden="1">'Customer data'!#REF!</definedName>
    <definedName name="BEx7BPXFZXJ79FQ0E8AQE21PGVHA" localSheetId="8" hidden="1">'Largest debtors'!#REF!</definedName>
    <definedName name="BEx7BPXFZXJ79FQ0E8AQE21PGVHA" localSheetId="11" hidden="1">#REF!</definedName>
    <definedName name="BEx7BPXFZXJ79FQ0E8AQE21PGVHA" localSheetId="6" hidden="1">Stock!#REF!</definedName>
    <definedName name="BEx7BPXFZXJ79FQ0E8AQE21PGVHA" hidden="1">#REF!</definedName>
    <definedName name="BEx7C04AM39DQMC1TIX7CFZ2ADHX" localSheetId="7" hidden="1">'Aged debtors'!#REF!</definedName>
    <definedName name="BEx7C04AM39DQMC1TIX7CFZ2ADHX" localSheetId="10" hidden="1">#REF!</definedName>
    <definedName name="BEx7C04AM39DQMC1TIX7CFZ2ADHX" localSheetId="12" hidden="1">#REF!</definedName>
    <definedName name="BEx7C04AM39DQMC1TIX7CFZ2ADHX" localSheetId="9" hidden="1">'Customer data'!#REF!</definedName>
    <definedName name="BEx7C04AM39DQMC1TIX7CFZ2ADHX" localSheetId="8" hidden="1">'Largest debtors'!#REF!</definedName>
    <definedName name="BEx7C04AM39DQMC1TIX7CFZ2ADHX" localSheetId="11" hidden="1">#REF!</definedName>
    <definedName name="BEx7C04AM39DQMC1TIX7CFZ2ADHX" localSheetId="6" hidden="1">Stock!#REF!</definedName>
    <definedName name="BEx7C04AM39DQMC1TIX7CFZ2ADHX" hidden="1">#REF!</definedName>
    <definedName name="BEx7C40F0PQURHPI6YQ39NFIR86Z" localSheetId="7" hidden="1">'Aged debtors'!#REF!</definedName>
    <definedName name="BEx7C40F0PQURHPI6YQ39NFIR86Z" localSheetId="10" hidden="1">#REF!</definedName>
    <definedName name="BEx7C40F0PQURHPI6YQ39NFIR86Z" localSheetId="12" hidden="1">#REF!</definedName>
    <definedName name="BEx7C40F0PQURHPI6YQ39NFIR86Z" localSheetId="9" hidden="1">'Customer data'!#REF!</definedName>
    <definedName name="BEx7C40F0PQURHPI6YQ39NFIR86Z" localSheetId="8" hidden="1">'Largest debtors'!#REF!</definedName>
    <definedName name="BEx7C40F0PQURHPI6YQ39NFIR86Z" localSheetId="11" hidden="1">#REF!</definedName>
    <definedName name="BEx7C40F0PQURHPI6YQ39NFIR86Z" localSheetId="6" hidden="1">Stock!#REF!</definedName>
    <definedName name="BEx7C40F0PQURHPI6YQ39NFIR86Z" hidden="1">#REF!</definedName>
    <definedName name="BEx7CCPC6R1KQQZ2JQU6EFI1G0RM" localSheetId="7" hidden="1">'Aged debtors'!#REF!</definedName>
    <definedName name="BEx7CCPC6R1KQQZ2JQU6EFI1G0RM" localSheetId="10" hidden="1">#REF!</definedName>
    <definedName name="BEx7CCPC6R1KQQZ2JQU6EFI1G0RM" localSheetId="12" hidden="1">#REF!</definedName>
    <definedName name="BEx7CCPC6R1KQQZ2JQU6EFI1G0RM" localSheetId="9" hidden="1">'Customer data'!#REF!</definedName>
    <definedName name="BEx7CCPC6R1KQQZ2JQU6EFI1G0RM" localSheetId="8" hidden="1">'Largest debtors'!#REF!</definedName>
    <definedName name="BEx7CCPC6R1KQQZ2JQU6EFI1G0RM" localSheetId="11" hidden="1">#REF!</definedName>
    <definedName name="BEx7CCPC6R1KQQZ2JQU6EFI1G0RM" localSheetId="6" hidden="1">Stock!#REF!</definedName>
    <definedName name="BEx7CCPC6R1KQQZ2JQU6EFI1G0RM" hidden="1">#REF!</definedName>
    <definedName name="BEx7CIJST9GLS2QD383UK7VUDTGL" localSheetId="7" hidden="1">'Aged debtors'!#REF!</definedName>
    <definedName name="BEx7CIJST9GLS2QD383UK7VUDTGL" localSheetId="10" hidden="1">#REF!</definedName>
    <definedName name="BEx7CIJST9GLS2QD383UK7VUDTGL" localSheetId="12" hidden="1">#REF!</definedName>
    <definedName name="BEx7CIJST9GLS2QD383UK7VUDTGL" localSheetId="9" hidden="1">'Customer data'!#REF!</definedName>
    <definedName name="BEx7CIJST9GLS2QD383UK7VUDTGL" localSheetId="8" hidden="1">'Largest debtors'!#REF!</definedName>
    <definedName name="BEx7CIJST9GLS2QD383UK7VUDTGL" localSheetId="11" hidden="1">#REF!</definedName>
    <definedName name="BEx7CIJST9GLS2QD383UK7VUDTGL" localSheetId="6" hidden="1">Stock!#REF!</definedName>
    <definedName name="BEx7CIJST9GLS2QD383UK7VUDTGL" hidden="1">#REF!</definedName>
    <definedName name="BEx7CO8T2XKC7GHDSYNAWTZ9L7YR" localSheetId="7" hidden="1">'Aged debtors'!#REF!</definedName>
    <definedName name="BEx7CO8T2XKC7GHDSYNAWTZ9L7YR" localSheetId="10" hidden="1">#REF!</definedName>
    <definedName name="BEx7CO8T2XKC7GHDSYNAWTZ9L7YR" localSheetId="12" hidden="1">#REF!</definedName>
    <definedName name="BEx7CO8T2XKC7GHDSYNAWTZ9L7YR" localSheetId="9" hidden="1">'Customer data'!#REF!</definedName>
    <definedName name="BEx7CO8T2XKC7GHDSYNAWTZ9L7YR" localSheetId="8" hidden="1">'Largest debtors'!#REF!</definedName>
    <definedName name="BEx7CO8T2XKC7GHDSYNAWTZ9L7YR" localSheetId="11" hidden="1">#REF!</definedName>
    <definedName name="BEx7CO8T2XKC7GHDSYNAWTZ9L7YR" localSheetId="6" hidden="1">Stock!#REF!</definedName>
    <definedName name="BEx7CO8T2XKC7GHDSYNAWTZ9L7YR" hidden="1">#REF!</definedName>
    <definedName name="BEx7CW1CF00DO8A36UNC2X7K65C2" localSheetId="7" hidden="1">'Aged debtors'!#REF!</definedName>
    <definedName name="BEx7CW1CF00DO8A36UNC2X7K65C2" localSheetId="10" hidden="1">#REF!</definedName>
    <definedName name="BEx7CW1CF00DO8A36UNC2X7K65C2" localSheetId="12" hidden="1">#REF!</definedName>
    <definedName name="BEx7CW1CF00DO8A36UNC2X7K65C2" localSheetId="9" hidden="1">'Customer data'!#REF!</definedName>
    <definedName name="BEx7CW1CF00DO8A36UNC2X7K65C2" localSheetId="8" hidden="1">'Largest debtors'!#REF!</definedName>
    <definedName name="BEx7CW1CF00DO8A36UNC2X7K65C2" localSheetId="11" hidden="1">#REF!</definedName>
    <definedName name="BEx7CW1CF00DO8A36UNC2X7K65C2" localSheetId="6" hidden="1">Stock!#REF!</definedName>
    <definedName name="BEx7CW1CF00DO8A36UNC2X7K65C2" hidden="1">#REF!</definedName>
    <definedName name="BEx7CW6NFRL2P4XWP0MWHIYA97KF" localSheetId="7" hidden="1">'Aged debtors'!#REF!</definedName>
    <definedName name="BEx7CW6NFRL2P4XWP0MWHIYA97KF" localSheetId="10" hidden="1">#REF!</definedName>
    <definedName name="BEx7CW6NFRL2P4XWP0MWHIYA97KF" localSheetId="12" hidden="1">#REF!</definedName>
    <definedName name="BEx7CW6NFRL2P4XWP0MWHIYA97KF" localSheetId="9" hidden="1">'Customer data'!#REF!</definedName>
    <definedName name="BEx7CW6NFRL2P4XWP0MWHIYA97KF" localSheetId="8" hidden="1">'Largest debtors'!#REF!</definedName>
    <definedName name="BEx7CW6NFRL2P4XWP0MWHIYA97KF" localSheetId="11" hidden="1">#REF!</definedName>
    <definedName name="BEx7CW6NFRL2P4XWP0MWHIYA97KF" localSheetId="6" hidden="1">Stock!#REF!</definedName>
    <definedName name="BEx7CW6NFRL2P4XWP0MWHIYA97KF" hidden="1">#REF!</definedName>
    <definedName name="BEx7D5RWKRS4W71J4NZ6ZSFHPKFT" localSheetId="7" hidden="1">'Aged debtors'!#REF!</definedName>
    <definedName name="BEx7D5RWKRS4W71J4NZ6ZSFHPKFT" localSheetId="10" hidden="1">#REF!</definedName>
    <definedName name="BEx7D5RWKRS4W71J4NZ6ZSFHPKFT" localSheetId="12" hidden="1">#REF!</definedName>
    <definedName name="BEx7D5RWKRS4W71J4NZ6ZSFHPKFT" localSheetId="9" hidden="1">'Customer data'!#REF!</definedName>
    <definedName name="BEx7D5RWKRS4W71J4NZ6ZSFHPKFT" localSheetId="8" hidden="1">'Largest debtors'!#REF!</definedName>
    <definedName name="BEx7D5RWKRS4W71J4NZ6ZSFHPKFT" localSheetId="11" hidden="1">#REF!</definedName>
    <definedName name="BEx7D5RWKRS4W71J4NZ6ZSFHPKFT" localSheetId="6" hidden="1">Stock!#REF!</definedName>
    <definedName name="BEx7D5RWKRS4W71J4NZ6ZSFHPKFT" hidden="1">#REF!</definedName>
    <definedName name="BEx7D8H1TPOX1UN17QZYEV7Q58GA" localSheetId="7" hidden="1">'Aged debtors'!#REF!</definedName>
    <definedName name="BEx7D8H1TPOX1UN17QZYEV7Q58GA" localSheetId="10" hidden="1">#REF!</definedName>
    <definedName name="BEx7D8H1TPOX1UN17QZYEV7Q58GA" localSheetId="12" hidden="1">#REF!</definedName>
    <definedName name="BEx7D8H1TPOX1UN17QZYEV7Q58GA" localSheetId="9" hidden="1">'Customer data'!#REF!</definedName>
    <definedName name="BEx7D8H1TPOX1UN17QZYEV7Q58GA" localSheetId="8" hidden="1">'Largest debtors'!#REF!</definedName>
    <definedName name="BEx7D8H1TPOX1UN17QZYEV7Q58GA" localSheetId="11" hidden="1">#REF!</definedName>
    <definedName name="BEx7D8H1TPOX1UN17QZYEV7Q58GA" localSheetId="6" hidden="1">Stock!#REF!</definedName>
    <definedName name="BEx7D8H1TPOX1UN17QZYEV7Q58GA" hidden="1">#REF!</definedName>
    <definedName name="BEx7DVJTRV44IMJIBFXELE67SZ7S" localSheetId="7" hidden="1">'Aged debtors'!#REF!</definedName>
    <definedName name="BEx7DVJTRV44IMJIBFXELE67SZ7S" localSheetId="10" hidden="1">#REF!</definedName>
    <definedName name="BEx7DVJTRV44IMJIBFXELE67SZ7S" localSheetId="12" hidden="1">#REF!</definedName>
    <definedName name="BEx7DVJTRV44IMJIBFXELE67SZ7S" localSheetId="9" hidden="1">'Customer data'!#REF!</definedName>
    <definedName name="BEx7DVJTRV44IMJIBFXELE67SZ7S" localSheetId="8" hidden="1">'Largest debtors'!#REF!</definedName>
    <definedName name="BEx7DVJTRV44IMJIBFXELE67SZ7S" localSheetId="11" hidden="1">#REF!</definedName>
    <definedName name="BEx7DVJTRV44IMJIBFXELE67SZ7S" localSheetId="6" hidden="1">Stock!#REF!</definedName>
    <definedName name="BEx7DVJTRV44IMJIBFXELE67SZ7S" hidden="1">#REF!</definedName>
    <definedName name="BEx7DVUMFCI5INHMVFIJ44RTTSTT" localSheetId="7" hidden="1">'Aged debtors'!#REF!</definedName>
    <definedName name="BEx7DVUMFCI5INHMVFIJ44RTTSTT" localSheetId="10" hidden="1">#REF!</definedName>
    <definedName name="BEx7DVUMFCI5INHMVFIJ44RTTSTT" localSheetId="12" hidden="1">#REF!</definedName>
    <definedName name="BEx7DVUMFCI5INHMVFIJ44RTTSTT" localSheetId="9" hidden="1">'Customer data'!#REF!</definedName>
    <definedName name="BEx7DVUMFCI5INHMVFIJ44RTTSTT" localSheetId="8" hidden="1">'Largest debtors'!#REF!</definedName>
    <definedName name="BEx7DVUMFCI5INHMVFIJ44RTTSTT" localSheetId="11" hidden="1">#REF!</definedName>
    <definedName name="BEx7DVUMFCI5INHMVFIJ44RTTSTT" localSheetId="6" hidden="1">Stock!#REF!</definedName>
    <definedName name="BEx7DVUMFCI5INHMVFIJ44RTTSTT" hidden="1">#REF!</definedName>
    <definedName name="BEx7E2QT2U8THYOKBPXONB1B47WH" localSheetId="7" hidden="1">'Aged debtors'!#REF!</definedName>
    <definedName name="BEx7E2QT2U8THYOKBPXONB1B47WH" localSheetId="10" hidden="1">#REF!</definedName>
    <definedName name="BEx7E2QT2U8THYOKBPXONB1B47WH" localSheetId="12" hidden="1">#REF!</definedName>
    <definedName name="BEx7E2QT2U8THYOKBPXONB1B47WH" localSheetId="9" hidden="1">'Customer data'!#REF!</definedName>
    <definedName name="BEx7E2QT2U8THYOKBPXONB1B47WH" localSheetId="8" hidden="1">'Largest debtors'!#REF!</definedName>
    <definedName name="BEx7E2QT2U8THYOKBPXONB1B47WH" localSheetId="11" hidden="1">#REF!</definedName>
    <definedName name="BEx7E2QT2U8THYOKBPXONB1B47WH" localSheetId="6" hidden="1">Stock!#REF!</definedName>
    <definedName name="BEx7E2QT2U8THYOKBPXONB1B47WH" hidden="1">#REF!</definedName>
    <definedName name="BEx7EI6C8MCRZFEQYUBE5FSUTIHK" localSheetId="7" hidden="1">'Aged debtors'!#REF!</definedName>
    <definedName name="BEx7EI6C8MCRZFEQYUBE5FSUTIHK" localSheetId="10" hidden="1">#REF!</definedName>
    <definedName name="BEx7EI6C8MCRZFEQYUBE5FSUTIHK" localSheetId="12" hidden="1">#REF!</definedName>
    <definedName name="BEx7EI6C8MCRZFEQYUBE5FSUTIHK" localSheetId="9" hidden="1">'Customer data'!#REF!</definedName>
    <definedName name="BEx7EI6C8MCRZFEQYUBE5FSUTIHK" localSheetId="8" hidden="1">'Largest debtors'!#REF!</definedName>
    <definedName name="BEx7EI6C8MCRZFEQYUBE5FSUTIHK" localSheetId="11" hidden="1">#REF!</definedName>
    <definedName name="BEx7EI6C8MCRZFEQYUBE5FSUTIHK" localSheetId="6" hidden="1">Stock!#REF!</definedName>
    <definedName name="BEx7EI6C8MCRZFEQYUBE5FSUTIHK" hidden="1">#REF!</definedName>
    <definedName name="BEx7EQKHX7GZYOLXRDU534TT4H64" localSheetId="7" hidden="1">'Aged debtors'!#REF!</definedName>
    <definedName name="BEx7EQKHX7GZYOLXRDU534TT4H64" localSheetId="10" hidden="1">#REF!</definedName>
    <definedName name="BEx7EQKHX7GZYOLXRDU534TT4H64" localSheetId="12" hidden="1">#REF!</definedName>
    <definedName name="BEx7EQKHX7GZYOLXRDU534TT4H64" localSheetId="9" hidden="1">'Customer data'!#REF!</definedName>
    <definedName name="BEx7EQKHX7GZYOLXRDU534TT4H64" localSheetId="8" hidden="1">'Largest debtors'!#REF!</definedName>
    <definedName name="BEx7EQKHX7GZYOLXRDU534TT4H64" localSheetId="11" hidden="1">#REF!</definedName>
    <definedName name="BEx7EQKHX7GZYOLXRDU534TT4H64" localSheetId="6" hidden="1">Stock!#REF!</definedName>
    <definedName name="BEx7EQKHX7GZYOLXRDU534TT4H64" hidden="1">#REF!</definedName>
    <definedName name="BEx7ERRNTYLA37U1S0E4MWJ5JX8H" localSheetId="7" hidden="1">'Aged debtors'!#REF!</definedName>
    <definedName name="BEx7ERRNTYLA37U1S0E4MWJ5JX8H" localSheetId="10" hidden="1">#REF!</definedName>
    <definedName name="BEx7ERRNTYLA37U1S0E4MWJ5JX8H" localSheetId="12" hidden="1">#REF!</definedName>
    <definedName name="BEx7ERRNTYLA37U1S0E4MWJ5JX8H" localSheetId="9" hidden="1">'Customer data'!#REF!</definedName>
    <definedName name="BEx7ERRNTYLA37U1S0E4MWJ5JX8H" localSheetId="8" hidden="1">'Largest debtors'!#REF!</definedName>
    <definedName name="BEx7ERRNTYLA37U1S0E4MWJ5JX8H" localSheetId="11" hidden="1">#REF!</definedName>
    <definedName name="BEx7ERRNTYLA37U1S0E4MWJ5JX8H" localSheetId="6" hidden="1">Stock!#REF!</definedName>
    <definedName name="BEx7ERRNTYLA37U1S0E4MWJ5JX8H" hidden="1">#REF!</definedName>
    <definedName name="BEx7ETV6L1TM7JSXJIGK3FC6RVZW" localSheetId="7" hidden="1">'Aged debtors'!#REF!</definedName>
    <definedName name="BEx7ETV6L1TM7JSXJIGK3FC6RVZW" localSheetId="10" hidden="1">#REF!</definedName>
    <definedName name="BEx7ETV6L1TM7JSXJIGK3FC6RVZW" localSheetId="12" hidden="1">#REF!</definedName>
    <definedName name="BEx7ETV6L1TM7JSXJIGK3FC6RVZW" localSheetId="9" hidden="1">'Customer data'!#REF!</definedName>
    <definedName name="BEx7ETV6L1TM7JSXJIGK3FC6RVZW" localSheetId="8" hidden="1">'Largest debtors'!#REF!</definedName>
    <definedName name="BEx7ETV6L1TM7JSXJIGK3FC6RVZW" localSheetId="11" hidden="1">#REF!</definedName>
    <definedName name="BEx7ETV6L1TM7JSXJIGK3FC6RVZW" localSheetId="6" hidden="1">Stock!#REF!</definedName>
    <definedName name="BEx7ETV6L1TM7JSXJIGK3FC6RVZW" hidden="1">#REF!</definedName>
    <definedName name="BEx7EYYLHMBYQTH6I377FCQS7CSX" localSheetId="7" hidden="1">'Aged debtors'!#REF!</definedName>
    <definedName name="BEx7EYYLHMBYQTH6I377FCQS7CSX" localSheetId="10" hidden="1">#REF!</definedName>
    <definedName name="BEx7EYYLHMBYQTH6I377FCQS7CSX" localSheetId="12" hidden="1">#REF!</definedName>
    <definedName name="BEx7EYYLHMBYQTH6I377FCQS7CSX" localSheetId="9" hidden="1">'Customer data'!#REF!</definedName>
    <definedName name="BEx7EYYLHMBYQTH6I377FCQS7CSX" localSheetId="8" hidden="1">'Largest debtors'!#REF!</definedName>
    <definedName name="BEx7EYYLHMBYQTH6I377FCQS7CSX" localSheetId="11" hidden="1">#REF!</definedName>
    <definedName name="BEx7EYYLHMBYQTH6I377FCQS7CSX" localSheetId="6" hidden="1">Stock!#REF!</definedName>
    <definedName name="BEx7EYYLHMBYQTH6I377FCQS7CSX" hidden="1">#REF!</definedName>
    <definedName name="BEx7F5US4H1GVOWX929LYPXQZQW9" localSheetId="7" hidden="1">'Aged debtors'!#REF!</definedName>
    <definedName name="BEx7F5US4H1GVOWX929LYPXQZQW9" localSheetId="10" hidden="1">#REF!</definedName>
    <definedName name="BEx7F5US4H1GVOWX929LYPXQZQW9" localSheetId="12" hidden="1">#REF!</definedName>
    <definedName name="BEx7F5US4H1GVOWX929LYPXQZQW9" localSheetId="9" hidden="1">'Customer data'!#REF!</definedName>
    <definedName name="BEx7F5US4H1GVOWX929LYPXQZQW9" localSheetId="8" hidden="1">'Largest debtors'!#REF!</definedName>
    <definedName name="BEx7F5US4H1GVOWX929LYPXQZQW9" localSheetId="11" hidden="1">#REF!</definedName>
    <definedName name="BEx7F5US4H1GVOWX929LYPXQZQW9" localSheetId="6" hidden="1">Stock!#REF!</definedName>
    <definedName name="BEx7F5US4H1GVOWX929LYPXQZQW9" hidden="1">#REF!</definedName>
    <definedName name="BEx7FCLG1RYI2SNOU1Y2GQZNZSWA" localSheetId="7" hidden="1">'Aged debtors'!#REF!</definedName>
    <definedName name="BEx7FCLG1RYI2SNOU1Y2GQZNZSWA" localSheetId="10" hidden="1">#REF!</definedName>
    <definedName name="BEx7FCLG1RYI2SNOU1Y2GQZNZSWA" localSheetId="12" hidden="1">#REF!</definedName>
    <definedName name="BEx7FCLG1RYI2SNOU1Y2GQZNZSWA" localSheetId="9" hidden="1">'Customer data'!#REF!</definedName>
    <definedName name="BEx7FCLG1RYI2SNOU1Y2GQZNZSWA" localSheetId="8" hidden="1">'Largest debtors'!#REF!</definedName>
    <definedName name="BEx7FCLG1RYI2SNOU1Y2GQZNZSWA" localSheetId="11" hidden="1">#REF!</definedName>
    <definedName name="BEx7FCLG1RYI2SNOU1Y2GQZNZSWA" localSheetId="6" hidden="1">Stock!#REF!</definedName>
    <definedName name="BEx7FCLG1RYI2SNOU1Y2GQZNZSWA" hidden="1">#REF!</definedName>
    <definedName name="BEx7FN32ZGWOAA4TTH79KINTDWR9" localSheetId="7" hidden="1">'Aged debtors'!#REF!</definedName>
    <definedName name="BEx7FN32ZGWOAA4TTH79KINTDWR9" localSheetId="10" hidden="1">#REF!</definedName>
    <definedName name="BEx7FN32ZGWOAA4TTH79KINTDWR9" localSheetId="12" hidden="1">#REF!</definedName>
    <definedName name="BEx7FN32ZGWOAA4TTH79KINTDWR9" localSheetId="9" hidden="1">'Customer data'!#REF!</definedName>
    <definedName name="BEx7FN32ZGWOAA4TTH79KINTDWR9" localSheetId="8" hidden="1">'Largest debtors'!#REF!</definedName>
    <definedName name="BEx7FN32ZGWOAA4TTH79KINTDWR9" localSheetId="11" hidden="1">#REF!</definedName>
    <definedName name="BEx7FN32ZGWOAA4TTH79KINTDWR9" localSheetId="6" hidden="1">Stock!#REF!</definedName>
    <definedName name="BEx7FN32ZGWOAA4TTH79KINTDWR9" hidden="1">#REF!</definedName>
    <definedName name="BEx7G82CKM3NIY1PHNFK28M09PCH" localSheetId="7" hidden="1">'Aged debtors'!#REF!</definedName>
    <definedName name="BEx7G82CKM3NIY1PHNFK28M09PCH" localSheetId="10" hidden="1">#REF!</definedName>
    <definedName name="BEx7G82CKM3NIY1PHNFK28M09PCH" localSheetId="12" hidden="1">#REF!</definedName>
    <definedName name="BEx7G82CKM3NIY1PHNFK28M09PCH" localSheetId="9" hidden="1">'Customer data'!#REF!</definedName>
    <definedName name="BEx7G82CKM3NIY1PHNFK28M09PCH" localSheetId="8" hidden="1">'Largest debtors'!#REF!</definedName>
    <definedName name="BEx7G82CKM3NIY1PHNFK28M09PCH" localSheetId="11" hidden="1">#REF!</definedName>
    <definedName name="BEx7G82CKM3NIY1PHNFK28M09PCH" localSheetId="6" hidden="1">Stock!#REF!</definedName>
    <definedName name="BEx7G82CKM3NIY1PHNFK28M09PCH" hidden="1">#REF!</definedName>
    <definedName name="BEx7GR3ENYWRXXS5IT0UMEGOLGUH" localSheetId="7" hidden="1">'Aged debtors'!#REF!</definedName>
    <definedName name="BEx7GR3ENYWRXXS5IT0UMEGOLGUH" localSheetId="10" hidden="1">#REF!</definedName>
    <definedName name="BEx7GR3ENYWRXXS5IT0UMEGOLGUH" localSheetId="12" hidden="1">#REF!</definedName>
    <definedName name="BEx7GR3ENYWRXXS5IT0UMEGOLGUH" localSheetId="9" hidden="1">'Customer data'!#REF!</definedName>
    <definedName name="BEx7GR3ENYWRXXS5IT0UMEGOLGUH" localSheetId="8" hidden="1">'Largest debtors'!#REF!</definedName>
    <definedName name="BEx7GR3ENYWRXXS5IT0UMEGOLGUH" localSheetId="11" hidden="1">#REF!</definedName>
    <definedName name="BEx7GR3ENYWRXXS5IT0UMEGOLGUH" localSheetId="6" hidden="1">Stock!#REF!</definedName>
    <definedName name="BEx7GR3ENYWRXXS5IT0UMEGOLGUH" hidden="1">#REF!</definedName>
    <definedName name="BEx7H0JD6I5I8WQLLWOYWY5YWPQE" localSheetId="7" hidden="1">'Aged debtors'!#REF!</definedName>
    <definedName name="BEx7H0JD6I5I8WQLLWOYWY5YWPQE" localSheetId="10" hidden="1">#REF!</definedName>
    <definedName name="BEx7H0JD6I5I8WQLLWOYWY5YWPQE" localSheetId="12" hidden="1">#REF!</definedName>
    <definedName name="BEx7H0JD6I5I8WQLLWOYWY5YWPQE" localSheetId="9" hidden="1">'Customer data'!#REF!</definedName>
    <definedName name="BEx7H0JD6I5I8WQLLWOYWY5YWPQE" localSheetId="8" hidden="1">'Largest debtors'!#REF!</definedName>
    <definedName name="BEx7H0JD6I5I8WQLLWOYWY5YWPQE" localSheetId="11" hidden="1">#REF!</definedName>
    <definedName name="BEx7H0JD6I5I8WQLLWOYWY5YWPQE" localSheetId="6" hidden="1">Stock!#REF!</definedName>
    <definedName name="BEx7H0JD6I5I8WQLLWOYWY5YWPQE" hidden="1">#REF!</definedName>
    <definedName name="BEx7H14XCXH7WEXEY1HVO53A6AGH" localSheetId="7" hidden="1">'Aged debtors'!#REF!</definedName>
    <definedName name="BEx7H14XCXH7WEXEY1HVO53A6AGH" localSheetId="10" hidden="1">#REF!</definedName>
    <definedName name="BEx7H14XCXH7WEXEY1HVO53A6AGH" localSheetId="12" hidden="1">#REF!</definedName>
    <definedName name="BEx7H14XCXH7WEXEY1HVO53A6AGH" localSheetId="9" hidden="1">'Customer data'!#REF!</definedName>
    <definedName name="BEx7H14XCXH7WEXEY1HVO53A6AGH" localSheetId="8" hidden="1">'Largest debtors'!#REF!</definedName>
    <definedName name="BEx7H14XCXH7WEXEY1HVO53A6AGH" localSheetId="11" hidden="1">#REF!</definedName>
    <definedName name="BEx7H14XCXH7WEXEY1HVO53A6AGH" localSheetId="6" hidden="1">Stock!#REF!</definedName>
    <definedName name="BEx7H14XCXH7WEXEY1HVO53A6AGH" hidden="1">#REF!</definedName>
    <definedName name="BEx7HRCZE3CVGON1HV07MT5MNDZ3" localSheetId="7" hidden="1">'Aged debtors'!#REF!</definedName>
    <definedName name="BEx7HRCZE3CVGON1HV07MT5MNDZ3" localSheetId="10" hidden="1">#REF!</definedName>
    <definedName name="BEx7HRCZE3CVGON1HV07MT5MNDZ3" localSheetId="12" hidden="1">#REF!</definedName>
    <definedName name="BEx7HRCZE3CVGON1HV07MT5MNDZ3" localSheetId="9" hidden="1">'Customer data'!#REF!</definedName>
    <definedName name="BEx7HRCZE3CVGON1HV07MT5MNDZ3" localSheetId="8" hidden="1">'Largest debtors'!#REF!</definedName>
    <definedName name="BEx7HRCZE3CVGON1HV07MT5MNDZ3" localSheetId="11" hidden="1">#REF!</definedName>
    <definedName name="BEx7HRCZE3CVGON1HV07MT5MNDZ3" localSheetId="6" hidden="1">Stock!#REF!</definedName>
    <definedName name="BEx7HRCZE3CVGON1HV07MT5MNDZ3" hidden="1">#REF!</definedName>
    <definedName name="BEx7IBVYN47SFZIA0K4MDKQZNN9V" localSheetId="7" hidden="1">'Aged debtors'!#REF!</definedName>
    <definedName name="BEx7IBVYN47SFZIA0K4MDKQZNN9V" localSheetId="10" hidden="1">#REF!</definedName>
    <definedName name="BEx7IBVYN47SFZIA0K4MDKQZNN9V" localSheetId="12" hidden="1">#REF!</definedName>
    <definedName name="BEx7IBVYN47SFZIA0K4MDKQZNN9V" localSheetId="9" hidden="1">'Customer data'!#REF!</definedName>
    <definedName name="BEx7IBVYN47SFZIA0K4MDKQZNN9V" localSheetId="8" hidden="1">'Largest debtors'!#REF!</definedName>
    <definedName name="BEx7IBVYN47SFZIA0K4MDKQZNN9V" localSheetId="11" hidden="1">#REF!</definedName>
    <definedName name="BEx7IBVYN47SFZIA0K4MDKQZNN9V" localSheetId="6" hidden="1">Stock!#REF!</definedName>
    <definedName name="BEx7IBVYN47SFZIA0K4MDKQZNN9V" hidden="1">#REF!</definedName>
    <definedName name="BEx7IV2IJ5WT7UC0UG7WP0WF2JZI" localSheetId="7" hidden="1">'Aged debtors'!#REF!</definedName>
    <definedName name="BEx7IV2IJ5WT7UC0UG7WP0WF2JZI" localSheetId="10" hidden="1">#REF!</definedName>
    <definedName name="BEx7IV2IJ5WT7UC0UG7WP0WF2JZI" localSheetId="12" hidden="1">#REF!</definedName>
    <definedName name="BEx7IV2IJ5WT7UC0UG7WP0WF2JZI" localSheetId="9" hidden="1">'Customer data'!#REF!</definedName>
    <definedName name="BEx7IV2IJ5WT7UC0UG7WP0WF2JZI" localSheetId="8" hidden="1">'Largest debtors'!#REF!</definedName>
    <definedName name="BEx7IV2IJ5WT7UC0UG7WP0WF2JZI" localSheetId="11" hidden="1">#REF!</definedName>
    <definedName name="BEx7IV2IJ5WT7UC0UG7WP0WF2JZI" localSheetId="6" hidden="1">Stock!#REF!</definedName>
    <definedName name="BEx7IV2IJ5WT7UC0UG7WP0WF2JZI" hidden="1">#REF!</definedName>
    <definedName name="BEx7J4YL8Q3BI1MLH16YYQ18IJRD" localSheetId="7" hidden="1">'Aged debtors'!#REF!</definedName>
    <definedName name="BEx7J4YL8Q3BI1MLH16YYQ18IJRD" localSheetId="10" hidden="1">#REF!</definedName>
    <definedName name="BEx7J4YL8Q3BI1MLH16YYQ18IJRD" localSheetId="12" hidden="1">#REF!</definedName>
    <definedName name="BEx7J4YL8Q3BI1MLH16YYQ18IJRD" localSheetId="9" hidden="1">'Customer data'!#REF!</definedName>
    <definedName name="BEx7J4YL8Q3BI1MLH16YYQ18IJRD" localSheetId="8" hidden="1">'Largest debtors'!#REF!</definedName>
    <definedName name="BEx7J4YL8Q3BI1MLH16YYQ18IJRD" localSheetId="11" hidden="1">#REF!</definedName>
    <definedName name="BEx7J4YL8Q3BI1MLH16YYQ18IJRD" localSheetId="6" hidden="1">Stock!#REF!</definedName>
    <definedName name="BEx7J4YL8Q3BI1MLH16YYQ18IJRD" hidden="1">#REF!</definedName>
    <definedName name="BEx7JV194190CNM6WWGQ3UBJ3CHH" localSheetId="7" hidden="1">'Aged debtors'!#REF!</definedName>
    <definedName name="BEx7JV194190CNM6WWGQ3UBJ3CHH" localSheetId="10" hidden="1">#REF!</definedName>
    <definedName name="BEx7JV194190CNM6WWGQ3UBJ3CHH" localSheetId="12" hidden="1">#REF!</definedName>
    <definedName name="BEx7JV194190CNM6WWGQ3UBJ3CHH" localSheetId="9" hidden="1">'Customer data'!#REF!</definedName>
    <definedName name="BEx7JV194190CNM6WWGQ3UBJ3CHH" localSheetId="8" hidden="1">'Largest debtors'!#REF!</definedName>
    <definedName name="BEx7JV194190CNM6WWGQ3UBJ3CHH" localSheetId="11" hidden="1">#REF!</definedName>
    <definedName name="BEx7JV194190CNM6WWGQ3UBJ3CHH" localSheetId="6" hidden="1">Stock!#REF!</definedName>
    <definedName name="BEx7JV194190CNM6WWGQ3UBJ3CHH" hidden="1">#REF!</definedName>
    <definedName name="BEx7K7GZ607XQOGB81A1HINBTGOZ" localSheetId="7" hidden="1">'Aged debtors'!#REF!</definedName>
    <definedName name="BEx7K7GZ607XQOGB81A1HINBTGOZ" localSheetId="10" hidden="1">#REF!</definedName>
    <definedName name="BEx7K7GZ607XQOGB81A1HINBTGOZ" localSheetId="12" hidden="1">#REF!</definedName>
    <definedName name="BEx7K7GZ607XQOGB81A1HINBTGOZ" localSheetId="9" hidden="1">'Customer data'!#REF!</definedName>
    <definedName name="BEx7K7GZ607XQOGB81A1HINBTGOZ" localSheetId="8" hidden="1">'Largest debtors'!#REF!</definedName>
    <definedName name="BEx7K7GZ607XQOGB81A1HINBTGOZ" localSheetId="11" hidden="1">#REF!</definedName>
    <definedName name="BEx7K7GZ607XQOGB81A1HINBTGOZ" localSheetId="6" hidden="1">Stock!#REF!</definedName>
    <definedName name="BEx7K7GZ607XQOGB81A1HINBTGOZ" hidden="1">#REF!</definedName>
    <definedName name="BEx7KEYPBDXSNROH8M6CDCBN6B50" localSheetId="7" hidden="1">'Aged debtors'!#REF!</definedName>
    <definedName name="BEx7KEYPBDXSNROH8M6CDCBN6B50" localSheetId="10" hidden="1">#REF!</definedName>
    <definedName name="BEx7KEYPBDXSNROH8M6CDCBN6B50" localSheetId="12" hidden="1">#REF!</definedName>
    <definedName name="BEx7KEYPBDXSNROH8M6CDCBN6B50" localSheetId="9" hidden="1">'Customer data'!#REF!</definedName>
    <definedName name="BEx7KEYPBDXSNROH8M6CDCBN6B50" localSheetId="8" hidden="1">'Largest debtors'!#REF!</definedName>
    <definedName name="BEx7KEYPBDXSNROH8M6CDCBN6B50" localSheetId="11" hidden="1">#REF!</definedName>
    <definedName name="BEx7KEYPBDXSNROH8M6CDCBN6B50" localSheetId="6" hidden="1">Stock!#REF!</definedName>
    <definedName name="BEx7KEYPBDXSNROH8M6CDCBN6B50" hidden="1">#REF!</definedName>
    <definedName name="BEx7KXUGRMRSUXCM97Z7VRZQ9JH2" localSheetId="7" hidden="1">'Aged debtors'!#REF!</definedName>
    <definedName name="BEx7KXUGRMRSUXCM97Z7VRZQ9JH2" localSheetId="10" hidden="1">#REF!</definedName>
    <definedName name="BEx7KXUGRMRSUXCM97Z7VRZQ9JH2" localSheetId="12" hidden="1">#REF!</definedName>
    <definedName name="BEx7KXUGRMRSUXCM97Z7VRZQ9JH2" localSheetId="9" hidden="1">'Customer data'!#REF!</definedName>
    <definedName name="BEx7KXUGRMRSUXCM97Z7VRZQ9JH2" localSheetId="8" hidden="1">'Largest debtors'!#REF!</definedName>
    <definedName name="BEx7KXUGRMRSUXCM97Z7VRZQ9JH2" localSheetId="11" hidden="1">#REF!</definedName>
    <definedName name="BEx7KXUGRMRSUXCM97Z7VRZQ9JH2" localSheetId="6" hidden="1">Stock!#REF!</definedName>
    <definedName name="BEx7KXUGRMRSUXCM97Z7VRZQ9JH2" hidden="1">#REF!</definedName>
    <definedName name="BEx7KYLI8M2T8RVBDMHEH5Z3BF2V" localSheetId="7" hidden="1">'Aged debtors'!#REF!</definedName>
    <definedName name="BEx7KYLI8M2T8RVBDMHEH5Z3BF2V" localSheetId="10" hidden="1">#REF!</definedName>
    <definedName name="BEx7KYLI8M2T8RVBDMHEH5Z3BF2V" localSheetId="12" hidden="1">#REF!</definedName>
    <definedName name="BEx7KYLI8M2T8RVBDMHEH5Z3BF2V" localSheetId="9" hidden="1">'Customer data'!#REF!</definedName>
    <definedName name="BEx7KYLI8M2T8RVBDMHEH5Z3BF2V" localSheetId="8" hidden="1">'Largest debtors'!#REF!</definedName>
    <definedName name="BEx7KYLI8M2T8RVBDMHEH5Z3BF2V" localSheetId="11" hidden="1">#REF!</definedName>
    <definedName name="BEx7KYLI8M2T8RVBDMHEH5Z3BF2V" localSheetId="6" hidden="1">Stock!#REF!</definedName>
    <definedName name="BEx7KYLI8M2T8RVBDMHEH5Z3BF2V" hidden="1">#REF!</definedName>
    <definedName name="BEx7L5C6U8MP6IZ67BD649WQYJEK" localSheetId="7" hidden="1">'Aged debtors'!#REF!</definedName>
    <definedName name="BEx7L5C6U8MP6IZ67BD649WQYJEK" localSheetId="10" hidden="1">#REF!</definedName>
    <definedName name="BEx7L5C6U8MP6IZ67BD649WQYJEK" localSheetId="12" hidden="1">#REF!</definedName>
    <definedName name="BEx7L5C6U8MP6IZ67BD649WQYJEK" localSheetId="9" hidden="1">'Customer data'!#REF!</definedName>
    <definedName name="BEx7L5C6U8MP6IZ67BD649WQYJEK" localSheetId="8" hidden="1">'Largest debtors'!#REF!</definedName>
    <definedName name="BEx7L5C6U8MP6IZ67BD649WQYJEK" localSheetId="11" hidden="1">#REF!</definedName>
    <definedName name="BEx7L5C6U8MP6IZ67BD649WQYJEK" localSheetId="6" hidden="1">Stock!#REF!</definedName>
    <definedName name="BEx7L5C6U8MP6IZ67BD649WQYJEK" hidden="1">#REF!</definedName>
    <definedName name="BEx7L8HEYEVTATR0OG5JJO647KNI" localSheetId="7" hidden="1">'Aged debtors'!#REF!</definedName>
    <definedName name="BEx7L8HEYEVTATR0OG5JJO647KNI" localSheetId="10" hidden="1">#REF!</definedName>
    <definedName name="BEx7L8HEYEVTATR0OG5JJO647KNI" localSheetId="12" hidden="1">#REF!</definedName>
    <definedName name="BEx7L8HEYEVTATR0OG5JJO647KNI" localSheetId="9" hidden="1">'Customer data'!#REF!</definedName>
    <definedName name="BEx7L8HEYEVTATR0OG5JJO647KNI" localSheetId="8" hidden="1">'Largest debtors'!#REF!</definedName>
    <definedName name="BEx7L8HEYEVTATR0OG5JJO647KNI" localSheetId="11" hidden="1">#REF!</definedName>
    <definedName name="BEx7L8HEYEVTATR0OG5JJO647KNI" localSheetId="6" hidden="1">Stock!#REF!</definedName>
    <definedName name="BEx7L8HEYEVTATR0OG5JJO647KNI" hidden="1">#REF!</definedName>
    <definedName name="BEx7L8XOV64OMS15ZFURFEUXLMWF" localSheetId="7" hidden="1">'Aged debtors'!#REF!</definedName>
    <definedName name="BEx7L8XOV64OMS15ZFURFEUXLMWF" localSheetId="10" hidden="1">#REF!</definedName>
    <definedName name="BEx7L8XOV64OMS15ZFURFEUXLMWF" localSheetId="12" hidden="1">#REF!</definedName>
    <definedName name="BEx7L8XOV64OMS15ZFURFEUXLMWF" localSheetId="9" hidden="1">'Customer data'!#REF!</definedName>
    <definedName name="BEx7L8XOV64OMS15ZFURFEUXLMWF" localSheetId="8" hidden="1">'Largest debtors'!#REF!</definedName>
    <definedName name="BEx7L8XOV64OMS15ZFURFEUXLMWF" localSheetId="11" hidden="1">#REF!</definedName>
    <definedName name="BEx7L8XOV64OMS15ZFURFEUXLMWF" localSheetId="6" hidden="1">Stock!#REF!</definedName>
    <definedName name="BEx7L8XOV64OMS15ZFURFEUXLMWF" hidden="1">#REF!</definedName>
    <definedName name="BEx7MAUI1JJFDIJGDW4RWY5384LY" localSheetId="7" hidden="1">'Aged debtors'!#REF!</definedName>
    <definedName name="BEx7MAUI1JJFDIJGDW4RWY5384LY" localSheetId="10" hidden="1">#REF!</definedName>
    <definedName name="BEx7MAUI1JJFDIJGDW4RWY5384LY" localSheetId="12" hidden="1">#REF!</definedName>
    <definedName name="BEx7MAUI1JJFDIJGDW4RWY5384LY" localSheetId="9" hidden="1">'Customer data'!#REF!</definedName>
    <definedName name="BEx7MAUI1JJFDIJGDW4RWY5384LY" localSheetId="8" hidden="1">'Largest debtors'!#REF!</definedName>
    <definedName name="BEx7MAUI1JJFDIJGDW4RWY5384LY" localSheetId="11" hidden="1">#REF!</definedName>
    <definedName name="BEx7MAUI1JJFDIJGDW4RWY5384LY" localSheetId="6" hidden="1">Stock!#REF!</definedName>
    <definedName name="BEx7MAUI1JJFDIJGDW4RWY5384LY" hidden="1">#REF!</definedName>
    <definedName name="BEx7MT4MFNXIVQGAT6D971GZW7CA" localSheetId="7" hidden="1">'Aged debtors'!#REF!</definedName>
    <definedName name="BEx7MT4MFNXIVQGAT6D971GZW7CA" localSheetId="10" hidden="1">#REF!</definedName>
    <definedName name="BEx7MT4MFNXIVQGAT6D971GZW7CA" localSheetId="12" hidden="1">#REF!</definedName>
    <definedName name="BEx7MT4MFNXIVQGAT6D971GZW7CA" localSheetId="9" hidden="1">'Customer data'!#REF!</definedName>
    <definedName name="BEx7MT4MFNXIVQGAT6D971GZW7CA" localSheetId="8" hidden="1">'Largest debtors'!#REF!</definedName>
    <definedName name="BEx7MT4MFNXIVQGAT6D971GZW7CA" localSheetId="11" hidden="1">#REF!</definedName>
    <definedName name="BEx7MT4MFNXIVQGAT6D971GZW7CA" localSheetId="6" hidden="1">Stock!#REF!</definedName>
    <definedName name="BEx7MT4MFNXIVQGAT6D971GZW7CA" hidden="1">#REF!</definedName>
    <definedName name="BEx7NI062THZAM6I8AJWTFJL91CS" localSheetId="7" hidden="1">'Aged debtors'!#REF!</definedName>
    <definedName name="BEx7NI062THZAM6I8AJWTFJL91CS" localSheetId="10" hidden="1">#REF!</definedName>
    <definedName name="BEx7NI062THZAM6I8AJWTFJL91CS" localSheetId="12" hidden="1">#REF!</definedName>
    <definedName name="BEx7NI062THZAM6I8AJWTFJL91CS" localSheetId="9" hidden="1">'Customer data'!#REF!</definedName>
    <definedName name="BEx7NI062THZAM6I8AJWTFJL91CS" localSheetId="8" hidden="1">'Largest debtors'!#REF!</definedName>
    <definedName name="BEx7NI062THZAM6I8AJWTFJL91CS" localSheetId="11" hidden="1">#REF!</definedName>
    <definedName name="BEx7NI062THZAM6I8AJWTFJL91CS" localSheetId="6" hidden="1">Stock!#REF!</definedName>
    <definedName name="BEx7NI062THZAM6I8AJWTFJL91CS" hidden="1">#REF!</definedName>
    <definedName name="BEx904S75BPRYMHF0083JF7ES4NG" localSheetId="7" hidden="1">'Aged debtors'!#REF!</definedName>
    <definedName name="BEx904S75BPRYMHF0083JF7ES4NG" localSheetId="10" hidden="1">#REF!</definedName>
    <definedName name="BEx904S75BPRYMHF0083JF7ES4NG" localSheetId="12" hidden="1">#REF!</definedName>
    <definedName name="BEx904S75BPRYMHF0083JF7ES4NG" localSheetId="9" hidden="1">'Customer data'!#REF!</definedName>
    <definedName name="BEx904S75BPRYMHF0083JF7ES4NG" localSheetId="8" hidden="1">'Largest debtors'!#REF!</definedName>
    <definedName name="BEx904S75BPRYMHF0083JF7ES4NG" localSheetId="11" hidden="1">#REF!</definedName>
    <definedName name="BEx904S75BPRYMHF0083JF7ES4NG" localSheetId="6" hidden="1">Stock!#REF!</definedName>
    <definedName name="BEx904S75BPRYMHF0083JF7ES4NG" hidden="1">#REF!</definedName>
    <definedName name="BEx90HDD4RWF7JZGA8GCGG7D63MG" localSheetId="7" hidden="1">'Aged debtors'!#REF!</definedName>
    <definedName name="BEx90HDD4RWF7JZGA8GCGG7D63MG" localSheetId="10" hidden="1">#REF!</definedName>
    <definedName name="BEx90HDD4RWF7JZGA8GCGG7D63MG" localSheetId="12" hidden="1">#REF!</definedName>
    <definedName name="BEx90HDD4RWF7JZGA8GCGG7D63MG" localSheetId="9" hidden="1">'Customer data'!#REF!</definedName>
    <definedName name="BEx90HDD4RWF7JZGA8GCGG7D63MG" localSheetId="8" hidden="1">'Largest debtors'!#REF!</definedName>
    <definedName name="BEx90HDD4RWF7JZGA8GCGG7D63MG" localSheetId="11" hidden="1">#REF!</definedName>
    <definedName name="BEx90HDD4RWF7JZGA8GCGG7D63MG" localSheetId="6" hidden="1">Stock!#REF!</definedName>
    <definedName name="BEx90HDD4RWF7JZGA8GCGG7D63MG" hidden="1">#REF!</definedName>
    <definedName name="BEx9175B70QXYAU5A8DJPGZQ46L9" localSheetId="7" hidden="1">'Aged debtors'!#REF!</definedName>
    <definedName name="BEx9175B70QXYAU5A8DJPGZQ46L9" localSheetId="10" hidden="1">#REF!</definedName>
    <definedName name="BEx9175B70QXYAU5A8DJPGZQ46L9" localSheetId="12" hidden="1">#REF!</definedName>
    <definedName name="BEx9175B70QXYAU5A8DJPGZQ46L9" localSheetId="9" hidden="1">'Customer data'!#REF!</definedName>
    <definedName name="BEx9175B70QXYAU5A8DJPGZQ46L9" localSheetId="8" hidden="1">'Largest debtors'!#REF!</definedName>
    <definedName name="BEx9175B70QXYAU5A8DJPGZQ46L9" localSheetId="11" hidden="1">#REF!</definedName>
    <definedName name="BEx9175B70QXYAU5A8DJPGZQ46L9" localSheetId="6" hidden="1">Stock!#REF!</definedName>
    <definedName name="BEx9175B70QXYAU5A8DJPGZQ46L9" hidden="1">#REF!</definedName>
    <definedName name="BEx91AQQRTV87AO27VWHSFZAD4ZR" localSheetId="7" hidden="1">'Aged debtors'!#REF!</definedName>
    <definedName name="BEx91AQQRTV87AO27VWHSFZAD4ZR" localSheetId="10" hidden="1">#REF!</definedName>
    <definedName name="BEx91AQQRTV87AO27VWHSFZAD4ZR" localSheetId="12" hidden="1">#REF!</definedName>
    <definedName name="BEx91AQQRTV87AO27VWHSFZAD4ZR" localSheetId="9" hidden="1">'Customer data'!#REF!</definedName>
    <definedName name="BEx91AQQRTV87AO27VWHSFZAD4ZR" localSheetId="8" hidden="1">'Largest debtors'!#REF!</definedName>
    <definedName name="BEx91AQQRTV87AO27VWHSFZAD4ZR" localSheetId="11" hidden="1">#REF!</definedName>
    <definedName name="BEx91AQQRTV87AO27VWHSFZAD4ZR" localSheetId="6" hidden="1">Stock!#REF!</definedName>
    <definedName name="BEx91AQQRTV87AO27VWHSFZAD4ZR" hidden="1">#REF!</definedName>
    <definedName name="BEx91L8FLL5CWLA2CDHKCOMGVDZN" localSheetId="7" hidden="1">'Aged debtors'!#REF!</definedName>
    <definedName name="BEx91L8FLL5CWLA2CDHKCOMGVDZN" localSheetId="10" hidden="1">#REF!</definedName>
    <definedName name="BEx91L8FLL5CWLA2CDHKCOMGVDZN" localSheetId="12" hidden="1">#REF!</definedName>
    <definedName name="BEx91L8FLL5CWLA2CDHKCOMGVDZN" localSheetId="9" hidden="1">'Customer data'!#REF!</definedName>
    <definedName name="BEx91L8FLL5CWLA2CDHKCOMGVDZN" localSheetId="8" hidden="1">'Largest debtors'!#REF!</definedName>
    <definedName name="BEx91L8FLL5CWLA2CDHKCOMGVDZN" localSheetId="11" hidden="1">#REF!</definedName>
    <definedName name="BEx91L8FLL5CWLA2CDHKCOMGVDZN" localSheetId="6" hidden="1">Stock!#REF!</definedName>
    <definedName name="BEx91L8FLL5CWLA2CDHKCOMGVDZN" hidden="1">#REF!</definedName>
    <definedName name="BEx91N14ZL6VKEQJACAUF4FA8KPM" localSheetId="7" hidden="1">'Aged debtors'!#REF!</definedName>
    <definedName name="BEx91N14ZL6VKEQJACAUF4FA8KPM" localSheetId="10" hidden="1">#REF!</definedName>
    <definedName name="BEx91N14ZL6VKEQJACAUF4FA8KPM" localSheetId="12" hidden="1">#REF!</definedName>
    <definedName name="BEx91N14ZL6VKEQJACAUF4FA8KPM" localSheetId="9" hidden="1">'Customer data'!#REF!</definedName>
    <definedName name="BEx91N14ZL6VKEQJACAUF4FA8KPM" localSheetId="8" hidden="1">'Largest debtors'!#REF!</definedName>
    <definedName name="BEx91N14ZL6VKEQJACAUF4FA8KPM" localSheetId="11" hidden="1">#REF!</definedName>
    <definedName name="BEx91N14ZL6VKEQJACAUF4FA8KPM" localSheetId="6" hidden="1">Stock!#REF!</definedName>
    <definedName name="BEx91N14ZL6VKEQJACAUF4FA8KPM" hidden="1">#REF!</definedName>
    <definedName name="BEx91OTVH9ZDBC3QTORU8RZX4EOC" localSheetId="7" hidden="1">'Aged debtors'!#REF!</definedName>
    <definedName name="BEx91OTVH9ZDBC3QTORU8RZX4EOC" localSheetId="10" hidden="1">#REF!</definedName>
    <definedName name="BEx91OTVH9ZDBC3QTORU8RZX4EOC" localSheetId="12" hidden="1">#REF!</definedName>
    <definedName name="BEx91OTVH9ZDBC3QTORU8RZX4EOC" localSheetId="9" hidden="1">'Customer data'!#REF!</definedName>
    <definedName name="BEx91OTVH9ZDBC3QTORU8RZX4EOC" localSheetId="8" hidden="1">'Largest debtors'!#REF!</definedName>
    <definedName name="BEx91OTVH9ZDBC3QTORU8RZX4EOC" localSheetId="11" hidden="1">#REF!</definedName>
    <definedName name="BEx91OTVH9ZDBC3QTORU8RZX4EOC" localSheetId="6" hidden="1">Stock!#REF!</definedName>
    <definedName name="BEx91OTVH9ZDBC3QTORU8RZX4EOC" hidden="1">#REF!</definedName>
    <definedName name="BEx91QH5JRZKQP1GPN2SQMR3CKAG" localSheetId="7" hidden="1">'Aged debtors'!#REF!</definedName>
    <definedName name="BEx91QH5JRZKQP1GPN2SQMR3CKAG" localSheetId="10" hidden="1">#REF!</definedName>
    <definedName name="BEx91QH5JRZKQP1GPN2SQMR3CKAG" localSheetId="12" hidden="1">#REF!</definedName>
    <definedName name="BEx91QH5JRZKQP1GPN2SQMR3CKAG" localSheetId="9" hidden="1">'Customer data'!#REF!</definedName>
    <definedName name="BEx91QH5JRZKQP1GPN2SQMR3CKAG" localSheetId="8" hidden="1">'Largest debtors'!#REF!</definedName>
    <definedName name="BEx91QH5JRZKQP1GPN2SQMR3CKAG" localSheetId="11" hidden="1">#REF!</definedName>
    <definedName name="BEx91QH5JRZKQP1GPN2SQMR3CKAG" localSheetId="6" hidden="1">Stock!#REF!</definedName>
    <definedName name="BEx91QH5JRZKQP1GPN2SQMR3CKAG" hidden="1">#REF!</definedName>
    <definedName name="BEx91ROALDNHO7FI4X8L61RH4UJE" localSheetId="7" hidden="1">'Aged debtors'!#REF!</definedName>
    <definedName name="BEx91ROALDNHO7FI4X8L61RH4UJE" localSheetId="10" hidden="1">#REF!</definedName>
    <definedName name="BEx91ROALDNHO7FI4X8L61RH4UJE" localSheetId="12" hidden="1">#REF!</definedName>
    <definedName name="BEx91ROALDNHO7FI4X8L61RH4UJE" localSheetId="9" hidden="1">'Customer data'!#REF!</definedName>
    <definedName name="BEx91ROALDNHO7FI4X8L61RH4UJE" localSheetId="8" hidden="1">'Largest debtors'!#REF!</definedName>
    <definedName name="BEx91ROALDNHO7FI4X8L61RH4UJE" localSheetId="11" hidden="1">#REF!</definedName>
    <definedName name="BEx91ROALDNHO7FI4X8L61RH4UJE" localSheetId="6" hidden="1">Stock!#REF!</definedName>
    <definedName name="BEx91ROALDNHO7FI4X8L61RH4UJE" hidden="1">#REF!</definedName>
    <definedName name="BEx921PNZ46VORG2VRMWREWIC0SE" localSheetId="7" hidden="1">'Aged debtors'!#REF!</definedName>
    <definedName name="BEx921PNZ46VORG2VRMWREWIC0SE" localSheetId="10" hidden="1">#REF!</definedName>
    <definedName name="BEx921PNZ46VORG2VRMWREWIC0SE" localSheetId="12" hidden="1">#REF!</definedName>
    <definedName name="BEx921PNZ46VORG2VRMWREWIC0SE" localSheetId="9" hidden="1">'Customer data'!#REF!</definedName>
    <definedName name="BEx921PNZ46VORG2VRMWREWIC0SE" localSheetId="8" hidden="1">'Largest debtors'!#REF!</definedName>
    <definedName name="BEx921PNZ46VORG2VRMWREWIC0SE" localSheetId="11" hidden="1">#REF!</definedName>
    <definedName name="BEx921PNZ46VORG2VRMWREWIC0SE" localSheetId="6" hidden="1">Stock!#REF!</definedName>
    <definedName name="BEx921PNZ46VORG2VRMWREWIC0SE" hidden="1">#REF!</definedName>
    <definedName name="BEx92D3OXE5BBJXFP5H40OS8OMNZ" localSheetId="7" hidden="1">'Aged debtors'!#REF!</definedName>
    <definedName name="BEx92D3OXE5BBJXFP5H40OS8OMNZ" localSheetId="10" hidden="1">#REF!</definedName>
    <definedName name="BEx92D3OXE5BBJXFP5H40OS8OMNZ" localSheetId="12" hidden="1">#REF!</definedName>
    <definedName name="BEx92D3OXE5BBJXFP5H40OS8OMNZ" localSheetId="9" hidden="1">'Customer data'!#REF!</definedName>
    <definedName name="BEx92D3OXE5BBJXFP5H40OS8OMNZ" localSheetId="8" hidden="1">'Largest debtors'!#REF!</definedName>
    <definedName name="BEx92D3OXE5BBJXFP5H40OS8OMNZ" localSheetId="11" hidden="1">#REF!</definedName>
    <definedName name="BEx92D3OXE5BBJXFP5H40OS8OMNZ" localSheetId="6" hidden="1">Stock!#REF!</definedName>
    <definedName name="BEx92D3OXE5BBJXFP5H40OS8OMNZ" hidden="1">#REF!</definedName>
    <definedName name="BEx92DPEKL5WM5A3CN8674JI0PR3" localSheetId="7" hidden="1">'Aged debtors'!#REF!</definedName>
    <definedName name="BEx92DPEKL5WM5A3CN8674JI0PR3" localSheetId="10" hidden="1">#REF!</definedName>
    <definedName name="BEx92DPEKL5WM5A3CN8674JI0PR3" localSheetId="12" hidden="1">#REF!</definedName>
    <definedName name="BEx92DPEKL5WM5A3CN8674JI0PR3" localSheetId="9" hidden="1">'Customer data'!#REF!</definedName>
    <definedName name="BEx92DPEKL5WM5A3CN8674JI0PR3" localSheetId="8" hidden="1">'Largest debtors'!#REF!</definedName>
    <definedName name="BEx92DPEKL5WM5A3CN8674JI0PR3" localSheetId="11" hidden="1">#REF!</definedName>
    <definedName name="BEx92DPEKL5WM5A3CN8674JI0PR3" localSheetId="6" hidden="1">Stock!#REF!</definedName>
    <definedName name="BEx92DPEKL5WM5A3CN8674JI0PR3" hidden="1">#REF!</definedName>
    <definedName name="BEx92ER2RMY93TZK0D9L9T3H0GI5" localSheetId="7" hidden="1">'Aged debtors'!#REF!</definedName>
    <definedName name="BEx92ER2RMY93TZK0D9L9T3H0GI5" localSheetId="10" hidden="1">#REF!</definedName>
    <definedName name="BEx92ER2RMY93TZK0D9L9T3H0GI5" localSheetId="12" hidden="1">#REF!</definedName>
    <definedName name="BEx92ER2RMY93TZK0D9L9T3H0GI5" localSheetId="9" hidden="1">'Customer data'!#REF!</definedName>
    <definedName name="BEx92ER2RMY93TZK0D9L9T3H0GI5" localSheetId="8" hidden="1">'Largest debtors'!#REF!</definedName>
    <definedName name="BEx92ER2RMY93TZK0D9L9T3H0GI5" localSheetId="11" hidden="1">#REF!</definedName>
    <definedName name="BEx92ER2RMY93TZK0D9L9T3H0GI5" localSheetId="6" hidden="1">Stock!#REF!</definedName>
    <definedName name="BEx92ER2RMY93TZK0D9L9T3H0GI5" hidden="1">#REF!</definedName>
    <definedName name="BEx92FI04PJT4LI23KKIHRXWJDTT" localSheetId="7" hidden="1">'Aged debtors'!#REF!</definedName>
    <definedName name="BEx92FI04PJT4LI23KKIHRXWJDTT" localSheetId="10" hidden="1">#REF!</definedName>
    <definedName name="BEx92FI04PJT4LI23KKIHRXWJDTT" localSheetId="12" hidden="1">#REF!</definedName>
    <definedName name="BEx92FI04PJT4LI23KKIHRXWJDTT" localSheetId="9" hidden="1">'Customer data'!#REF!</definedName>
    <definedName name="BEx92FI04PJT4LI23KKIHRXWJDTT" localSheetId="8" hidden="1">'Largest debtors'!#REF!</definedName>
    <definedName name="BEx92FI04PJT4LI23KKIHRXWJDTT" localSheetId="11" hidden="1">#REF!</definedName>
    <definedName name="BEx92FI04PJT4LI23KKIHRXWJDTT" localSheetId="6" hidden="1">Stock!#REF!</definedName>
    <definedName name="BEx92FI04PJT4LI23KKIHRXWJDTT" hidden="1">#REF!</definedName>
    <definedName name="BEx92HR14HQ9D5JXCSPA4SS4RT62" localSheetId="7" hidden="1">'Aged debtors'!#REF!</definedName>
    <definedName name="BEx92HR14HQ9D5JXCSPA4SS4RT62" localSheetId="10" hidden="1">#REF!</definedName>
    <definedName name="BEx92HR14HQ9D5JXCSPA4SS4RT62" localSheetId="12" hidden="1">#REF!</definedName>
    <definedName name="BEx92HR14HQ9D5JXCSPA4SS4RT62" localSheetId="9" hidden="1">'Customer data'!#REF!</definedName>
    <definedName name="BEx92HR14HQ9D5JXCSPA4SS4RT62" localSheetId="8" hidden="1">'Largest debtors'!#REF!</definedName>
    <definedName name="BEx92HR14HQ9D5JXCSPA4SS4RT62" localSheetId="11" hidden="1">#REF!</definedName>
    <definedName name="BEx92HR14HQ9D5JXCSPA4SS4RT62" localSheetId="6" hidden="1">Stock!#REF!</definedName>
    <definedName name="BEx92HR14HQ9D5JXCSPA4SS4RT62" hidden="1">#REF!</definedName>
    <definedName name="BEx92S8MHFFIVRQ2YSHZNQGOFUHD" localSheetId="7" hidden="1">'Aged debtors'!#REF!</definedName>
    <definedName name="BEx92S8MHFFIVRQ2YSHZNQGOFUHD" localSheetId="10" hidden="1">#REF!</definedName>
    <definedName name="BEx92S8MHFFIVRQ2YSHZNQGOFUHD" localSheetId="12" hidden="1">#REF!</definedName>
    <definedName name="BEx92S8MHFFIVRQ2YSHZNQGOFUHD" localSheetId="9" hidden="1">'Customer data'!#REF!</definedName>
    <definedName name="BEx92S8MHFFIVRQ2YSHZNQGOFUHD" localSheetId="8" hidden="1">'Largest debtors'!#REF!</definedName>
    <definedName name="BEx92S8MHFFIVRQ2YSHZNQGOFUHD" localSheetId="11" hidden="1">#REF!</definedName>
    <definedName name="BEx92S8MHFFIVRQ2YSHZNQGOFUHD" localSheetId="6" hidden="1">Stock!#REF!</definedName>
    <definedName name="BEx92S8MHFFIVRQ2YSHZNQGOFUHD" hidden="1">#REF!</definedName>
    <definedName name="BEx93FRKF99NRT3LH99UTIH7AAYF" localSheetId="7" hidden="1">'Aged debtors'!#REF!</definedName>
    <definedName name="BEx93FRKF99NRT3LH99UTIH7AAYF" localSheetId="10" hidden="1">#REF!</definedName>
    <definedName name="BEx93FRKF99NRT3LH99UTIH7AAYF" localSheetId="12" hidden="1">#REF!</definedName>
    <definedName name="BEx93FRKF99NRT3LH99UTIH7AAYF" localSheetId="9" hidden="1">'Customer data'!#REF!</definedName>
    <definedName name="BEx93FRKF99NRT3LH99UTIH7AAYF" localSheetId="8" hidden="1">'Largest debtors'!#REF!</definedName>
    <definedName name="BEx93FRKF99NRT3LH99UTIH7AAYF" localSheetId="11" hidden="1">#REF!</definedName>
    <definedName name="BEx93FRKF99NRT3LH99UTIH7AAYF" localSheetId="6" hidden="1">Stock!#REF!</definedName>
    <definedName name="BEx93FRKF99NRT3LH99UTIH7AAYF" hidden="1">#REF!</definedName>
    <definedName name="BEx93M7FSHP50OG34A4W8W8DF12U" localSheetId="7" hidden="1">'Aged debtors'!#REF!</definedName>
    <definedName name="BEx93M7FSHP50OG34A4W8W8DF12U" localSheetId="10" hidden="1">#REF!</definedName>
    <definedName name="BEx93M7FSHP50OG34A4W8W8DF12U" localSheetId="12" hidden="1">#REF!</definedName>
    <definedName name="BEx93M7FSHP50OG34A4W8W8DF12U" localSheetId="9" hidden="1">'Customer data'!#REF!</definedName>
    <definedName name="BEx93M7FSHP50OG34A4W8W8DF12U" localSheetId="8" hidden="1">'Largest debtors'!#REF!</definedName>
    <definedName name="BEx93M7FSHP50OG34A4W8W8DF12U" localSheetId="11" hidden="1">#REF!</definedName>
    <definedName name="BEx93M7FSHP50OG34A4W8W8DF12U" localSheetId="6" hidden="1">Stock!#REF!</definedName>
    <definedName name="BEx93M7FSHP50OG34A4W8W8DF12U" hidden="1">#REF!</definedName>
    <definedName name="BEx93RWFAF6YJGYUTITVM445C02U" localSheetId="7" hidden="1">'Aged debtors'!#REF!</definedName>
    <definedName name="BEx93RWFAF6YJGYUTITVM445C02U" localSheetId="10" hidden="1">#REF!</definedName>
    <definedName name="BEx93RWFAF6YJGYUTITVM445C02U" localSheetId="12" hidden="1">#REF!</definedName>
    <definedName name="BEx93RWFAF6YJGYUTITVM445C02U" localSheetId="9" hidden="1">'Customer data'!#REF!</definedName>
    <definedName name="BEx93RWFAF6YJGYUTITVM445C02U" localSheetId="8" hidden="1">'Largest debtors'!#REF!</definedName>
    <definedName name="BEx93RWFAF6YJGYUTITVM445C02U" localSheetId="11" hidden="1">#REF!</definedName>
    <definedName name="BEx93RWFAF6YJGYUTITVM445C02U" localSheetId="6" hidden="1">Stock!#REF!</definedName>
    <definedName name="BEx93RWFAF6YJGYUTITVM445C02U" hidden="1">#REF!</definedName>
    <definedName name="BEx93SY9RWG3HUV4YXQKXJH9FH14" localSheetId="7" hidden="1">'Aged debtors'!#REF!</definedName>
    <definedName name="BEx93SY9RWG3HUV4YXQKXJH9FH14" localSheetId="10" hidden="1">#REF!</definedName>
    <definedName name="BEx93SY9RWG3HUV4YXQKXJH9FH14" localSheetId="12" hidden="1">#REF!</definedName>
    <definedName name="BEx93SY9RWG3HUV4YXQKXJH9FH14" localSheetId="9" hidden="1">'Customer data'!#REF!</definedName>
    <definedName name="BEx93SY9RWG3HUV4YXQKXJH9FH14" localSheetId="8" hidden="1">'Largest debtors'!#REF!</definedName>
    <definedName name="BEx93SY9RWG3HUV4YXQKXJH9FH14" localSheetId="11" hidden="1">#REF!</definedName>
    <definedName name="BEx93SY9RWG3HUV4YXQKXJH9FH14" localSheetId="6" hidden="1">Stock!#REF!</definedName>
    <definedName name="BEx93SY9RWG3HUV4YXQKXJH9FH14" hidden="1">#REF!</definedName>
    <definedName name="BEx93TJUX3U0FJDBG6DDSNQ91R5J" localSheetId="7" hidden="1">'Aged debtors'!#REF!</definedName>
    <definedName name="BEx93TJUX3U0FJDBG6DDSNQ91R5J" localSheetId="10" hidden="1">#REF!</definedName>
    <definedName name="BEx93TJUX3U0FJDBG6DDSNQ91R5J" localSheetId="12" hidden="1">#REF!</definedName>
    <definedName name="BEx93TJUX3U0FJDBG6DDSNQ91R5J" localSheetId="9" hidden="1">'Customer data'!#REF!</definedName>
    <definedName name="BEx93TJUX3U0FJDBG6DDSNQ91R5J" localSheetId="8" hidden="1">'Largest debtors'!#REF!</definedName>
    <definedName name="BEx93TJUX3U0FJDBG6DDSNQ91R5J" localSheetId="11" hidden="1">#REF!</definedName>
    <definedName name="BEx93TJUX3U0FJDBG6DDSNQ91R5J" localSheetId="6" hidden="1">Stock!#REF!</definedName>
    <definedName name="BEx93TJUX3U0FJDBG6DDSNQ91R5J" hidden="1">#REF!</definedName>
    <definedName name="BEx942UCRHMI4B0US31HO95GSC2X" localSheetId="7" hidden="1">'Aged debtors'!#REF!</definedName>
    <definedName name="BEx942UCRHMI4B0US31HO95GSC2X" localSheetId="10" hidden="1">#REF!</definedName>
    <definedName name="BEx942UCRHMI4B0US31HO95GSC2X" localSheetId="12" hidden="1">#REF!</definedName>
    <definedName name="BEx942UCRHMI4B0US31HO95GSC2X" localSheetId="9" hidden="1">'Customer data'!#REF!</definedName>
    <definedName name="BEx942UCRHMI4B0US31HO95GSC2X" localSheetId="8" hidden="1">'Largest debtors'!#REF!</definedName>
    <definedName name="BEx942UCRHMI4B0US31HO95GSC2X" localSheetId="11" hidden="1">#REF!</definedName>
    <definedName name="BEx942UCRHMI4B0US31HO95GSC2X" localSheetId="6" hidden="1">Stock!#REF!</definedName>
    <definedName name="BEx942UCRHMI4B0US31HO95GSC2X" hidden="1">#REF!</definedName>
    <definedName name="BEx948U50BH1QSJ45WZU429P1YBG" localSheetId="7" hidden="1">'Aged debtors'!#REF!</definedName>
    <definedName name="BEx948U50BH1QSJ45WZU429P1YBG" localSheetId="10" hidden="1">#REF!</definedName>
    <definedName name="BEx948U50BH1QSJ45WZU429P1YBG" localSheetId="12" hidden="1">#REF!</definedName>
    <definedName name="BEx948U50BH1QSJ45WZU429P1YBG" localSheetId="9" hidden="1">'Customer data'!#REF!</definedName>
    <definedName name="BEx948U50BH1QSJ45WZU429P1YBG" localSheetId="8" hidden="1">'Largest debtors'!#REF!</definedName>
    <definedName name="BEx948U50BH1QSJ45WZU429P1YBG" localSheetId="11" hidden="1">#REF!</definedName>
    <definedName name="BEx948U50BH1QSJ45WZU429P1YBG" localSheetId="6" hidden="1">Stock!#REF!</definedName>
    <definedName name="BEx948U50BH1QSJ45WZU429P1YBG" hidden="1">#REF!</definedName>
    <definedName name="BEx948ZFFQWVIDNG4AZAUGGGEB5U" localSheetId="7" hidden="1">'Aged debtors'!#REF!</definedName>
    <definedName name="BEx948ZFFQWVIDNG4AZAUGGGEB5U" localSheetId="10" hidden="1">#REF!</definedName>
    <definedName name="BEx948ZFFQWVIDNG4AZAUGGGEB5U" localSheetId="12" hidden="1">#REF!</definedName>
    <definedName name="BEx948ZFFQWVIDNG4AZAUGGGEB5U" localSheetId="9" hidden="1">'Customer data'!#REF!</definedName>
    <definedName name="BEx948ZFFQWVIDNG4AZAUGGGEB5U" localSheetId="8" hidden="1">'Largest debtors'!#REF!</definedName>
    <definedName name="BEx948ZFFQWVIDNG4AZAUGGGEB5U" localSheetId="11" hidden="1">#REF!</definedName>
    <definedName name="BEx948ZFFQWVIDNG4AZAUGGGEB5U" localSheetId="6" hidden="1">Stock!#REF!</definedName>
    <definedName name="BEx948ZFFQWVIDNG4AZAUGGGEB5U" hidden="1">#REF!</definedName>
    <definedName name="BEx94HZ5LURYM9ST744ALV6ZCKYP" localSheetId="7" hidden="1">'Aged debtors'!#REF!</definedName>
    <definedName name="BEx94HZ5LURYM9ST744ALV6ZCKYP" localSheetId="10" hidden="1">#REF!</definedName>
    <definedName name="BEx94HZ5LURYM9ST744ALV6ZCKYP" localSheetId="12" hidden="1">#REF!</definedName>
    <definedName name="BEx94HZ5LURYM9ST744ALV6ZCKYP" localSheetId="9" hidden="1">'Customer data'!#REF!</definedName>
    <definedName name="BEx94HZ5LURYM9ST744ALV6ZCKYP" localSheetId="8" hidden="1">'Largest debtors'!#REF!</definedName>
    <definedName name="BEx94HZ5LURYM9ST744ALV6ZCKYP" localSheetId="11" hidden="1">#REF!</definedName>
    <definedName name="BEx94HZ5LURYM9ST744ALV6ZCKYP" localSheetId="6" hidden="1">Stock!#REF!</definedName>
    <definedName name="BEx94HZ5LURYM9ST744ALV6ZCKYP" hidden="1">#REF!</definedName>
    <definedName name="BEx94IQ75E90YUMWJ9N591LR7DQQ" localSheetId="7" hidden="1">'Aged debtors'!#REF!</definedName>
    <definedName name="BEx94IQ75E90YUMWJ9N591LR7DQQ" localSheetId="10" hidden="1">#REF!</definedName>
    <definedName name="BEx94IQ75E90YUMWJ9N591LR7DQQ" localSheetId="12" hidden="1">#REF!</definedName>
    <definedName name="BEx94IQ75E90YUMWJ9N591LR7DQQ" localSheetId="9" hidden="1">'Customer data'!#REF!</definedName>
    <definedName name="BEx94IQ75E90YUMWJ9N591LR7DQQ" localSheetId="8" hidden="1">'Largest debtors'!#REF!</definedName>
    <definedName name="BEx94IQ75E90YUMWJ9N591LR7DQQ" localSheetId="11" hidden="1">#REF!</definedName>
    <definedName name="BEx94IQ75E90YUMWJ9N591LR7DQQ" localSheetId="6" hidden="1">Stock!#REF!</definedName>
    <definedName name="BEx94IQ75E90YUMWJ9N591LR7DQQ" hidden="1">#REF!</definedName>
    <definedName name="BEx95QBZMG0E2KQ9BERJ861QLYN3" localSheetId="7" hidden="1">'Aged debtors'!#REF!</definedName>
    <definedName name="BEx95QBZMG0E2KQ9BERJ861QLYN3" localSheetId="10" hidden="1">#REF!</definedName>
    <definedName name="BEx95QBZMG0E2KQ9BERJ861QLYN3" localSheetId="12" hidden="1">#REF!</definedName>
    <definedName name="BEx95QBZMG0E2KQ9BERJ861QLYN3" localSheetId="9" hidden="1">'Customer data'!#REF!</definedName>
    <definedName name="BEx95QBZMG0E2KQ9BERJ861QLYN3" localSheetId="8" hidden="1">'Largest debtors'!#REF!</definedName>
    <definedName name="BEx95QBZMG0E2KQ9BERJ861QLYN3" localSheetId="11" hidden="1">#REF!</definedName>
    <definedName name="BEx95QBZMG0E2KQ9BERJ861QLYN3" localSheetId="6" hidden="1">Stock!#REF!</definedName>
    <definedName name="BEx95QBZMG0E2KQ9BERJ861QLYN3" hidden="1">#REF!</definedName>
    <definedName name="BEx9602K2GHNBUEUVT9ONRQU1GMD" localSheetId="7" hidden="1">'Aged debtors'!#REF!</definedName>
    <definedName name="BEx9602K2GHNBUEUVT9ONRQU1GMD" localSheetId="10" hidden="1">#REF!</definedName>
    <definedName name="BEx9602K2GHNBUEUVT9ONRQU1GMD" localSheetId="12" hidden="1">#REF!</definedName>
    <definedName name="BEx9602K2GHNBUEUVT9ONRQU1GMD" localSheetId="9" hidden="1">'Customer data'!#REF!</definedName>
    <definedName name="BEx9602K2GHNBUEUVT9ONRQU1GMD" localSheetId="8" hidden="1">'Largest debtors'!#REF!</definedName>
    <definedName name="BEx9602K2GHNBUEUVT9ONRQU1GMD" localSheetId="11" hidden="1">#REF!</definedName>
    <definedName name="BEx9602K2GHNBUEUVT9ONRQU1GMD" localSheetId="6" hidden="1">Stock!#REF!</definedName>
    <definedName name="BEx9602K2GHNBUEUVT9ONRQU1GMD" hidden="1">#REF!</definedName>
    <definedName name="BEx96SUFKHHFE8XQ6UUO6ILDOXHO" localSheetId="7" hidden="1">'Aged debtors'!#REF!</definedName>
    <definedName name="BEx96SUFKHHFE8XQ6UUO6ILDOXHO" localSheetId="10" hidden="1">#REF!</definedName>
    <definedName name="BEx96SUFKHHFE8XQ6UUO6ILDOXHO" localSheetId="12" hidden="1">#REF!</definedName>
    <definedName name="BEx96SUFKHHFE8XQ6UUO6ILDOXHO" localSheetId="9" hidden="1">'Customer data'!#REF!</definedName>
    <definedName name="BEx96SUFKHHFE8XQ6UUO6ILDOXHO" localSheetId="8" hidden="1">'Largest debtors'!#REF!</definedName>
    <definedName name="BEx96SUFKHHFE8XQ6UUO6ILDOXHO" localSheetId="11" hidden="1">#REF!</definedName>
    <definedName name="BEx96SUFKHHFE8XQ6UUO6ILDOXHO" localSheetId="6" hidden="1">Stock!#REF!</definedName>
    <definedName name="BEx96SUFKHHFE8XQ6UUO6ILDOXHO" hidden="1">#REF!</definedName>
    <definedName name="BEx978KSD61YJH3S9DGO050R2EHA" localSheetId="7" hidden="1">'Aged debtors'!#REF!</definedName>
    <definedName name="BEx978KSD61YJH3S9DGO050R2EHA" localSheetId="10" hidden="1">#REF!</definedName>
    <definedName name="BEx978KSD61YJH3S9DGO050R2EHA" localSheetId="12" hidden="1">#REF!</definedName>
    <definedName name="BEx978KSD61YJH3S9DGO050R2EHA" localSheetId="9" hidden="1">'Customer data'!#REF!</definedName>
    <definedName name="BEx978KSD61YJH3S9DGO050R2EHA" localSheetId="8" hidden="1">'Largest debtors'!#REF!</definedName>
    <definedName name="BEx978KSD61YJH3S9DGO050R2EHA" localSheetId="11" hidden="1">#REF!</definedName>
    <definedName name="BEx978KSD61YJH3S9DGO050R2EHA" localSheetId="6" hidden="1">Stock!#REF!</definedName>
    <definedName name="BEx978KSD61YJH3S9DGO050R2EHA" hidden="1">#REF!</definedName>
    <definedName name="BEx97MNUZQ1Z0AO2FL7XQYVNCPR7" localSheetId="7" hidden="1">'Aged debtors'!#REF!</definedName>
    <definedName name="BEx97MNUZQ1Z0AO2FL7XQYVNCPR7" localSheetId="10" hidden="1">#REF!</definedName>
    <definedName name="BEx97MNUZQ1Z0AO2FL7XQYVNCPR7" localSheetId="12" hidden="1">#REF!</definedName>
    <definedName name="BEx97MNUZQ1Z0AO2FL7XQYVNCPR7" localSheetId="9" hidden="1">'Customer data'!#REF!</definedName>
    <definedName name="BEx97MNUZQ1Z0AO2FL7XQYVNCPR7" localSheetId="8" hidden="1">'Largest debtors'!#REF!</definedName>
    <definedName name="BEx97MNUZQ1Z0AO2FL7XQYVNCPR7" localSheetId="11" hidden="1">#REF!</definedName>
    <definedName name="BEx97MNUZQ1Z0AO2FL7XQYVNCPR7" localSheetId="6" hidden="1">Stock!#REF!</definedName>
    <definedName name="BEx97MNUZQ1Z0AO2FL7XQYVNCPR7" hidden="1">#REF!</definedName>
    <definedName name="BEx97NPQBACJVD9K1YXI08RTW9E2" localSheetId="7" hidden="1">'Aged debtors'!#REF!</definedName>
    <definedName name="BEx97NPQBACJVD9K1YXI08RTW9E2" localSheetId="10" hidden="1">#REF!</definedName>
    <definedName name="BEx97NPQBACJVD9K1YXI08RTW9E2" localSheetId="12" hidden="1">#REF!</definedName>
    <definedName name="BEx97NPQBACJVD9K1YXI08RTW9E2" localSheetId="9" hidden="1">'Customer data'!#REF!</definedName>
    <definedName name="BEx97NPQBACJVD9K1YXI08RTW9E2" localSheetId="8" hidden="1">'Largest debtors'!#REF!</definedName>
    <definedName name="BEx97NPQBACJVD9K1YXI08RTW9E2" localSheetId="11" hidden="1">#REF!</definedName>
    <definedName name="BEx97NPQBACJVD9K1YXI08RTW9E2" localSheetId="6" hidden="1">Stock!#REF!</definedName>
    <definedName name="BEx97NPQBACJVD9K1YXI08RTW9E2" hidden="1">#REF!</definedName>
    <definedName name="BEx97RWQLXS0OORDCN69IGA58CWU" localSheetId="7" hidden="1">'Aged debtors'!#REF!</definedName>
    <definedName name="BEx97RWQLXS0OORDCN69IGA58CWU" localSheetId="10" hidden="1">#REF!</definedName>
    <definedName name="BEx97RWQLXS0OORDCN69IGA58CWU" localSheetId="12" hidden="1">#REF!</definedName>
    <definedName name="BEx97RWQLXS0OORDCN69IGA58CWU" localSheetId="9" hidden="1">'Customer data'!#REF!</definedName>
    <definedName name="BEx97RWQLXS0OORDCN69IGA58CWU" localSheetId="8" hidden="1">'Largest debtors'!#REF!</definedName>
    <definedName name="BEx97RWQLXS0OORDCN69IGA58CWU" localSheetId="11" hidden="1">#REF!</definedName>
    <definedName name="BEx97RWQLXS0OORDCN69IGA58CWU" localSheetId="6" hidden="1">Stock!#REF!</definedName>
    <definedName name="BEx97RWQLXS0OORDCN69IGA58CWU" hidden="1">#REF!</definedName>
    <definedName name="BEx981HW73BUZWT14TBTZHC0ZTJ4" localSheetId="7" hidden="1">'Aged debtors'!#REF!</definedName>
    <definedName name="BEx981HW73BUZWT14TBTZHC0ZTJ4" localSheetId="10" hidden="1">#REF!</definedName>
    <definedName name="BEx981HW73BUZWT14TBTZHC0ZTJ4" localSheetId="12" hidden="1">#REF!</definedName>
    <definedName name="BEx981HW73BUZWT14TBTZHC0ZTJ4" localSheetId="9" hidden="1">'Customer data'!#REF!</definedName>
    <definedName name="BEx981HW73BUZWT14TBTZHC0ZTJ4" localSheetId="8" hidden="1">'Largest debtors'!#REF!</definedName>
    <definedName name="BEx981HW73BUZWT14TBTZHC0ZTJ4" localSheetId="11" hidden="1">#REF!</definedName>
    <definedName name="BEx981HW73BUZWT14TBTZHC0ZTJ4" localSheetId="6" hidden="1">Stock!#REF!</definedName>
    <definedName name="BEx981HW73BUZWT14TBTZHC0ZTJ4" hidden="1">#REF!</definedName>
    <definedName name="BEx9871KU0N99P0900EAK69VFYT2" localSheetId="7" hidden="1">'Aged debtors'!#REF!</definedName>
    <definedName name="BEx9871KU0N99P0900EAK69VFYT2" localSheetId="10" hidden="1">#REF!</definedName>
    <definedName name="BEx9871KU0N99P0900EAK69VFYT2" localSheetId="12" hidden="1">#REF!</definedName>
    <definedName name="BEx9871KU0N99P0900EAK69VFYT2" localSheetId="9" hidden="1">'Customer data'!#REF!</definedName>
    <definedName name="BEx9871KU0N99P0900EAK69VFYT2" localSheetId="8" hidden="1">'Largest debtors'!#REF!</definedName>
    <definedName name="BEx9871KU0N99P0900EAK69VFYT2" localSheetId="11" hidden="1">#REF!</definedName>
    <definedName name="BEx9871KU0N99P0900EAK69VFYT2" localSheetId="6" hidden="1">Stock!#REF!</definedName>
    <definedName name="BEx9871KU0N99P0900EAK69VFYT2" hidden="1">#REF!</definedName>
    <definedName name="BEx98IFKNJFGZFLID1YTRFEG1SXY" localSheetId="7" hidden="1">'Aged debtors'!#REF!</definedName>
    <definedName name="BEx98IFKNJFGZFLID1YTRFEG1SXY" localSheetId="10" hidden="1">#REF!</definedName>
    <definedName name="BEx98IFKNJFGZFLID1YTRFEG1SXY" localSheetId="12" hidden="1">#REF!</definedName>
    <definedName name="BEx98IFKNJFGZFLID1YTRFEG1SXY" localSheetId="9" hidden="1">'Customer data'!#REF!</definedName>
    <definedName name="BEx98IFKNJFGZFLID1YTRFEG1SXY" localSheetId="8" hidden="1">'Largest debtors'!#REF!</definedName>
    <definedName name="BEx98IFKNJFGZFLID1YTRFEG1SXY" localSheetId="11" hidden="1">#REF!</definedName>
    <definedName name="BEx98IFKNJFGZFLID1YTRFEG1SXY" localSheetId="6" hidden="1">Stock!#REF!</definedName>
    <definedName name="BEx98IFKNJFGZFLID1YTRFEG1SXY" hidden="1">#REF!</definedName>
    <definedName name="BEx9915UVD4G7RA3IMLFZ0LG3UA2" localSheetId="7" hidden="1">'Aged debtors'!#REF!</definedName>
    <definedName name="BEx9915UVD4G7RA3IMLFZ0LG3UA2" localSheetId="10" hidden="1">#REF!</definedName>
    <definedName name="BEx9915UVD4G7RA3IMLFZ0LG3UA2" localSheetId="12" hidden="1">#REF!</definedName>
    <definedName name="BEx9915UVD4G7RA3IMLFZ0LG3UA2" localSheetId="9" hidden="1">'Customer data'!#REF!</definedName>
    <definedName name="BEx9915UVD4G7RA3IMLFZ0LG3UA2" localSheetId="8" hidden="1">'Largest debtors'!#REF!</definedName>
    <definedName name="BEx9915UVD4G7RA3IMLFZ0LG3UA2" localSheetId="11" hidden="1">#REF!</definedName>
    <definedName name="BEx9915UVD4G7RA3IMLFZ0LG3UA2" localSheetId="6" hidden="1">Stock!#REF!</definedName>
    <definedName name="BEx9915UVD4G7RA3IMLFZ0LG3UA2" hidden="1">#REF!</definedName>
    <definedName name="BEx9952469XMFGSPXL7CMXHPJF90" localSheetId="7" hidden="1">'Aged debtors'!#REF!</definedName>
    <definedName name="BEx9952469XMFGSPXL7CMXHPJF90" localSheetId="10" hidden="1">#REF!</definedName>
    <definedName name="BEx9952469XMFGSPXL7CMXHPJF90" localSheetId="12" hidden="1">#REF!</definedName>
    <definedName name="BEx9952469XMFGSPXL7CMXHPJF90" localSheetId="9" hidden="1">'Customer data'!#REF!</definedName>
    <definedName name="BEx9952469XMFGSPXL7CMXHPJF90" localSheetId="8" hidden="1">'Largest debtors'!#REF!</definedName>
    <definedName name="BEx9952469XMFGSPXL7CMXHPJF90" localSheetId="11" hidden="1">#REF!</definedName>
    <definedName name="BEx9952469XMFGSPXL7CMXHPJF90" localSheetId="6" hidden="1">Stock!#REF!</definedName>
    <definedName name="BEx9952469XMFGSPXL7CMXHPJF90" hidden="1">#REF!</definedName>
    <definedName name="BEx99B77I7TUSHRR4HIZ9FU2EIUT" localSheetId="7" hidden="1">'Aged debtors'!#REF!</definedName>
    <definedName name="BEx99B77I7TUSHRR4HIZ9FU2EIUT" localSheetId="10" hidden="1">#REF!</definedName>
    <definedName name="BEx99B77I7TUSHRR4HIZ9FU2EIUT" localSheetId="12" hidden="1">#REF!</definedName>
    <definedName name="BEx99B77I7TUSHRR4HIZ9FU2EIUT" localSheetId="9" hidden="1">'Customer data'!#REF!</definedName>
    <definedName name="BEx99B77I7TUSHRR4HIZ9FU2EIUT" localSheetId="8" hidden="1">'Largest debtors'!#REF!</definedName>
    <definedName name="BEx99B77I7TUSHRR4HIZ9FU2EIUT" localSheetId="11" hidden="1">#REF!</definedName>
    <definedName name="BEx99B77I7TUSHRR4HIZ9FU2EIUT" localSheetId="6" hidden="1">Stock!#REF!</definedName>
    <definedName name="BEx99B77I7TUSHRR4HIZ9FU2EIUT" hidden="1">#REF!</definedName>
    <definedName name="BEx99Q6PH5F3OQKCCAAO75PYDEFN" localSheetId="7" hidden="1">'Aged debtors'!#REF!</definedName>
    <definedName name="BEx99Q6PH5F3OQKCCAAO75PYDEFN" localSheetId="10" hidden="1">#REF!</definedName>
    <definedName name="BEx99Q6PH5F3OQKCCAAO75PYDEFN" localSheetId="12" hidden="1">#REF!</definedName>
    <definedName name="BEx99Q6PH5F3OQKCCAAO75PYDEFN" localSheetId="9" hidden="1">'Customer data'!#REF!</definedName>
    <definedName name="BEx99Q6PH5F3OQKCCAAO75PYDEFN" localSheetId="8" hidden="1">'Largest debtors'!#REF!</definedName>
    <definedName name="BEx99Q6PH5F3OQKCCAAO75PYDEFN" localSheetId="11" hidden="1">#REF!</definedName>
    <definedName name="BEx99Q6PH5F3OQKCCAAO75PYDEFN" localSheetId="6" hidden="1">Stock!#REF!</definedName>
    <definedName name="BEx99Q6PH5F3OQKCCAAO75PYDEFN" hidden="1">#REF!</definedName>
    <definedName name="BEx99ZRZ4I7FHDPGRAT5VW7NVBPU" localSheetId="7" hidden="1">'Aged debtors'!#REF!</definedName>
    <definedName name="BEx99ZRZ4I7FHDPGRAT5VW7NVBPU" localSheetId="10" hidden="1">#REF!</definedName>
    <definedName name="BEx99ZRZ4I7FHDPGRAT5VW7NVBPU" localSheetId="12" hidden="1">#REF!</definedName>
    <definedName name="BEx99ZRZ4I7FHDPGRAT5VW7NVBPU" localSheetId="9" hidden="1">'Customer data'!#REF!</definedName>
    <definedName name="BEx99ZRZ4I7FHDPGRAT5VW7NVBPU" localSheetId="8" hidden="1">'Largest debtors'!#REF!</definedName>
    <definedName name="BEx99ZRZ4I7FHDPGRAT5VW7NVBPU" localSheetId="11" hidden="1">#REF!</definedName>
    <definedName name="BEx99ZRZ4I7FHDPGRAT5VW7NVBPU" localSheetId="6" hidden="1">Stock!#REF!</definedName>
    <definedName name="BEx99ZRZ4I7FHDPGRAT5VW7NVBPU" hidden="1">#REF!</definedName>
    <definedName name="BEx9AT5E3ZSHKSOL35O38L8HF9TH" localSheetId="7" hidden="1">'Aged debtors'!#REF!</definedName>
    <definedName name="BEx9AT5E3ZSHKSOL35O38L8HF9TH" localSheetId="10" hidden="1">#REF!</definedName>
    <definedName name="BEx9AT5E3ZSHKSOL35O38L8HF9TH" localSheetId="12" hidden="1">#REF!</definedName>
    <definedName name="BEx9AT5E3ZSHKSOL35O38L8HF9TH" localSheetId="9" hidden="1">'Customer data'!#REF!</definedName>
    <definedName name="BEx9AT5E3ZSHKSOL35O38L8HF9TH" localSheetId="8" hidden="1">'Largest debtors'!#REF!</definedName>
    <definedName name="BEx9AT5E3ZSHKSOL35O38L8HF9TH" localSheetId="11" hidden="1">#REF!</definedName>
    <definedName name="BEx9AT5E3ZSHKSOL35O38L8HF9TH" localSheetId="6" hidden="1">Stock!#REF!</definedName>
    <definedName name="BEx9AT5E3ZSHKSOL35O38L8HF9TH" hidden="1">#REF!</definedName>
    <definedName name="BEx9B8A5186FNTQQNLIO5LK02ABI" localSheetId="7" hidden="1">'Aged debtors'!#REF!</definedName>
    <definedName name="BEx9B8A5186FNTQQNLIO5LK02ABI" localSheetId="10" hidden="1">#REF!</definedName>
    <definedName name="BEx9B8A5186FNTQQNLIO5LK02ABI" localSheetId="12" hidden="1">#REF!</definedName>
    <definedName name="BEx9B8A5186FNTQQNLIO5LK02ABI" localSheetId="9" hidden="1">'Customer data'!#REF!</definedName>
    <definedName name="BEx9B8A5186FNTQQNLIO5LK02ABI" localSheetId="8" hidden="1">'Largest debtors'!#REF!</definedName>
    <definedName name="BEx9B8A5186FNTQQNLIO5LK02ABI" localSheetId="11" hidden="1">#REF!</definedName>
    <definedName name="BEx9B8A5186FNTQQNLIO5LK02ABI" localSheetId="6" hidden="1">Stock!#REF!</definedName>
    <definedName name="BEx9B8A5186FNTQQNLIO5LK02ABI" hidden="1">#REF!</definedName>
    <definedName name="BEx9B917EUP13X6FQ3NPQL76XM5V" localSheetId="7" hidden="1">'Aged debtors'!#REF!</definedName>
    <definedName name="BEx9B917EUP13X6FQ3NPQL76XM5V" localSheetId="10" hidden="1">#REF!</definedName>
    <definedName name="BEx9B917EUP13X6FQ3NPQL76XM5V" localSheetId="12" hidden="1">#REF!</definedName>
    <definedName name="BEx9B917EUP13X6FQ3NPQL76XM5V" localSheetId="9" hidden="1">'Customer data'!#REF!</definedName>
    <definedName name="BEx9B917EUP13X6FQ3NPQL76XM5V" localSheetId="8" hidden="1">'Largest debtors'!#REF!</definedName>
    <definedName name="BEx9B917EUP13X6FQ3NPQL76XM5V" localSheetId="11" hidden="1">#REF!</definedName>
    <definedName name="BEx9B917EUP13X6FQ3NPQL76XM5V" localSheetId="6" hidden="1">Stock!#REF!</definedName>
    <definedName name="BEx9B917EUP13X6FQ3NPQL76XM5V" hidden="1">#REF!</definedName>
    <definedName name="BEx9BAJ5WYEQ623HUT9NNCMP3RUG" localSheetId="7" hidden="1">'Aged debtors'!#REF!</definedName>
    <definedName name="BEx9BAJ5WYEQ623HUT9NNCMP3RUG" localSheetId="10" hidden="1">#REF!</definedName>
    <definedName name="BEx9BAJ5WYEQ623HUT9NNCMP3RUG" localSheetId="12" hidden="1">#REF!</definedName>
    <definedName name="BEx9BAJ5WYEQ623HUT9NNCMP3RUG" localSheetId="9" hidden="1">'Customer data'!#REF!</definedName>
    <definedName name="BEx9BAJ5WYEQ623HUT9NNCMP3RUG" localSheetId="8" hidden="1">'Largest debtors'!#REF!</definedName>
    <definedName name="BEx9BAJ5WYEQ623HUT9NNCMP3RUG" localSheetId="11" hidden="1">#REF!</definedName>
    <definedName name="BEx9BAJ5WYEQ623HUT9NNCMP3RUG" localSheetId="6" hidden="1">Stock!#REF!</definedName>
    <definedName name="BEx9BAJ5WYEQ623HUT9NNCMP3RUG" hidden="1">#REF!</definedName>
    <definedName name="BEx9BYSYW7QCPXS2NAVLFAU5Y2Z2" localSheetId="7" hidden="1">'Aged debtors'!#REF!</definedName>
    <definedName name="BEx9BYSYW7QCPXS2NAVLFAU5Y2Z2" localSheetId="10" hidden="1">#REF!</definedName>
    <definedName name="BEx9BYSYW7QCPXS2NAVLFAU5Y2Z2" localSheetId="12" hidden="1">#REF!</definedName>
    <definedName name="BEx9BYSYW7QCPXS2NAVLFAU5Y2Z2" localSheetId="9" hidden="1">'Customer data'!#REF!</definedName>
    <definedName name="BEx9BYSYW7QCPXS2NAVLFAU5Y2Z2" localSheetId="8" hidden="1">'Largest debtors'!#REF!</definedName>
    <definedName name="BEx9BYSYW7QCPXS2NAVLFAU5Y2Z2" localSheetId="11" hidden="1">#REF!</definedName>
    <definedName name="BEx9BYSYW7QCPXS2NAVLFAU5Y2Z2" localSheetId="6" hidden="1">Stock!#REF!</definedName>
    <definedName name="BEx9BYSYW7QCPXS2NAVLFAU5Y2Z2" hidden="1">#REF!</definedName>
    <definedName name="BEx9C590HJ2O31IWJB73C1HR74AI" localSheetId="7" hidden="1">'Aged debtors'!#REF!</definedName>
    <definedName name="BEx9C590HJ2O31IWJB73C1HR74AI" localSheetId="10" hidden="1">#REF!</definedName>
    <definedName name="BEx9C590HJ2O31IWJB73C1HR74AI" localSheetId="12" hidden="1">#REF!</definedName>
    <definedName name="BEx9C590HJ2O31IWJB73C1HR74AI" localSheetId="9" hidden="1">'Customer data'!#REF!</definedName>
    <definedName name="BEx9C590HJ2O31IWJB73C1HR74AI" localSheetId="8" hidden="1">'Largest debtors'!#REF!</definedName>
    <definedName name="BEx9C590HJ2O31IWJB73C1HR74AI" localSheetId="11" hidden="1">#REF!</definedName>
    <definedName name="BEx9C590HJ2O31IWJB73C1HR74AI" localSheetId="6" hidden="1">Stock!#REF!</definedName>
    <definedName name="BEx9C590HJ2O31IWJB73C1HR74AI" hidden="1">#REF!</definedName>
    <definedName name="BEx9D1BC9FT19KY0INAABNDBAMR1" localSheetId="7" hidden="1">'Aged debtors'!#REF!</definedName>
    <definedName name="BEx9D1BC9FT19KY0INAABNDBAMR1" localSheetId="10" hidden="1">#REF!</definedName>
    <definedName name="BEx9D1BC9FT19KY0INAABNDBAMR1" localSheetId="12" hidden="1">#REF!</definedName>
    <definedName name="BEx9D1BC9FT19KY0INAABNDBAMR1" localSheetId="9" hidden="1">'Customer data'!#REF!</definedName>
    <definedName name="BEx9D1BC9FT19KY0INAABNDBAMR1" localSheetId="8" hidden="1">'Largest debtors'!#REF!</definedName>
    <definedName name="BEx9D1BC9FT19KY0INAABNDBAMR1" localSheetId="11" hidden="1">#REF!</definedName>
    <definedName name="BEx9D1BC9FT19KY0INAABNDBAMR1" localSheetId="6" hidden="1">Stock!#REF!</definedName>
    <definedName name="BEx9D1BC9FT19KY0INAABNDBAMR1" hidden="1">#REF!</definedName>
    <definedName name="BEx9E14TDNSEMI784W0OTIEQMWN6" localSheetId="7" hidden="1">'Aged debtors'!#REF!</definedName>
    <definedName name="BEx9E14TDNSEMI784W0OTIEQMWN6" localSheetId="10" hidden="1">#REF!</definedName>
    <definedName name="BEx9E14TDNSEMI784W0OTIEQMWN6" localSheetId="12" hidden="1">#REF!</definedName>
    <definedName name="BEx9E14TDNSEMI784W0OTIEQMWN6" localSheetId="9" hidden="1">'Customer data'!#REF!</definedName>
    <definedName name="BEx9E14TDNSEMI784W0OTIEQMWN6" localSheetId="8" hidden="1">'Largest debtors'!#REF!</definedName>
    <definedName name="BEx9E14TDNSEMI784W0OTIEQMWN6" localSheetId="11" hidden="1">#REF!</definedName>
    <definedName name="BEx9E14TDNSEMI784W0OTIEQMWN6" localSheetId="6" hidden="1">Stock!#REF!</definedName>
    <definedName name="BEx9E14TDNSEMI784W0OTIEQMWN6" hidden="1">#REF!</definedName>
    <definedName name="BEx9E2BZ2B1R41FMGJCJ7JLGLUAJ" localSheetId="7" hidden="1">'Aged debtors'!#REF!</definedName>
    <definedName name="BEx9E2BZ2B1R41FMGJCJ7JLGLUAJ" localSheetId="10" hidden="1">#REF!</definedName>
    <definedName name="BEx9E2BZ2B1R41FMGJCJ7JLGLUAJ" localSheetId="12" hidden="1">#REF!</definedName>
    <definedName name="BEx9E2BZ2B1R41FMGJCJ7JLGLUAJ" localSheetId="9" hidden="1">'Customer data'!#REF!</definedName>
    <definedName name="BEx9E2BZ2B1R41FMGJCJ7JLGLUAJ" localSheetId="8" hidden="1">'Largest debtors'!#REF!</definedName>
    <definedName name="BEx9E2BZ2B1R41FMGJCJ7JLGLUAJ" localSheetId="11" hidden="1">#REF!</definedName>
    <definedName name="BEx9E2BZ2B1R41FMGJCJ7JLGLUAJ" localSheetId="6" hidden="1">Stock!#REF!</definedName>
    <definedName name="BEx9E2BZ2B1R41FMGJCJ7JLGLUAJ" hidden="1">#REF!</definedName>
    <definedName name="BEx9EG9KBJ77M8LEOR9ITOKN5KXY" localSheetId="7" hidden="1">'Aged debtors'!#REF!</definedName>
    <definedName name="BEx9EG9KBJ77M8LEOR9ITOKN5KXY" localSheetId="10" hidden="1">#REF!</definedName>
    <definedName name="BEx9EG9KBJ77M8LEOR9ITOKN5KXY" localSheetId="12" hidden="1">#REF!</definedName>
    <definedName name="BEx9EG9KBJ77M8LEOR9ITOKN5KXY" localSheetId="9" hidden="1">'Customer data'!#REF!</definedName>
    <definedName name="BEx9EG9KBJ77M8LEOR9ITOKN5KXY" localSheetId="8" hidden="1">'Largest debtors'!#REF!</definedName>
    <definedName name="BEx9EG9KBJ77M8LEOR9ITOKN5KXY" localSheetId="11" hidden="1">#REF!</definedName>
    <definedName name="BEx9EG9KBJ77M8LEOR9ITOKN5KXY" localSheetId="6" hidden="1">Stock!#REF!</definedName>
    <definedName name="BEx9EG9KBJ77M8LEOR9ITOKN5KXY" hidden="1">#REF!</definedName>
    <definedName name="BEx9EMK6HAJJMVYZTN5AUIV7O1E6" localSheetId="7" hidden="1">'Aged debtors'!#REF!</definedName>
    <definedName name="BEx9EMK6HAJJMVYZTN5AUIV7O1E6" localSheetId="10" hidden="1">#REF!</definedName>
    <definedName name="BEx9EMK6HAJJMVYZTN5AUIV7O1E6" localSheetId="12" hidden="1">#REF!</definedName>
    <definedName name="BEx9EMK6HAJJMVYZTN5AUIV7O1E6" localSheetId="9" hidden="1">'Customer data'!#REF!</definedName>
    <definedName name="BEx9EMK6HAJJMVYZTN5AUIV7O1E6" localSheetId="8" hidden="1">'Largest debtors'!#REF!</definedName>
    <definedName name="BEx9EMK6HAJJMVYZTN5AUIV7O1E6" localSheetId="11" hidden="1">#REF!</definedName>
    <definedName name="BEx9EMK6HAJJMVYZTN5AUIV7O1E6" localSheetId="6" hidden="1">Stock!#REF!</definedName>
    <definedName name="BEx9EMK6HAJJMVYZTN5AUIV7O1E6" hidden="1">#REF!</definedName>
    <definedName name="BEx9ETLU0EK5LGEM1QCNYN2S8O5F" localSheetId="7" hidden="1">'Aged debtors'!#REF!</definedName>
    <definedName name="BEx9ETLU0EK5LGEM1QCNYN2S8O5F" localSheetId="10" hidden="1">#REF!</definedName>
    <definedName name="BEx9ETLU0EK5LGEM1QCNYN2S8O5F" localSheetId="12" hidden="1">#REF!</definedName>
    <definedName name="BEx9ETLU0EK5LGEM1QCNYN2S8O5F" localSheetId="9" hidden="1">'Customer data'!#REF!</definedName>
    <definedName name="BEx9ETLU0EK5LGEM1QCNYN2S8O5F" localSheetId="8" hidden="1">'Largest debtors'!#REF!</definedName>
    <definedName name="BEx9ETLU0EK5LGEM1QCNYN2S8O5F" localSheetId="11" hidden="1">#REF!</definedName>
    <definedName name="BEx9ETLU0EK5LGEM1QCNYN2S8O5F" localSheetId="6" hidden="1">Stock!#REF!</definedName>
    <definedName name="BEx9ETLU0EK5LGEM1QCNYN2S8O5F" hidden="1">#REF!</definedName>
    <definedName name="BEx9F5W18ZGFOKGRE8PR6T1MO6GT" localSheetId="7" hidden="1">'Aged debtors'!#REF!</definedName>
    <definedName name="BEx9F5W18ZGFOKGRE8PR6T1MO6GT" localSheetId="10" hidden="1">#REF!</definedName>
    <definedName name="BEx9F5W18ZGFOKGRE8PR6T1MO6GT" localSheetId="12" hidden="1">#REF!</definedName>
    <definedName name="BEx9F5W18ZGFOKGRE8PR6T1MO6GT" localSheetId="9" hidden="1">'Customer data'!#REF!</definedName>
    <definedName name="BEx9F5W18ZGFOKGRE8PR6T1MO6GT" localSheetId="8" hidden="1">'Largest debtors'!#REF!</definedName>
    <definedName name="BEx9F5W18ZGFOKGRE8PR6T1MO6GT" localSheetId="11" hidden="1">#REF!</definedName>
    <definedName name="BEx9F5W18ZGFOKGRE8PR6T1MO6GT" localSheetId="6" hidden="1">Stock!#REF!</definedName>
    <definedName name="BEx9F5W18ZGFOKGRE8PR6T1MO6GT" hidden="1">#REF!</definedName>
    <definedName name="BEx9FF16LOQP5QIR4UHW5EIFGQB8" localSheetId="7" hidden="1">'Aged debtors'!#REF!</definedName>
    <definedName name="BEx9FF16LOQP5QIR4UHW5EIFGQB8" localSheetId="10" hidden="1">#REF!</definedName>
    <definedName name="BEx9FF16LOQP5QIR4UHW5EIFGQB8" localSheetId="12" hidden="1">#REF!</definedName>
    <definedName name="BEx9FF16LOQP5QIR4UHW5EIFGQB8" localSheetId="9" hidden="1">'Customer data'!#REF!</definedName>
    <definedName name="BEx9FF16LOQP5QIR4UHW5EIFGQB8" localSheetId="8" hidden="1">'Largest debtors'!#REF!</definedName>
    <definedName name="BEx9FF16LOQP5QIR4UHW5EIFGQB8" localSheetId="11" hidden="1">#REF!</definedName>
    <definedName name="BEx9FF16LOQP5QIR4UHW5EIFGQB8" localSheetId="6" hidden="1">Stock!#REF!</definedName>
    <definedName name="BEx9FF16LOQP5QIR4UHW5EIFGQB8" hidden="1">#REF!</definedName>
    <definedName name="BEx9GDY4D8ZPQJCYFIMYM0V0C51Y" localSheetId="7" hidden="1">'Aged debtors'!#REF!</definedName>
    <definedName name="BEx9GDY4D8ZPQJCYFIMYM0V0C51Y" localSheetId="10" hidden="1">#REF!</definedName>
    <definedName name="BEx9GDY4D8ZPQJCYFIMYM0V0C51Y" localSheetId="12" hidden="1">#REF!</definedName>
    <definedName name="BEx9GDY4D8ZPQJCYFIMYM0V0C51Y" localSheetId="9" hidden="1">'Customer data'!#REF!</definedName>
    <definedName name="BEx9GDY4D8ZPQJCYFIMYM0V0C51Y" localSheetId="8" hidden="1">'Largest debtors'!#REF!</definedName>
    <definedName name="BEx9GDY4D8ZPQJCYFIMYM0V0C51Y" localSheetId="11" hidden="1">#REF!</definedName>
    <definedName name="BEx9GDY4D8ZPQJCYFIMYM0V0C51Y" localSheetId="6" hidden="1">Stock!#REF!</definedName>
    <definedName name="BEx9GDY4D8ZPQJCYFIMYM0V0C51Y" hidden="1">#REF!</definedName>
    <definedName name="BEx9GNOPB6OZ2RH3FCDNJR38RJOS" localSheetId="7" hidden="1">'Aged debtors'!#REF!</definedName>
    <definedName name="BEx9GNOPB6OZ2RH3FCDNJR38RJOS" localSheetId="10" hidden="1">#REF!</definedName>
    <definedName name="BEx9GNOPB6OZ2RH3FCDNJR38RJOS" localSheetId="12" hidden="1">#REF!</definedName>
    <definedName name="BEx9GNOPB6OZ2RH3FCDNJR38RJOS" localSheetId="9" hidden="1">'Customer data'!#REF!</definedName>
    <definedName name="BEx9GNOPB6OZ2RH3FCDNJR38RJOS" localSheetId="8" hidden="1">'Largest debtors'!#REF!</definedName>
    <definedName name="BEx9GNOPB6OZ2RH3FCDNJR38RJOS" localSheetId="11" hidden="1">#REF!</definedName>
    <definedName name="BEx9GNOPB6OZ2RH3FCDNJR38RJOS" localSheetId="6" hidden="1">Stock!#REF!</definedName>
    <definedName name="BEx9GNOPB6OZ2RH3FCDNJR38RJOS" hidden="1">#REF!</definedName>
    <definedName name="BEx9GUQALUWCD30UKUQGSWW8KBQ7" localSheetId="7" hidden="1">'Aged debtors'!#REF!</definedName>
    <definedName name="BEx9GUQALUWCD30UKUQGSWW8KBQ7" localSheetId="10" hidden="1">#REF!</definedName>
    <definedName name="BEx9GUQALUWCD30UKUQGSWW8KBQ7" localSheetId="12" hidden="1">#REF!</definedName>
    <definedName name="BEx9GUQALUWCD30UKUQGSWW8KBQ7" localSheetId="9" hidden="1">'Customer data'!#REF!</definedName>
    <definedName name="BEx9GUQALUWCD30UKUQGSWW8KBQ7" localSheetId="8" hidden="1">'Largest debtors'!#REF!</definedName>
    <definedName name="BEx9GUQALUWCD30UKUQGSWW8KBQ7" localSheetId="11" hidden="1">#REF!</definedName>
    <definedName name="BEx9GUQALUWCD30UKUQGSWW8KBQ7" localSheetId="6" hidden="1">Stock!#REF!</definedName>
    <definedName name="BEx9GUQALUWCD30UKUQGSWW8KBQ7" hidden="1">#REF!</definedName>
    <definedName name="BEx9GZ2P3FDHKXEBXX2VS0BG2NP2" localSheetId="7" hidden="1">'Aged debtors'!#REF!</definedName>
    <definedName name="BEx9GZ2P3FDHKXEBXX2VS0BG2NP2" localSheetId="10" hidden="1">#REF!</definedName>
    <definedName name="BEx9GZ2P3FDHKXEBXX2VS0BG2NP2" localSheetId="12" hidden="1">#REF!</definedName>
    <definedName name="BEx9GZ2P3FDHKXEBXX2VS0BG2NP2" localSheetId="9" hidden="1">'Customer data'!#REF!</definedName>
    <definedName name="BEx9GZ2P3FDHKXEBXX2VS0BG2NP2" localSheetId="8" hidden="1">'Largest debtors'!#REF!</definedName>
    <definedName name="BEx9GZ2P3FDHKXEBXX2VS0BG2NP2" localSheetId="11" hidden="1">#REF!</definedName>
    <definedName name="BEx9GZ2P3FDHKXEBXX2VS0BG2NP2" localSheetId="6" hidden="1">Stock!#REF!</definedName>
    <definedName name="BEx9GZ2P3FDHKXEBXX2VS0BG2NP2" hidden="1">#REF!</definedName>
    <definedName name="BEx9H8YR0E906F1JXZMBX3LNT004" localSheetId="7" hidden="1">'Aged debtors'!#REF!</definedName>
    <definedName name="BEx9H8YR0E906F1JXZMBX3LNT004" localSheetId="10" hidden="1">#REF!</definedName>
    <definedName name="BEx9H8YR0E906F1JXZMBX3LNT004" localSheetId="12" hidden="1">#REF!</definedName>
    <definedName name="BEx9H8YR0E906F1JXZMBX3LNT004" localSheetId="9" hidden="1">'Customer data'!#REF!</definedName>
    <definedName name="BEx9H8YR0E906F1JXZMBX3LNT004" localSheetId="8" hidden="1">'Largest debtors'!#REF!</definedName>
    <definedName name="BEx9H8YR0E906F1JXZMBX3LNT004" localSheetId="11" hidden="1">#REF!</definedName>
    <definedName name="BEx9H8YR0E906F1JXZMBX3LNT004" localSheetId="6" hidden="1">Stock!#REF!</definedName>
    <definedName name="BEx9H8YR0E906F1JXZMBX3LNT004" hidden="1">#REF!</definedName>
    <definedName name="BEx9I8XIG7E5NB48QQHXP23FIN60" localSheetId="7" hidden="1">'Aged debtors'!#REF!</definedName>
    <definedName name="BEx9I8XIG7E5NB48QQHXP23FIN60" localSheetId="10" hidden="1">#REF!</definedName>
    <definedName name="BEx9I8XIG7E5NB48QQHXP23FIN60" localSheetId="12" hidden="1">#REF!</definedName>
    <definedName name="BEx9I8XIG7E5NB48QQHXP23FIN60" localSheetId="9" hidden="1">'Customer data'!#REF!</definedName>
    <definedName name="BEx9I8XIG7E5NB48QQHXP23FIN60" localSheetId="8" hidden="1">'Largest debtors'!#REF!</definedName>
    <definedName name="BEx9I8XIG7E5NB48QQHXP23FIN60" localSheetId="11" hidden="1">#REF!</definedName>
    <definedName name="BEx9I8XIG7E5NB48QQHXP23FIN60" localSheetId="6" hidden="1">Stock!#REF!</definedName>
    <definedName name="BEx9I8XIG7E5NB48QQHXP23FIN60" hidden="1">#REF!</definedName>
    <definedName name="BEx9IQRF01ATLVK0YE60ARKQJ68L" localSheetId="7" hidden="1">'Aged debtors'!#REF!</definedName>
    <definedName name="BEx9IQRF01ATLVK0YE60ARKQJ68L" localSheetId="10" hidden="1">#REF!</definedName>
    <definedName name="BEx9IQRF01ATLVK0YE60ARKQJ68L" localSheetId="12" hidden="1">#REF!</definedName>
    <definedName name="BEx9IQRF01ATLVK0YE60ARKQJ68L" localSheetId="9" hidden="1">'Customer data'!#REF!</definedName>
    <definedName name="BEx9IQRF01ATLVK0YE60ARKQJ68L" localSheetId="8" hidden="1">'Largest debtors'!#REF!</definedName>
    <definedName name="BEx9IQRF01ATLVK0YE60ARKQJ68L" localSheetId="11" hidden="1">#REF!</definedName>
    <definedName name="BEx9IQRF01ATLVK0YE60ARKQJ68L" localSheetId="6" hidden="1">Stock!#REF!</definedName>
    <definedName name="BEx9IQRF01ATLVK0YE60ARKQJ68L" hidden="1">#REF!</definedName>
    <definedName name="BEx9IT5QNZWKM6YQ5WER0DC2PMMU" localSheetId="7" hidden="1">'Aged debtors'!#REF!</definedName>
    <definedName name="BEx9IT5QNZWKM6YQ5WER0DC2PMMU" localSheetId="10" hidden="1">#REF!</definedName>
    <definedName name="BEx9IT5QNZWKM6YQ5WER0DC2PMMU" localSheetId="12" hidden="1">#REF!</definedName>
    <definedName name="BEx9IT5QNZWKM6YQ5WER0DC2PMMU" localSheetId="9" hidden="1">'Customer data'!#REF!</definedName>
    <definedName name="BEx9IT5QNZWKM6YQ5WER0DC2PMMU" localSheetId="8" hidden="1">'Largest debtors'!#REF!</definedName>
    <definedName name="BEx9IT5QNZWKM6YQ5WER0DC2PMMU" localSheetId="11" hidden="1">#REF!</definedName>
    <definedName name="BEx9IT5QNZWKM6YQ5WER0DC2PMMU" localSheetId="6" hidden="1">Stock!#REF!</definedName>
    <definedName name="BEx9IT5QNZWKM6YQ5WER0DC2PMMU" hidden="1">#REF!</definedName>
    <definedName name="BEx9IXCSPSZC80YZUPRCYTG326KV" localSheetId="7" hidden="1">'Aged debtors'!#REF!</definedName>
    <definedName name="BEx9IXCSPSZC80YZUPRCYTG326KV" localSheetId="10" hidden="1">#REF!</definedName>
    <definedName name="BEx9IXCSPSZC80YZUPRCYTG326KV" localSheetId="12" hidden="1">#REF!</definedName>
    <definedName name="BEx9IXCSPSZC80YZUPRCYTG326KV" localSheetId="9" hidden="1">'Customer data'!#REF!</definedName>
    <definedName name="BEx9IXCSPSZC80YZUPRCYTG326KV" localSheetId="8" hidden="1">'Largest debtors'!#REF!</definedName>
    <definedName name="BEx9IXCSPSZC80YZUPRCYTG326KV" localSheetId="11" hidden="1">#REF!</definedName>
    <definedName name="BEx9IXCSPSZC80YZUPRCYTG326KV" localSheetId="6" hidden="1">Stock!#REF!</definedName>
    <definedName name="BEx9IXCSPSZC80YZUPRCYTG326KV" hidden="1">#REF!</definedName>
    <definedName name="BEx9IZR39NHDGOM97H4E6F81RTQW" localSheetId="7" hidden="1">'Aged debtors'!#REF!</definedName>
    <definedName name="BEx9IZR39NHDGOM97H4E6F81RTQW" localSheetId="10" hidden="1">#REF!</definedName>
    <definedName name="BEx9IZR39NHDGOM97H4E6F81RTQW" localSheetId="12" hidden="1">#REF!</definedName>
    <definedName name="BEx9IZR39NHDGOM97H4E6F81RTQW" localSheetId="9" hidden="1">'Customer data'!#REF!</definedName>
    <definedName name="BEx9IZR39NHDGOM97H4E6F81RTQW" localSheetId="8" hidden="1">'Largest debtors'!#REF!</definedName>
    <definedName name="BEx9IZR39NHDGOM97H4E6F81RTQW" localSheetId="11" hidden="1">#REF!</definedName>
    <definedName name="BEx9IZR39NHDGOM97H4E6F81RTQW" localSheetId="6" hidden="1">Stock!#REF!</definedName>
    <definedName name="BEx9IZR39NHDGOM97H4E6F81RTQW" hidden="1">#REF!</definedName>
    <definedName name="BEx9J6CH5E7YZPER7HXEIOIKGPCA" localSheetId="7" hidden="1">'Aged debtors'!#REF!</definedName>
    <definedName name="BEx9J6CH5E7YZPER7HXEIOIKGPCA" localSheetId="10" hidden="1">#REF!</definedName>
    <definedName name="BEx9J6CH5E7YZPER7HXEIOIKGPCA" localSheetId="12" hidden="1">#REF!</definedName>
    <definedName name="BEx9J6CH5E7YZPER7HXEIOIKGPCA" localSheetId="9" hidden="1">'Customer data'!#REF!</definedName>
    <definedName name="BEx9J6CH5E7YZPER7HXEIOIKGPCA" localSheetId="8" hidden="1">'Largest debtors'!#REF!</definedName>
    <definedName name="BEx9J6CH5E7YZPER7HXEIOIKGPCA" localSheetId="11" hidden="1">#REF!</definedName>
    <definedName name="BEx9J6CH5E7YZPER7HXEIOIKGPCA" localSheetId="6" hidden="1">Stock!#REF!</definedName>
    <definedName name="BEx9J6CH5E7YZPER7HXEIOIKGPCA" hidden="1">#REF!</definedName>
    <definedName name="BEx9JJTZKVUJAVPTRE0RAVTEH41G" localSheetId="7" hidden="1">'Aged debtors'!#REF!</definedName>
    <definedName name="BEx9JJTZKVUJAVPTRE0RAVTEH41G" localSheetId="10" hidden="1">#REF!</definedName>
    <definedName name="BEx9JJTZKVUJAVPTRE0RAVTEH41G" localSheetId="12" hidden="1">#REF!</definedName>
    <definedName name="BEx9JJTZKVUJAVPTRE0RAVTEH41G" localSheetId="9" hidden="1">'Customer data'!#REF!</definedName>
    <definedName name="BEx9JJTZKVUJAVPTRE0RAVTEH41G" localSheetId="8" hidden="1">'Largest debtors'!#REF!</definedName>
    <definedName name="BEx9JJTZKVUJAVPTRE0RAVTEH41G" localSheetId="11" hidden="1">#REF!</definedName>
    <definedName name="BEx9JJTZKVUJAVPTRE0RAVTEH41G" localSheetId="6" hidden="1">Stock!#REF!</definedName>
    <definedName name="BEx9JJTZKVUJAVPTRE0RAVTEH41G" hidden="1">#REF!</definedName>
    <definedName name="BEx9JLBYK239B3F841C7YG1GT7ST" localSheetId="7" hidden="1">'Aged debtors'!#REF!</definedName>
    <definedName name="BEx9JLBYK239B3F841C7YG1GT7ST" localSheetId="10" hidden="1">#REF!</definedName>
    <definedName name="BEx9JLBYK239B3F841C7YG1GT7ST" localSheetId="12" hidden="1">#REF!</definedName>
    <definedName name="BEx9JLBYK239B3F841C7YG1GT7ST" localSheetId="9" hidden="1">'Customer data'!#REF!</definedName>
    <definedName name="BEx9JLBYK239B3F841C7YG1GT7ST" localSheetId="8" hidden="1">'Largest debtors'!#REF!</definedName>
    <definedName name="BEx9JLBYK239B3F841C7YG1GT7ST" localSheetId="11" hidden="1">#REF!</definedName>
    <definedName name="BEx9JLBYK239B3F841C7YG1GT7ST" localSheetId="6" hidden="1">Stock!#REF!</definedName>
    <definedName name="BEx9JLBYK239B3F841C7YG1GT7ST" hidden="1">#REF!</definedName>
    <definedName name="BExAW4IIW5D0MDY6TJ3G4FOLPYIR" localSheetId="7" hidden="1">'Aged debtors'!#REF!</definedName>
    <definedName name="BExAW4IIW5D0MDY6TJ3G4FOLPYIR" localSheetId="10" hidden="1">#REF!</definedName>
    <definedName name="BExAW4IIW5D0MDY6TJ3G4FOLPYIR" localSheetId="12" hidden="1">#REF!</definedName>
    <definedName name="BExAW4IIW5D0MDY6TJ3G4FOLPYIR" localSheetId="9" hidden="1">'Customer data'!#REF!</definedName>
    <definedName name="BExAW4IIW5D0MDY6TJ3G4FOLPYIR" localSheetId="8" hidden="1">'Largest debtors'!#REF!</definedName>
    <definedName name="BExAW4IIW5D0MDY6TJ3G4FOLPYIR" localSheetId="11" hidden="1">#REF!</definedName>
    <definedName name="BExAW4IIW5D0MDY6TJ3G4FOLPYIR" localSheetId="6" hidden="1">Stock!#REF!</definedName>
    <definedName name="BExAW4IIW5D0MDY6TJ3G4FOLPYIR" hidden="1">#REF!</definedName>
    <definedName name="BExAX8TNG8LQ5Q4904SAYQIPGBSV" localSheetId="7" hidden="1">'Aged debtors'!#REF!</definedName>
    <definedName name="BExAX8TNG8LQ5Q4904SAYQIPGBSV" localSheetId="10" hidden="1">#REF!</definedName>
    <definedName name="BExAX8TNG8LQ5Q4904SAYQIPGBSV" localSheetId="12" hidden="1">#REF!</definedName>
    <definedName name="BExAX8TNG8LQ5Q4904SAYQIPGBSV" localSheetId="9" hidden="1">'Customer data'!#REF!</definedName>
    <definedName name="BExAX8TNG8LQ5Q4904SAYQIPGBSV" localSheetId="8" hidden="1">'Largest debtors'!#REF!</definedName>
    <definedName name="BExAX8TNG8LQ5Q4904SAYQIPGBSV" localSheetId="11" hidden="1">#REF!</definedName>
    <definedName name="BExAX8TNG8LQ5Q4904SAYQIPGBSV" localSheetId="6" hidden="1">Stock!#REF!</definedName>
    <definedName name="BExAX8TNG8LQ5Q4904SAYQIPGBSV" hidden="1">#REF!</definedName>
    <definedName name="BExAYHMLXGGO25P8HYB2S75DEB4F" localSheetId="7" hidden="1">'Aged debtors'!#REF!</definedName>
    <definedName name="BExAYHMLXGGO25P8HYB2S75DEB4F" localSheetId="10" hidden="1">#REF!</definedName>
    <definedName name="BExAYHMLXGGO25P8HYB2S75DEB4F" localSheetId="12" hidden="1">#REF!</definedName>
    <definedName name="BExAYHMLXGGO25P8HYB2S75DEB4F" localSheetId="9" hidden="1">'Customer data'!#REF!</definedName>
    <definedName name="BExAYHMLXGGO25P8HYB2S75DEB4F" localSheetId="8" hidden="1">'Largest debtors'!#REF!</definedName>
    <definedName name="BExAYHMLXGGO25P8HYB2S75DEB4F" localSheetId="11" hidden="1">#REF!</definedName>
    <definedName name="BExAYHMLXGGO25P8HYB2S75DEB4F" localSheetId="6" hidden="1">Stock!#REF!</definedName>
    <definedName name="BExAYHMLXGGO25P8HYB2S75DEB4F" hidden="1">#REF!</definedName>
    <definedName name="BExAYKXAUWGDOPG952TEJ2UKZKWN" localSheetId="7" hidden="1">'Aged debtors'!#REF!</definedName>
    <definedName name="BExAYKXAUWGDOPG952TEJ2UKZKWN" localSheetId="10" hidden="1">#REF!</definedName>
    <definedName name="BExAYKXAUWGDOPG952TEJ2UKZKWN" localSheetId="12" hidden="1">#REF!</definedName>
    <definedName name="BExAYKXAUWGDOPG952TEJ2UKZKWN" localSheetId="9" hidden="1">'Customer data'!#REF!</definedName>
    <definedName name="BExAYKXAUWGDOPG952TEJ2UKZKWN" localSheetId="8" hidden="1">'Largest debtors'!#REF!</definedName>
    <definedName name="BExAYKXAUWGDOPG952TEJ2UKZKWN" localSheetId="11" hidden="1">#REF!</definedName>
    <definedName name="BExAYKXAUWGDOPG952TEJ2UKZKWN" localSheetId="6" hidden="1">Stock!#REF!</definedName>
    <definedName name="BExAYKXAUWGDOPG952TEJ2UKZKWN" hidden="1">#REF!</definedName>
    <definedName name="BExAYPPWJPWDKU59O051WMGB7O0J" localSheetId="7" hidden="1">'Aged debtors'!#REF!</definedName>
    <definedName name="BExAYPPWJPWDKU59O051WMGB7O0J" localSheetId="10" hidden="1">#REF!</definedName>
    <definedName name="BExAYPPWJPWDKU59O051WMGB7O0J" localSheetId="12" hidden="1">#REF!</definedName>
    <definedName name="BExAYPPWJPWDKU59O051WMGB7O0J" localSheetId="9" hidden="1">'Customer data'!#REF!</definedName>
    <definedName name="BExAYPPWJPWDKU59O051WMGB7O0J" localSheetId="8" hidden="1">'Largest debtors'!#REF!</definedName>
    <definedName name="BExAYPPWJPWDKU59O051WMGB7O0J" localSheetId="11" hidden="1">#REF!</definedName>
    <definedName name="BExAYPPWJPWDKU59O051WMGB7O0J" localSheetId="6" hidden="1">Stock!#REF!</definedName>
    <definedName name="BExAYPPWJPWDKU59O051WMGB7O0J" hidden="1">#REF!</definedName>
    <definedName name="BExAZCNEGB4JYHC8CZ51KTN890US" localSheetId="7" hidden="1">'Aged debtors'!#REF!</definedName>
    <definedName name="BExAZCNEGB4JYHC8CZ51KTN890US" localSheetId="10" hidden="1">#REF!</definedName>
    <definedName name="BExAZCNEGB4JYHC8CZ51KTN890US" localSheetId="12" hidden="1">#REF!</definedName>
    <definedName name="BExAZCNEGB4JYHC8CZ51KTN890US" localSheetId="9" hidden="1">'Customer data'!#REF!</definedName>
    <definedName name="BExAZCNEGB4JYHC8CZ51KTN890US" localSheetId="8" hidden="1">'Largest debtors'!#REF!</definedName>
    <definedName name="BExAZCNEGB4JYHC8CZ51KTN890US" localSheetId="11" hidden="1">#REF!</definedName>
    <definedName name="BExAZCNEGB4JYHC8CZ51KTN890US" localSheetId="6" hidden="1">Stock!#REF!</definedName>
    <definedName name="BExAZCNEGB4JYHC8CZ51KTN890US" hidden="1">#REF!</definedName>
    <definedName name="BExAZFCI302YFYRDJYQDWQQL0Q0O" localSheetId="7" hidden="1">'Aged debtors'!#REF!</definedName>
    <definedName name="BExAZFCI302YFYRDJYQDWQQL0Q0O" localSheetId="10" hidden="1">#REF!</definedName>
    <definedName name="BExAZFCI302YFYRDJYQDWQQL0Q0O" localSheetId="12" hidden="1">#REF!</definedName>
    <definedName name="BExAZFCI302YFYRDJYQDWQQL0Q0O" localSheetId="9" hidden="1">'Customer data'!#REF!</definedName>
    <definedName name="BExAZFCI302YFYRDJYQDWQQL0Q0O" localSheetId="8" hidden="1">'Largest debtors'!#REF!</definedName>
    <definedName name="BExAZFCI302YFYRDJYQDWQQL0Q0O" localSheetId="11" hidden="1">#REF!</definedName>
    <definedName name="BExAZFCI302YFYRDJYQDWQQL0Q0O" localSheetId="6" hidden="1">Stock!#REF!</definedName>
    <definedName name="BExAZFCI302YFYRDJYQDWQQL0Q0O" hidden="1">#REF!</definedName>
    <definedName name="BExAZLHLST9OP89R1HJMC1POQG8H" localSheetId="7" hidden="1">'Aged debtors'!#REF!</definedName>
    <definedName name="BExAZLHLST9OP89R1HJMC1POQG8H" localSheetId="10" hidden="1">#REF!</definedName>
    <definedName name="BExAZLHLST9OP89R1HJMC1POQG8H" localSheetId="12" hidden="1">#REF!</definedName>
    <definedName name="BExAZLHLST9OP89R1HJMC1POQG8H" localSheetId="9" hidden="1">'Customer data'!#REF!</definedName>
    <definedName name="BExAZLHLST9OP89R1HJMC1POQG8H" localSheetId="8" hidden="1">'Largest debtors'!#REF!</definedName>
    <definedName name="BExAZLHLST9OP89R1HJMC1POQG8H" localSheetId="11" hidden="1">#REF!</definedName>
    <definedName name="BExAZLHLST9OP89R1HJMC1POQG8H" localSheetId="6" hidden="1">Stock!#REF!</definedName>
    <definedName name="BExAZLHLST9OP89R1HJMC1POQG8H" hidden="1">#REF!</definedName>
    <definedName name="BExAZMDYMIAA7RX1BMCKU1VLBRGY" localSheetId="7" hidden="1">'Aged debtors'!#REF!</definedName>
    <definedName name="BExAZMDYMIAA7RX1BMCKU1VLBRGY" localSheetId="10" hidden="1">#REF!</definedName>
    <definedName name="BExAZMDYMIAA7RX1BMCKU1VLBRGY" localSheetId="12" hidden="1">#REF!</definedName>
    <definedName name="BExAZMDYMIAA7RX1BMCKU1VLBRGY" localSheetId="9" hidden="1">'Customer data'!#REF!</definedName>
    <definedName name="BExAZMDYMIAA7RX1BMCKU1VLBRGY" localSheetId="8" hidden="1">'Largest debtors'!#REF!</definedName>
    <definedName name="BExAZMDYMIAA7RX1BMCKU1VLBRGY" localSheetId="11" hidden="1">#REF!</definedName>
    <definedName name="BExAZMDYMIAA7RX1BMCKU1VLBRGY" localSheetId="6" hidden="1">Stock!#REF!</definedName>
    <definedName name="BExAZMDYMIAA7RX1BMCKU1VLBRGY" hidden="1">#REF!</definedName>
    <definedName name="BExAZNL6BHI8DCQWXOX4I2P839UX" localSheetId="7" hidden="1">'Aged debtors'!#REF!</definedName>
    <definedName name="BExAZNL6BHI8DCQWXOX4I2P839UX" localSheetId="10" hidden="1">#REF!</definedName>
    <definedName name="BExAZNL6BHI8DCQWXOX4I2P839UX" localSheetId="12" hidden="1">#REF!</definedName>
    <definedName name="BExAZNL6BHI8DCQWXOX4I2P839UX" localSheetId="9" hidden="1">'Customer data'!#REF!</definedName>
    <definedName name="BExAZNL6BHI8DCQWXOX4I2P839UX" localSheetId="8" hidden="1">'Largest debtors'!#REF!</definedName>
    <definedName name="BExAZNL6BHI8DCQWXOX4I2P839UX" localSheetId="11" hidden="1">#REF!</definedName>
    <definedName name="BExAZNL6BHI8DCQWXOX4I2P839UX" localSheetId="6" hidden="1">Stock!#REF!</definedName>
    <definedName name="BExAZNL6BHI8DCQWXOX4I2P839UX" hidden="1">#REF!</definedName>
    <definedName name="BExAZRMWSONMCG9KDUM4KAQ7BONM" localSheetId="7" hidden="1">'Aged debtors'!#REF!</definedName>
    <definedName name="BExAZRMWSONMCG9KDUM4KAQ7BONM" localSheetId="10" hidden="1">#REF!</definedName>
    <definedName name="BExAZRMWSONMCG9KDUM4KAQ7BONM" localSheetId="12" hidden="1">#REF!</definedName>
    <definedName name="BExAZRMWSONMCG9KDUM4KAQ7BONM" localSheetId="9" hidden="1">'Customer data'!#REF!</definedName>
    <definedName name="BExAZRMWSONMCG9KDUM4KAQ7BONM" localSheetId="8" hidden="1">'Largest debtors'!#REF!</definedName>
    <definedName name="BExAZRMWSONMCG9KDUM4KAQ7BONM" localSheetId="11" hidden="1">#REF!</definedName>
    <definedName name="BExAZRMWSONMCG9KDUM4KAQ7BONM" localSheetId="6" hidden="1">Stock!#REF!</definedName>
    <definedName name="BExAZRMWSONMCG9KDUM4KAQ7BONM" hidden="1">#REF!</definedName>
    <definedName name="BExAZTFG4SJRG4TW6JXRF7N08JFI" localSheetId="7" hidden="1">'Aged debtors'!#REF!</definedName>
    <definedName name="BExAZTFG4SJRG4TW6JXRF7N08JFI" localSheetId="10" hidden="1">#REF!</definedName>
    <definedName name="BExAZTFG4SJRG4TW6JXRF7N08JFI" localSheetId="12" hidden="1">#REF!</definedName>
    <definedName name="BExAZTFG4SJRG4TW6JXRF7N08JFI" localSheetId="9" hidden="1">'Customer data'!#REF!</definedName>
    <definedName name="BExAZTFG4SJRG4TW6JXRF7N08JFI" localSheetId="8" hidden="1">'Largest debtors'!#REF!</definedName>
    <definedName name="BExAZTFG4SJRG4TW6JXRF7N08JFI" localSheetId="11" hidden="1">#REF!</definedName>
    <definedName name="BExAZTFG4SJRG4TW6JXRF7N08JFI" localSheetId="6" hidden="1">Stock!#REF!</definedName>
    <definedName name="BExAZTFG4SJRG4TW6JXRF7N08JFI" hidden="1">#REF!</definedName>
    <definedName name="BExB0KPCN7YJORQAYUCF4YKIKPMC" localSheetId="7" hidden="1">'Aged debtors'!#REF!</definedName>
    <definedName name="BExB0KPCN7YJORQAYUCF4YKIKPMC" localSheetId="10" hidden="1">#REF!</definedName>
    <definedName name="BExB0KPCN7YJORQAYUCF4YKIKPMC" localSheetId="12" hidden="1">#REF!</definedName>
    <definedName name="BExB0KPCN7YJORQAYUCF4YKIKPMC" localSheetId="9" hidden="1">'Customer data'!#REF!</definedName>
    <definedName name="BExB0KPCN7YJORQAYUCF4YKIKPMC" localSheetId="8" hidden="1">'Largest debtors'!#REF!</definedName>
    <definedName name="BExB0KPCN7YJORQAYUCF4YKIKPMC" localSheetId="11" hidden="1">#REF!</definedName>
    <definedName name="BExB0KPCN7YJORQAYUCF4YKIKPMC" localSheetId="6" hidden="1">Stock!#REF!</definedName>
    <definedName name="BExB0KPCN7YJORQAYUCF4YKIKPMC" hidden="1">#REF!</definedName>
    <definedName name="BExB0WE4PI3NOBXXVO9CTEN4DIU2" localSheetId="7" hidden="1">'Aged debtors'!#REF!</definedName>
    <definedName name="BExB0WE4PI3NOBXXVO9CTEN4DIU2" localSheetId="10" hidden="1">#REF!</definedName>
    <definedName name="BExB0WE4PI3NOBXXVO9CTEN4DIU2" localSheetId="12" hidden="1">#REF!</definedName>
    <definedName name="BExB0WE4PI3NOBXXVO9CTEN4DIU2" localSheetId="9" hidden="1">'Customer data'!#REF!</definedName>
    <definedName name="BExB0WE4PI3NOBXXVO9CTEN4DIU2" localSheetId="8" hidden="1">'Largest debtors'!#REF!</definedName>
    <definedName name="BExB0WE4PI3NOBXXVO9CTEN4DIU2" localSheetId="11" hidden="1">#REF!</definedName>
    <definedName name="BExB0WE4PI3NOBXXVO9CTEN4DIU2" localSheetId="6" hidden="1">Stock!#REF!</definedName>
    <definedName name="BExB0WE4PI3NOBXXVO9CTEN4DIU2" hidden="1">#REF!</definedName>
    <definedName name="BExB10QNIVITUYS55OAEKK3VLJFE" localSheetId="7" hidden="1">'Aged debtors'!#REF!</definedName>
    <definedName name="BExB10QNIVITUYS55OAEKK3VLJFE" localSheetId="10" hidden="1">#REF!</definedName>
    <definedName name="BExB10QNIVITUYS55OAEKK3VLJFE" localSheetId="12" hidden="1">#REF!</definedName>
    <definedName name="BExB10QNIVITUYS55OAEKK3VLJFE" localSheetId="9" hidden="1">'Customer data'!#REF!</definedName>
    <definedName name="BExB10QNIVITUYS55OAEKK3VLJFE" localSheetId="8" hidden="1">'Largest debtors'!#REF!</definedName>
    <definedName name="BExB10QNIVITUYS55OAEKK3VLJFE" localSheetId="11" hidden="1">#REF!</definedName>
    <definedName name="BExB10QNIVITUYS55OAEKK3VLJFE" localSheetId="6" hidden="1">Stock!#REF!</definedName>
    <definedName name="BExB10QNIVITUYS55OAEKK3VLJFE" hidden="1">#REF!</definedName>
    <definedName name="BExB15ZDRY4CIJ911DONP0KCY9KU" localSheetId="7" hidden="1">'Aged debtors'!#REF!</definedName>
    <definedName name="BExB15ZDRY4CIJ911DONP0KCY9KU" localSheetId="10" hidden="1">#REF!</definedName>
    <definedName name="BExB15ZDRY4CIJ911DONP0KCY9KU" localSheetId="12" hidden="1">#REF!</definedName>
    <definedName name="BExB15ZDRY4CIJ911DONP0KCY9KU" localSheetId="9" hidden="1">'Customer data'!#REF!</definedName>
    <definedName name="BExB15ZDRY4CIJ911DONP0KCY9KU" localSheetId="8" hidden="1">'Largest debtors'!#REF!</definedName>
    <definedName name="BExB15ZDRY4CIJ911DONP0KCY9KU" localSheetId="11" hidden="1">#REF!</definedName>
    <definedName name="BExB15ZDRY4CIJ911DONP0KCY9KU" localSheetId="6" hidden="1">Stock!#REF!</definedName>
    <definedName name="BExB15ZDRY4CIJ911DONP0KCY9KU" hidden="1">#REF!</definedName>
    <definedName name="BExB16VQY0O0RLZYJFU3OFEONVTE" localSheetId="7" hidden="1">'Aged debtors'!#REF!</definedName>
    <definedName name="BExB16VQY0O0RLZYJFU3OFEONVTE" localSheetId="10" hidden="1">#REF!</definedName>
    <definedName name="BExB16VQY0O0RLZYJFU3OFEONVTE" localSheetId="12" hidden="1">#REF!</definedName>
    <definedName name="BExB16VQY0O0RLZYJFU3OFEONVTE" localSheetId="9" hidden="1">'Customer data'!#REF!</definedName>
    <definedName name="BExB16VQY0O0RLZYJFU3OFEONVTE" localSheetId="8" hidden="1">'Largest debtors'!#REF!</definedName>
    <definedName name="BExB16VQY0O0RLZYJFU3OFEONVTE" localSheetId="11" hidden="1">#REF!</definedName>
    <definedName name="BExB16VQY0O0RLZYJFU3OFEONVTE" localSheetId="6" hidden="1">Stock!#REF!</definedName>
    <definedName name="BExB16VQY0O0RLZYJFU3OFEONVTE" hidden="1">#REF!</definedName>
    <definedName name="BExB1GMD0PIDGTFBGQOPRWQSP9I4" localSheetId="7" hidden="1">'Aged debtors'!#REF!</definedName>
    <definedName name="BExB1GMD0PIDGTFBGQOPRWQSP9I4" localSheetId="10" hidden="1">#REF!</definedName>
    <definedName name="BExB1GMD0PIDGTFBGQOPRWQSP9I4" localSheetId="12" hidden="1">#REF!</definedName>
    <definedName name="BExB1GMD0PIDGTFBGQOPRWQSP9I4" localSheetId="9" hidden="1">'Customer data'!#REF!</definedName>
    <definedName name="BExB1GMD0PIDGTFBGQOPRWQSP9I4" localSheetId="8" hidden="1">'Largest debtors'!#REF!</definedName>
    <definedName name="BExB1GMD0PIDGTFBGQOPRWQSP9I4" localSheetId="11" hidden="1">#REF!</definedName>
    <definedName name="BExB1GMD0PIDGTFBGQOPRWQSP9I4" localSheetId="6" hidden="1">Stock!#REF!</definedName>
    <definedName name="BExB1GMD0PIDGTFBGQOPRWQSP9I4" hidden="1">#REF!</definedName>
    <definedName name="BExB1Q29OO6LNFNT1EQLA3KYE7MX" localSheetId="7" hidden="1">'Aged debtors'!#REF!</definedName>
    <definedName name="BExB1Q29OO6LNFNT1EQLA3KYE7MX" localSheetId="10" hidden="1">#REF!</definedName>
    <definedName name="BExB1Q29OO6LNFNT1EQLA3KYE7MX" localSheetId="12" hidden="1">#REF!</definedName>
    <definedName name="BExB1Q29OO6LNFNT1EQLA3KYE7MX" localSheetId="9" hidden="1">'Customer data'!#REF!</definedName>
    <definedName name="BExB1Q29OO6LNFNT1EQLA3KYE7MX" localSheetId="8" hidden="1">'Largest debtors'!#REF!</definedName>
    <definedName name="BExB1Q29OO6LNFNT1EQLA3KYE7MX" localSheetId="11" hidden="1">#REF!</definedName>
    <definedName name="BExB1Q29OO6LNFNT1EQLA3KYE7MX" localSheetId="6" hidden="1">Stock!#REF!</definedName>
    <definedName name="BExB1Q29OO6LNFNT1EQLA3KYE7MX" hidden="1">#REF!</definedName>
    <definedName name="BExB203OWC9QZA3BYOKQ18L4FUJE" localSheetId="7" hidden="1">'Aged debtors'!#REF!</definedName>
    <definedName name="BExB203OWC9QZA3BYOKQ18L4FUJE" localSheetId="10" hidden="1">#REF!</definedName>
    <definedName name="BExB203OWC9QZA3BYOKQ18L4FUJE" localSheetId="12" hidden="1">#REF!</definedName>
    <definedName name="BExB203OWC9QZA3BYOKQ18L4FUJE" localSheetId="9" hidden="1">'Customer data'!#REF!</definedName>
    <definedName name="BExB203OWC9QZA3BYOKQ18L4FUJE" localSheetId="8" hidden="1">'Largest debtors'!#REF!</definedName>
    <definedName name="BExB203OWC9QZA3BYOKQ18L4FUJE" localSheetId="11" hidden="1">#REF!</definedName>
    <definedName name="BExB203OWC9QZA3BYOKQ18L4FUJE" localSheetId="6" hidden="1">Stock!#REF!</definedName>
    <definedName name="BExB203OWC9QZA3BYOKQ18L4FUJE" hidden="1">#REF!</definedName>
    <definedName name="BExB2CJHTU7C591BR4WRL5L2F2K6" localSheetId="7" hidden="1">'Aged debtors'!#REF!</definedName>
    <definedName name="BExB2CJHTU7C591BR4WRL5L2F2K6" localSheetId="10" hidden="1">#REF!</definedName>
    <definedName name="BExB2CJHTU7C591BR4WRL5L2F2K6" localSheetId="12" hidden="1">#REF!</definedName>
    <definedName name="BExB2CJHTU7C591BR4WRL5L2F2K6" localSheetId="9" hidden="1">'Customer data'!#REF!</definedName>
    <definedName name="BExB2CJHTU7C591BR4WRL5L2F2K6" localSheetId="8" hidden="1">'Largest debtors'!#REF!</definedName>
    <definedName name="BExB2CJHTU7C591BR4WRL5L2F2K6" localSheetId="11" hidden="1">#REF!</definedName>
    <definedName name="BExB2CJHTU7C591BR4WRL5L2F2K6" localSheetId="6" hidden="1">Stock!#REF!</definedName>
    <definedName name="BExB2CJHTU7C591BR4WRL5L2F2K6" hidden="1">#REF!</definedName>
    <definedName name="BExB2Q0VJ0MU2URO3JOVUAVHEI3V" localSheetId="7" hidden="1">'Aged debtors'!#REF!</definedName>
    <definedName name="BExB2Q0VJ0MU2URO3JOVUAVHEI3V" localSheetId="10" hidden="1">#REF!</definedName>
    <definedName name="BExB2Q0VJ0MU2URO3JOVUAVHEI3V" localSheetId="12" hidden="1">#REF!</definedName>
    <definedName name="BExB2Q0VJ0MU2URO3JOVUAVHEI3V" localSheetId="9" hidden="1">'Customer data'!#REF!</definedName>
    <definedName name="BExB2Q0VJ0MU2URO3JOVUAVHEI3V" localSheetId="8" hidden="1">'Largest debtors'!#REF!</definedName>
    <definedName name="BExB2Q0VJ0MU2URO3JOVUAVHEI3V" localSheetId="11" hidden="1">#REF!</definedName>
    <definedName name="BExB2Q0VJ0MU2URO3JOVUAVHEI3V" localSheetId="6" hidden="1">Stock!#REF!</definedName>
    <definedName name="BExB2Q0VJ0MU2URO3JOVUAVHEI3V" hidden="1">#REF!</definedName>
    <definedName name="BExB30IP1DNKNQ6PZ5ERUGR5MK4Z" localSheetId="7" hidden="1">'Aged debtors'!#REF!</definedName>
    <definedName name="BExB30IP1DNKNQ6PZ5ERUGR5MK4Z" localSheetId="10" hidden="1">#REF!</definedName>
    <definedName name="BExB30IP1DNKNQ6PZ5ERUGR5MK4Z" localSheetId="12" hidden="1">#REF!</definedName>
    <definedName name="BExB30IP1DNKNQ6PZ5ERUGR5MK4Z" localSheetId="9" hidden="1">'Customer data'!#REF!</definedName>
    <definedName name="BExB30IP1DNKNQ6PZ5ERUGR5MK4Z" localSheetId="8" hidden="1">'Largest debtors'!#REF!</definedName>
    <definedName name="BExB30IP1DNKNQ6PZ5ERUGR5MK4Z" localSheetId="11" hidden="1">#REF!</definedName>
    <definedName name="BExB30IP1DNKNQ6PZ5ERUGR5MK4Z" localSheetId="6" hidden="1">Stock!#REF!</definedName>
    <definedName name="BExB30IP1DNKNQ6PZ5ERUGR5MK4Z" hidden="1">#REF!</definedName>
    <definedName name="BExB3X6KN4J0KWSEVEYE6GOW5ME8" localSheetId="7" hidden="1">'Aged debtors'!#REF!</definedName>
    <definedName name="BExB3X6KN4J0KWSEVEYE6GOW5ME8" localSheetId="10" hidden="1">#REF!</definedName>
    <definedName name="BExB3X6KN4J0KWSEVEYE6GOW5ME8" localSheetId="12" hidden="1">#REF!</definedName>
    <definedName name="BExB3X6KN4J0KWSEVEYE6GOW5ME8" localSheetId="9" hidden="1">'Customer data'!#REF!</definedName>
    <definedName name="BExB3X6KN4J0KWSEVEYE6GOW5ME8" localSheetId="8" hidden="1">'Largest debtors'!#REF!</definedName>
    <definedName name="BExB3X6KN4J0KWSEVEYE6GOW5ME8" localSheetId="11" hidden="1">#REF!</definedName>
    <definedName name="BExB3X6KN4J0KWSEVEYE6GOW5ME8" localSheetId="6" hidden="1">Stock!#REF!</definedName>
    <definedName name="BExB3X6KN4J0KWSEVEYE6GOW5ME8" hidden="1">#REF!</definedName>
    <definedName name="BExB4DYU06HCGRIPBSWRCXK804UM" localSheetId="7" hidden="1">'Aged debtors'!#REF!</definedName>
    <definedName name="BExB4DYU06HCGRIPBSWRCXK804UM" localSheetId="10" hidden="1">#REF!</definedName>
    <definedName name="BExB4DYU06HCGRIPBSWRCXK804UM" localSheetId="12" hidden="1">#REF!</definedName>
    <definedName name="BExB4DYU06HCGRIPBSWRCXK804UM" localSheetId="9" hidden="1">'Customer data'!#REF!</definedName>
    <definedName name="BExB4DYU06HCGRIPBSWRCXK804UM" localSheetId="8" hidden="1">'Largest debtors'!#REF!</definedName>
    <definedName name="BExB4DYU06HCGRIPBSWRCXK804UM" localSheetId="11" hidden="1">#REF!</definedName>
    <definedName name="BExB4DYU06HCGRIPBSWRCXK804UM" localSheetId="6" hidden="1">Stock!#REF!</definedName>
    <definedName name="BExB4DYU06HCGRIPBSWRCXK804UM" hidden="1">#REF!</definedName>
    <definedName name="BExB5833OAOJ22VK1YK47FHUSVK2" localSheetId="7" hidden="1">'Aged debtors'!#REF!</definedName>
    <definedName name="BExB5833OAOJ22VK1YK47FHUSVK2" localSheetId="10" hidden="1">#REF!</definedName>
    <definedName name="BExB5833OAOJ22VK1YK47FHUSVK2" localSheetId="12" hidden="1">#REF!</definedName>
    <definedName name="BExB5833OAOJ22VK1YK47FHUSVK2" localSheetId="9" hidden="1">'Customer data'!#REF!</definedName>
    <definedName name="BExB5833OAOJ22VK1YK47FHUSVK2" localSheetId="8" hidden="1">'Largest debtors'!#REF!</definedName>
    <definedName name="BExB5833OAOJ22VK1YK47FHUSVK2" localSheetId="11" hidden="1">#REF!</definedName>
    <definedName name="BExB5833OAOJ22VK1YK47FHUSVK2" localSheetId="6" hidden="1">Stock!#REF!</definedName>
    <definedName name="BExB5833OAOJ22VK1YK47FHUSVK2" hidden="1">#REF!</definedName>
    <definedName name="BExB58U5FQC5JWV9CGC83HLLZUZI" localSheetId="7" hidden="1">'Aged debtors'!#REF!</definedName>
    <definedName name="BExB58U5FQC5JWV9CGC83HLLZUZI" localSheetId="10" hidden="1">#REF!</definedName>
    <definedName name="BExB58U5FQC5JWV9CGC83HLLZUZI" localSheetId="12" hidden="1">#REF!</definedName>
    <definedName name="BExB58U5FQC5JWV9CGC83HLLZUZI" localSheetId="9" hidden="1">'Customer data'!#REF!</definedName>
    <definedName name="BExB58U5FQC5JWV9CGC83HLLZUZI" localSheetId="8" hidden="1">'Largest debtors'!#REF!</definedName>
    <definedName name="BExB58U5FQC5JWV9CGC83HLLZUZI" localSheetId="11" hidden="1">#REF!</definedName>
    <definedName name="BExB58U5FQC5JWV9CGC83HLLZUZI" localSheetId="6" hidden="1">Stock!#REF!</definedName>
    <definedName name="BExB58U5FQC5JWV9CGC83HLLZUZI" hidden="1">#REF!</definedName>
    <definedName name="BExB5EDO9XUKHF74X3HAU2WPPHZH" localSheetId="7" hidden="1">'Aged debtors'!#REF!</definedName>
    <definedName name="BExB5EDO9XUKHF74X3HAU2WPPHZH" localSheetId="10" hidden="1">#REF!</definedName>
    <definedName name="BExB5EDO9XUKHF74X3HAU2WPPHZH" localSheetId="12" hidden="1">#REF!</definedName>
    <definedName name="BExB5EDO9XUKHF74X3HAU2WPPHZH" localSheetId="9" hidden="1">'Customer data'!#REF!</definedName>
    <definedName name="BExB5EDO9XUKHF74X3HAU2WPPHZH" localSheetId="8" hidden="1">'Largest debtors'!#REF!</definedName>
    <definedName name="BExB5EDO9XUKHF74X3HAU2WPPHZH" localSheetId="11" hidden="1">#REF!</definedName>
    <definedName name="BExB5EDO9XUKHF74X3HAU2WPPHZH" localSheetId="6" hidden="1">Stock!#REF!</definedName>
    <definedName name="BExB5EDO9XUKHF74X3HAU2WPPHZH" hidden="1">#REF!</definedName>
    <definedName name="BExB5G6EH68AYEP1UT0GHUEL3SLN" localSheetId="7" hidden="1">'Aged debtors'!#REF!</definedName>
    <definedName name="BExB5G6EH68AYEP1UT0GHUEL3SLN" localSheetId="10" hidden="1">#REF!</definedName>
    <definedName name="BExB5G6EH68AYEP1UT0GHUEL3SLN" localSheetId="12" hidden="1">#REF!</definedName>
    <definedName name="BExB5G6EH68AYEP1UT0GHUEL3SLN" localSheetId="9" hidden="1">'Customer data'!#REF!</definedName>
    <definedName name="BExB5G6EH68AYEP1UT0GHUEL3SLN" localSheetId="8" hidden="1">'Largest debtors'!#REF!</definedName>
    <definedName name="BExB5G6EH68AYEP1UT0GHUEL3SLN" localSheetId="11" hidden="1">#REF!</definedName>
    <definedName name="BExB5G6EH68AYEP1UT0GHUEL3SLN" localSheetId="6" hidden="1">Stock!#REF!</definedName>
    <definedName name="BExB5G6EH68AYEP1UT0GHUEL3SLN" hidden="1">#REF!</definedName>
    <definedName name="BExB5QYVEZWFE5DQVHAM760EV05X" localSheetId="7" hidden="1">'Aged debtors'!#REF!</definedName>
    <definedName name="BExB5QYVEZWFE5DQVHAM760EV05X" localSheetId="10" hidden="1">#REF!</definedName>
    <definedName name="BExB5QYVEZWFE5DQVHAM760EV05X" localSheetId="12" hidden="1">#REF!</definedName>
    <definedName name="BExB5QYVEZWFE5DQVHAM760EV05X" localSheetId="9" hidden="1">'Customer data'!#REF!</definedName>
    <definedName name="BExB5QYVEZWFE5DQVHAM760EV05X" localSheetId="8" hidden="1">'Largest debtors'!#REF!</definedName>
    <definedName name="BExB5QYVEZWFE5DQVHAM760EV05X" localSheetId="11" hidden="1">#REF!</definedName>
    <definedName name="BExB5QYVEZWFE5DQVHAM760EV05X" localSheetId="6" hidden="1">Stock!#REF!</definedName>
    <definedName name="BExB5QYVEZWFE5DQVHAM760EV05X" hidden="1">#REF!</definedName>
    <definedName name="BExB5U9IRH14EMOE0YGIE3WIVLFS" localSheetId="7" hidden="1">'Aged debtors'!#REF!</definedName>
    <definedName name="BExB5U9IRH14EMOE0YGIE3WIVLFS" localSheetId="10" hidden="1">#REF!</definedName>
    <definedName name="BExB5U9IRH14EMOE0YGIE3WIVLFS" localSheetId="12" hidden="1">#REF!</definedName>
    <definedName name="BExB5U9IRH14EMOE0YGIE3WIVLFS" localSheetId="9" hidden="1">'Customer data'!#REF!</definedName>
    <definedName name="BExB5U9IRH14EMOE0YGIE3WIVLFS" localSheetId="8" hidden="1">'Largest debtors'!#REF!</definedName>
    <definedName name="BExB5U9IRH14EMOE0YGIE3WIVLFS" localSheetId="11" hidden="1">#REF!</definedName>
    <definedName name="BExB5U9IRH14EMOE0YGIE3WIVLFS" localSheetId="6" hidden="1">Stock!#REF!</definedName>
    <definedName name="BExB5U9IRH14EMOE0YGIE3WIVLFS" hidden="1">#REF!</definedName>
    <definedName name="BExB610DZWIJP1B72U9QM42COH2B" localSheetId="7" hidden="1">'Aged debtors'!#REF!</definedName>
    <definedName name="BExB610DZWIJP1B72U9QM42COH2B" localSheetId="10" hidden="1">#REF!</definedName>
    <definedName name="BExB610DZWIJP1B72U9QM42COH2B" localSheetId="12" hidden="1">#REF!</definedName>
    <definedName name="BExB610DZWIJP1B72U9QM42COH2B" localSheetId="9" hidden="1">'Customer data'!#REF!</definedName>
    <definedName name="BExB610DZWIJP1B72U9QM42COH2B" localSheetId="8" hidden="1">'Largest debtors'!#REF!</definedName>
    <definedName name="BExB610DZWIJP1B72U9QM42COH2B" localSheetId="11" hidden="1">#REF!</definedName>
    <definedName name="BExB610DZWIJP1B72U9QM42COH2B" localSheetId="6" hidden="1">Stock!#REF!</definedName>
    <definedName name="BExB610DZWIJP1B72U9QM42COH2B" hidden="1">#REF!</definedName>
    <definedName name="BExB6C3FUAKK9ML5T767NMWGA9YB" localSheetId="7" hidden="1">'Aged debtors'!#REF!</definedName>
    <definedName name="BExB6C3FUAKK9ML5T767NMWGA9YB" localSheetId="10" hidden="1">#REF!</definedName>
    <definedName name="BExB6C3FUAKK9ML5T767NMWGA9YB" localSheetId="12" hidden="1">#REF!</definedName>
    <definedName name="BExB6C3FUAKK9ML5T767NMWGA9YB" localSheetId="9" hidden="1">'Customer data'!#REF!</definedName>
    <definedName name="BExB6C3FUAKK9ML5T767NMWGA9YB" localSheetId="8" hidden="1">'Largest debtors'!#REF!</definedName>
    <definedName name="BExB6C3FUAKK9ML5T767NMWGA9YB" localSheetId="11" hidden="1">#REF!</definedName>
    <definedName name="BExB6C3FUAKK9ML5T767NMWGA9YB" localSheetId="6" hidden="1">Stock!#REF!</definedName>
    <definedName name="BExB6C3FUAKK9ML5T767NMWGA9YB" hidden="1">#REF!</definedName>
    <definedName name="BExB6C8X6JYRLKZKK17VE3QUNL3D" localSheetId="7" hidden="1">'Aged debtors'!#REF!</definedName>
    <definedName name="BExB6C8X6JYRLKZKK17VE3QUNL3D" localSheetId="10" hidden="1">#REF!</definedName>
    <definedName name="BExB6C8X6JYRLKZKK17VE3QUNL3D" localSheetId="12" hidden="1">#REF!</definedName>
    <definedName name="BExB6C8X6JYRLKZKK17VE3QUNL3D" localSheetId="9" hidden="1">'Customer data'!#REF!</definedName>
    <definedName name="BExB6C8X6JYRLKZKK17VE3QUNL3D" localSheetId="8" hidden="1">'Largest debtors'!#REF!</definedName>
    <definedName name="BExB6C8X6JYRLKZKK17VE3QUNL3D" localSheetId="11" hidden="1">#REF!</definedName>
    <definedName name="BExB6C8X6JYRLKZKK17VE3QUNL3D" localSheetId="6" hidden="1">Stock!#REF!</definedName>
    <definedName name="BExB6C8X6JYRLKZKK17VE3QUNL3D" hidden="1">#REF!</definedName>
    <definedName name="BExB6HN3QRFPXM71MDUK21BKM7PF" localSheetId="7" hidden="1">'Aged debtors'!#REF!</definedName>
    <definedName name="BExB6HN3QRFPXM71MDUK21BKM7PF" localSheetId="10" hidden="1">#REF!</definedName>
    <definedName name="BExB6HN3QRFPXM71MDUK21BKM7PF" localSheetId="12" hidden="1">#REF!</definedName>
    <definedName name="BExB6HN3QRFPXM71MDUK21BKM7PF" localSheetId="9" hidden="1">'Customer data'!#REF!</definedName>
    <definedName name="BExB6HN3QRFPXM71MDUK21BKM7PF" localSheetId="8" hidden="1">'Largest debtors'!#REF!</definedName>
    <definedName name="BExB6HN3QRFPXM71MDUK21BKM7PF" localSheetId="11" hidden="1">#REF!</definedName>
    <definedName name="BExB6HN3QRFPXM71MDUK21BKM7PF" localSheetId="6" hidden="1">Stock!#REF!</definedName>
    <definedName name="BExB6HN3QRFPXM71MDUK21BKM7PF" hidden="1">#REF!</definedName>
    <definedName name="BExB719SGNX4Y8NE6JEXC555K596" localSheetId="7" hidden="1">'Aged debtors'!#REF!</definedName>
    <definedName name="BExB719SGNX4Y8NE6JEXC555K596" localSheetId="10" hidden="1">#REF!</definedName>
    <definedName name="BExB719SGNX4Y8NE6JEXC555K596" localSheetId="12" hidden="1">#REF!</definedName>
    <definedName name="BExB719SGNX4Y8NE6JEXC555K596" localSheetId="9" hidden="1">'Customer data'!#REF!</definedName>
    <definedName name="BExB719SGNX4Y8NE6JEXC555K596" localSheetId="8" hidden="1">'Largest debtors'!#REF!</definedName>
    <definedName name="BExB719SGNX4Y8NE6JEXC555K596" localSheetId="11" hidden="1">#REF!</definedName>
    <definedName name="BExB719SGNX4Y8NE6JEXC555K596" localSheetId="6" hidden="1">Stock!#REF!</definedName>
    <definedName name="BExB719SGNX4Y8NE6JEXC555K596" hidden="1">#REF!</definedName>
    <definedName name="BExB78RH79J0MIF7H8CAZ0CFE88Q" localSheetId="7" hidden="1">'Aged debtors'!#REF!</definedName>
    <definedName name="BExB78RH79J0MIF7H8CAZ0CFE88Q" localSheetId="10" hidden="1">#REF!</definedName>
    <definedName name="BExB78RH79J0MIF7H8CAZ0CFE88Q" localSheetId="12" hidden="1">#REF!</definedName>
    <definedName name="BExB78RH79J0MIF7H8CAZ0CFE88Q" localSheetId="9" hidden="1">'Customer data'!#REF!</definedName>
    <definedName name="BExB78RH79J0MIF7H8CAZ0CFE88Q" localSheetId="8" hidden="1">'Largest debtors'!#REF!</definedName>
    <definedName name="BExB78RH79J0MIF7H8CAZ0CFE88Q" localSheetId="11" hidden="1">#REF!</definedName>
    <definedName name="BExB78RH79J0MIF7H8CAZ0CFE88Q" localSheetId="6" hidden="1">Stock!#REF!</definedName>
    <definedName name="BExB78RH79J0MIF7H8CAZ0CFE88Q" hidden="1">#REF!</definedName>
    <definedName name="BExB7ELT09HGDVO5BJC1ZY9D09GZ" localSheetId="7" hidden="1">'Aged debtors'!#REF!</definedName>
    <definedName name="BExB7ELT09HGDVO5BJC1ZY9D09GZ" localSheetId="10" hidden="1">#REF!</definedName>
    <definedName name="BExB7ELT09HGDVO5BJC1ZY9D09GZ" localSheetId="12" hidden="1">#REF!</definedName>
    <definedName name="BExB7ELT09HGDVO5BJC1ZY9D09GZ" localSheetId="9" hidden="1">'Customer data'!#REF!</definedName>
    <definedName name="BExB7ELT09HGDVO5BJC1ZY9D09GZ" localSheetId="8" hidden="1">'Largest debtors'!#REF!</definedName>
    <definedName name="BExB7ELT09HGDVO5BJC1ZY9D09GZ" localSheetId="11" hidden="1">#REF!</definedName>
    <definedName name="BExB7ELT09HGDVO5BJC1ZY9D09GZ" localSheetId="6" hidden="1">Stock!#REF!</definedName>
    <definedName name="BExB7ELT09HGDVO5BJC1ZY9D09GZ" hidden="1">#REF!</definedName>
    <definedName name="BExB806PAXX70XUTA3ZI7OORD78R" localSheetId="7" hidden="1">'Aged debtors'!#REF!</definedName>
    <definedName name="BExB806PAXX70XUTA3ZI7OORD78R" localSheetId="10" hidden="1">#REF!</definedName>
    <definedName name="BExB806PAXX70XUTA3ZI7OORD78R" localSheetId="12" hidden="1">#REF!</definedName>
    <definedName name="BExB806PAXX70XUTA3ZI7OORD78R" localSheetId="9" hidden="1">'Customer data'!#REF!</definedName>
    <definedName name="BExB806PAXX70XUTA3ZI7OORD78R" localSheetId="8" hidden="1">'Largest debtors'!#REF!</definedName>
    <definedName name="BExB806PAXX70XUTA3ZI7OORD78R" localSheetId="11" hidden="1">#REF!</definedName>
    <definedName name="BExB806PAXX70XUTA3ZI7OORD78R" localSheetId="6" hidden="1">Stock!#REF!</definedName>
    <definedName name="BExB806PAXX70XUTA3ZI7OORD78R" hidden="1">#REF!</definedName>
    <definedName name="BExB8HF4UBVZKQCSRFRUQL2EE6VL" localSheetId="7" hidden="1">'Aged debtors'!#REF!</definedName>
    <definedName name="BExB8HF4UBVZKQCSRFRUQL2EE6VL" localSheetId="10" hidden="1">#REF!</definedName>
    <definedName name="BExB8HF4UBVZKQCSRFRUQL2EE6VL" localSheetId="12" hidden="1">#REF!</definedName>
    <definedName name="BExB8HF4UBVZKQCSRFRUQL2EE6VL" localSheetId="9" hidden="1">'Customer data'!#REF!</definedName>
    <definedName name="BExB8HF4UBVZKQCSRFRUQL2EE6VL" localSheetId="8" hidden="1">'Largest debtors'!#REF!</definedName>
    <definedName name="BExB8HF4UBVZKQCSRFRUQL2EE6VL" localSheetId="11" hidden="1">#REF!</definedName>
    <definedName name="BExB8HF4UBVZKQCSRFRUQL2EE6VL" localSheetId="6" hidden="1">Stock!#REF!</definedName>
    <definedName name="BExB8HF4UBVZKQCSRFRUQL2EE6VL" hidden="1">#REF!</definedName>
    <definedName name="BExB8HKHKZ1ORJZUYGG2M4VSCC39" localSheetId="7" hidden="1">'Aged debtors'!#REF!</definedName>
    <definedName name="BExB8HKHKZ1ORJZUYGG2M4VSCC39" localSheetId="10" hidden="1">#REF!</definedName>
    <definedName name="BExB8HKHKZ1ORJZUYGG2M4VSCC39" localSheetId="12" hidden="1">#REF!</definedName>
    <definedName name="BExB8HKHKZ1ORJZUYGG2M4VSCC39" localSheetId="9" hidden="1">'Customer data'!#REF!</definedName>
    <definedName name="BExB8HKHKZ1ORJZUYGG2M4VSCC39" localSheetId="8" hidden="1">'Largest debtors'!#REF!</definedName>
    <definedName name="BExB8HKHKZ1ORJZUYGG2M4VSCC39" localSheetId="11" hidden="1">#REF!</definedName>
    <definedName name="BExB8HKHKZ1ORJZUYGG2M4VSCC39" localSheetId="6" hidden="1">Stock!#REF!</definedName>
    <definedName name="BExB8HKHKZ1ORJZUYGG2M4VSCC39" hidden="1">#REF!</definedName>
    <definedName name="BExB8QPH8DC5BESEVPSMBCWVN6PO" localSheetId="7" hidden="1">'Aged debtors'!#REF!</definedName>
    <definedName name="BExB8QPH8DC5BESEVPSMBCWVN6PO" localSheetId="10" hidden="1">#REF!</definedName>
    <definedName name="BExB8QPH8DC5BESEVPSMBCWVN6PO" localSheetId="12" hidden="1">#REF!</definedName>
    <definedName name="BExB8QPH8DC5BESEVPSMBCWVN6PO" localSheetId="9" hidden="1">'Customer data'!#REF!</definedName>
    <definedName name="BExB8QPH8DC5BESEVPSMBCWVN6PO" localSheetId="8" hidden="1">'Largest debtors'!#REF!</definedName>
    <definedName name="BExB8QPH8DC5BESEVPSMBCWVN6PO" localSheetId="11" hidden="1">#REF!</definedName>
    <definedName name="BExB8QPH8DC5BESEVPSMBCWVN6PO" localSheetId="6" hidden="1">Stock!#REF!</definedName>
    <definedName name="BExB8QPH8DC5BESEVPSMBCWVN6PO" hidden="1">#REF!</definedName>
    <definedName name="BExB8U5N0D85YR8APKN3PPKG0FWP" localSheetId="7" hidden="1">'Aged debtors'!#REF!</definedName>
    <definedName name="BExB8U5N0D85YR8APKN3PPKG0FWP" localSheetId="10" hidden="1">#REF!</definedName>
    <definedName name="BExB8U5N0D85YR8APKN3PPKG0FWP" localSheetId="12" hidden="1">#REF!</definedName>
    <definedName name="BExB8U5N0D85YR8APKN3PPKG0FWP" localSheetId="9" hidden="1">'Customer data'!#REF!</definedName>
    <definedName name="BExB8U5N0D85YR8APKN3PPKG0FWP" localSheetId="8" hidden="1">'Largest debtors'!#REF!</definedName>
    <definedName name="BExB8U5N0D85YR8APKN3PPKG0FWP" localSheetId="11" hidden="1">#REF!</definedName>
    <definedName name="BExB8U5N0D85YR8APKN3PPKG0FWP" localSheetId="6" hidden="1">Stock!#REF!</definedName>
    <definedName name="BExB8U5N0D85YR8APKN3PPKG0FWP" hidden="1">#REF!</definedName>
    <definedName name="BExB9DHI5I2TJ2LXYPM98EE81L27" localSheetId="7" hidden="1">'Aged debtors'!#REF!</definedName>
    <definedName name="BExB9DHI5I2TJ2LXYPM98EE81L27" localSheetId="10" hidden="1">#REF!</definedName>
    <definedName name="BExB9DHI5I2TJ2LXYPM98EE81L27" localSheetId="12" hidden="1">#REF!</definedName>
    <definedName name="BExB9DHI5I2TJ2LXYPM98EE81L27" localSheetId="9" hidden="1">'Customer data'!#REF!</definedName>
    <definedName name="BExB9DHI5I2TJ2LXYPM98EE81L27" localSheetId="8" hidden="1">'Largest debtors'!#REF!</definedName>
    <definedName name="BExB9DHI5I2TJ2LXYPM98EE81L27" localSheetId="11" hidden="1">#REF!</definedName>
    <definedName name="BExB9DHI5I2TJ2LXYPM98EE81L27" localSheetId="6" hidden="1">Stock!#REF!</definedName>
    <definedName name="BExB9DHI5I2TJ2LXYPM98EE81L27" hidden="1">#REF!</definedName>
    <definedName name="BExB9Q2MZZHBGW8QQKVEYIMJBPIE" localSheetId="7" hidden="1">'Aged debtors'!#REF!</definedName>
    <definedName name="BExB9Q2MZZHBGW8QQKVEYIMJBPIE" localSheetId="10" hidden="1">#REF!</definedName>
    <definedName name="BExB9Q2MZZHBGW8QQKVEYIMJBPIE" localSheetId="12" hidden="1">#REF!</definedName>
    <definedName name="BExB9Q2MZZHBGW8QQKVEYIMJBPIE" localSheetId="9" hidden="1">'Customer data'!#REF!</definedName>
    <definedName name="BExB9Q2MZZHBGW8QQKVEYIMJBPIE" localSheetId="8" hidden="1">'Largest debtors'!#REF!</definedName>
    <definedName name="BExB9Q2MZZHBGW8QQKVEYIMJBPIE" localSheetId="11" hidden="1">#REF!</definedName>
    <definedName name="BExB9Q2MZZHBGW8QQKVEYIMJBPIE" localSheetId="6" hidden="1">Stock!#REF!</definedName>
    <definedName name="BExB9Q2MZZHBGW8QQKVEYIMJBPIE" hidden="1">#REF!</definedName>
    <definedName name="BExBA69ASGYRZW1G1DYIS9QRRTBN" localSheetId="7" hidden="1">'Aged debtors'!#REF!</definedName>
    <definedName name="BExBA69ASGYRZW1G1DYIS9QRRTBN" localSheetId="10" hidden="1">#REF!</definedName>
    <definedName name="BExBA69ASGYRZW1G1DYIS9QRRTBN" localSheetId="12" hidden="1">#REF!</definedName>
    <definedName name="BExBA69ASGYRZW1G1DYIS9QRRTBN" localSheetId="9" hidden="1">'Customer data'!#REF!</definedName>
    <definedName name="BExBA69ASGYRZW1G1DYIS9QRRTBN" localSheetId="8" hidden="1">'Largest debtors'!#REF!</definedName>
    <definedName name="BExBA69ASGYRZW1G1DYIS9QRRTBN" localSheetId="11" hidden="1">#REF!</definedName>
    <definedName name="BExBA69ASGYRZW1G1DYIS9QRRTBN" localSheetId="6" hidden="1">Stock!#REF!</definedName>
    <definedName name="BExBA69ASGYRZW1G1DYIS9QRRTBN" hidden="1">#REF!</definedName>
    <definedName name="BExBA6K42582A14WFFWQ3Q8QQWB6" localSheetId="7" hidden="1">'Aged debtors'!#REF!</definedName>
    <definedName name="BExBA6K42582A14WFFWQ3Q8QQWB6" localSheetId="10" hidden="1">#REF!</definedName>
    <definedName name="BExBA6K42582A14WFFWQ3Q8QQWB6" localSheetId="12" hidden="1">#REF!</definedName>
    <definedName name="BExBA6K42582A14WFFWQ3Q8QQWB6" localSheetId="9" hidden="1">'Customer data'!#REF!</definedName>
    <definedName name="BExBA6K42582A14WFFWQ3Q8QQWB6" localSheetId="8" hidden="1">'Largest debtors'!#REF!</definedName>
    <definedName name="BExBA6K42582A14WFFWQ3Q8QQWB6" localSheetId="11" hidden="1">#REF!</definedName>
    <definedName name="BExBA6K42582A14WFFWQ3Q8QQWB6" localSheetId="6" hidden="1">Stock!#REF!</definedName>
    <definedName name="BExBA6K42582A14WFFWQ3Q8QQWB6" hidden="1">#REF!</definedName>
    <definedName name="BExBA93PE0DGUUTA7LLSIGBIXWE5" localSheetId="7" hidden="1">'Aged debtors'!#REF!</definedName>
    <definedName name="BExBA93PE0DGUUTA7LLSIGBIXWE5" localSheetId="10" hidden="1">#REF!</definedName>
    <definedName name="BExBA93PE0DGUUTA7LLSIGBIXWE5" localSheetId="12" hidden="1">#REF!</definedName>
    <definedName name="BExBA93PE0DGUUTA7LLSIGBIXWE5" localSheetId="9" hidden="1">'Customer data'!#REF!</definedName>
    <definedName name="BExBA93PE0DGUUTA7LLSIGBIXWE5" localSheetId="8" hidden="1">'Largest debtors'!#REF!</definedName>
    <definedName name="BExBA93PE0DGUUTA7LLSIGBIXWE5" localSheetId="11" hidden="1">#REF!</definedName>
    <definedName name="BExBA93PE0DGUUTA7LLSIGBIXWE5" localSheetId="6" hidden="1">Stock!#REF!</definedName>
    <definedName name="BExBA93PE0DGUUTA7LLSIGBIXWE5" hidden="1">#REF!</definedName>
    <definedName name="BExBAGLGHYHE2LZK3KRJ2PGFO8IP" localSheetId="7" hidden="1">'Aged debtors'!#REF!</definedName>
    <definedName name="BExBAGLGHYHE2LZK3KRJ2PGFO8IP" localSheetId="10" hidden="1">#REF!</definedName>
    <definedName name="BExBAGLGHYHE2LZK3KRJ2PGFO8IP" localSheetId="12" hidden="1">#REF!</definedName>
    <definedName name="BExBAGLGHYHE2LZK3KRJ2PGFO8IP" localSheetId="9" hidden="1">'Customer data'!#REF!</definedName>
    <definedName name="BExBAGLGHYHE2LZK3KRJ2PGFO8IP" localSheetId="8" hidden="1">'Largest debtors'!#REF!</definedName>
    <definedName name="BExBAGLGHYHE2LZK3KRJ2PGFO8IP" localSheetId="11" hidden="1">#REF!</definedName>
    <definedName name="BExBAGLGHYHE2LZK3KRJ2PGFO8IP" localSheetId="6" hidden="1">Stock!#REF!</definedName>
    <definedName name="BExBAGLGHYHE2LZK3KRJ2PGFO8IP" hidden="1">#REF!</definedName>
    <definedName name="BExBAKN7XIBAXCF9PCNVS038PCQO" localSheetId="7" hidden="1">'Aged debtors'!#REF!</definedName>
    <definedName name="BExBAKN7XIBAXCF9PCNVS038PCQO" localSheetId="10" hidden="1">#REF!</definedName>
    <definedName name="BExBAKN7XIBAXCF9PCNVS038PCQO" localSheetId="12" hidden="1">#REF!</definedName>
    <definedName name="BExBAKN7XIBAXCF9PCNVS038PCQO" localSheetId="9" hidden="1">'Customer data'!#REF!</definedName>
    <definedName name="BExBAKN7XIBAXCF9PCNVS038PCQO" localSheetId="8" hidden="1">'Largest debtors'!#REF!</definedName>
    <definedName name="BExBAKN7XIBAXCF9PCNVS038PCQO" localSheetId="11" hidden="1">#REF!</definedName>
    <definedName name="BExBAKN7XIBAXCF9PCNVS038PCQO" localSheetId="6" hidden="1">Stock!#REF!</definedName>
    <definedName name="BExBAKN7XIBAXCF9PCNVS038PCQO" hidden="1">#REF!</definedName>
    <definedName name="BExBAKXZ7PBW3DDKKA5MWC1ZUC7O" localSheetId="7" hidden="1">'Aged debtors'!#REF!</definedName>
    <definedName name="BExBAKXZ7PBW3DDKKA5MWC1ZUC7O" localSheetId="10" hidden="1">#REF!</definedName>
    <definedName name="BExBAKXZ7PBW3DDKKA5MWC1ZUC7O" localSheetId="12" hidden="1">#REF!</definedName>
    <definedName name="BExBAKXZ7PBW3DDKKA5MWC1ZUC7O" localSheetId="9" hidden="1">'Customer data'!#REF!</definedName>
    <definedName name="BExBAKXZ7PBW3DDKKA5MWC1ZUC7O" localSheetId="8" hidden="1">'Largest debtors'!#REF!</definedName>
    <definedName name="BExBAKXZ7PBW3DDKKA5MWC1ZUC7O" localSheetId="11" hidden="1">#REF!</definedName>
    <definedName name="BExBAKXZ7PBW3DDKKA5MWC1ZUC7O" localSheetId="6" hidden="1">Stock!#REF!</definedName>
    <definedName name="BExBAKXZ7PBW3DDKKA5MWC1ZUC7O" hidden="1">#REF!</definedName>
    <definedName name="BExBAX2X2ENJYO4QTR5VAIQ86L7B" localSheetId="7" hidden="1">'Aged debtors'!#REF!</definedName>
    <definedName name="BExBAX2X2ENJYO4QTR5VAIQ86L7B" localSheetId="10" hidden="1">#REF!</definedName>
    <definedName name="BExBAX2X2ENJYO4QTR5VAIQ86L7B" localSheetId="12" hidden="1">#REF!</definedName>
    <definedName name="BExBAX2X2ENJYO4QTR5VAIQ86L7B" localSheetId="9" hidden="1">'Customer data'!#REF!</definedName>
    <definedName name="BExBAX2X2ENJYO4QTR5VAIQ86L7B" localSheetId="8" hidden="1">'Largest debtors'!#REF!</definedName>
    <definedName name="BExBAX2X2ENJYO4QTR5VAIQ86L7B" localSheetId="11" hidden="1">#REF!</definedName>
    <definedName name="BExBAX2X2ENJYO4QTR5VAIQ86L7B" localSheetId="6" hidden="1">Stock!#REF!</definedName>
    <definedName name="BExBAX2X2ENJYO4QTR5VAIQ86L7B" hidden="1">#REF!</definedName>
    <definedName name="BExBAZ13D3F1DVJQ6YJ8JGUYEYJE" localSheetId="7" hidden="1">'Aged debtors'!#REF!</definedName>
    <definedName name="BExBAZ13D3F1DVJQ6YJ8JGUYEYJE" localSheetId="10" hidden="1">#REF!</definedName>
    <definedName name="BExBAZ13D3F1DVJQ6YJ8JGUYEYJE" localSheetId="12" hidden="1">#REF!</definedName>
    <definedName name="BExBAZ13D3F1DVJQ6YJ8JGUYEYJE" localSheetId="9" hidden="1">'Customer data'!#REF!</definedName>
    <definedName name="BExBAZ13D3F1DVJQ6YJ8JGUYEYJE" localSheetId="8" hidden="1">'Largest debtors'!#REF!</definedName>
    <definedName name="BExBAZ13D3F1DVJQ6YJ8JGUYEYJE" localSheetId="11" hidden="1">#REF!</definedName>
    <definedName name="BExBAZ13D3F1DVJQ6YJ8JGUYEYJE" localSheetId="6" hidden="1">Stock!#REF!</definedName>
    <definedName name="BExBAZ13D3F1DVJQ6YJ8JGUYEYJE" hidden="1">#REF!</definedName>
    <definedName name="BExBBV8XVMD9CKZY711T0BN7H3PM" localSheetId="7" hidden="1">'Aged debtors'!#REF!</definedName>
    <definedName name="BExBBV8XVMD9CKZY711T0BN7H3PM" localSheetId="10" hidden="1">#REF!</definedName>
    <definedName name="BExBBV8XVMD9CKZY711T0BN7H3PM" localSheetId="12" hidden="1">#REF!</definedName>
    <definedName name="BExBBV8XVMD9CKZY711T0BN7H3PM" localSheetId="9" hidden="1">'Customer data'!#REF!</definedName>
    <definedName name="BExBBV8XVMD9CKZY711T0BN7H3PM" localSheetId="8" hidden="1">'Largest debtors'!#REF!</definedName>
    <definedName name="BExBBV8XVMD9CKZY711T0BN7H3PM" localSheetId="11" hidden="1">#REF!</definedName>
    <definedName name="BExBBV8XVMD9CKZY711T0BN7H3PM" localSheetId="6" hidden="1">Stock!#REF!</definedName>
    <definedName name="BExBBV8XVMD9CKZY711T0BN7H3PM" hidden="1">#REF!</definedName>
    <definedName name="BExBCKKJTIRKC1RZJRTK65HHLX4W" localSheetId="7" hidden="1">'Aged debtors'!#REF!</definedName>
    <definedName name="BExBCKKJTIRKC1RZJRTK65HHLX4W" localSheetId="10" hidden="1">#REF!</definedName>
    <definedName name="BExBCKKJTIRKC1RZJRTK65HHLX4W" localSheetId="12" hidden="1">#REF!</definedName>
    <definedName name="BExBCKKJTIRKC1RZJRTK65HHLX4W" localSheetId="9" hidden="1">'Customer data'!#REF!</definedName>
    <definedName name="BExBCKKJTIRKC1RZJRTK65HHLX4W" localSheetId="8" hidden="1">'Largest debtors'!#REF!</definedName>
    <definedName name="BExBCKKJTIRKC1RZJRTK65HHLX4W" localSheetId="11" hidden="1">#REF!</definedName>
    <definedName name="BExBCKKJTIRKC1RZJRTK65HHLX4W" localSheetId="6" hidden="1">Stock!#REF!</definedName>
    <definedName name="BExBCKKJTIRKC1RZJRTK65HHLX4W" hidden="1">#REF!</definedName>
    <definedName name="BExBCLMEPAN3XXX174TU8SS0627Q" localSheetId="7" hidden="1">'Aged debtors'!#REF!</definedName>
    <definedName name="BExBCLMEPAN3XXX174TU8SS0627Q" localSheetId="10" hidden="1">#REF!</definedName>
    <definedName name="BExBCLMEPAN3XXX174TU8SS0627Q" localSheetId="12" hidden="1">#REF!</definedName>
    <definedName name="BExBCLMEPAN3XXX174TU8SS0627Q" localSheetId="9" hidden="1">'Customer data'!#REF!</definedName>
    <definedName name="BExBCLMEPAN3XXX174TU8SS0627Q" localSheetId="8" hidden="1">'Largest debtors'!#REF!</definedName>
    <definedName name="BExBCLMEPAN3XXX174TU8SS0627Q" localSheetId="11" hidden="1">#REF!</definedName>
    <definedName name="BExBCLMEPAN3XXX174TU8SS0627Q" localSheetId="6" hidden="1">Stock!#REF!</definedName>
    <definedName name="BExBCLMEPAN3XXX174TU8SS0627Q" hidden="1">#REF!</definedName>
    <definedName name="BExBDJS9TUEU8Z84IV59E5V4T8K6" localSheetId="7" hidden="1">'Aged debtors'!#REF!</definedName>
    <definedName name="BExBDJS9TUEU8Z84IV59E5V4T8K6" localSheetId="10" hidden="1">#REF!</definedName>
    <definedName name="BExBDJS9TUEU8Z84IV59E5V4T8K6" localSheetId="12" hidden="1">#REF!</definedName>
    <definedName name="BExBDJS9TUEU8Z84IV59E5V4T8K6" localSheetId="9" hidden="1">'Customer data'!#REF!</definedName>
    <definedName name="BExBDJS9TUEU8Z84IV59E5V4T8K6" localSheetId="8" hidden="1">'Largest debtors'!#REF!</definedName>
    <definedName name="BExBDJS9TUEU8Z84IV59E5V4T8K6" localSheetId="11" hidden="1">#REF!</definedName>
    <definedName name="BExBDJS9TUEU8Z84IV59E5V4T8K6" localSheetId="6" hidden="1">Stock!#REF!</definedName>
    <definedName name="BExBDJS9TUEU8Z84IV59E5V4T8K6" hidden="1">#REF!</definedName>
    <definedName name="BExBDKOMSVH4XMH52CFJ3F028I9R" localSheetId="7" hidden="1">'Aged debtors'!#REF!</definedName>
    <definedName name="BExBDKOMSVH4XMH52CFJ3F028I9R" localSheetId="10" hidden="1">#REF!</definedName>
    <definedName name="BExBDKOMSVH4XMH52CFJ3F028I9R" localSheetId="12" hidden="1">#REF!</definedName>
    <definedName name="BExBDKOMSVH4XMH52CFJ3F028I9R" localSheetId="9" hidden="1">'Customer data'!#REF!</definedName>
    <definedName name="BExBDKOMSVH4XMH52CFJ3F028I9R" localSheetId="8" hidden="1">'Largest debtors'!#REF!</definedName>
    <definedName name="BExBDKOMSVH4XMH52CFJ3F028I9R" localSheetId="11" hidden="1">#REF!</definedName>
    <definedName name="BExBDKOMSVH4XMH52CFJ3F028I9R" localSheetId="6" hidden="1">Stock!#REF!</definedName>
    <definedName name="BExBDKOMSVH4XMH52CFJ3F028I9R" hidden="1">#REF!</definedName>
    <definedName name="BExBDSRXVZQ0W5WXQMP5XD00GRRL" localSheetId="7" hidden="1">'Aged debtors'!#REF!</definedName>
    <definedName name="BExBDSRXVZQ0W5WXQMP5XD00GRRL" localSheetId="10" hidden="1">#REF!</definedName>
    <definedName name="BExBDSRXVZQ0W5WXQMP5XD00GRRL" localSheetId="12" hidden="1">#REF!</definedName>
    <definedName name="BExBDSRXVZQ0W5WXQMP5XD00GRRL" localSheetId="9" hidden="1">'Customer data'!#REF!</definedName>
    <definedName name="BExBDSRXVZQ0W5WXQMP5XD00GRRL" localSheetId="8" hidden="1">'Largest debtors'!#REF!</definedName>
    <definedName name="BExBDSRXVZQ0W5WXQMP5XD00GRRL" localSheetId="11" hidden="1">#REF!</definedName>
    <definedName name="BExBDSRXVZQ0W5WXQMP5XD00GRRL" localSheetId="6" hidden="1">Stock!#REF!</definedName>
    <definedName name="BExBDSRXVZQ0W5WXQMP5XD00GRRL" hidden="1">#REF!</definedName>
    <definedName name="BExBDUVGK3E1J4JY9ZYTS7V14BLY" localSheetId="7" hidden="1">'Aged debtors'!#REF!</definedName>
    <definedName name="BExBDUVGK3E1J4JY9ZYTS7V14BLY" localSheetId="10" hidden="1">#REF!</definedName>
    <definedName name="BExBDUVGK3E1J4JY9ZYTS7V14BLY" localSheetId="12" hidden="1">#REF!</definedName>
    <definedName name="BExBDUVGK3E1J4JY9ZYTS7V14BLY" localSheetId="9" hidden="1">'Customer data'!#REF!</definedName>
    <definedName name="BExBDUVGK3E1J4JY9ZYTS7V14BLY" localSheetId="8" hidden="1">'Largest debtors'!#REF!</definedName>
    <definedName name="BExBDUVGK3E1J4JY9ZYTS7V14BLY" localSheetId="11" hidden="1">#REF!</definedName>
    <definedName name="BExBDUVGK3E1J4JY9ZYTS7V14BLY" localSheetId="6" hidden="1">Stock!#REF!</definedName>
    <definedName name="BExBDUVGK3E1J4JY9ZYTS7V14BLY" hidden="1">#REF!</definedName>
    <definedName name="BExBE162OSBKD30I7T1DKKPT3I9I" localSheetId="7" hidden="1">'Aged debtors'!#REF!</definedName>
    <definedName name="BExBE162OSBKD30I7T1DKKPT3I9I" localSheetId="10" hidden="1">#REF!</definedName>
    <definedName name="BExBE162OSBKD30I7T1DKKPT3I9I" localSheetId="12" hidden="1">#REF!</definedName>
    <definedName name="BExBE162OSBKD30I7T1DKKPT3I9I" localSheetId="9" hidden="1">'Customer data'!#REF!</definedName>
    <definedName name="BExBE162OSBKD30I7T1DKKPT3I9I" localSheetId="8" hidden="1">'Largest debtors'!#REF!</definedName>
    <definedName name="BExBE162OSBKD30I7T1DKKPT3I9I" localSheetId="11" hidden="1">#REF!</definedName>
    <definedName name="BExBE162OSBKD30I7T1DKKPT3I9I" localSheetId="6" hidden="1">Stock!#REF!</definedName>
    <definedName name="BExBE162OSBKD30I7T1DKKPT3I9I" hidden="1">#REF!</definedName>
    <definedName name="BExBG1ED81J2O4A2S5F5Y3BPHMCR" localSheetId="7" hidden="1">'Aged debtors'!#REF!</definedName>
    <definedName name="BExBG1ED81J2O4A2S5F5Y3BPHMCR" localSheetId="10" hidden="1">#REF!</definedName>
    <definedName name="BExBG1ED81J2O4A2S5F5Y3BPHMCR" localSheetId="12" hidden="1">#REF!</definedName>
    <definedName name="BExBG1ED81J2O4A2S5F5Y3BPHMCR" localSheetId="9" hidden="1">'Customer data'!#REF!</definedName>
    <definedName name="BExBG1ED81J2O4A2S5F5Y3BPHMCR" localSheetId="8" hidden="1">'Largest debtors'!#REF!</definedName>
    <definedName name="BExBG1ED81J2O4A2S5F5Y3BPHMCR" localSheetId="11" hidden="1">#REF!</definedName>
    <definedName name="BExBG1ED81J2O4A2S5F5Y3BPHMCR" localSheetId="6" hidden="1">Stock!#REF!</definedName>
    <definedName name="BExBG1ED81J2O4A2S5F5Y3BPHMCR" hidden="1">#REF!</definedName>
    <definedName name="BExCRLIHS7466WFJ3RPIUGGXYESZ" localSheetId="7" hidden="1">'Aged debtors'!#REF!</definedName>
    <definedName name="BExCRLIHS7466WFJ3RPIUGGXYESZ" localSheetId="10" hidden="1">#REF!</definedName>
    <definedName name="BExCRLIHS7466WFJ3RPIUGGXYESZ" localSheetId="12" hidden="1">#REF!</definedName>
    <definedName name="BExCRLIHS7466WFJ3RPIUGGXYESZ" localSheetId="9" hidden="1">'Customer data'!#REF!</definedName>
    <definedName name="BExCRLIHS7466WFJ3RPIUGGXYESZ" localSheetId="8" hidden="1">'Largest debtors'!#REF!</definedName>
    <definedName name="BExCRLIHS7466WFJ3RPIUGGXYESZ" localSheetId="11" hidden="1">#REF!</definedName>
    <definedName name="BExCRLIHS7466WFJ3RPIUGGXYESZ" localSheetId="6" hidden="1">Stock!#REF!</definedName>
    <definedName name="BExCRLIHS7466WFJ3RPIUGGXYESZ" hidden="1">#REF!</definedName>
    <definedName name="BExCRWWI5ZMTSWBS61IYSC4UI0H9" localSheetId="7" hidden="1">'Aged debtors'!#REF!</definedName>
    <definedName name="BExCRWWI5ZMTSWBS61IYSC4UI0H9" localSheetId="10" hidden="1">#REF!</definedName>
    <definedName name="BExCRWWI5ZMTSWBS61IYSC4UI0H9" localSheetId="12" hidden="1">#REF!</definedName>
    <definedName name="BExCRWWI5ZMTSWBS61IYSC4UI0H9" localSheetId="9" hidden="1">'Customer data'!#REF!</definedName>
    <definedName name="BExCRWWI5ZMTSWBS61IYSC4UI0H9" localSheetId="8" hidden="1">'Largest debtors'!#REF!</definedName>
    <definedName name="BExCRWWI5ZMTSWBS61IYSC4UI0H9" localSheetId="11" hidden="1">#REF!</definedName>
    <definedName name="BExCRWWI5ZMTSWBS61IYSC4UI0H9" localSheetId="6" hidden="1">Stock!#REF!</definedName>
    <definedName name="BExCRWWI5ZMTSWBS61IYSC4UI0H9" hidden="1">#REF!</definedName>
    <definedName name="BExCS1EDDUEAEWHVYXHIP9I1WCJH" localSheetId="7" hidden="1">'Aged debtors'!#REF!</definedName>
    <definedName name="BExCS1EDDUEAEWHVYXHIP9I1WCJH" localSheetId="10" hidden="1">#REF!</definedName>
    <definedName name="BExCS1EDDUEAEWHVYXHIP9I1WCJH" localSheetId="12" hidden="1">#REF!</definedName>
    <definedName name="BExCS1EDDUEAEWHVYXHIP9I1WCJH" localSheetId="9" hidden="1">'Customer data'!#REF!</definedName>
    <definedName name="BExCS1EDDUEAEWHVYXHIP9I1WCJH" localSheetId="8" hidden="1">'Largest debtors'!#REF!</definedName>
    <definedName name="BExCS1EDDUEAEWHVYXHIP9I1WCJH" localSheetId="11" hidden="1">#REF!</definedName>
    <definedName name="BExCS1EDDUEAEWHVYXHIP9I1WCJH" localSheetId="6" hidden="1">Stock!#REF!</definedName>
    <definedName name="BExCS1EDDUEAEWHVYXHIP9I1WCJH" hidden="1">#REF!</definedName>
    <definedName name="BExCS7ZPMHFJ4UJDAL8CQOLSZ13B" localSheetId="7" hidden="1">'Aged debtors'!#REF!</definedName>
    <definedName name="BExCS7ZPMHFJ4UJDAL8CQOLSZ13B" localSheetId="10" hidden="1">#REF!</definedName>
    <definedName name="BExCS7ZPMHFJ4UJDAL8CQOLSZ13B" localSheetId="12" hidden="1">#REF!</definedName>
    <definedName name="BExCS7ZPMHFJ4UJDAL8CQOLSZ13B" localSheetId="9" hidden="1">'Customer data'!#REF!</definedName>
    <definedName name="BExCS7ZPMHFJ4UJDAL8CQOLSZ13B" localSheetId="8" hidden="1">'Largest debtors'!#REF!</definedName>
    <definedName name="BExCS7ZPMHFJ4UJDAL8CQOLSZ13B" localSheetId="11" hidden="1">#REF!</definedName>
    <definedName name="BExCS7ZPMHFJ4UJDAL8CQOLSZ13B" localSheetId="6" hidden="1">Stock!#REF!</definedName>
    <definedName name="BExCS7ZPMHFJ4UJDAL8CQOLSZ13B" hidden="1">#REF!</definedName>
    <definedName name="BExCS8W4NJUZH9S1CYB6XSDLEPBW" localSheetId="7" hidden="1">'Aged debtors'!#REF!</definedName>
    <definedName name="BExCS8W4NJUZH9S1CYB6XSDLEPBW" localSheetId="10" hidden="1">#REF!</definedName>
    <definedName name="BExCS8W4NJUZH9S1CYB6XSDLEPBW" localSheetId="12" hidden="1">#REF!</definedName>
    <definedName name="BExCS8W4NJUZH9S1CYB6XSDLEPBW" localSheetId="9" hidden="1">'Customer data'!#REF!</definedName>
    <definedName name="BExCS8W4NJUZH9S1CYB6XSDLEPBW" localSheetId="8" hidden="1">'Largest debtors'!#REF!</definedName>
    <definedName name="BExCS8W4NJUZH9S1CYB6XSDLEPBW" localSheetId="11" hidden="1">#REF!</definedName>
    <definedName name="BExCS8W4NJUZH9S1CYB6XSDLEPBW" localSheetId="6" hidden="1">Stock!#REF!</definedName>
    <definedName name="BExCS8W4NJUZH9S1CYB6XSDLEPBW" hidden="1">#REF!</definedName>
    <definedName name="BExCSAE1M6G20R41J0Y24YNN0YC1" localSheetId="7" hidden="1">'Aged debtors'!#REF!</definedName>
    <definedName name="BExCSAE1M6G20R41J0Y24YNN0YC1" localSheetId="10" hidden="1">#REF!</definedName>
    <definedName name="BExCSAE1M6G20R41J0Y24YNN0YC1" localSheetId="12" hidden="1">#REF!</definedName>
    <definedName name="BExCSAE1M6G20R41J0Y24YNN0YC1" localSheetId="9" hidden="1">'Customer data'!#REF!</definedName>
    <definedName name="BExCSAE1M6G20R41J0Y24YNN0YC1" localSheetId="8" hidden="1">'Largest debtors'!#REF!</definedName>
    <definedName name="BExCSAE1M6G20R41J0Y24YNN0YC1" localSheetId="11" hidden="1">#REF!</definedName>
    <definedName name="BExCSAE1M6G20R41J0Y24YNN0YC1" localSheetId="6" hidden="1">Stock!#REF!</definedName>
    <definedName name="BExCSAE1M6G20R41J0Y24YNN0YC1" hidden="1">#REF!</definedName>
    <definedName name="BExCSAOUZOYKHN7HV511TO8VDJ02" localSheetId="7" hidden="1">'Aged debtors'!#REF!</definedName>
    <definedName name="BExCSAOUZOYKHN7HV511TO8VDJ02" localSheetId="10" hidden="1">#REF!</definedName>
    <definedName name="BExCSAOUZOYKHN7HV511TO8VDJ02" localSheetId="12" hidden="1">#REF!</definedName>
    <definedName name="BExCSAOUZOYKHN7HV511TO8VDJ02" localSheetId="9" hidden="1">'Customer data'!#REF!</definedName>
    <definedName name="BExCSAOUZOYKHN7HV511TO8VDJ02" localSheetId="8" hidden="1">'Largest debtors'!#REF!</definedName>
    <definedName name="BExCSAOUZOYKHN7HV511TO8VDJ02" localSheetId="11" hidden="1">#REF!</definedName>
    <definedName name="BExCSAOUZOYKHN7HV511TO8VDJ02" localSheetId="6" hidden="1">Stock!#REF!</definedName>
    <definedName name="BExCSAOUZOYKHN7HV511TO8VDJ02" hidden="1">#REF!</definedName>
    <definedName name="BExCSMOFTXSUEC1T46LR1UPYRCX5" localSheetId="7" hidden="1">'Aged debtors'!#REF!</definedName>
    <definedName name="BExCSMOFTXSUEC1T46LR1UPYRCX5" localSheetId="10" hidden="1">#REF!</definedName>
    <definedName name="BExCSMOFTXSUEC1T46LR1UPYRCX5" localSheetId="12" hidden="1">#REF!</definedName>
    <definedName name="BExCSMOFTXSUEC1T46LR1UPYRCX5" localSheetId="9" hidden="1">'Customer data'!#REF!</definedName>
    <definedName name="BExCSMOFTXSUEC1T46LR1UPYRCX5" localSheetId="8" hidden="1">'Largest debtors'!#REF!</definedName>
    <definedName name="BExCSMOFTXSUEC1T46LR1UPYRCX5" localSheetId="11" hidden="1">#REF!</definedName>
    <definedName name="BExCSMOFTXSUEC1T46LR1UPYRCX5" localSheetId="6" hidden="1">Stock!#REF!</definedName>
    <definedName name="BExCSMOFTXSUEC1T46LR1UPYRCX5" hidden="1">#REF!</definedName>
    <definedName name="BExCSSDG3TM6TPKS19E9QYJEELZ6" localSheetId="7" hidden="1">'Aged debtors'!#REF!</definedName>
    <definedName name="BExCSSDG3TM6TPKS19E9QYJEELZ6" localSheetId="10" hidden="1">#REF!</definedName>
    <definedName name="BExCSSDG3TM6TPKS19E9QYJEELZ6" localSheetId="12" hidden="1">#REF!</definedName>
    <definedName name="BExCSSDG3TM6TPKS19E9QYJEELZ6" localSheetId="9" hidden="1">'Customer data'!#REF!</definedName>
    <definedName name="BExCSSDG3TM6TPKS19E9QYJEELZ6" localSheetId="8" hidden="1">'Largest debtors'!#REF!</definedName>
    <definedName name="BExCSSDG3TM6TPKS19E9QYJEELZ6" localSheetId="11" hidden="1">#REF!</definedName>
    <definedName name="BExCSSDG3TM6TPKS19E9QYJEELZ6" localSheetId="6" hidden="1">Stock!#REF!</definedName>
    <definedName name="BExCSSDG3TM6TPKS19E9QYJEELZ6" hidden="1">#REF!</definedName>
    <definedName name="BExCSZV7U67UWXL2HKJNM5W1E4OO" localSheetId="7" hidden="1">'Aged debtors'!#REF!</definedName>
    <definedName name="BExCSZV7U67UWXL2HKJNM5W1E4OO" localSheetId="10" hidden="1">#REF!</definedName>
    <definedName name="BExCSZV7U67UWXL2HKJNM5W1E4OO" localSheetId="12" hidden="1">#REF!</definedName>
    <definedName name="BExCSZV7U67UWXL2HKJNM5W1E4OO" localSheetId="9" hidden="1">'Customer data'!#REF!</definedName>
    <definedName name="BExCSZV7U67UWXL2HKJNM5W1E4OO" localSheetId="8" hidden="1">'Largest debtors'!#REF!</definedName>
    <definedName name="BExCSZV7U67UWXL2HKJNM5W1E4OO" localSheetId="11" hidden="1">#REF!</definedName>
    <definedName name="BExCSZV7U67UWXL2HKJNM5W1E4OO" localSheetId="6" hidden="1">Stock!#REF!</definedName>
    <definedName name="BExCSZV7U67UWXL2HKJNM5W1E4OO" hidden="1">#REF!</definedName>
    <definedName name="BExCT4NSDT61OCH04Y2QIFIOP75H" localSheetId="7" hidden="1">'Aged debtors'!#REF!</definedName>
    <definedName name="BExCT4NSDT61OCH04Y2QIFIOP75H" localSheetId="10" hidden="1">#REF!</definedName>
    <definedName name="BExCT4NSDT61OCH04Y2QIFIOP75H" localSheetId="12" hidden="1">#REF!</definedName>
    <definedName name="BExCT4NSDT61OCH04Y2QIFIOP75H" localSheetId="9" hidden="1">'Customer data'!#REF!</definedName>
    <definedName name="BExCT4NSDT61OCH04Y2QIFIOP75H" localSheetId="8" hidden="1">'Largest debtors'!#REF!</definedName>
    <definedName name="BExCT4NSDT61OCH04Y2QIFIOP75H" localSheetId="11" hidden="1">#REF!</definedName>
    <definedName name="BExCT4NSDT61OCH04Y2QIFIOP75H" localSheetId="6" hidden="1">Stock!#REF!</definedName>
    <definedName name="BExCT4NSDT61OCH04Y2QIFIOP75H" hidden="1">#REF!</definedName>
    <definedName name="BExCTZZ9JNES4EDHW97NP0EGQALX" localSheetId="7" hidden="1">'Aged debtors'!#REF!</definedName>
    <definedName name="BExCTZZ9JNES4EDHW97NP0EGQALX" localSheetId="10" hidden="1">#REF!</definedName>
    <definedName name="BExCTZZ9JNES4EDHW97NP0EGQALX" localSheetId="12" hidden="1">#REF!</definedName>
    <definedName name="BExCTZZ9JNES4EDHW97NP0EGQALX" localSheetId="9" hidden="1">'Customer data'!#REF!</definedName>
    <definedName name="BExCTZZ9JNES4EDHW97NP0EGQALX" localSheetId="8" hidden="1">'Largest debtors'!#REF!</definedName>
    <definedName name="BExCTZZ9JNES4EDHW97NP0EGQALX" localSheetId="11" hidden="1">#REF!</definedName>
    <definedName name="BExCTZZ9JNES4EDHW97NP0EGQALX" localSheetId="6" hidden="1">Stock!#REF!</definedName>
    <definedName name="BExCTZZ9JNES4EDHW97NP0EGQALX" hidden="1">#REF!</definedName>
    <definedName name="BExCU0A1V6NMZQ9ASYJ8QIVQ5UR2" localSheetId="7" hidden="1">'Aged debtors'!#REF!</definedName>
    <definedName name="BExCU0A1V6NMZQ9ASYJ8QIVQ5UR2" localSheetId="10" hidden="1">#REF!</definedName>
    <definedName name="BExCU0A1V6NMZQ9ASYJ8QIVQ5UR2" localSheetId="12" hidden="1">#REF!</definedName>
    <definedName name="BExCU0A1V6NMZQ9ASYJ8QIVQ5UR2" localSheetId="9" hidden="1">'Customer data'!#REF!</definedName>
    <definedName name="BExCU0A1V6NMZQ9ASYJ8QIVQ5UR2" localSheetId="8" hidden="1">'Largest debtors'!#REF!</definedName>
    <definedName name="BExCU0A1V6NMZQ9ASYJ8QIVQ5UR2" localSheetId="11" hidden="1">#REF!</definedName>
    <definedName name="BExCU0A1V6NMZQ9ASYJ8QIVQ5UR2" localSheetId="6" hidden="1">Stock!#REF!</definedName>
    <definedName name="BExCU0A1V6NMZQ9ASYJ8QIVQ5UR2" hidden="1">#REF!</definedName>
    <definedName name="BExCUDRJO23YOKT8GPWOVQ4XEHF5" localSheetId="7" hidden="1">'Aged debtors'!#REF!</definedName>
    <definedName name="BExCUDRJO23YOKT8GPWOVQ4XEHF5" localSheetId="10" hidden="1">#REF!</definedName>
    <definedName name="BExCUDRJO23YOKT8GPWOVQ4XEHF5" localSheetId="12" hidden="1">#REF!</definedName>
    <definedName name="BExCUDRJO23YOKT8GPWOVQ4XEHF5" localSheetId="9" hidden="1">'Customer data'!#REF!</definedName>
    <definedName name="BExCUDRJO23YOKT8GPWOVQ4XEHF5" localSheetId="8" hidden="1">'Largest debtors'!#REF!</definedName>
    <definedName name="BExCUDRJO23YOKT8GPWOVQ4XEHF5" localSheetId="11" hidden="1">#REF!</definedName>
    <definedName name="BExCUDRJO23YOKT8GPWOVQ4XEHF5" localSheetId="6" hidden="1">Stock!#REF!</definedName>
    <definedName name="BExCUDRJO23YOKT8GPWOVQ4XEHF5" hidden="1">#REF!</definedName>
    <definedName name="BExCVI86R31A2IOZIEBY1FJLVILD" localSheetId="7" hidden="1">'Aged debtors'!#REF!</definedName>
    <definedName name="BExCVI86R31A2IOZIEBY1FJLVILD" localSheetId="10" hidden="1">#REF!</definedName>
    <definedName name="BExCVI86R31A2IOZIEBY1FJLVILD" localSheetId="12" hidden="1">#REF!</definedName>
    <definedName name="BExCVI86R31A2IOZIEBY1FJLVILD" localSheetId="9" hidden="1">'Customer data'!#REF!</definedName>
    <definedName name="BExCVI86R31A2IOZIEBY1FJLVILD" localSheetId="8" hidden="1">'Largest debtors'!#REF!</definedName>
    <definedName name="BExCVI86R31A2IOZIEBY1FJLVILD" localSheetId="11" hidden="1">#REF!</definedName>
    <definedName name="BExCVI86R31A2IOZIEBY1FJLVILD" localSheetId="6" hidden="1">Stock!#REF!</definedName>
    <definedName name="BExCVI86R31A2IOZIEBY1FJLVILD" hidden="1">#REF!</definedName>
    <definedName name="BExCVKGZXE0I9EIXKBZVSGSEY2RR" localSheetId="7" hidden="1">'Aged debtors'!#REF!</definedName>
    <definedName name="BExCVKGZXE0I9EIXKBZVSGSEY2RR" localSheetId="10" hidden="1">#REF!</definedName>
    <definedName name="BExCVKGZXE0I9EIXKBZVSGSEY2RR" localSheetId="12" hidden="1">#REF!</definedName>
    <definedName name="BExCVKGZXE0I9EIXKBZVSGSEY2RR" localSheetId="9" hidden="1">'Customer data'!#REF!</definedName>
    <definedName name="BExCVKGZXE0I9EIXKBZVSGSEY2RR" localSheetId="8" hidden="1">'Largest debtors'!#REF!</definedName>
    <definedName name="BExCVKGZXE0I9EIXKBZVSGSEY2RR" localSheetId="11" hidden="1">#REF!</definedName>
    <definedName name="BExCVKGZXE0I9EIXKBZVSGSEY2RR" localSheetId="6" hidden="1">Stock!#REF!</definedName>
    <definedName name="BExCVKGZXE0I9EIXKBZVSGSEY2RR" hidden="1">#REF!</definedName>
    <definedName name="BExCVV44WY5807WGMTGKPW0GT256" localSheetId="7" hidden="1">'Aged debtors'!#REF!</definedName>
    <definedName name="BExCVV44WY5807WGMTGKPW0GT256" localSheetId="10" hidden="1">#REF!</definedName>
    <definedName name="BExCVV44WY5807WGMTGKPW0GT256" localSheetId="12" hidden="1">#REF!</definedName>
    <definedName name="BExCVV44WY5807WGMTGKPW0GT256" localSheetId="9" hidden="1">'Customer data'!#REF!</definedName>
    <definedName name="BExCVV44WY5807WGMTGKPW0GT256" localSheetId="8" hidden="1">'Largest debtors'!#REF!</definedName>
    <definedName name="BExCVV44WY5807WGMTGKPW0GT256" localSheetId="11" hidden="1">#REF!</definedName>
    <definedName name="BExCVV44WY5807WGMTGKPW0GT256" localSheetId="6" hidden="1">Stock!#REF!</definedName>
    <definedName name="BExCVV44WY5807WGMTGKPW0GT256" hidden="1">#REF!</definedName>
    <definedName name="BExCVZ5PN4V6MRBZ04PZJW3GEF8S" localSheetId="7" hidden="1">'Aged debtors'!#REF!</definedName>
    <definedName name="BExCVZ5PN4V6MRBZ04PZJW3GEF8S" localSheetId="10" hidden="1">#REF!</definedName>
    <definedName name="BExCVZ5PN4V6MRBZ04PZJW3GEF8S" localSheetId="12" hidden="1">#REF!</definedName>
    <definedName name="BExCVZ5PN4V6MRBZ04PZJW3GEF8S" localSheetId="9" hidden="1">'Customer data'!#REF!</definedName>
    <definedName name="BExCVZ5PN4V6MRBZ04PZJW3GEF8S" localSheetId="8" hidden="1">'Largest debtors'!#REF!</definedName>
    <definedName name="BExCVZ5PN4V6MRBZ04PZJW3GEF8S" localSheetId="11" hidden="1">#REF!</definedName>
    <definedName name="BExCVZ5PN4V6MRBZ04PZJW3GEF8S" localSheetId="6" hidden="1">Stock!#REF!</definedName>
    <definedName name="BExCVZ5PN4V6MRBZ04PZJW3GEF8S" hidden="1">#REF!</definedName>
    <definedName name="BExCW9Y5HWU4RJTNX74O6L24VGCK" localSheetId="7" hidden="1">'Aged debtors'!#REF!</definedName>
    <definedName name="BExCW9Y5HWU4RJTNX74O6L24VGCK" localSheetId="10" hidden="1">#REF!</definedName>
    <definedName name="BExCW9Y5HWU4RJTNX74O6L24VGCK" localSheetId="12" hidden="1">#REF!</definedName>
    <definedName name="BExCW9Y5HWU4RJTNX74O6L24VGCK" localSheetId="9" hidden="1">'Customer data'!#REF!</definedName>
    <definedName name="BExCW9Y5HWU4RJTNX74O6L24VGCK" localSheetId="8" hidden="1">'Largest debtors'!#REF!</definedName>
    <definedName name="BExCW9Y5HWU4RJTNX74O6L24VGCK" localSheetId="11" hidden="1">#REF!</definedName>
    <definedName name="BExCW9Y5HWU4RJTNX74O6L24VGCK" localSheetId="6" hidden="1">Stock!#REF!</definedName>
    <definedName name="BExCW9Y5HWU4RJTNX74O6L24VGCK" hidden="1">#REF!</definedName>
    <definedName name="BExCWPDPESGZS07QGBLSBWDNVJLZ" localSheetId="7" hidden="1">'Aged debtors'!#REF!</definedName>
    <definedName name="BExCWPDPESGZS07QGBLSBWDNVJLZ" localSheetId="10" hidden="1">#REF!</definedName>
    <definedName name="BExCWPDPESGZS07QGBLSBWDNVJLZ" localSheetId="12" hidden="1">#REF!</definedName>
    <definedName name="BExCWPDPESGZS07QGBLSBWDNVJLZ" localSheetId="9" hidden="1">'Customer data'!#REF!</definedName>
    <definedName name="BExCWPDPESGZS07QGBLSBWDNVJLZ" localSheetId="8" hidden="1">'Largest debtors'!#REF!</definedName>
    <definedName name="BExCWPDPESGZS07QGBLSBWDNVJLZ" localSheetId="11" hidden="1">#REF!</definedName>
    <definedName name="BExCWPDPESGZS07QGBLSBWDNVJLZ" localSheetId="6" hidden="1">Stock!#REF!</definedName>
    <definedName name="BExCWPDPESGZS07QGBLSBWDNVJLZ" hidden="1">#REF!</definedName>
    <definedName name="BExCWTVKHIVCRHF8GC39KI58YM5K" localSheetId="7" hidden="1">'Aged debtors'!#REF!</definedName>
    <definedName name="BExCWTVKHIVCRHF8GC39KI58YM5K" localSheetId="10" hidden="1">#REF!</definedName>
    <definedName name="BExCWTVKHIVCRHF8GC39KI58YM5K" localSheetId="12" hidden="1">#REF!</definedName>
    <definedName name="BExCWTVKHIVCRHF8GC39KI58YM5K" localSheetId="9" hidden="1">'Customer data'!#REF!</definedName>
    <definedName name="BExCWTVKHIVCRHF8GC39KI58YM5K" localSheetId="8" hidden="1">'Largest debtors'!#REF!</definedName>
    <definedName name="BExCWTVKHIVCRHF8GC39KI58YM5K" localSheetId="11" hidden="1">#REF!</definedName>
    <definedName name="BExCWTVKHIVCRHF8GC39KI58YM5K" localSheetId="6" hidden="1">Stock!#REF!</definedName>
    <definedName name="BExCWTVKHIVCRHF8GC39KI58YM5K" hidden="1">#REF!</definedName>
    <definedName name="BExCX4NZ2N1OUGXM7EV0U7VULJMM" localSheetId="7" hidden="1">'Aged debtors'!#REF!</definedName>
    <definedName name="BExCX4NZ2N1OUGXM7EV0U7VULJMM" localSheetId="10" hidden="1">#REF!</definedName>
    <definedName name="BExCX4NZ2N1OUGXM7EV0U7VULJMM" localSheetId="12" hidden="1">#REF!</definedName>
    <definedName name="BExCX4NZ2N1OUGXM7EV0U7VULJMM" localSheetId="9" hidden="1">'Customer data'!#REF!</definedName>
    <definedName name="BExCX4NZ2N1OUGXM7EV0U7VULJMM" localSheetId="8" hidden="1">'Largest debtors'!#REF!</definedName>
    <definedName name="BExCX4NZ2N1OUGXM7EV0U7VULJMM" localSheetId="11" hidden="1">#REF!</definedName>
    <definedName name="BExCX4NZ2N1OUGXM7EV0U7VULJMM" localSheetId="6" hidden="1">Stock!#REF!</definedName>
    <definedName name="BExCX4NZ2N1OUGXM7EV0U7VULJMM" hidden="1">#REF!</definedName>
    <definedName name="BExCYPRC5HJE6N2XQTHCT6NXGP8N" localSheetId="7" hidden="1">'Aged debtors'!#REF!</definedName>
    <definedName name="BExCYPRC5HJE6N2XQTHCT6NXGP8N" localSheetId="10" hidden="1">#REF!</definedName>
    <definedName name="BExCYPRC5HJE6N2XQTHCT6NXGP8N" localSheetId="12" hidden="1">#REF!</definedName>
    <definedName name="BExCYPRC5HJE6N2XQTHCT6NXGP8N" localSheetId="9" hidden="1">'Customer data'!#REF!</definedName>
    <definedName name="BExCYPRC5HJE6N2XQTHCT6NXGP8N" localSheetId="8" hidden="1">'Largest debtors'!#REF!</definedName>
    <definedName name="BExCYPRC5HJE6N2XQTHCT6NXGP8N" localSheetId="11" hidden="1">#REF!</definedName>
    <definedName name="BExCYPRC5HJE6N2XQTHCT6NXGP8N" localSheetId="6" hidden="1">Stock!#REF!</definedName>
    <definedName name="BExCYPRC5HJE6N2XQTHCT6NXGP8N" hidden="1">#REF!</definedName>
    <definedName name="BExCYUK0I3UEXZNFDW71G6Z6D8XR" localSheetId="7" hidden="1">'Aged debtors'!#REF!</definedName>
    <definedName name="BExCYUK0I3UEXZNFDW71G6Z6D8XR" localSheetId="10" hidden="1">#REF!</definedName>
    <definedName name="BExCYUK0I3UEXZNFDW71G6Z6D8XR" localSheetId="12" hidden="1">#REF!</definedName>
    <definedName name="BExCYUK0I3UEXZNFDW71G6Z6D8XR" localSheetId="9" hidden="1">'Customer data'!#REF!</definedName>
    <definedName name="BExCYUK0I3UEXZNFDW71G6Z6D8XR" localSheetId="8" hidden="1">'Largest debtors'!#REF!</definedName>
    <definedName name="BExCYUK0I3UEXZNFDW71G6Z6D8XR" localSheetId="11" hidden="1">#REF!</definedName>
    <definedName name="BExCYUK0I3UEXZNFDW71G6Z6D8XR" localSheetId="6" hidden="1">Stock!#REF!</definedName>
    <definedName name="BExCYUK0I3UEXZNFDW71G6Z6D8XR" hidden="1">#REF!</definedName>
    <definedName name="BExCZFZCXMLY5DWESYJ9NGTJYQ8M" localSheetId="7" hidden="1">'Aged debtors'!#REF!</definedName>
    <definedName name="BExCZFZCXMLY5DWESYJ9NGTJYQ8M" localSheetId="10" hidden="1">#REF!</definedName>
    <definedName name="BExCZFZCXMLY5DWESYJ9NGTJYQ8M" localSheetId="12" hidden="1">#REF!</definedName>
    <definedName name="BExCZFZCXMLY5DWESYJ9NGTJYQ8M" localSheetId="9" hidden="1">'Customer data'!#REF!</definedName>
    <definedName name="BExCZFZCXMLY5DWESYJ9NGTJYQ8M" localSheetId="8" hidden="1">'Largest debtors'!#REF!</definedName>
    <definedName name="BExCZFZCXMLY5DWESYJ9NGTJYQ8M" localSheetId="11" hidden="1">#REF!</definedName>
    <definedName name="BExCZFZCXMLY5DWESYJ9NGTJYQ8M" localSheetId="6" hidden="1">Stock!#REF!</definedName>
    <definedName name="BExCZFZCXMLY5DWESYJ9NGTJYQ8M" hidden="1">#REF!</definedName>
    <definedName name="BExCZUD9FEOJBKDJ51Z3JON9LKJ8" localSheetId="7" hidden="1">'Aged debtors'!#REF!</definedName>
    <definedName name="BExCZUD9FEOJBKDJ51Z3JON9LKJ8" localSheetId="10" hidden="1">#REF!</definedName>
    <definedName name="BExCZUD9FEOJBKDJ51Z3JON9LKJ8" localSheetId="12" hidden="1">#REF!</definedName>
    <definedName name="BExCZUD9FEOJBKDJ51Z3JON9LKJ8" localSheetId="9" hidden="1">'Customer data'!#REF!</definedName>
    <definedName name="BExCZUD9FEOJBKDJ51Z3JON9LKJ8" localSheetId="8" hidden="1">'Largest debtors'!#REF!</definedName>
    <definedName name="BExCZUD9FEOJBKDJ51Z3JON9LKJ8" localSheetId="11" hidden="1">#REF!</definedName>
    <definedName name="BExCZUD9FEOJBKDJ51Z3JON9LKJ8" localSheetId="6" hidden="1">Stock!#REF!</definedName>
    <definedName name="BExCZUD9FEOJBKDJ51Z3JON9LKJ8" hidden="1">#REF!</definedName>
    <definedName name="BExD0LCCDPG16YLY5WQSZF1XI5DA" localSheetId="7" hidden="1">'Aged debtors'!#REF!</definedName>
    <definedName name="BExD0LCCDPG16YLY5WQSZF1XI5DA" localSheetId="10" hidden="1">#REF!</definedName>
    <definedName name="BExD0LCCDPG16YLY5WQSZF1XI5DA" localSheetId="12" hidden="1">#REF!</definedName>
    <definedName name="BExD0LCCDPG16YLY5WQSZF1XI5DA" localSheetId="9" hidden="1">'Customer data'!#REF!</definedName>
    <definedName name="BExD0LCCDPG16YLY5WQSZF1XI5DA" localSheetId="8" hidden="1">'Largest debtors'!#REF!</definedName>
    <definedName name="BExD0LCCDPG16YLY5WQSZF1XI5DA" localSheetId="11" hidden="1">#REF!</definedName>
    <definedName name="BExD0LCCDPG16YLY5WQSZF1XI5DA" localSheetId="6" hidden="1">Stock!#REF!</definedName>
    <definedName name="BExD0LCCDPG16YLY5WQSZF1XI5DA" hidden="1">#REF!</definedName>
    <definedName name="BExD0RMWSB4TRECEHTH6NN4K9DFZ" localSheetId="7" hidden="1">'Aged debtors'!#REF!</definedName>
    <definedName name="BExD0RMWSB4TRECEHTH6NN4K9DFZ" localSheetId="10" hidden="1">#REF!</definedName>
    <definedName name="BExD0RMWSB4TRECEHTH6NN4K9DFZ" localSheetId="12" hidden="1">#REF!</definedName>
    <definedName name="BExD0RMWSB4TRECEHTH6NN4K9DFZ" localSheetId="9" hidden="1">'Customer data'!#REF!</definedName>
    <definedName name="BExD0RMWSB4TRECEHTH6NN4K9DFZ" localSheetId="8" hidden="1">'Largest debtors'!#REF!</definedName>
    <definedName name="BExD0RMWSB4TRECEHTH6NN4K9DFZ" localSheetId="11" hidden="1">#REF!</definedName>
    <definedName name="BExD0RMWSB4TRECEHTH6NN4K9DFZ" localSheetId="6" hidden="1">Stock!#REF!</definedName>
    <definedName name="BExD0RMWSB4TRECEHTH6NN4K9DFZ" hidden="1">#REF!</definedName>
    <definedName name="BExD0U6KG10QGVDI1XSHK0J10A2V" localSheetId="7" hidden="1">'Aged debtors'!#REF!</definedName>
    <definedName name="BExD0U6KG10QGVDI1XSHK0J10A2V" localSheetId="10" hidden="1">#REF!</definedName>
    <definedName name="BExD0U6KG10QGVDI1XSHK0J10A2V" localSheetId="12" hidden="1">#REF!</definedName>
    <definedName name="BExD0U6KG10QGVDI1XSHK0J10A2V" localSheetId="9" hidden="1">'Customer data'!#REF!</definedName>
    <definedName name="BExD0U6KG10QGVDI1XSHK0J10A2V" localSheetId="8" hidden="1">'Largest debtors'!#REF!</definedName>
    <definedName name="BExD0U6KG10QGVDI1XSHK0J10A2V" localSheetId="11" hidden="1">#REF!</definedName>
    <definedName name="BExD0U6KG10QGVDI1XSHK0J10A2V" localSheetId="6" hidden="1">Stock!#REF!</definedName>
    <definedName name="BExD0U6KG10QGVDI1XSHK0J10A2V" hidden="1">#REF!</definedName>
    <definedName name="BExD13RUIBGRXDL4QDZ305UKUR12" localSheetId="7" hidden="1">'Aged debtors'!#REF!</definedName>
    <definedName name="BExD13RUIBGRXDL4QDZ305UKUR12" localSheetId="10" hidden="1">#REF!</definedName>
    <definedName name="BExD13RUIBGRXDL4QDZ305UKUR12" localSheetId="12" hidden="1">#REF!</definedName>
    <definedName name="BExD13RUIBGRXDL4QDZ305UKUR12" localSheetId="9" hidden="1">'Customer data'!#REF!</definedName>
    <definedName name="BExD13RUIBGRXDL4QDZ305UKUR12" localSheetId="8" hidden="1">'Largest debtors'!#REF!</definedName>
    <definedName name="BExD13RUIBGRXDL4QDZ305UKUR12" localSheetId="11" hidden="1">#REF!</definedName>
    <definedName name="BExD13RUIBGRXDL4QDZ305UKUR12" localSheetId="6" hidden="1">Stock!#REF!</definedName>
    <definedName name="BExD13RUIBGRXDL4QDZ305UKUR12" hidden="1">#REF!</definedName>
    <definedName name="BExD14DETV5R4OOTMAXD5NAKWRO3" localSheetId="7" hidden="1">'Aged debtors'!#REF!</definedName>
    <definedName name="BExD14DETV5R4OOTMAXD5NAKWRO3" localSheetId="10" hidden="1">#REF!</definedName>
    <definedName name="BExD14DETV5R4OOTMAXD5NAKWRO3" localSheetId="12" hidden="1">#REF!</definedName>
    <definedName name="BExD14DETV5R4OOTMAXD5NAKWRO3" localSheetId="9" hidden="1">'Customer data'!#REF!</definedName>
    <definedName name="BExD14DETV5R4OOTMAXD5NAKWRO3" localSheetId="8" hidden="1">'Largest debtors'!#REF!</definedName>
    <definedName name="BExD14DETV5R4OOTMAXD5NAKWRO3" localSheetId="11" hidden="1">#REF!</definedName>
    <definedName name="BExD14DETV5R4OOTMAXD5NAKWRO3" localSheetId="6" hidden="1">Stock!#REF!</definedName>
    <definedName name="BExD14DETV5R4OOTMAXD5NAKWRO3" hidden="1">#REF!</definedName>
    <definedName name="BExD1OAU9OXQAZA4D70HP72CU6GB" localSheetId="7" hidden="1">'Aged debtors'!#REF!</definedName>
    <definedName name="BExD1OAU9OXQAZA4D70HP72CU6GB" localSheetId="10" hidden="1">#REF!</definedName>
    <definedName name="BExD1OAU9OXQAZA4D70HP72CU6GB" localSheetId="12" hidden="1">#REF!</definedName>
    <definedName name="BExD1OAU9OXQAZA4D70HP72CU6GB" localSheetId="9" hidden="1">'Customer data'!#REF!</definedName>
    <definedName name="BExD1OAU9OXQAZA4D70HP72CU6GB" localSheetId="8" hidden="1">'Largest debtors'!#REF!</definedName>
    <definedName name="BExD1OAU9OXQAZA4D70HP72CU6GB" localSheetId="11" hidden="1">#REF!</definedName>
    <definedName name="BExD1OAU9OXQAZA4D70HP72CU6GB" localSheetId="6" hidden="1">Stock!#REF!</definedName>
    <definedName name="BExD1OAU9OXQAZA4D70HP72CU6GB" hidden="1">#REF!</definedName>
    <definedName name="BExD1Y1JV61416YA1XRQHKWPZIE7" localSheetId="7" hidden="1">'Aged debtors'!#REF!</definedName>
    <definedName name="BExD1Y1JV61416YA1XRQHKWPZIE7" localSheetId="10" hidden="1">#REF!</definedName>
    <definedName name="BExD1Y1JV61416YA1XRQHKWPZIE7" localSheetId="12" hidden="1">#REF!</definedName>
    <definedName name="BExD1Y1JV61416YA1XRQHKWPZIE7" localSheetId="9" hidden="1">'Customer data'!#REF!</definedName>
    <definedName name="BExD1Y1JV61416YA1XRQHKWPZIE7" localSheetId="8" hidden="1">'Largest debtors'!#REF!</definedName>
    <definedName name="BExD1Y1JV61416YA1XRQHKWPZIE7" localSheetId="11" hidden="1">#REF!</definedName>
    <definedName name="BExD1Y1JV61416YA1XRQHKWPZIE7" localSheetId="6" hidden="1">Stock!#REF!</definedName>
    <definedName name="BExD1Y1JV61416YA1XRQHKWPZIE7" hidden="1">#REF!</definedName>
    <definedName name="BExD2CFHIRMBKN5KXE5QP4XXEWFS" localSheetId="7" hidden="1">'Aged debtors'!#REF!</definedName>
    <definedName name="BExD2CFHIRMBKN5KXE5QP4XXEWFS" localSheetId="10" hidden="1">#REF!</definedName>
    <definedName name="BExD2CFHIRMBKN5KXE5QP4XXEWFS" localSheetId="12" hidden="1">#REF!</definedName>
    <definedName name="BExD2CFHIRMBKN5KXE5QP4XXEWFS" localSheetId="9" hidden="1">'Customer data'!#REF!</definedName>
    <definedName name="BExD2CFHIRMBKN5KXE5QP4XXEWFS" localSheetId="8" hidden="1">'Largest debtors'!#REF!</definedName>
    <definedName name="BExD2CFHIRMBKN5KXE5QP4XXEWFS" localSheetId="11" hidden="1">#REF!</definedName>
    <definedName name="BExD2CFHIRMBKN5KXE5QP4XXEWFS" localSheetId="6" hidden="1">Stock!#REF!</definedName>
    <definedName name="BExD2CFHIRMBKN5KXE5QP4XXEWFS" hidden="1">#REF!</definedName>
    <definedName name="BExD2HTPC7IWBAU6OSQ67MQA8BYZ" localSheetId="7" hidden="1">'Aged debtors'!#REF!</definedName>
    <definedName name="BExD2HTPC7IWBAU6OSQ67MQA8BYZ" localSheetId="10" hidden="1">#REF!</definedName>
    <definedName name="BExD2HTPC7IWBAU6OSQ67MQA8BYZ" localSheetId="12" hidden="1">#REF!</definedName>
    <definedName name="BExD2HTPC7IWBAU6OSQ67MQA8BYZ" localSheetId="9" hidden="1">'Customer data'!#REF!</definedName>
    <definedName name="BExD2HTPC7IWBAU6OSQ67MQA8BYZ" localSheetId="8" hidden="1">'Largest debtors'!#REF!</definedName>
    <definedName name="BExD2HTPC7IWBAU6OSQ67MQA8BYZ" localSheetId="11" hidden="1">#REF!</definedName>
    <definedName name="BExD2HTPC7IWBAU6OSQ67MQA8BYZ" localSheetId="6" hidden="1">Stock!#REF!</definedName>
    <definedName name="BExD2HTPC7IWBAU6OSQ67MQA8BYZ" hidden="1">#REF!</definedName>
    <definedName name="BExD363H2VGFIQUCE6LS4AC5J0ZT" localSheetId="7" hidden="1">'Aged debtors'!#REF!</definedName>
    <definedName name="BExD363H2VGFIQUCE6LS4AC5J0ZT" localSheetId="10" hidden="1">#REF!</definedName>
    <definedName name="BExD363H2VGFIQUCE6LS4AC5J0ZT" localSheetId="12" hidden="1">#REF!</definedName>
    <definedName name="BExD363H2VGFIQUCE6LS4AC5J0ZT" localSheetId="9" hidden="1">'Customer data'!#REF!</definedName>
    <definedName name="BExD363H2VGFIQUCE6LS4AC5J0ZT" localSheetId="8" hidden="1">'Largest debtors'!#REF!</definedName>
    <definedName name="BExD363H2VGFIQUCE6LS4AC5J0ZT" localSheetId="11" hidden="1">#REF!</definedName>
    <definedName name="BExD363H2VGFIQUCE6LS4AC5J0ZT" localSheetId="6" hidden="1">Stock!#REF!</definedName>
    <definedName name="BExD363H2VGFIQUCE6LS4AC5J0ZT" hidden="1">#REF!</definedName>
    <definedName name="BExD3A588E939V61P1XEW0FI5Q0S" localSheetId="7" hidden="1">'Aged debtors'!#REF!</definedName>
    <definedName name="BExD3A588E939V61P1XEW0FI5Q0S" localSheetId="10" hidden="1">#REF!</definedName>
    <definedName name="BExD3A588E939V61P1XEW0FI5Q0S" localSheetId="12" hidden="1">#REF!</definedName>
    <definedName name="BExD3A588E939V61P1XEW0FI5Q0S" localSheetId="9" hidden="1">'Customer data'!#REF!</definedName>
    <definedName name="BExD3A588E939V61P1XEW0FI5Q0S" localSheetId="8" hidden="1">'Largest debtors'!#REF!</definedName>
    <definedName name="BExD3A588E939V61P1XEW0FI5Q0S" localSheetId="11" hidden="1">#REF!</definedName>
    <definedName name="BExD3A588E939V61P1XEW0FI5Q0S" localSheetId="6" hidden="1">Stock!#REF!</definedName>
    <definedName name="BExD3A588E939V61P1XEW0FI5Q0S" hidden="1">#REF!</definedName>
    <definedName name="BExD3CJJDKVR9M18XI3WDZH80WL6" localSheetId="7" hidden="1">'Aged debtors'!#REF!</definedName>
    <definedName name="BExD3CJJDKVR9M18XI3WDZH80WL6" localSheetId="10" hidden="1">#REF!</definedName>
    <definedName name="BExD3CJJDKVR9M18XI3WDZH80WL6" localSheetId="12" hidden="1">#REF!</definedName>
    <definedName name="BExD3CJJDKVR9M18XI3WDZH80WL6" localSheetId="9" hidden="1">'Customer data'!#REF!</definedName>
    <definedName name="BExD3CJJDKVR9M18XI3WDZH80WL6" localSheetId="8" hidden="1">'Largest debtors'!#REF!</definedName>
    <definedName name="BExD3CJJDKVR9M18XI3WDZH80WL6" localSheetId="11" hidden="1">#REF!</definedName>
    <definedName name="BExD3CJJDKVR9M18XI3WDZH80WL6" localSheetId="6" hidden="1">Stock!#REF!</definedName>
    <definedName name="BExD3CJJDKVR9M18XI3WDZH80WL6" hidden="1">#REF!</definedName>
    <definedName name="BExD3IJ5IT335SOSNV9L85WKAOSI" localSheetId="7" hidden="1">'Aged debtors'!#REF!</definedName>
    <definedName name="BExD3IJ5IT335SOSNV9L85WKAOSI" localSheetId="10" hidden="1">#REF!</definedName>
    <definedName name="BExD3IJ5IT335SOSNV9L85WKAOSI" localSheetId="12" hidden="1">#REF!</definedName>
    <definedName name="BExD3IJ5IT335SOSNV9L85WKAOSI" localSheetId="9" hidden="1">'Customer data'!#REF!</definedName>
    <definedName name="BExD3IJ5IT335SOSNV9L85WKAOSI" localSheetId="8" hidden="1">'Largest debtors'!#REF!</definedName>
    <definedName name="BExD3IJ5IT335SOSNV9L85WKAOSI" localSheetId="11" hidden="1">#REF!</definedName>
    <definedName name="BExD3IJ5IT335SOSNV9L85WKAOSI" localSheetId="6" hidden="1">Stock!#REF!</definedName>
    <definedName name="BExD3IJ5IT335SOSNV9L85WKAOSI" hidden="1">#REF!</definedName>
    <definedName name="BExD3NMR7AW2Z6V8SC79VQR37NA6" localSheetId="7" hidden="1">'Aged debtors'!#REF!</definedName>
    <definedName name="BExD3NMR7AW2Z6V8SC79VQR37NA6" localSheetId="10" hidden="1">#REF!</definedName>
    <definedName name="BExD3NMR7AW2Z6V8SC79VQR37NA6" localSheetId="12" hidden="1">#REF!</definedName>
    <definedName name="BExD3NMR7AW2Z6V8SC79VQR37NA6" localSheetId="9" hidden="1">'Customer data'!#REF!</definedName>
    <definedName name="BExD3NMR7AW2Z6V8SC79VQR37NA6" localSheetId="8" hidden="1">'Largest debtors'!#REF!</definedName>
    <definedName name="BExD3NMR7AW2Z6V8SC79VQR37NA6" localSheetId="11" hidden="1">#REF!</definedName>
    <definedName name="BExD3NMR7AW2Z6V8SC79VQR37NA6" localSheetId="6" hidden="1">Stock!#REF!</definedName>
    <definedName name="BExD3NMR7AW2Z6V8SC79VQR37NA6" hidden="1">#REF!</definedName>
    <definedName name="BExD3QXA2UQ2W4N7NYLUEOG40BZB" localSheetId="7" hidden="1">'Aged debtors'!#REF!</definedName>
    <definedName name="BExD3QXA2UQ2W4N7NYLUEOG40BZB" localSheetId="10" hidden="1">#REF!</definedName>
    <definedName name="BExD3QXA2UQ2W4N7NYLUEOG40BZB" localSheetId="12" hidden="1">#REF!</definedName>
    <definedName name="BExD3QXA2UQ2W4N7NYLUEOG40BZB" localSheetId="9" hidden="1">'Customer data'!#REF!</definedName>
    <definedName name="BExD3QXA2UQ2W4N7NYLUEOG40BZB" localSheetId="8" hidden="1">'Largest debtors'!#REF!</definedName>
    <definedName name="BExD3QXA2UQ2W4N7NYLUEOG40BZB" localSheetId="11" hidden="1">#REF!</definedName>
    <definedName name="BExD3QXA2UQ2W4N7NYLUEOG40BZB" localSheetId="6" hidden="1">Stock!#REF!</definedName>
    <definedName name="BExD3QXA2UQ2W4N7NYLUEOG40BZB" hidden="1">#REF!</definedName>
    <definedName name="BExD3U2N041TEJ7GCN005UTPHNXY" localSheetId="7" hidden="1">'Aged debtors'!#REF!</definedName>
    <definedName name="BExD3U2N041TEJ7GCN005UTPHNXY" localSheetId="10" hidden="1">#REF!</definedName>
    <definedName name="BExD3U2N041TEJ7GCN005UTPHNXY" localSheetId="12" hidden="1">#REF!</definedName>
    <definedName name="BExD3U2N041TEJ7GCN005UTPHNXY" localSheetId="9" hidden="1">'Customer data'!#REF!</definedName>
    <definedName name="BExD3U2N041TEJ7GCN005UTPHNXY" localSheetId="8" hidden="1">'Largest debtors'!#REF!</definedName>
    <definedName name="BExD3U2N041TEJ7GCN005UTPHNXY" localSheetId="11" hidden="1">#REF!</definedName>
    <definedName name="BExD3U2N041TEJ7GCN005UTPHNXY" localSheetId="6" hidden="1">Stock!#REF!</definedName>
    <definedName name="BExD3U2N041TEJ7GCN005UTPHNXY" hidden="1">#REF!</definedName>
    <definedName name="BExD40O0CFTNJFOFMMM1KH0P7BUI" localSheetId="7" hidden="1">'Aged debtors'!#REF!</definedName>
    <definedName name="BExD40O0CFTNJFOFMMM1KH0P7BUI" localSheetId="10" hidden="1">#REF!</definedName>
    <definedName name="BExD40O0CFTNJFOFMMM1KH0P7BUI" localSheetId="12" hidden="1">#REF!</definedName>
    <definedName name="BExD40O0CFTNJFOFMMM1KH0P7BUI" localSheetId="9" hidden="1">'Customer data'!#REF!</definedName>
    <definedName name="BExD40O0CFTNJFOFMMM1KH0P7BUI" localSheetId="8" hidden="1">'Largest debtors'!#REF!</definedName>
    <definedName name="BExD40O0CFTNJFOFMMM1KH0P7BUI" localSheetId="11" hidden="1">#REF!</definedName>
    <definedName name="BExD40O0CFTNJFOFMMM1KH0P7BUI" localSheetId="6" hidden="1">Stock!#REF!</definedName>
    <definedName name="BExD40O0CFTNJFOFMMM1KH0P7BUI" hidden="1">#REF!</definedName>
    <definedName name="BExD4BR9HJ3MWWZ5KLVZWX9FJAUS" localSheetId="7" hidden="1">'Aged debtors'!#REF!</definedName>
    <definedName name="BExD4BR9HJ3MWWZ5KLVZWX9FJAUS" localSheetId="10" hidden="1">#REF!</definedName>
    <definedName name="BExD4BR9HJ3MWWZ5KLVZWX9FJAUS" localSheetId="12" hidden="1">#REF!</definedName>
    <definedName name="BExD4BR9HJ3MWWZ5KLVZWX9FJAUS" localSheetId="9" hidden="1">'Customer data'!#REF!</definedName>
    <definedName name="BExD4BR9HJ3MWWZ5KLVZWX9FJAUS" localSheetId="8" hidden="1">'Largest debtors'!#REF!</definedName>
    <definedName name="BExD4BR9HJ3MWWZ5KLVZWX9FJAUS" localSheetId="11" hidden="1">#REF!</definedName>
    <definedName name="BExD4BR9HJ3MWWZ5KLVZWX9FJAUS" localSheetId="6" hidden="1">Stock!#REF!</definedName>
    <definedName name="BExD4BR9HJ3MWWZ5KLVZWX9FJAUS" hidden="1">#REF!</definedName>
    <definedName name="BExD4F1WTKT3H0N9MF4H1LX7MBSY" localSheetId="7" hidden="1">'Aged debtors'!#REF!</definedName>
    <definedName name="BExD4F1WTKT3H0N9MF4H1LX7MBSY" localSheetId="10" hidden="1">#REF!</definedName>
    <definedName name="BExD4F1WTKT3H0N9MF4H1LX7MBSY" localSheetId="12" hidden="1">#REF!</definedName>
    <definedName name="BExD4F1WTKT3H0N9MF4H1LX7MBSY" localSheetId="9" hidden="1">'Customer data'!#REF!</definedName>
    <definedName name="BExD4F1WTKT3H0N9MF4H1LX7MBSY" localSheetId="8" hidden="1">'Largest debtors'!#REF!</definedName>
    <definedName name="BExD4F1WTKT3H0N9MF4H1LX7MBSY" localSheetId="11" hidden="1">#REF!</definedName>
    <definedName name="BExD4F1WTKT3H0N9MF4H1LX7MBSY" localSheetId="6" hidden="1">Stock!#REF!</definedName>
    <definedName name="BExD4F1WTKT3H0N9MF4H1LX7MBSY" hidden="1">#REF!</definedName>
    <definedName name="BExD4JJSS3QDBLABCJCHD45SRNPI" localSheetId="7" hidden="1">'Aged debtors'!#REF!</definedName>
    <definedName name="BExD4JJSS3QDBLABCJCHD45SRNPI" localSheetId="10" hidden="1">#REF!</definedName>
    <definedName name="BExD4JJSS3QDBLABCJCHD45SRNPI" localSheetId="12" hidden="1">#REF!</definedName>
    <definedName name="BExD4JJSS3QDBLABCJCHD45SRNPI" localSheetId="9" hidden="1">'Customer data'!#REF!</definedName>
    <definedName name="BExD4JJSS3QDBLABCJCHD45SRNPI" localSheetId="8" hidden="1">'Largest debtors'!#REF!</definedName>
    <definedName name="BExD4JJSS3QDBLABCJCHD45SRNPI" localSheetId="11" hidden="1">#REF!</definedName>
    <definedName name="BExD4JJSS3QDBLABCJCHD45SRNPI" localSheetId="6" hidden="1">Stock!#REF!</definedName>
    <definedName name="BExD4JJSS3QDBLABCJCHD45SRNPI" hidden="1">#REF!</definedName>
    <definedName name="BExD4R1I0MKF033I5LPUYIMTZ6E8" localSheetId="7" hidden="1">'Aged debtors'!#REF!</definedName>
    <definedName name="BExD4R1I0MKF033I5LPUYIMTZ6E8" localSheetId="10" hidden="1">#REF!</definedName>
    <definedName name="BExD4R1I0MKF033I5LPUYIMTZ6E8" localSheetId="12" hidden="1">#REF!</definedName>
    <definedName name="BExD4R1I0MKF033I5LPUYIMTZ6E8" localSheetId="9" hidden="1">'Customer data'!#REF!</definedName>
    <definedName name="BExD4R1I0MKF033I5LPUYIMTZ6E8" localSheetId="8" hidden="1">'Largest debtors'!#REF!</definedName>
    <definedName name="BExD4R1I0MKF033I5LPUYIMTZ6E8" localSheetId="11" hidden="1">#REF!</definedName>
    <definedName name="BExD4R1I0MKF033I5LPUYIMTZ6E8" localSheetId="6" hidden="1">Stock!#REF!</definedName>
    <definedName name="BExD4R1I0MKF033I5LPUYIMTZ6E8" hidden="1">#REF!</definedName>
    <definedName name="BExD50MT3M6XZLNUP9JL93EG6D9R" localSheetId="7" hidden="1">'Aged debtors'!#REF!</definedName>
    <definedName name="BExD50MT3M6XZLNUP9JL93EG6D9R" localSheetId="10" hidden="1">#REF!</definedName>
    <definedName name="BExD50MT3M6XZLNUP9JL93EG6D9R" localSheetId="12" hidden="1">#REF!</definedName>
    <definedName name="BExD50MT3M6XZLNUP9JL93EG6D9R" localSheetId="9" hidden="1">'Customer data'!#REF!</definedName>
    <definedName name="BExD50MT3M6XZLNUP9JL93EG6D9R" localSheetId="8" hidden="1">'Largest debtors'!#REF!</definedName>
    <definedName name="BExD50MT3M6XZLNUP9JL93EG6D9R" localSheetId="11" hidden="1">#REF!</definedName>
    <definedName name="BExD50MT3M6XZLNUP9JL93EG6D9R" localSheetId="6" hidden="1">Stock!#REF!</definedName>
    <definedName name="BExD50MT3M6XZLNUP9JL93EG6D9R" hidden="1">#REF!</definedName>
    <definedName name="BExD5EV7KDSVF1CJT38M4IBPFLPY" localSheetId="7" hidden="1">'Aged debtors'!#REF!</definedName>
    <definedName name="BExD5EV7KDSVF1CJT38M4IBPFLPY" localSheetId="10" hidden="1">#REF!</definedName>
    <definedName name="BExD5EV7KDSVF1CJT38M4IBPFLPY" localSheetId="12" hidden="1">#REF!</definedName>
    <definedName name="BExD5EV7KDSVF1CJT38M4IBPFLPY" localSheetId="9" hidden="1">'Customer data'!#REF!</definedName>
    <definedName name="BExD5EV7KDSVF1CJT38M4IBPFLPY" localSheetId="8" hidden="1">'Largest debtors'!#REF!</definedName>
    <definedName name="BExD5EV7KDSVF1CJT38M4IBPFLPY" localSheetId="11" hidden="1">#REF!</definedName>
    <definedName name="BExD5EV7KDSVF1CJT38M4IBPFLPY" localSheetId="6" hidden="1">Stock!#REF!</definedName>
    <definedName name="BExD5EV7KDSVF1CJT38M4IBPFLPY" hidden="1">#REF!</definedName>
    <definedName name="BExD5I5X2YA2YNCTCDSMEL4CWF4N" localSheetId="7" hidden="1">'Aged debtors'!#REF!</definedName>
    <definedName name="BExD5I5X2YA2YNCTCDSMEL4CWF4N" localSheetId="10" hidden="1">#REF!</definedName>
    <definedName name="BExD5I5X2YA2YNCTCDSMEL4CWF4N" localSheetId="12" hidden="1">#REF!</definedName>
    <definedName name="BExD5I5X2YA2YNCTCDSMEL4CWF4N" localSheetId="9" hidden="1">'Customer data'!#REF!</definedName>
    <definedName name="BExD5I5X2YA2YNCTCDSMEL4CWF4N" localSheetId="8" hidden="1">'Largest debtors'!#REF!</definedName>
    <definedName name="BExD5I5X2YA2YNCTCDSMEL4CWF4N" localSheetId="11" hidden="1">#REF!</definedName>
    <definedName name="BExD5I5X2YA2YNCTCDSMEL4CWF4N" localSheetId="6" hidden="1">Stock!#REF!</definedName>
    <definedName name="BExD5I5X2YA2YNCTCDSMEL4CWF4N" hidden="1">#REF!</definedName>
    <definedName name="BExD5QUSRFJWRQ1ZM50WYLCF74DF" localSheetId="7" hidden="1">'Aged debtors'!#REF!</definedName>
    <definedName name="BExD5QUSRFJWRQ1ZM50WYLCF74DF" localSheetId="10" hidden="1">#REF!</definedName>
    <definedName name="BExD5QUSRFJWRQ1ZM50WYLCF74DF" localSheetId="12" hidden="1">#REF!</definedName>
    <definedName name="BExD5QUSRFJWRQ1ZM50WYLCF74DF" localSheetId="9" hidden="1">'Customer data'!#REF!</definedName>
    <definedName name="BExD5QUSRFJWRQ1ZM50WYLCF74DF" localSheetId="8" hidden="1">'Largest debtors'!#REF!</definedName>
    <definedName name="BExD5QUSRFJWRQ1ZM50WYLCF74DF" localSheetId="11" hidden="1">#REF!</definedName>
    <definedName name="BExD5QUSRFJWRQ1ZM50WYLCF74DF" localSheetId="6" hidden="1">Stock!#REF!</definedName>
    <definedName name="BExD5QUSRFJWRQ1ZM50WYLCF74DF" hidden="1">#REF!</definedName>
    <definedName name="BExD5SSUIF6AJQHBHK8PNMFBPRYB" localSheetId="7" hidden="1">'Aged debtors'!#REF!</definedName>
    <definedName name="BExD5SSUIF6AJQHBHK8PNMFBPRYB" localSheetId="10" hidden="1">#REF!</definedName>
    <definedName name="BExD5SSUIF6AJQHBHK8PNMFBPRYB" localSheetId="12" hidden="1">#REF!</definedName>
    <definedName name="BExD5SSUIF6AJQHBHK8PNMFBPRYB" localSheetId="9" hidden="1">'Customer data'!#REF!</definedName>
    <definedName name="BExD5SSUIF6AJQHBHK8PNMFBPRYB" localSheetId="8" hidden="1">'Largest debtors'!#REF!</definedName>
    <definedName name="BExD5SSUIF6AJQHBHK8PNMFBPRYB" localSheetId="11" hidden="1">#REF!</definedName>
    <definedName name="BExD5SSUIF6AJQHBHK8PNMFBPRYB" localSheetId="6" hidden="1">Stock!#REF!</definedName>
    <definedName name="BExD5SSUIF6AJQHBHK8PNMFBPRYB" hidden="1">#REF!</definedName>
    <definedName name="BExD623C9LRX18BE0W2V6SZLQUXX" localSheetId="7" hidden="1">'Aged debtors'!#REF!</definedName>
    <definedName name="BExD623C9LRX18BE0W2V6SZLQUXX" localSheetId="10" hidden="1">#REF!</definedName>
    <definedName name="BExD623C9LRX18BE0W2V6SZLQUXX" localSheetId="12" hidden="1">#REF!</definedName>
    <definedName name="BExD623C9LRX18BE0W2V6SZLQUXX" localSheetId="9" hidden="1">'Customer data'!#REF!</definedName>
    <definedName name="BExD623C9LRX18BE0W2V6SZLQUXX" localSheetId="8" hidden="1">'Largest debtors'!#REF!</definedName>
    <definedName name="BExD623C9LRX18BE0W2V6SZLQUXX" localSheetId="11" hidden="1">#REF!</definedName>
    <definedName name="BExD623C9LRX18BE0W2V6SZLQUXX" localSheetId="6" hidden="1">Stock!#REF!</definedName>
    <definedName name="BExD623C9LRX18BE0W2V6SZLQUXX" hidden="1">#REF!</definedName>
    <definedName name="BExD6FKVK8WJWNYPVENR7Q8Q30PK" localSheetId="7" hidden="1">'Aged debtors'!#REF!</definedName>
    <definedName name="BExD6FKVK8WJWNYPVENR7Q8Q30PK" localSheetId="10" hidden="1">#REF!</definedName>
    <definedName name="BExD6FKVK8WJWNYPVENR7Q8Q30PK" localSheetId="12" hidden="1">#REF!</definedName>
    <definedName name="BExD6FKVK8WJWNYPVENR7Q8Q30PK" localSheetId="9" hidden="1">'Customer data'!#REF!</definedName>
    <definedName name="BExD6FKVK8WJWNYPVENR7Q8Q30PK" localSheetId="8" hidden="1">'Largest debtors'!#REF!</definedName>
    <definedName name="BExD6FKVK8WJWNYPVENR7Q8Q30PK" localSheetId="11" hidden="1">#REF!</definedName>
    <definedName name="BExD6FKVK8WJWNYPVENR7Q8Q30PK" localSheetId="6" hidden="1">Stock!#REF!</definedName>
    <definedName name="BExD6FKVK8WJWNYPVENR7Q8Q30PK" hidden="1">#REF!</definedName>
    <definedName name="BExD7IUBGUWHYC9UNZ1IY5XFYKQN" localSheetId="7" hidden="1">'Aged debtors'!#REF!</definedName>
    <definedName name="BExD7IUBGUWHYC9UNZ1IY5XFYKQN" localSheetId="10" hidden="1">#REF!</definedName>
    <definedName name="BExD7IUBGUWHYC9UNZ1IY5XFYKQN" localSheetId="12" hidden="1">#REF!</definedName>
    <definedName name="BExD7IUBGUWHYC9UNZ1IY5XFYKQN" localSheetId="9" hidden="1">'Customer data'!#REF!</definedName>
    <definedName name="BExD7IUBGUWHYC9UNZ1IY5XFYKQN" localSheetId="8" hidden="1">'Largest debtors'!#REF!</definedName>
    <definedName name="BExD7IUBGUWHYC9UNZ1IY5XFYKQN" localSheetId="11" hidden="1">#REF!</definedName>
    <definedName name="BExD7IUBGUWHYC9UNZ1IY5XFYKQN" localSheetId="6" hidden="1">Stock!#REF!</definedName>
    <definedName name="BExD7IUBGUWHYC9UNZ1IY5XFYKQN" hidden="1">#REF!</definedName>
    <definedName name="BExD7JQOJ35HGL8U2OCEI2P2JT7I" localSheetId="7" hidden="1">'Aged debtors'!#REF!</definedName>
    <definedName name="BExD7JQOJ35HGL8U2OCEI2P2JT7I" localSheetId="10" hidden="1">#REF!</definedName>
    <definedName name="BExD7JQOJ35HGL8U2OCEI2P2JT7I" localSheetId="12" hidden="1">#REF!</definedName>
    <definedName name="BExD7JQOJ35HGL8U2OCEI2P2JT7I" localSheetId="9" hidden="1">'Customer data'!#REF!</definedName>
    <definedName name="BExD7JQOJ35HGL8U2OCEI2P2JT7I" localSheetId="8" hidden="1">'Largest debtors'!#REF!</definedName>
    <definedName name="BExD7JQOJ35HGL8U2OCEI2P2JT7I" localSheetId="11" hidden="1">#REF!</definedName>
    <definedName name="BExD7JQOJ35HGL8U2OCEI2P2JT7I" localSheetId="6" hidden="1">Stock!#REF!</definedName>
    <definedName name="BExD7JQOJ35HGL8U2OCEI2P2JT7I" hidden="1">#REF!</definedName>
    <definedName name="BExD99RZ1RFIMK6O1ZHSPJ68X9Y5" localSheetId="7" hidden="1">'Aged debtors'!#REF!</definedName>
    <definedName name="BExD99RZ1RFIMK6O1ZHSPJ68X9Y5" localSheetId="10" hidden="1">#REF!</definedName>
    <definedName name="BExD99RZ1RFIMK6O1ZHSPJ68X9Y5" localSheetId="12" hidden="1">#REF!</definedName>
    <definedName name="BExD99RZ1RFIMK6O1ZHSPJ68X9Y5" localSheetId="9" hidden="1">'Customer data'!#REF!</definedName>
    <definedName name="BExD99RZ1RFIMK6O1ZHSPJ68X9Y5" localSheetId="8" hidden="1">'Largest debtors'!#REF!</definedName>
    <definedName name="BExD99RZ1RFIMK6O1ZHSPJ68X9Y5" localSheetId="11" hidden="1">#REF!</definedName>
    <definedName name="BExD99RZ1RFIMK6O1ZHSPJ68X9Y5" localSheetId="6" hidden="1">Stock!#REF!</definedName>
    <definedName name="BExD99RZ1RFIMK6O1ZHSPJ68X9Y5" hidden="1">#REF!</definedName>
    <definedName name="BExD9L0ID3VSOU609GKWYTA5BFMA" localSheetId="7" hidden="1">'Aged debtors'!#REF!</definedName>
    <definedName name="BExD9L0ID3VSOU609GKWYTA5BFMA" localSheetId="10" hidden="1">#REF!</definedName>
    <definedName name="BExD9L0ID3VSOU609GKWYTA5BFMA" localSheetId="12" hidden="1">#REF!</definedName>
    <definedName name="BExD9L0ID3VSOU609GKWYTA5BFMA" localSheetId="9" hidden="1">'Customer data'!#REF!</definedName>
    <definedName name="BExD9L0ID3VSOU609GKWYTA5BFMA" localSheetId="8" hidden="1">'Largest debtors'!#REF!</definedName>
    <definedName name="BExD9L0ID3VSOU609GKWYTA5BFMA" localSheetId="11" hidden="1">#REF!</definedName>
    <definedName name="BExD9L0ID3VSOU609GKWYTA5BFMA" localSheetId="6" hidden="1">Stock!#REF!</definedName>
    <definedName name="BExD9L0ID3VSOU609GKWYTA5BFMA" hidden="1">#REF!</definedName>
    <definedName name="BExD9M7SEMG0JK2FUTTZXWIEBTKB" localSheetId="7" hidden="1">'Aged debtors'!#REF!</definedName>
    <definedName name="BExD9M7SEMG0JK2FUTTZXWIEBTKB" localSheetId="10" hidden="1">#REF!</definedName>
    <definedName name="BExD9M7SEMG0JK2FUTTZXWIEBTKB" localSheetId="12" hidden="1">#REF!</definedName>
    <definedName name="BExD9M7SEMG0JK2FUTTZXWIEBTKB" localSheetId="9" hidden="1">'Customer data'!#REF!</definedName>
    <definedName name="BExD9M7SEMG0JK2FUTTZXWIEBTKB" localSheetId="8" hidden="1">'Largest debtors'!#REF!</definedName>
    <definedName name="BExD9M7SEMG0JK2FUTTZXWIEBTKB" localSheetId="11" hidden="1">#REF!</definedName>
    <definedName name="BExD9M7SEMG0JK2FUTTZXWIEBTKB" localSheetId="6" hidden="1">Stock!#REF!</definedName>
    <definedName name="BExD9M7SEMG0JK2FUTTZXWIEBTKB" hidden="1">#REF!</definedName>
    <definedName name="BExD9PNSYT7GASEGUVL48MUQ02WO" localSheetId="7" hidden="1">'Aged debtors'!#REF!</definedName>
    <definedName name="BExD9PNSYT7GASEGUVL48MUQ02WO" localSheetId="10" hidden="1">#REF!</definedName>
    <definedName name="BExD9PNSYT7GASEGUVL48MUQ02WO" localSheetId="12" hidden="1">#REF!</definedName>
    <definedName name="BExD9PNSYT7GASEGUVL48MUQ02WO" localSheetId="9" hidden="1">'Customer data'!#REF!</definedName>
    <definedName name="BExD9PNSYT7GASEGUVL48MUQ02WO" localSheetId="8" hidden="1">'Largest debtors'!#REF!</definedName>
    <definedName name="BExD9PNSYT7GASEGUVL48MUQ02WO" localSheetId="11" hidden="1">#REF!</definedName>
    <definedName name="BExD9PNSYT7GASEGUVL48MUQ02WO" localSheetId="6" hidden="1">Stock!#REF!</definedName>
    <definedName name="BExD9PNSYT7GASEGUVL48MUQ02WO" hidden="1">#REF!</definedName>
    <definedName name="BExD9TK2MIWFH5SKUYU9ZKF4NPHQ" localSheetId="7" hidden="1">'Aged debtors'!#REF!</definedName>
    <definedName name="BExD9TK2MIWFH5SKUYU9ZKF4NPHQ" localSheetId="10" hidden="1">#REF!</definedName>
    <definedName name="BExD9TK2MIWFH5SKUYU9ZKF4NPHQ" localSheetId="12" hidden="1">#REF!</definedName>
    <definedName name="BExD9TK2MIWFH5SKUYU9ZKF4NPHQ" localSheetId="9" hidden="1">'Customer data'!#REF!</definedName>
    <definedName name="BExD9TK2MIWFH5SKUYU9ZKF4NPHQ" localSheetId="8" hidden="1">'Largest debtors'!#REF!</definedName>
    <definedName name="BExD9TK2MIWFH5SKUYU9ZKF4NPHQ" localSheetId="11" hidden="1">#REF!</definedName>
    <definedName name="BExD9TK2MIWFH5SKUYU9ZKF4NPHQ" localSheetId="6" hidden="1">Stock!#REF!</definedName>
    <definedName name="BExD9TK2MIWFH5SKUYU9ZKF4NPHQ" hidden="1">#REF!</definedName>
    <definedName name="BExDAGMVMNLQ6QXASB9R6D8DIT12" localSheetId="7" hidden="1">'Aged debtors'!#REF!</definedName>
    <definedName name="BExDAGMVMNLQ6QXASB9R6D8DIT12" localSheetId="10" hidden="1">#REF!</definedName>
    <definedName name="BExDAGMVMNLQ6QXASB9R6D8DIT12" localSheetId="12" hidden="1">#REF!</definedName>
    <definedName name="BExDAGMVMNLQ6QXASB9R6D8DIT12" localSheetId="9" hidden="1">'Customer data'!#REF!</definedName>
    <definedName name="BExDAGMVMNLQ6QXASB9R6D8DIT12" localSheetId="8" hidden="1">'Largest debtors'!#REF!</definedName>
    <definedName name="BExDAGMVMNLQ6QXASB9R6D8DIT12" localSheetId="11" hidden="1">#REF!</definedName>
    <definedName name="BExDAGMVMNLQ6QXASB9R6D8DIT12" localSheetId="6" hidden="1">Stock!#REF!</definedName>
    <definedName name="BExDAGMVMNLQ6QXASB9R6D8DIT12" hidden="1">#REF!</definedName>
    <definedName name="BExDAYBHU9ADLXI8VRC7F608RVGM" localSheetId="7" hidden="1">'Aged debtors'!#REF!</definedName>
    <definedName name="BExDAYBHU9ADLXI8VRC7F608RVGM" localSheetId="10" hidden="1">#REF!</definedName>
    <definedName name="BExDAYBHU9ADLXI8VRC7F608RVGM" localSheetId="12" hidden="1">#REF!</definedName>
    <definedName name="BExDAYBHU9ADLXI8VRC7F608RVGM" localSheetId="9" hidden="1">'Customer data'!#REF!</definedName>
    <definedName name="BExDAYBHU9ADLXI8VRC7F608RVGM" localSheetId="8" hidden="1">'Largest debtors'!#REF!</definedName>
    <definedName name="BExDAYBHU9ADLXI8VRC7F608RVGM" localSheetId="11" hidden="1">#REF!</definedName>
    <definedName name="BExDAYBHU9ADLXI8VRC7F608RVGM" localSheetId="6" hidden="1">Stock!#REF!</definedName>
    <definedName name="BExDAYBHU9ADLXI8VRC7F608RVGM" hidden="1">#REF!</definedName>
    <definedName name="BExDBDR1XR0FV0CYUCB2OJ7CJCZU" localSheetId="7" hidden="1">'Aged debtors'!#REF!</definedName>
    <definedName name="BExDBDR1XR0FV0CYUCB2OJ7CJCZU" localSheetId="10" hidden="1">#REF!</definedName>
    <definedName name="BExDBDR1XR0FV0CYUCB2OJ7CJCZU" localSheetId="12" hidden="1">#REF!</definedName>
    <definedName name="BExDBDR1XR0FV0CYUCB2OJ7CJCZU" localSheetId="9" hidden="1">'Customer data'!#REF!</definedName>
    <definedName name="BExDBDR1XR0FV0CYUCB2OJ7CJCZU" localSheetId="8" hidden="1">'Largest debtors'!#REF!</definedName>
    <definedName name="BExDBDR1XR0FV0CYUCB2OJ7CJCZU" localSheetId="11" hidden="1">#REF!</definedName>
    <definedName name="BExDBDR1XR0FV0CYUCB2OJ7CJCZU" localSheetId="6" hidden="1">Stock!#REF!</definedName>
    <definedName name="BExDBDR1XR0FV0CYUCB2OJ7CJCZU" hidden="1">#REF!</definedName>
    <definedName name="BExDC7F818VN0S18ID7XRCRVYPJ4" localSheetId="7" hidden="1">'Aged debtors'!#REF!</definedName>
    <definedName name="BExDC7F818VN0S18ID7XRCRVYPJ4" localSheetId="10" hidden="1">#REF!</definedName>
    <definedName name="BExDC7F818VN0S18ID7XRCRVYPJ4" localSheetId="12" hidden="1">#REF!</definedName>
    <definedName name="BExDC7F818VN0S18ID7XRCRVYPJ4" localSheetId="9" hidden="1">'Customer data'!#REF!</definedName>
    <definedName name="BExDC7F818VN0S18ID7XRCRVYPJ4" localSheetId="8" hidden="1">'Largest debtors'!#REF!</definedName>
    <definedName name="BExDC7F818VN0S18ID7XRCRVYPJ4" localSheetId="11" hidden="1">#REF!</definedName>
    <definedName name="BExDC7F818VN0S18ID7XRCRVYPJ4" localSheetId="6" hidden="1">Stock!#REF!</definedName>
    <definedName name="BExDC7F818VN0S18ID7XRCRVYPJ4" hidden="1">#REF!</definedName>
    <definedName name="BExDCL7K96PC9VZYB70ZW3QPVIJE" localSheetId="7" hidden="1">'Aged debtors'!#REF!</definedName>
    <definedName name="BExDCL7K96PC9VZYB70ZW3QPVIJE" localSheetId="10" hidden="1">#REF!</definedName>
    <definedName name="BExDCL7K96PC9VZYB70ZW3QPVIJE" localSheetId="12" hidden="1">#REF!</definedName>
    <definedName name="BExDCL7K96PC9VZYB70ZW3QPVIJE" localSheetId="9" hidden="1">'Customer data'!#REF!</definedName>
    <definedName name="BExDCL7K96PC9VZYB70ZW3QPVIJE" localSheetId="8" hidden="1">'Largest debtors'!#REF!</definedName>
    <definedName name="BExDCL7K96PC9VZYB70ZW3QPVIJE" localSheetId="11" hidden="1">#REF!</definedName>
    <definedName name="BExDCL7K96PC9VZYB70ZW3QPVIJE" localSheetId="6" hidden="1">Stock!#REF!</definedName>
    <definedName name="BExDCL7K96PC9VZYB70ZW3QPVIJE" hidden="1">#REF!</definedName>
    <definedName name="BExENE1VDFSAMBNCUVUJNJ2HS7WJ" localSheetId="7" hidden="1">'Aged debtors'!#REF!</definedName>
    <definedName name="BExENE1VDFSAMBNCUVUJNJ2HS7WJ" localSheetId="10" hidden="1">#REF!</definedName>
    <definedName name="BExENE1VDFSAMBNCUVUJNJ2HS7WJ" localSheetId="12" hidden="1">#REF!</definedName>
    <definedName name="BExENE1VDFSAMBNCUVUJNJ2HS7WJ" localSheetId="9" hidden="1">'Customer data'!#REF!</definedName>
    <definedName name="BExENE1VDFSAMBNCUVUJNJ2HS7WJ" localSheetId="8" hidden="1">'Largest debtors'!#REF!</definedName>
    <definedName name="BExENE1VDFSAMBNCUVUJNJ2HS7WJ" localSheetId="11" hidden="1">#REF!</definedName>
    <definedName name="BExENE1VDFSAMBNCUVUJNJ2HS7WJ" localSheetId="6" hidden="1">Stock!#REF!</definedName>
    <definedName name="BExENE1VDFSAMBNCUVUJNJ2HS7WJ" hidden="1">#REF!</definedName>
    <definedName name="BExEOBX3WECDMYCV9RLN49APTXMM" localSheetId="7" hidden="1">'Aged debtors'!#REF!</definedName>
    <definedName name="BExEOBX3WECDMYCV9RLN49APTXMM" localSheetId="10" hidden="1">#REF!</definedName>
    <definedName name="BExEOBX3WECDMYCV9RLN49APTXMM" localSheetId="12" hidden="1">#REF!</definedName>
    <definedName name="BExEOBX3WECDMYCV9RLN49APTXMM" localSheetId="9" hidden="1">'Customer data'!#REF!</definedName>
    <definedName name="BExEOBX3WECDMYCV9RLN49APTXMM" localSheetId="8" hidden="1">'Largest debtors'!#REF!</definedName>
    <definedName name="BExEOBX3WECDMYCV9RLN49APTXMM" localSheetId="11" hidden="1">#REF!</definedName>
    <definedName name="BExEOBX3WECDMYCV9RLN49APTXMM" localSheetId="6" hidden="1">Stock!#REF!</definedName>
    <definedName name="BExEOBX3WECDMYCV9RLN49APTXMM" hidden="1">#REF!</definedName>
    <definedName name="BExEPN9VIYI0FVL0HLZQXJFO6TT0" localSheetId="7" hidden="1">'Aged debtors'!#REF!</definedName>
    <definedName name="BExEPN9VIYI0FVL0HLZQXJFO6TT0" localSheetId="10" hidden="1">#REF!</definedName>
    <definedName name="BExEPN9VIYI0FVL0HLZQXJFO6TT0" localSheetId="12" hidden="1">#REF!</definedName>
    <definedName name="BExEPN9VIYI0FVL0HLZQXJFO6TT0" localSheetId="9" hidden="1">'Customer data'!#REF!</definedName>
    <definedName name="BExEPN9VIYI0FVL0HLZQXJFO6TT0" localSheetId="8" hidden="1">'Largest debtors'!#REF!</definedName>
    <definedName name="BExEPN9VIYI0FVL0HLZQXJFO6TT0" localSheetId="11" hidden="1">#REF!</definedName>
    <definedName name="BExEPN9VIYI0FVL0HLZQXJFO6TT0" localSheetId="6" hidden="1">Stock!#REF!</definedName>
    <definedName name="BExEPN9VIYI0FVL0HLZQXJFO6TT0" hidden="1">#REF!</definedName>
    <definedName name="BExEQ2ENYLMY8K1796XBB31CJHNN" localSheetId="7" hidden="1">'Aged debtors'!#REF!</definedName>
    <definedName name="BExEQ2ENYLMY8K1796XBB31CJHNN" localSheetId="10" hidden="1">#REF!</definedName>
    <definedName name="BExEQ2ENYLMY8K1796XBB31CJHNN" localSheetId="12" hidden="1">#REF!</definedName>
    <definedName name="BExEQ2ENYLMY8K1796XBB31CJHNN" localSheetId="9" hidden="1">'Customer data'!#REF!</definedName>
    <definedName name="BExEQ2ENYLMY8K1796XBB31CJHNN" localSheetId="8" hidden="1">'Largest debtors'!#REF!</definedName>
    <definedName name="BExEQ2ENYLMY8K1796XBB31CJHNN" localSheetId="11" hidden="1">#REF!</definedName>
    <definedName name="BExEQ2ENYLMY8K1796XBB31CJHNN" localSheetId="6" hidden="1">Stock!#REF!</definedName>
    <definedName name="BExEQ2ENYLMY8K1796XBB31CJHNN" hidden="1">#REF!</definedName>
    <definedName name="BExEQ2PFURT24NQYGYVE8NKX1EGA" localSheetId="7" hidden="1">'Aged debtors'!#REF!</definedName>
    <definedName name="BExEQ2PFURT24NQYGYVE8NKX1EGA" localSheetId="10" hidden="1">#REF!</definedName>
    <definedName name="BExEQ2PFURT24NQYGYVE8NKX1EGA" localSheetId="12" hidden="1">#REF!</definedName>
    <definedName name="BExEQ2PFURT24NQYGYVE8NKX1EGA" localSheetId="9" hidden="1">'Customer data'!#REF!</definedName>
    <definedName name="BExEQ2PFURT24NQYGYVE8NKX1EGA" localSheetId="8" hidden="1">'Largest debtors'!#REF!</definedName>
    <definedName name="BExEQ2PFURT24NQYGYVE8NKX1EGA" localSheetId="11" hidden="1">#REF!</definedName>
    <definedName name="BExEQ2PFURT24NQYGYVE8NKX1EGA" localSheetId="6" hidden="1">Stock!#REF!</definedName>
    <definedName name="BExEQ2PFURT24NQYGYVE8NKX1EGA" hidden="1">#REF!</definedName>
    <definedName name="BExEQB8ZWXO6IIGOEPWTLOJGE2NR" localSheetId="7" hidden="1">'Aged debtors'!#REF!</definedName>
    <definedName name="BExEQB8ZWXO6IIGOEPWTLOJGE2NR" localSheetId="10" hidden="1">#REF!</definedName>
    <definedName name="BExEQB8ZWXO6IIGOEPWTLOJGE2NR" localSheetId="12" hidden="1">#REF!</definedName>
    <definedName name="BExEQB8ZWXO6IIGOEPWTLOJGE2NR" localSheetId="9" hidden="1">'Customer data'!#REF!</definedName>
    <definedName name="BExEQB8ZWXO6IIGOEPWTLOJGE2NR" localSheetId="8" hidden="1">'Largest debtors'!#REF!</definedName>
    <definedName name="BExEQB8ZWXO6IIGOEPWTLOJGE2NR" localSheetId="11" hidden="1">#REF!</definedName>
    <definedName name="BExEQB8ZWXO6IIGOEPWTLOJGE2NR" localSheetId="6" hidden="1">Stock!#REF!</definedName>
    <definedName name="BExEQB8ZWXO6IIGOEPWTLOJGE2NR" hidden="1">#REF!</definedName>
    <definedName name="BExEQBZX0EL6LIKPY01197ACK65H" localSheetId="7" hidden="1">'Aged debtors'!#REF!</definedName>
    <definedName name="BExEQBZX0EL6LIKPY01197ACK65H" localSheetId="10" hidden="1">#REF!</definedName>
    <definedName name="BExEQBZX0EL6LIKPY01197ACK65H" localSheetId="12" hidden="1">#REF!</definedName>
    <definedName name="BExEQBZX0EL6LIKPY01197ACK65H" localSheetId="9" hidden="1">'Customer data'!#REF!</definedName>
    <definedName name="BExEQBZX0EL6LIKPY01197ACK65H" localSheetId="8" hidden="1">'Largest debtors'!#REF!</definedName>
    <definedName name="BExEQBZX0EL6LIKPY01197ACK65H" localSheetId="11" hidden="1">#REF!</definedName>
    <definedName name="BExEQBZX0EL6LIKPY01197ACK65H" localSheetId="6" hidden="1">Stock!#REF!</definedName>
    <definedName name="BExEQBZX0EL6LIKPY01197ACK65H" hidden="1">#REF!</definedName>
    <definedName name="BExEQDXZALJLD4OBF74IKZBR13SR" localSheetId="7" hidden="1">'Aged debtors'!#REF!</definedName>
    <definedName name="BExEQDXZALJLD4OBF74IKZBR13SR" localSheetId="10" hidden="1">#REF!</definedName>
    <definedName name="BExEQDXZALJLD4OBF74IKZBR13SR" localSheetId="12" hidden="1">#REF!</definedName>
    <definedName name="BExEQDXZALJLD4OBF74IKZBR13SR" localSheetId="9" hidden="1">'Customer data'!#REF!</definedName>
    <definedName name="BExEQDXZALJLD4OBF74IKZBR13SR" localSheetId="8" hidden="1">'Largest debtors'!#REF!</definedName>
    <definedName name="BExEQDXZALJLD4OBF74IKZBR13SR" localSheetId="11" hidden="1">#REF!</definedName>
    <definedName name="BExEQDXZALJLD4OBF74IKZBR13SR" localSheetId="6" hidden="1">Stock!#REF!</definedName>
    <definedName name="BExEQDXZALJLD4OBF74IKZBR13SR" hidden="1">#REF!</definedName>
    <definedName name="BExERWCEBKQRYWRQLYJ4UCMMKTHG" localSheetId="7" hidden="1">'Aged debtors'!#REF!</definedName>
    <definedName name="BExERWCEBKQRYWRQLYJ4UCMMKTHG" localSheetId="10" hidden="1">#REF!</definedName>
    <definedName name="BExERWCEBKQRYWRQLYJ4UCMMKTHG" localSheetId="12" hidden="1">#REF!</definedName>
    <definedName name="BExERWCEBKQRYWRQLYJ4UCMMKTHG" localSheetId="9" hidden="1">'Customer data'!#REF!</definedName>
    <definedName name="BExERWCEBKQRYWRQLYJ4UCMMKTHG" localSheetId="8" hidden="1">'Largest debtors'!#REF!</definedName>
    <definedName name="BExERWCEBKQRYWRQLYJ4UCMMKTHG" localSheetId="11" hidden="1">#REF!</definedName>
    <definedName name="BExERWCEBKQRYWRQLYJ4UCMMKTHG" localSheetId="6" hidden="1">Stock!#REF!</definedName>
    <definedName name="BExERWCEBKQRYWRQLYJ4UCMMKTHG" hidden="1">#REF!</definedName>
    <definedName name="BExES4A7VE2X3RYYTVRLKZD4I7WU" localSheetId="7" hidden="1">'Aged debtors'!#REF!</definedName>
    <definedName name="BExES4A7VE2X3RYYTVRLKZD4I7WU" localSheetId="10" hidden="1">#REF!</definedName>
    <definedName name="BExES4A7VE2X3RYYTVRLKZD4I7WU" localSheetId="12" hidden="1">#REF!</definedName>
    <definedName name="BExES4A7VE2X3RYYTVRLKZD4I7WU" localSheetId="9" hidden="1">'Customer data'!#REF!</definedName>
    <definedName name="BExES4A7VE2X3RYYTVRLKZD4I7WU" localSheetId="8" hidden="1">'Largest debtors'!#REF!</definedName>
    <definedName name="BExES4A7VE2X3RYYTVRLKZD4I7WU" localSheetId="11" hidden="1">#REF!</definedName>
    <definedName name="BExES4A7VE2X3RYYTVRLKZD4I7WU" localSheetId="6" hidden="1">Stock!#REF!</definedName>
    <definedName name="BExES4A7VE2X3RYYTVRLKZD4I7WU" hidden="1">#REF!</definedName>
    <definedName name="BExESMKD95A649M0WRSG6CXXP326" localSheetId="7" hidden="1">'Aged debtors'!#REF!</definedName>
    <definedName name="BExESMKD95A649M0WRSG6CXXP326" localSheetId="10" hidden="1">#REF!</definedName>
    <definedName name="BExESMKD95A649M0WRSG6CXXP326" localSheetId="12" hidden="1">#REF!</definedName>
    <definedName name="BExESMKD95A649M0WRSG6CXXP326" localSheetId="9" hidden="1">'Customer data'!#REF!</definedName>
    <definedName name="BExESMKD95A649M0WRSG6CXXP326" localSheetId="8" hidden="1">'Largest debtors'!#REF!</definedName>
    <definedName name="BExESMKD95A649M0WRSG6CXXP326" localSheetId="11" hidden="1">#REF!</definedName>
    <definedName name="BExESMKD95A649M0WRSG6CXXP326" localSheetId="6" hidden="1">Stock!#REF!</definedName>
    <definedName name="BExESMKD95A649M0WRSG6CXXP326" hidden="1">#REF!</definedName>
    <definedName name="BExESR27ZXJG5VMY4PR9D940VS7T" localSheetId="7" hidden="1">'Aged debtors'!#REF!</definedName>
    <definedName name="BExESR27ZXJG5VMY4PR9D940VS7T" localSheetId="10" hidden="1">#REF!</definedName>
    <definedName name="BExESR27ZXJG5VMY4PR9D940VS7T" localSheetId="12" hidden="1">#REF!</definedName>
    <definedName name="BExESR27ZXJG5VMY4PR9D940VS7T" localSheetId="9" hidden="1">'Customer data'!#REF!</definedName>
    <definedName name="BExESR27ZXJG5VMY4PR9D940VS7T" localSheetId="8" hidden="1">'Largest debtors'!#REF!</definedName>
    <definedName name="BExESR27ZXJG5VMY4PR9D940VS7T" localSheetId="11" hidden="1">#REF!</definedName>
    <definedName name="BExESR27ZXJG5VMY4PR9D940VS7T" localSheetId="6" hidden="1">Stock!#REF!</definedName>
    <definedName name="BExESR27ZXJG5VMY4PR9D940VS7T" hidden="1">#REF!</definedName>
    <definedName name="BExET3HXQ60A4O2OLKX8QNXRI6LQ" localSheetId="7" hidden="1">'Aged debtors'!#REF!</definedName>
    <definedName name="BExET3HXQ60A4O2OLKX8QNXRI6LQ" localSheetId="10" hidden="1">#REF!</definedName>
    <definedName name="BExET3HXQ60A4O2OLKX8QNXRI6LQ" localSheetId="12" hidden="1">#REF!</definedName>
    <definedName name="BExET3HXQ60A4O2OLKX8QNXRI6LQ" localSheetId="9" hidden="1">'Customer data'!#REF!</definedName>
    <definedName name="BExET3HXQ60A4O2OLKX8QNXRI6LQ" localSheetId="8" hidden="1">'Largest debtors'!#REF!</definedName>
    <definedName name="BExET3HXQ60A4O2OLKX8QNXRI6LQ" localSheetId="11" hidden="1">#REF!</definedName>
    <definedName name="BExET3HXQ60A4O2OLKX8QNXRI6LQ" localSheetId="6" hidden="1">Stock!#REF!</definedName>
    <definedName name="BExET3HXQ60A4O2OLKX8QNXRI6LQ" hidden="1">#REF!</definedName>
    <definedName name="BExETA3B1FCIOA80H94K90FWXQKE" localSheetId="7" hidden="1">'Aged debtors'!#REF!</definedName>
    <definedName name="BExETA3B1FCIOA80H94K90FWXQKE" localSheetId="10" hidden="1">#REF!</definedName>
    <definedName name="BExETA3B1FCIOA80H94K90FWXQKE" localSheetId="12" hidden="1">#REF!</definedName>
    <definedName name="BExETA3B1FCIOA80H94K90FWXQKE" localSheetId="9" hidden="1">'Customer data'!#REF!</definedName>
    <definedName name="BExETA3B1FCIOA80H94K90FWXQKE" localSheetId="8" hidden="1">'Largest debtors'!#REF!</definedName>
    <definedName name="BExETA3B1FCIOA80H94K90FWXQKE" localSheetId="11" hidden="1">#REF!</definedName>
    <definedName name="BExETA3B1FCIOA80H94K90FWXQKE" localSheetId="6" hidden="1">Stock!#REF!</definedName>
    <definedName name="BExETA3B1FCIOA80H94K90FWXQKE" hidden="1">#REF!</definedName>
    <definedName name="BExETF6QD5A9GEINE1KZRRC2LXWM" localSheetId="7" hidden="1">'Aged debtors'!#REF!</definedName>
    <definedName name="BExETF6QD5A9GEINE1KZRRC2LXWM" localSheetId="10" hidden="1">#REF!</definedName>
    <definedName name="BExETF6QD5A9GEINE1KZRRC2LXWM" localSheetId="12" hidden="1">#REF!</definedName>
    <definedName name="BExETF6QD5A9GEINE1KZRRC2LXWM" localSheetId="9" hidden="1">'Customer data'!#REF!</definedName>
    <definedName name="BExETF6QD5A9GEINE1KZRRC2LXWM" localSheetId="8" hidden="1">'Largest debtors'!#REF!</definedName>
    <definedName name="BExETF6QD5A9GEINE1KZRRC2LXWM" localSheetId="11" hidden="1">#REF!</definedName>
    <definedName name="BExETF6QD5A9GEINE1KZRRC2LXWM" localSheetId="6" hidden="1">Stock!#REF!</definedName>
    <definedName name="BExETF6QD5A9GEINE1KZRRC2LXWM" hidden="1">#REF!</definedName>
    <definedName name="BExETQ9XRXLUACN82805SPSPNKHI" localSheetId="7" hidden="1">'Aged debtors'!#REF!</definedName>
    <definedName name="BExETQ9XRXLUACN82805SPSPNKHI" localSheetId="10" hidden="1">#REF!</definedName>
    <definedName name="BExETQ9XRXLUACN82805SPSPNKHI" localSheetId="12" hidden="1">#REF!</definedName>
    <definedName name="BExETQ9XRXLUACN82805SPSPNKHI" localSheetId="9" hidden="1">'Customer data'!#REF!</definedName>
    <definedName name="BExETQ9XRXLUACN82805SPSPNKHI" localSheetId="8" hidden="1">'Largest debtors'!#REF!</definedName>
    <definedName name="BExETQ9XRXLUACN82805SPSPNKHI" localSheetId="11" hidden="1">#REF!</definedName>
    <definedName name="BExETQ9XRXLUACN82805SPSPNKHI" localSheetId="6" hidden="1">Stock!#REF!</definedName>
    <definedName name="BExETQ9XRXLUACN82805SPSPNKHI" hidden="1">#REF!</definedName>
    <definedName name="BExETR0YRMOR63E6DHLEHV9QVVON" localSheetId="7" hidden="1">'Aged debtors'!#REF!</definedName>
    <definedName name="BExETR0YRMOR63E6DHLEHV9QVVON" localSheetId="10" hidden="1">#REF!</definedName>
    <definedName name="BExETR0YRMOR63E6DHLEHV9QVVON" localSheetId="12" hidden="1">#REF!</definedName>
    <definedName name="BExETR0YRMOR63E6DHLEHV9QVVON" localSheetId="9" hidden="1">'Customer data'!#REF!</definedName>
    <definedName name="BExETR0YRMOR63E6DHLEHV9QVVON" localSheetId="8" hidden="1">'Largest debtors'!#REF!</definedName>
    <definedName name="BExETR0YRMOR63E6DHLEHV9QVVON" localSheetId="11" hidden="1">#REF!</definedName>
    <definedName name="BExETR0YRMOR63E6DHLEHV9QVVON" localSheetId="6" hidden="1">Stock!#REF!</definedName>
    <definedName name="BExETR0YRMOR63E6DHLEHV9QVVON" hidden="1">#REF!</definedName>
    <definedName name="BExETVTGY38YXYYF7N73OYN6FYY3" localSheetId="7" hidden="1">'Aged debtors'!#REF!</definedName>
    <definedName name="BExETVTGY38YXYYF7N73OYN6FYY3" localSheetId="10" hidden="1">#REF!</definedName>
    <definedName name="BExETVTGY38YXYYF7N73OYN6FYY3" localSheetId="12" hidden="1">#REF!</definedName>
    <definedName name="BExETVTGY38YXYYF7N73OYN6FYY3" localSheetId="9" hidden="1">'Customer data'!#REF!</definedName>
    <definedName name="BExETVTGY38YXYYF7N73OYN6FYY3" localSheetId="8" hidden="1">'Largest debtors'!#REF!</definedName>
    <definedName name="BExETVTGY38YXYYF7N73OYN6FYY3" localSheetId="11" hidden="1">#REF!</definedName>
    <definedName name="BExETVTGY38YXYYF7N73OYN6FYY3" localSheetId="6" hidden="1">Stock!#REF!</definedName>
    <definedName name="BExETVTGY38YXYYF7N73OYN6FYY3" hidden="1">#REF!</definedName>
    <definedName name="BExEUC5KVITDJ18RD7EXV9HZAXT4" localSheetId="7" hidden="1">'Aged debtors'!#REF!</definedName>
    <definedName name="BExEUC5KVITDJ18RD7EXV9HZAXT4" localSheetId="10" hidden="1">#REF!</definedName>
    <definedName name="BExEUC5KVITDJ18RD7EXV9HZAXT4" localSheetId="12" hidden="1">#REF!</definedName>
    <definedName name="BExEUC5KVITDJ18RD7EXV9HZAXT4" localSheetId="9" hidden="1">'Customer data'!#REF!</definedName>
    <definedName name="BExEUC5KVITDJ18RD7EXV9HZAXT4" localSheetId="8" hidden="1">'Largest debtors'!#REF!</definedName>
    <definedName name="BExEUC5KVITDJ18RD7EXV9HZAXT4" localSheetId="11" hidden="1">#REF!</definedName>
    <definedName name="BExEUC5KVITDJ18RD7EXV9HZAXT4" localSheetId="6" hidden="1">Stock!#REF!</definedName>
    <definedName name="BExEUC5KVITDJ18RD7EXV9HZAXT4" hidden="1">#REF!</definedName>
    <definedName name="BExEUNE4T242Y59C6MS28MXEUGCP" localSheetId="7" hidden="1">'Aged debtors'!#REF!</definedName>
    <definedName name="BExEUNE4T242Y59C6MS28MXEUGCP" localSheetId="10" hidden="1">#REF!</definedName>
    <definedName name="BExEUNE4T242Y59C6MS28MXEUGCP" localSheetId="12" hidden="1">#REF!</definedName>
    <definedName name="BExEUNE4T242Y59C6MS28MXEUGCP" localSheetId="9" hidden="1">'Customer data'!#REF!</definedName>
    <definedName name="BExEUNE4T242Y59C6MS28MXEUGCP" localSheetId="8" hidden="1">'Largest debtors'!#REF!</definedName>
    <definedName name="BExEUNE4T242Y59C6MS28MXEUGCP" localSheetId="11" hidden="1">#REF!</definedName>
    <definedName name="BExEUNE4T242Y59C6MS28MXEUGCP" localSheetId="6" hidden="1">Stock!#REF!</definedName>
    <definedName name="BExEUNE4T242Y59C6MS28MXEUGCP" hidden="1">#REF!</definedName>
    <definedName name="BExEV2TP7NA3ZR6RJGH5ER370OUM" localSheetId="7" hidden="1">'Aged debtors'!#REF!</definedName>
    <definedName name="BExEV2TP7NA3ZR6RJGH5ER370OUM" localSheetId="10" hidden="1">#REF!</definedName>
    <definedName name="BExEV2TP7NA3ZR6RJGH5ER370OUM" localSheetId="12" hidden="1">#REF!</definedName>
    <definedName name="BExEV2TP7NA3ZR6RJGH5ER370OUM" localSheetId="9" hidden="1">'Customer data'!#REF!</definedName>
    <definedName name="BExEV2TP7NA3ZR6RJGH5ER370OUM" localSheetId="8" hidden="1">'Largest debtors'!#REF!</definedName>
    <definedName name="BExEV2TP7NA3ZR6RJGH5ER370OUM" localSheetId="11" hidden="1">#REF!</definedName>
    <definedName name="BExEV2TP7NA3ZR6RJGH5ER370OUM" localSheetId="6" hidden="1">Stock!#REF!</definedName>
    <definedName name="BExEV2TP7NA3ZR6RJGH5ER370OUM" hidden="1">#REF!</definedName>
    <definedName name="BExEV69USLNYO2QRJRC0J92XUF00" localSheetId="7" hidden="1">'Aged debtors'!#REF!</definedName>
    <definedName name="BExEV69USLNYO2QRJRC0J92XUF00" localSheetId="10" hidden="1">#REF!</definedName>
    <definedName name="BExEV69USLNYO2QRJRC0J92XUF00" localSheetId="12" hidden="1">#REF!</definedName>
    <definedName name="BExEV69USLNYO2QRJRC0J92XUF00" localSheetId="9" hidden="1">'Customer data'!#REF!</definedName>
    <definedName name="BExEV69USLNYO2QRJRC0J92XUF00" localSheetId="8" hidden="1">'Largest debtors'!#REF!</definedName>
    <definedName name="BExEV69USLNYO2QRJRC0J92XUF00" localSheetId="11" hidden="1">#REF!</definedName>
    <definedName name="BExEV69USLNYO2QRJRC0J92XUF00" localSheetId="6" hidden="1">Stock!#REF!</definedName>
    <definedName name="BExEV69USLNYO2QRJRC0J92XUF00" hidden="1">#REF!</definedName>
    <definedName name="BExEV6VGM4POO9QT9KH3QA3VYCWM" localSheetId="7" hidden="1">'Aged debtors'!#REF!</definedName>
    <definedName name="BExEV6VGM4POO9QT9KH3QA3VYCWM" localSheetId="10" hidden="1">#REF!</definedName>
    <definedName name="BExEV6VGM4POO9QT9KH3QA3VYCWM" localSheetId="12" hidden="1">#REF!</definedName>
    <definedName name="BExEV6VGM4POO9QT9KH3QA3VYCWM" localSheetId="9" hidden="1">'Customer data'!#REF!</definedName>
    <definedName name="BExEV6VGM4POO9QT9KH3QA3VYCWM" localSheetId="8" hidden="1">'Largest debtors'!#REF!</definedName>
    <definedName name="BExEV6VGM4POO9QT9KH3QA3VYCWM" localSheetId="11" hidden="1">#REF!</definedName>
    <definedName name="BExEV6VGM4POO9QT9KH3QA3VYCWM" localSheetId="6" hidden="1">Stock!#REF!</definedName>
    <definedName name="BExEV6VGM4POO9QT9KH3QA3VYCWM" hidden="1">#REF!</definedName>
    <definedName name="BExEVET98G3FU6QBF9LHYWSAMV0O" localSheetId="7" hidden="1">'Aged debtors'!#REF!</definedName>
    <definedName name="BExEVET98G3FU6QBF9LHYWSAMV0O" localSheetId="10" hidden="1">#REF!</definedName>
    <definedName name="BExEVET98G3FU6QBF9LHYWSAMV0O" localSheetId="12" hidden="1">#REF!</definedName>
    <definedName name="BExEVET98G3FU6QBF9LHYWSAMV0O" localSheetId="9" hidden="1">'Customer data'!#REF!</definedName>
    <definedName name="BExEVET98G3FU6QBF9LHYWSAMV0O" localSheetId="8" hidden="1">'Largest debtors'!#REF!</definedName>
    <definedName name="BExEVET98G3FU6QBF9LHYWSAMV0O" localSheetId="11" hidden="1">#REF!</definedName>
    <definedName name="BExEVET98G3FU6QBF9LHYWSAMV0O" localSheetId="6" hidden="1">Stock!#REF!</definedName>
    <definedName name="BExEVET98G3FU6QBF9LHYWSAMV0O" hidden="1">#REF!</definedName>
    <definedName name="BExEVNCUT0PDUYNJH7G6BSEWZOT2" localSheetId="7" hidden="1">'Aged debtors'!#REF!</definedName>
    <definedName name="BExEVNCUT0PDUYNJH7G6BSEWZOT2" localSheetId="10" hidden="1">#REF!</definedName>
    <definedName name="BExEVNCUT0PDUYNJH7G6BSEWZOT2" localSheetId="12" hidden="1">#REF!</definedName>
    <definedName name="BExEVNCUT0PDUYNJH7G6BSEWZOT2" localSheetId="9" hidden="1">'Customer data'!#REF!</definedName>
    <definedName name="BExEVNCUT0PDUYNJH7G6BSEWZOT2" localSheetId="8" hidden="1">'Largest debtors'!#REF!</definedName>
    <definedName name="BExEVNCUT0PDUYNJH7G6BSEWZOT2" localSheetId="11" hidden="1">#REF!</definedName>
    <definedName name="BExEVNCUT0PDUYNJH7G6BSEWZOT2" localSheetId="6" hidden="1">Stock!#REF!</definedName>
    <definedName name="BExEVNCUT0PDUYNJH7G6BSEWZOT2" hidden="1">#REF!</definedName>
    <definedName name="BExEVPGF4V5J0WQRZKUM8F9TTKZJ" localSheetId="7" hidden="1">'Aged debtors'!#REF!</definedName>
    <definedName name="BExEVPGF4V5J0WQRZKUM8F9TTKZJ" localSheetId="10" hidden="1">#REF!</definedName>
    <definedName name="BExEVPGF4V5J0WQRZKUM8F9TTKZJ" localSheetId="12" hidden="1">#REF!</definedName>
    <definedName name="BExEVPGF4V5J0WQRZKUM8F9TTKZJ" localSheetId="9" hidden="1">'Customer data'!#REF!</definedName>
    <definedName name="BExEVPGF4V5J0WQRZKUM8F9TTKZJ" localSheetId="8" hidden="1">'Largest debtors'!#REF!</definedName>
    <definedName name="BExEVPGF4V5J0WQRZKUM8F9TTKZJ" localSheetId="11" hidden="1">#REF!</definedName>
    <definedName name="BExEVPGF4V5J0WQRZKUM8F9TTKZJ" localSheetId="6" hidden="1">Stock!#REF!</definedName>
    <definedName name="BExEVPGF4V5J0WQRZKUM8F9TTKZJ" hidden="1">#REF!</definedName>
    <definedName name="BExEVVLIEVWYRF2UUC1H0H5QU1CP" localSheetId="7" hidden="1">'Aged debtors'!#REF!</definedName>
    <definedName name="BExEVVLIEVWYRF2UUC1H0H5QU1CP" localSheetId="10" hidden="1">#REF!</definedName>
    <definedName name="BExEVVLIEVWYRF2UUC1H0H5QU1CP" localSheetId="12" hidden="1">#REF!</definedName>
    <definedName name="BExEVVLIEVWYRF2UUC1H0H5QU1CP" localSheetId="9" hidden="1">'Customer data'!#REF!</definedName>
    <definedName name="BExEVVLIEVWYRF2UUC1H0H5QU1CP" localSheetId="8" hidden="1">'Largest debtors'!#REF!</definedName>
    <definedName name="BExEVVLIEVWYRF2UUC1H0H5QU1CP" localSheetId="11" hidden="1">#REF!</definedName>
    <definedName name="BExEVVLIEVWYRF2UUC1H0H5QU1CP" localSheetId="6" hidden="1">Stock!#REF!</definedName>
    <definedName name="BExEVVLIEVWYRF2UUC1H0H5QU1CP" hidden="1">#REF!</definedName>
    <definedName name="BExEVWCKO8T84GW9Z3X47915XKSH" localSheetId="7" hidden="1">'Aged debtors'!#REF!</definedName>
    <definedName name="BExEVWCKO8T84GW9Z3X47915XKSH" localSheetId="10" hidden="1">#REF!</definedName>
    <definedName name="BExEVWCKO8T84GW9Z3X47915XKSH" localSheetId="12" hidden="1">#REF!</definedName>
    <definedName name="BExEVWCKO8T84GW9Z3X47915XKSH" localSheetId="9" hidden="1">'Customer data'!#REF!</definedName>
    <definedName name="BExEVWCKO8T84GW9Z3X47915XKSH" localSheetId="8" hidden="1">'Largest debtors'!#REF!</definedName>
    <definedName name="BExEVWCKO8T84GW9Z3X47915XKSH" localSheetId="11" hidden="1">#REF!</definedName>
    <definedName name="BExEVWCKO8T84GW9Z3X47915XKSH" localSheetId="6" hidden="1">Stock!#REF!</definedName>
    <definedName name="BExEVWCKO8T84GW9Z3X47915XKSH" hidden="1">#REF!</definedName>
    <definedName name="BExEVZSJWMZ5L2ZE7AZC57CXKW6T" localSheetId="7" hidden="1">'Aged debtors'!#REF!</definedName>
    <definedName name="BExEVZSJWMZ5L2ZE7AZC57CXKW6T" localSheetId="10" hidden="1">#REF!</definedName>
    <definedName name="BExEVZSJWMZ5L2ZE7AZC57CXKW6T" localSheetId="12" hidden="1">#REF!</definedName>
    <definedName name="BExEVZSJWMZ5L2ZE7AZC57CXKW6T" localSheetId="9" hidden="1">'Customer data'!#REF!</definedName>
    <definedName name="BExEVZSJWMZ5L2ZE7AZC57CXKW6T" localSheetId="8" hidden="1">'Largest debtors'!#REF!</definedName>
    <definedName name="BExEVZSJWMZ5L2ZE7AZC57CXKW6T" localSheetId="11" hidden="1">#REF!</definedName>
    <definedName name="BExEVZSJWMZ5L2ZE7AZC57CXKW6T" localSheetId="6" hidden="1">Stock!#REF!</definedName>
    <definedName name="BExEVZSJWMZ5L2ZE7AZC57CXKW6T" hidden="1">#REF!</definedName>
    <definedName name="BExEW0JL1GFFCXMDGW54CI7Y8FZN" localSheetId="7" hidden="1">'Aged debtors'!#REF!</definedName>
    <definedName name="BExEW0JL1GFFCXMDGW54CI7Y8FZN" localSheetId="10" hidden="1">#REF!</definedName>
    <definedName name="BExEW0JL1GFFCXMDGW54CI7Y8FZN" localSheetId="12" hidden="1">#REF!</definedName>
    <definedName name="BExEW0JL1GFFCXMDGW54CI7Y8FZN" localSheetId="9" hidden="1">'Customer data'!#REF!</definedName>
    <definedName name="BExEW0JL1GFFCXMDGW54CI7Y8FZN" localSheetId="8" hidden="1">'Largest debtors'!#REF!</definedName>
    <definedName name="BExEW0JL1GFFCXMDGW54CI7Y8FZN" localSheetId="11" hidden="1">#REF!</definedName>
    <definedName name="BExEW0JL1GFFCXMDGW54CI7Y8FZN" localSheetId="6" hidden="1">Stock!#REF!</definedName>
    <definedName name="BExEW0JL1GFFCXMDGW54CI7Y8FZN" hidden="1">#REF!</definedName>
    <definedName name="BExEW68M9WL8214QH9C7VCK7BN08" localSheetId="7" hidden="1">'Aged debtors'!#REF!</definedName>
    <definedName name="BExEW68M9WL8214QH9C7VCK7BN08" localSheetId="10" hidden="1">#REF!</definedName>
    <definedName name="BExEW68M9WL8214QH9C7VCK7BN08" localSheetId="12" hidden="1">#REF!</definedName>
    <definedName name="BExEW68M9WL8214QH9C7VCK7BN08" localSheetId="9" hidden="1">'Customer data'!#REF!</definedName>
    <definedName name="BExEW68M9WL8214QH9C7VCK7BN08" localSheetId="8" hidden="1">'Largest debtors'!#REF!</definedName>
    <definedName name="BExEW68M9WL8214QH9C7VCK7BN08" localSheetId="11" hidden="1">#REF!</definedName>
    <definedName name="BExEW68M9WL8214QH9C7VCK7BN08" localSheetId="6" hidden="1">Stock!#REF!</definedName>
    <definedName name="BExEW68M9WL8214QH9C7VCK7BN08" hidden="1">#REF!</definedName>
    <definedName name="BExEWNBGQS1U2LW3W84T4LSJ9K00" localSheetId="7" hidden="1">'Aged debtors'!#REF!</definedName>
    <definedName name="BExEWNBGQS1U2LW3W84T4LSJ9K00" localSheetId="10" hidden="1">#REF!</definedName>
    <definedName name="BExEWNBGQS1U2LW3W84T4LSJ9K00" localSheetId="12" hidden="1">#REF!</definedName>
    <definedName name="BExEWNBGQS1U2LW3W84T4LSJ9K00" localSheetId="9" hidden="1">'Customer data'!#REF!</definedName>
    <definedName name="BExEWNBGQS1U2LW3W84T4LSJ9K00" localSheetId="8" hidden="1">'Largest debtors'!#REF!</definedName>
    <definedName name="BExEWNBGQS1U2LW3W84T4LSJ9K00" localSheetId="11" hidden="1">#REF!</definedName>
    <definedName name="BExEWNBGQS1U2LW3W84T4LSJ9K00" localSheetId="6" hidden="1">Stock!#REF!</definedName>
    <definedName name="BExEWNBGQS1U2LW3W84T4LSJ9K00" hidden="1">#REF!</definedName>
    <definedName name="BExEX9HWY2G6928ZVVVQF77QCM2C" localSheetId="7" hidden="1">'Aged debtors'!#REF!</definedName>
    <definedName name="BExEX9HWY2G6928ZVVVQF77QCM2C" localSheetId="10" hidden="1">#REF!</definedName>
    <definedName name="BExEX9HWY2G6928ZVVVQF77QCM2C" localSheetId="12" hidden="1">#REF!</definedName>
    <definedName name="BExEX9HWY2G6928ZVVVQF77QCM2C" localSheetId="9" hidden="1">'Customer data'!#REF!</definedName>
    <definedName name="BExEX9HWY2G6928ZVVVQF77QCM2C" localSheetId="8" hidden="1">'Largest debtors'!#REF!</definedName>
    <definedName name="BExEX9HWY2G6928ZVVVQF77QCM2C" localSheetId="11" hidden="1">#REF!</definedName>
    <definedName name="BExEX9HWY2G6928ZVVVQF77QCM2C" localSheetId="6" hidden="1">Stock!#REF!</definedName>
    <definedName name="BExEX9HWY2G6928ZVVVQF77QCM2C" hidden="1">#REF!</definedName>
    <definedName name="BExEYLG9FL9V1JPPNZ3FUDNSEJ4V" localSheetId="7" hidden="1">'Aged debtors'!#REF!</definedName>
    <definedName name="BExEYLG9FL9V1JPPNZ3FUDNSEJ4V" localSheetId="10" hidden="1">#REF!</definedName>
    <definedName name="BExEYLG9FL9V1JPPNZ3FUDNSEJ4V" localSheetId="12" hidden="1">#REF!</definedName>
    <definedName name="BExEYLG9FL9V1JPPNZ3FUDNSEJ4V" localSheetId="9" hidden="1">'Customer data'!#REF!</definedName>
    <definedName name="BExEYLG9FL9V1JPPNZ3FUDNSEJ4V" localSheetId="8" hidden="1">'Largest debtors'!#REF!</definedName>
    <definedName name="BExEYLG9FL9V1JPPNZ3FUDNSEJ4V" localSheetId="11" hidden="1">#REF!</definedName>
    <definedName name="BExEYLG9FL9V1JPPNZ3FUDNSEJ4V" localSheetId="6" hidden="1">Stock!#REF!</definedName>
    <definedName name="BExEYLG9FL9V1JPPNZ3FUDNSEJ4V" hidden="1">#REF!</definedName>
    <definedName name="BExEYUQJXZT6N5HJH8ACJF6SRWEE" localSheetId="7" hidden="1">'Aged debtors'!#REF!</definedName>
    <definedName name="BExEYUQJXZT6N5HJH8ACJF6SRWEE" localSheetId="10" hidden="1">#REF!</definedName>
    <definedName name="BExEYUQJXZT6N5HJH8ACJF6SRWEE" localSheetId="12" hidden="1">#REF!</definedName>
    <definedName name="BExEYUQJXZT6N5HJH8ACJF6SRWEE" localSheetId="9" hidden="1">'Customer data'!#REF!</definedName>
    <definedName name="BExEYUQJXZT6N5HJH8ACJF6SRWEE" localSheetId="8" hidden="1">'Largest debtors'!#REF!</definedName>
    <definedName name="BExEYUQJXZT6N5HJH8ACJF6SRWEE" localSheetId="11" hidden="1">#REF!</definedName>
    <definedName name="BExEYUQJXZT6N5HJH8ACJF6SRWEE" localSheetId="6" hidden="1">Stock!#REF!</definedName>
    <definedName name="BExEYUQJXZT6N5HJH8ACJF6SRWEE" hidden="1">#REF!</definedName>
    <definedName name="BExEZ1S6VZCG01ZPLBSS9Z1SBOJ2" localSheetId="7" hidden="1">'Aged debtors'!#REF!</definedName>
    <definedName name="BExEZ1S6VZCG01ZPLBSS9Z1SBOJ2" localSheetId="10" hidden="1">#REF!</definedName>
    <definedName name="BExEZ1S6VZCG01ZPLBSS9Z1SBOJ2" localSheetId="12" hidden="1">#REF!</definedName>
    <definedName name="BExEZ1S6VZCG01ZPLBSS9Z1SBOJ2" localSheetId="9" hidden="1">'Customer data'!#REF!</definedName>
    <definedName name="BExEZ1S6VZCG01ZPLBSS9Z1SBOJ2" localSheetId="8" hidden="1">'Largest debtors'!#REF!</definedName>
    <definedName name="BExEZ1S6VZCG01ZPLBSS9Z1SBOJ2" localSheetId="11" hidden="1">#REF!</definedName>
    <definedName name="BExEZ1S6VZCG01ZPLBSS9Z1SBOJ2" localSheetId="6" hidden="1">Stock!#REF!</definedName>
    <definedName name="BExEZ1S6VZCG01ZPLBSS9Z1SBOJ2" hidden="1">#REF!</definedName>
    <definedName name="BExEZGBFNJR8DLPN0V11AU22L6WY" localSheetId="7" hidden="1">'Aged debtors'!#REF!</definedName>
    <definedName name="BExEZGBFNJR8DLPN0V11AU22L6WY" localSheetId="10" hidden="1">#REF!</definedName>
    <definedName name="BExEZGBFNJR8DLPN0V11AU22L6WY" localSheetId="12" hidden="1">#REF!</definedName>
    <definedName name="BExEZGBFNJR8DLPN0V11AU22L6WY" localSheetId="9" hidden="1">'Customer data'!#REF!</definedName>
    <definedName name="BExEZGBFNJR8DLPN0V11AU22L6WY" localSheetId="8" hidden="1">'Largest debtors'!#REF!</definedName>
    <definedName name="BExEZGBFNJR8DLPN0V11AU22L6WY" localSheetId="11" hidden="1">#REF!</definedName>
    <definedName name="BExEZGBFNJR8DLPN0V11AU22L6WY" localSheetId="6" hidden="1">Stock!#REF!</definedName>
    <definedName name="BExEZGBFNJR8DLPN0V11AU22L6WY" hidden="1">#REF!</definedName>
    <definedName name="BExF02Y3V3QEPO2XLDSK47APK9XJ" localSheetId="7" hidden="1">'Aged debtors'!#REF!</definedName>
    <definedName name="BExF02Y3V3QEPO2XLDSK47APK9XJ" localSheetId="10" hidden="1">#REF!</definedName>
    <definedName name="BExF02Y3V3QEPO2XLDSK47APK9XJ" localSheetId="12" hidden="1">#REF!</definedName>
    <definedName name="BExF02Y3V3QEPO2XLDSK47APK9XJ" localSheetId="9" hidden="1">'Customer data'!#REF!</definedName>
    <definedName name="BExF02Y3V3QEPO2XLDSK47APK9XJ" localSheetId="8" hidden="1">'Largest debtors'!#REF!</definedName>
    <definedName name="BExF02Y3V3QEPO2XLDSK47APK9XJ" localSheetId="11" hidden="1">#REF!</definedName>
    <definedName name="BExF02Y3V3QEPO2XLDSK47APK9XJ" localSheetId="6" hidden="1">Stock!#REF!</definedName>
    <definedName name="BExF02Y3V3QEPO2XLDSK47APK9XJ" hidden="1">#REF!</definedName>
    <definedName name="BExF0WRM9VO25RLSO03ZOCE8H7K5" localSheetId="7" hidden="1">'Aged debtors'!#REF!</definedName>
    <definedName name="BExF0WRM9VO25RLSO03ZOCE8H7K5" localSheetId="10" hidden="1">#REF!</definedName>
    <definedName name="BExF0WRM9VO25RLSO03ZOCE8H7K5" localSheetId="12" hidden="1">#REF!</definedName>
    <definedName name="BExF0WRM9VO25RLSO03ZOCE8H7K5" localSheetId="9" hidden="1">'Customer data'!#REF!</definedName>
    <definedName name="BExF0WRM9VO25RLSO03ZOCE8H7K5" localSheetId="8" hidden="1">'Largest debtors'!#REF!</definedName>
    <definedName name="BExF0WRM9VO25RLSO03ZOCE8H7K5" localSheetId="11" hidden="1">#REF!</definedName>
    <definedName name="BExF0WRM9VO25RLSO03ZOCE8H7K5" localSheetId="6" hidden="1">Stock!#REF!</definedName>
    <definedName name="BExF0WRM9VO25RLSO03ZOCE8H7K5" hidden="1">#REF!</definedName>
    <definedName name="BExF19CT3MMZZ2T5EWMDNG3UOJ01" localSheetId="7" hidden="1">'Aged debtors'!#REF!</definedName>
    <definedName name="BExF19CT3MMZZ2T5EWMDNG3UOJ01" localSheetId="10" hidden="1">#REF!</definedName>
    <definedName name="BExF19CT3MMZZ2T5EWMDNG3UOJ01" localSheetId="12" hidden="1">#REF!</definedName>
    <definedName name="BExF19CT3MMZZ2T5EWMDNG3UOJ01" localSheetId="9" hidden="1">'Customer data'!#REF!</definedName>
    <definedName name="BExF19CT3MMZZ2T5EWMDNG3UOJ01" localSheetId="8" hidden="1">'Largest debtors'!#REF!</definedName>
    <definedName name="BExF19CT3MMZZ2T5EWMDNG3UOJ01" localSheetId="11" hidden="1">#REF!</definedName>
    <definedName name="BExF19CT3MMZZ2T5EWMDNG3UOJ01" localSheetId="6" hidden="1">Stock!#REF!</definedName>
    <definedName name="BExF19CT3MMZZ2T5EWMDNG3UOJ01" hidden="1">#REF!</definedName>
    <definedName name="BExF1M38U6NX17YJA8YU359B5Z4M" localSheetId="7" hidden="1">'Aged debtors'!#REF!</definedName>
    <definedName name="BExF1M38U6NX17YJA8YU359B5Z4M" localSheetId="10" hidden="1">#REF!</definedName>
    <definedName name="BExF1M38U6NX17YJA8YU359B5Z4M" localSheetId="12" hidden="1">#REF!</definedName>
    <definedName name="BExF1M38U6NX17YJA8YU359B5Z4M" localSheetId="9" hidden="1">'Customer data'!#REF!</definedName>
    <definedName name="BExF1M38U6NX17YJA8YU359B5Z4M" localSheetId="8" hidden="1">'Largest debtors'!#REF!</definedName>
    <definedName name="BExF1M38U6NX17YJA8YU359B5Z4M" localSheetId="11" hidden="1">#REF!</definedName>
    <definedName name="BExF1M38U6NX17YJA8YU359B5Z4M" localSheetId="6" hidden="1">Stock!#REF!</definedName>
    <definedName name="BExF1M38U6NX17YJA8YU359B5Z4M" hidden="1">#REF!</definedName>
    <definedName name="BExF1MU4W3NPEY0OHRDWP5IANCBB" localSheetId="7" hidden="1">'Aged debtors'!#REF!</definedName>
    <definedName name="BExF1MU4W3NPEY0OHRDWP5IANCBB" localSheetId="10" hidden="1">#REF!</definedName>
    <definedName name="BExF1MU4W3NPEY0OHRDWP5IANCBB" localSheetId="12" hidden="1">#REF!</definedName>
    <definedName name="BExF1MU4W3NPEY0OHRDWP5IANCBB" localSheetId="9" hidden="1">'Customer data'!#REF!</definedName>
    <definedName name="BExF1MU4W3NPEY0OHRDWP5IANCBB" localSheetId="8" hidden="1">'Largest debtors'!#REF!</definedName>
    <definedName name="BExF1MU4W3NPEY0OHRDWP5IANCBB" localSheetId="11" hidden="1">#REF!</definedName>
    <definedName name="BExF1MU4W3NPEY0OHRDWP5IANCBB" localSheetId="6" hidden="1">Stock!#REF!</definedName>
    <definedName name="BExF1MU4W3NPEY0OHRDWP5IANCBB" hidden="1">#REF!</definedName>
    <definedName name="BExF1MZN8MWMOKOARHJ1QAF9HPGT" localSheetId="7" hidden="1">'Aged debtors'!#REF!</definedName>
    <definedName name="BExF1MZN8MWMOKOARHJ1QAF9HPGT" localSheetId="10" hidden="1">#REF!</definedName>
    <definedName name="BExF1MZN8MWMOKOARHJ1QAF9HPGT" localSheetId="12" hidden="1">#REF!</definedName>
    <definedName name="BExF1MZN8MWMOKOARHJ1QAF9HPGT" localSheetId="9" hidden="1">'Customer data'!#REF!</definedName>
    <definedName name="BExF1MZN8MWMOKOARHJ1QAF9HPGT" localSheetId="8" hidden="1">'Largest debtors'!#REF!</definedName>
    <definedName name="BExF1MZN8MWMOKOARHJ1QAF9HPGT" localSheetId="11" hidden="1">#REF!</definedName>
    <definedName name="BExF1MZN8MWMOKOARHJ1QAF9HPGT" localSheetId="6" hidden="1">Stock!#REF!</definedName>
    <definedName name="BExF1MZN8MWMOKOARHJ1QAF9HPGT" hidden="1">#REF!</definedName>
    <definedName name="BExF1US4ZIQYSU5LBFYNRA9N0K2O" localSheetId="7" hidden="1">'Aged debtors'!#REF!</definedName>
    <definedName name="BExF1US4ZIQYSU5LBFYNRA9N0K2O" localSheetId="10" hidden="1">#REF!</definedName>
    <definedName name="BExF1US4ZIQYSU5LBFYNRA9N0K2O" localSheetId="12" hidden="1">#REF!</definedName>
    <definedName name="BExF1US4ZIQYSU5LBFYNRA9N0K2O" localSheetId="9" hidden="1">'Customer data'!#REF!</definedName>
    <definedName name="BExF1US4ZIQYSU5LBFYNRA9N0K2O" localSheetId="8" hidden="1">'Largest debtors'!#REF!</definedName>
    <definedName name="BExF1US4ZIQYSU5LBFYNRA9N0K2O" localSheetId="11" hidden="1">#REF!</definedName>
    <definedName name="BExF1US4ZIQYSU5LBFYNRA9N0K2O" localSheetId="6" hidden="1">Stock!#REF!</definedName>
    <definedName name="BExF1US4ZIQYSU5LBFYNRA9N0K2O" hidden="1">#REF!</definedName>
    <definedName name="BExF2CWZN6E87RGTBMD4YQI2QT7R" localSheetId="7" hidden="1">'Aged debtors'!#REF!</definedName>
    <definedName name="BExF2CWZN6E87RGTBMD4YQI2QT7R" localSheetId="10" hidden="1">#REF!</definedName>
    <definedName name="BExF2CWZN6E87RGTBMD4YQI2QT7R" localSheetId="12" hidden="1">#REF!</definedName>
    <definedName name="BExF2CWZN6E87RGTBMD4YQI2QT7R" localSheetId="9" hidden="1">'Customer data'!#REF!</definedName>
    <definedName name="BExF2CWZN6E87RGTBMD4YQI2QT7R" localSheetId="8" hidden="1">'Largest debtors'!#REF!</definedName>
    <definedName name="BExF2CWZN6E87RGTBMD4YQI2QT7R" localSheetId="11" hidden="1">#REF!</definedName>
    <definedName name="BExF2CWZN6E87RGTBMD4YQI2QT7R" localSheetId="6" hidden="1">Stock!#REF!</definedName>
    <definedName name="BExF2CWZN6E87RGTBMD4YQI2QT7R" hidden="1">#REF!</definedName>
    <definedName name="BExF2DYO1WQ7GMXSTAQRDBW1NSFG" localSheetId="7" hidden="1">'Aged debtors'!#REF!</definedName>
    <definedName name="BExF2DYO1WQ7GMXSTAQRDBW1NSFG" localSheetId="10" hidden="1">#REF!</definedName>
    <definedName name="BExF2DYO1WQ7GMXSTAQRDBW1NSFG" localSheetId="12" hidden="1">#REF!</definedName>
    <definedName name="BExF2DYO1WQ7GMXSTAQRDBW1NSFG" localSheetId="9" hidden="1">'Customer data'!#REF!</definedName>
    <definedName name="BExF2DYO1WQ7GMXSTAQRDBW1NSFG" localSheetId="8" hidden="1">'Largest debtors'!#REF!</definedName>
    <definedName name="BExF2DYO1WQ7GMXSTAQRDBW1NSFG" localSheetId="11" hidden="1">#REF!</definedName>
    <definedName name="BExF2DYO1WQ7GMXSTAQRDBW1NSFG" localSheetId="6" hidden="1">Stock!#REF!</definedName>
    <definedName name="BExF2DYO1WQ7GMXSTAQRDBW1NSFG" hidden="1">#REF!</definedName>
    <definedName name="BExF2MSWNUY9Z6BZJQZ538PPTION" localSheetId="7" hidden="1">'Aged debtors'!#REF!</definedName>
    <definedName name="BExF2MSWNUY9Z6BZJQZ538PPTION" localSheetId="10" hidden="1">#REF!</definedName>
    <definedName name="BExF2MSWNUY9Z6BZJQZ538PPTION" localSheetId="12" hidden="1">#REF!</definedName>
    <definedName name="BExF2MSWNUY9Z6BZJQZ538PPTION" localSheetId="9" hidden="1">'Customer data'!#REF!</definedName>
    <definedName name="BExF2MSWNUY9Z6BZJQZ538PPTION" localSheetId="8" hidden="1">'Largest debtors'!#REF!</definedName>
    <definedName name="BExF2MSWNUY9Z6BZJQZ538PPTION" localSheetId="11" hidden="1">#REF!</definedName>
    <definedName name="BExF2MSWNUY9Z6BZJQZ538PPTION" localSheetId="6" hidden="1">Stock!#REF!</definedName>
    <definedName name="BExF2MSWNUY9Z6BZJQZ538PPTION" hidden="1">#REF!</definedName>
    <definedName name="BExF2T8Y6TSJ74RMSZOA9CEH4OZ6" localSheetId="7" hidden="1">'Aged debtors'!#REF!</definedName>
    <definedName name="BExF2T8Y6TSJ74RMSZOA9CEH4OZ6" localSheetId="10" hidden="1">#REF!</definedName>
    <definedName name="BExF2T8Y6TSJ74RMSZOA9CEH4OZ6" localSheetId="12" hidden="1">#REF!</definedName>
    <definedName name="BExF2T8Y6TSJ74RMSZOA9CEH4OZ6" localSheetId="9" hidden="1">'Customer data'!#REF!</definedName>
    <definedName name="BExF2T8Y6TSJ74RMSZOA9CEH4OZ6" localSheetId="8" hidden="1">'Largest debtors'!#REF!</definedName>
    <definedName name="BExF2T8Y6TSJ74RMSZOA9CEH4OZ6" localSheetId="11" hidden="1">#REF!</definedName>
    <definedName name="BExF2T8Y6TSJ74RMSZOA9CEH4OZ6" localSheetId="6" hidden="1">Stock!#REF!</definedName>
    <definedName name="BExF2T8Y6TSJ74RMSZOA9CEH4OZ6" hidden="1">#REF!</definedName>
    <definedName name="BExF37C1YKBT79Z9SOJAG5MXQGTU" localSheetId="7" hidden="1">'Aged debtors'!#REF!</definedName>
    <definedName name="BExF37C1YKBT79Z9SOJAG5MXQGTU" localSheetId="10" hidden="1">#REF!</definedName>
    <definedName name="BExF37C1YKBT79Z9SOJAG5MXQGTU" localSheetId="12" hidden="1">#REF!</definedName>
    <definedName name="BExF37C1YKBT79Z9SOJAG5MXQGTU" localSheetId="9" hidden="1">'Customer data'!#REF!</definedName>
    <definedName name="BExF37C1YKBT79Z9SOJAG5MXQGTU" localSheetId="8" hidden="1">'Largest debtors'!#REF!</definedName>
    <definedName name="BExF37C1YKBT79Z9SOJAG5MXQGTU" localSheetId="11" hidden="1">#REF!</definedName>
    <definedName name="BExF37C1YKBT79Z9SOJAG5MXQGTU" localSheetId="6" hidden="1">Stock!#REF!</definedName>
    <definedName name="BExF37C1YKBT79Z9SOJAG5MXQGTU" hidden="1">#REF!</definedName>
    <definedName name="BExF3A6HPA6DGYALZNHHJPMCUYZR" localSheetId="7" hidden="1">'Aged debtors'!#REF!</definedName>
    <definedName name="BExF3A6HPA6DGYALZNHHJPMCUYZR" localSheetId="10" hidden="1">#REF!</definedName>
    <definedName name="BExF3A6HPA6DGYALZNHHJPMCUYZR" localSheetId="12" hidden="1">#REF!</definedName>
    <definedName name="BExF3A6HPA6DGYALZNHHJPMCUYZR" localSheetId="9" hidden="1">'Customer data'!#REF!</definedName>
    <definedName name="BExF3A6HPA6DGYALZNHHJPMCUYZR" localSheetId="8" hidden="1">'Largest debtors'!#REF!</definedName>
    <definedName name="BExF3A6HPA6DGYALZNHHJPMCUYZR" localSheetId="11" hidden="1">#REF!</definedName>
    <definedName name="BExF3A6HPA6DGYALZNHHJPMCUYZR" localSheetId="6" hidden="1">Stock!#REF!</definedName>
    <definedName name="BExF3A6HPA6DGYALZNHHJPMCUYZR" hidden="1">#REF!</definedName>
    <definedName name="BExF3LV9CUBICNV2O2E5KBVIJUSX" localSheetId="7" hidden="1">'Aged debtors'!#REF!</definedName>
    <definedName name="BExF3LV9CUBICNV2O2E5KBVIJUSX" localSheetId="10" hidden="1">#REF!</definedName>
    <definedName name="BExF3LV9CUBICNV2O2E5KBVIJUSX" localSheetId="12" hidden="1">#REF!</definedName>
    <definedName name="BExF3LV9CUBICNV2O2E5KBVIJUSX" localSheetId="9" hidden="1">'Customer data'!#REF!</definedName>
    <definedName name="BExF3LV9CUBICNV2O2E5KBVIJUSX" localSheetId="8" hidden="1">'Largest debtors'!#REF!</definedName>
    <definedName name="BExF3LV9CUBICNV2O2E5KBVIJUSX" localSheetId="11" hidden="1">#REF!</definedName>
    <definedName name="BExF3LV9CUBICNV2O2E5KBVIJUSX" localSheetId="6" hidden="1">Stock!#REF!</definedName>
    <definedName name="BExF3LV9CUBICNV2O2E5KBVIJUSX" hidden="1">#REF!</definedName>
    <definedName name="BExF3NTC4BGZEM6B87TCFX277QCS" localSheetId="7" hidden="1">'Aged debtors'!#REF!</definedName>
    <definedName name="BExF3NTC4BGZEM6B87TCFX277QCS" localSheetId="10" hidden="1">#REF!</definedName>
    <definedName name="BExF3NTC4BGZEM6B87TCFX277QCS" localSheetId="12" hidden="1">#REF!</definedName>
    <definedName name="BExF3NTC4BGZEM6B87TCFX277QCS" localSheetId="9" hidden="1">'Customer data'!#REF!</definedName>
    <definedName name="BExF3NTC4BGZEM6B87TCFX277QCS" localSheetId="8" hidden="1">'Largest debtors'!#REF!</definedName>
    <definedName name="BExF3NTC4BGZEM6B87TCFX277QCS" localSheetId="11" hidden="1">#REF!</definedName>
    <definedName name="BExF3NTC4BGZEM6B87TCFX277QCS" localSheetId="6" hidden="1">Stock!#REF!</definedName>
    <definedName name="BExF3NTC4BGZEM6B87TCFX277QCS" hidden="1">#REF!</definedName>
    <definedName name="BExF3Q7NI90WT31QHYSJDIG0LLLJ" localSheetId="7" hidden="1">'Aged debtors'!#REF!</definedName>
    <definedName name="BExF3Q7NI90WT31QHYSJDIG0LLLJ" localSheetId="10" hidden="1">#REF!</definedName>
    <definedName name="BExF3Q7NI90WT31QHYSJDIG0LLLJ" localSheetId="12" hidden="1">#REF!</definedName>
    <definedName name="BExF3Q7NI90WT31QHYSJDIG0LLLJ" localSheetId="9" hidden="1">'Customer data'!#REF!</definedName>
    <definedName name="BExF3Q7NI90WT31QHYSJDIG0LLLJ" localSheetId="8" hidden="1">'Largest debtors'!#REF!</definedName>
    <definedName name="BExF3Q7NI90WT31QHYSJDIG0LLLJ" localSheetId="11" hidden="1">#REF!</definedName>
    <definedName name="BExF3Q7NI90WT31QHYSJDIG0LLLJ" localSheetId="6" hidden="1">Stock!#REF!</definedName>
    <definedName name="BExF3Q7NI90WT31QHYSJDIG0LLLJ" hidden="1">#REF!</definedName>
    <definedName name="BExF3QD55TIY1MSBSRK9TUJKBEWO" localSheetId="7" hidden="1">'Aged debtors'!#REF!</definedName>
    <definedName name="BExF3QD55TIY1MSBSRK9TUJKBEWO" localSheetId="10" hidden="1">#REF!</definedName>
    <definedName name="BExF3QD55TIY1MSBSRK9TUJKBEWO" localSheetId="12" hidden="1">#REF!</definedName>
    <definedName name="BExF3QD55TIY1MSBSRK9TUJKBEWO" localSheetId="9" hidden="1">'Customer data'!#REF!</definedName>
    <definedName name="BExF3QD55TIY1MSBSRK9TUJKBEWO" localSheetId="8" hidden="1">'Largest debtors'!#REF!</definedName>
    <definedName name="BExF3QD55TIY1MSBSRK9TUJKBEWO" localSheetId="11" hidden="1">#REF!</definedName>
    <definedName name="BExF3QD55TIY1MSBSRK9TUJKBEWO" localSheetId="6" hidden="1">Stock!#REF!</definedName>
    <definedName name="BExF3QD55TIY1MSBSRK9TUJKBEWO" hidden="1">#REF!</definedName>
    <definedName name="BExF3QT8J6RIF1L3R700MBSKIOKW" localSheetId="7" hidden="1">'Aged debtors'!#REF!</definedName>
    <definedName name="BExF3QT8J6RIF1L3R700MBSKIOKW" localSheetId="10" hidden="1">#REF!</definedName>
    <definedName name="BExF3QT8J6RIF1L3R700MBSKIOKW" localSheetId="12" hidden="1">#REF!</definedName>
    <definedName name="BExF3QT8J6RIF1L3R700MBSKIOKW" localSheetId="9" hidden="1">'Customer data'!#REF!</definedName>
    <definedName name="BExF3QT8J6RIF1L3R700MBSKIOKW" localSheetId="8" hidden="1">'Largest debtors'!#REF!</definedName>
    <definedName name="BExF3QT8J6RIF1L3R700MBSKIOKW" localSheetId="11" hidden="1">#REF!</definedName>
    <definedName name="BExF3QT8J6RIF1L3R700MBSKIOKW" localSheetId="6" hidden="1">Stock!#REF!</definedName>
    <definedName name="BExF3QT8J6RIF1L3R700MBSKIOKW" hidden="1">#REF!</definedName>
    <definedName name="BExF42SSBVPMLK2UB3B7FPEIY9TU" localSheetId="7" hidden="1">'Aged debtors'!#REF!</definedName>
    <definedName name="BExF42SSBVPMLK2UB3B7FPEIY9TU" localSheetId="10" hidden="1">#REF!</definedName>
    <definedName name="BExF42SSBVPMLK2UB3B7FPEIY9TU" localSheetId="12" hidden="1">#REF!</definedName>
    <definedName name="BExF42SSBVPMLK2UB3B7FPEIY9TU" localSheetId="9" hidden="1">'Customer data'!#REF!</definedName>
    <definedName name="BExF42SSBVPMLK2UB3B7FPEIY9TU" localSheetId="8" hidden="1">'Largest debtors'!#REF!</definedName>
    <definedName name="BExF42SSBVPMLK2UB3B7FPEIY9TU" localSheetId="11" hidden="1">#REF!</definedName>
    <definedName name="BExF42SSBVPMLK2UB3B7FPEIY9TU" localSheetId="6" hidden="1">Stock!#REF!</definedName>
    <definedName name="BExF42SSBVPMLK2UB3B7FPEIY9TU" hidden="1">#REF!</definedName>
    <definedName name="BExF4HXSWB50BKYPWA0HTT8W56H6" localSheetId="7" hidden="1">'Aged debtors'!#REF!</definedName>
    <definedName name="BExF4HXSWB50BKYPWA0HTT8W56H6" localSheetId="10" hidden="1">#REF!</definedName>
    <definedName name="BExF4HXSWB50BKYPWA0HTT8W56H6" localSheetId="12" hidden="1">#REF!</definedName>
    <definedName name="BExF4HXSWB50BKYPWA0HTT8W56H6" localSheetId="9" hidden="1">'Customer data'!#REF!</definedName>
    <definedName name="BExF4HXSWB50BKYPWA0HTT8W56H6" localSheetId="8" hidden="1">'Largest debtors'!#REF!</definedName>
    <definedName name="BExF4HXSWB50BKYPWA0HTT8W56H6" localSheetId="11" hidden="1">#REF!</definedName>
    <definedName name="BExF4HXSWB50BKYPWA0HTT8W56H6" localSheetId="6" hidden="1">Stock!#REF!</definedName>
    <definedName name="BExF4HXSWB50BKYPWA0HTT8W56H6" hidden="1">#REF!</definedName>
    <definedName name="BExF4KHF04IWW4LQ95FHQPFE4Y9K" localSheetId="7" hidden="1">'Aged debtors'!#REF!</definedName>
    <definedName name="BExF4KHF04IWW4LQ95FHQPFE4Y9K" localSheetId="10" hidden="1">#REF!</definedName>
    <definedName name="BExF4KHF04IWW4LQ95FHQPFE4Y9K" localSheetId="12" hidden="1">#REF!</definedName>
    <definedName name="BExF4KHF04IWW4LQ95FHQPFE4Y9K" localSheetId="9" hidden="1">'Customer data'!#REF!</definedName>
    <definedName name="BExF4KHF04IWW4LQ95FHQPFE4Y9K" localSheetId="8" hidden="1">'Largest debtors'!#REF!</definedName>
    <definedName name="BExF4KHF04IWW4LQ95FHQPFE4Y9K" localSheetId="11" hidden="1">#REF!</definedName>
    <definedName name="BExF4KHF04IWW4LQ95FHQPFE4Y9K" localSheetId="6" hidden="1">Stock!#REF!</definedName>
    <definedName name="BExF4KHF04IWW4LQ95FHQPFE4Y9K" hidden="1">#REF!</definedName>
    <definedName name="BExF4MVQM5Y0QRDLDFSKWWTF709C" localSheetId="7" hidden="1">'Aged debtors'!#REF!</definedName>
    <definedName name="BExF4MVQM5Y0QRDLDFSKWWTF709C" localSheetId="10" hidden="1">#REF!</definedName>
    <definedName name="BExF4MVQM5Y0QRDLDFSKWWTF709C" localSheetId="12" hidden="1">#REF!</definedName>
    <definedName name="BExF4MVQM5Y0QRDLDFSKWWTF709C" localSheetId="9" hidden="1">'Customer data'!#REF!</definedName>
    <definedName name="BExF4MVQM5Y0QRDLDFSKWWTF709C" localSheetId="8" hidden="1">'Largest debtors'!#REF!</definedName>
    <definedName name="BExF4MVQM5Y0QRDLDFSKWWTF709C" localSheetId="11" hidden="1">#REF!</definedName>
    <definedName name="BExF4MVQM5Y0QRDLDFSKWWTF709C" localSheetId="6" hidden="1">Stock!#REF!</definedName>
    <definedName name="BExF4MVQM5Y0QRDLDFSKWWTF709C" hidden="1">#REF!</definedName>
    <definedName name="BExF52GTGP8MHGII4KJ8TJGR8W8U" localSheetId="7" hidden="1">'Aged debtors'!#REF!</definedName>
    <definedName name="BExF52GTGP8MHGII4KJ8TJGR8W8U" localSheetId="10" hidden="1">#REF!</definedName>
    <definedName name="BExF52GTGP8MHGII4KJ8TJGR8W8U" localSheetId="12" hidden="1">#REF!</definedName>
    <definedName name="BExF52GTGP8MHGII4KJ8TJGR8W8U" localSheetId="9" hidden="1">'Customer data'!#REF!</definedName>
    <definedName name="BExF52GTGP8MHGII4KJ8TJGR8W8U" localSheetId="8" hidden="1">'Largest debtors'!#REF!</definedName>
    <definedName name="BExF52GTGP8MHGII4KJ8TJGR8W8U" localSheetId="11" hidden="1">#REF!</definedName>
    <definedName name="BExF52GTGP8MHGII4KJ8TJGR8W8U" localSheetId="6" hidden="1">Stock!#REF!</definedName>
    <definedName name="BExF52GTGP8MHGII4KJ8TJGR8W8U" hidden="1">#REF!</definedName>
    <definedName name="BExF57K7L3UC1I2FSAWURR4SN0UN" localSheetId="7" hidden="1">'Aged debtors'!#REF!</definedName>
    <definedName name="BExF57K7L3UC1I2FSAWURR4SN0UN" localSheetId="10" hidden="1">#REF!</definedName>
    <definedName name="BExF57K7L3UC1I2FSAWURR4SN0UN" localSheetId="12" hidden="1">#REF!</definedName>
    <definedName name="BExF57K7L3UC1I2FSAWURR4SN0UN" localSheetId="9" hidden="1">'Customer data'!#REF!</definedName>
    <definedName name="BExF57K7L3UC1I2FSAWURR4SN0UN" localSheetId="8" hidden="1">'Largest debtors'!#REF!</definedName>
    <definedName name="BExF57K7L3UC1I2FSAWURR4SN0UN" localSheetId="11" hidden="1">#REF!</definedName>
    <definedName name="BExF57K7L3UC1I2FSAWURR4SN0UN" localSheetId="6" hidden="1">Stock!#REF!</definedName>
    <definedName name="BExF57K7L3UC1I2FSAWURR4SN0UN" hidden="1">#REF!</definedName>
    <definedName name="BExF5HR2GFV7O8LKG9SJ4BY78LYA" localSheetId="7" hidden="1">'Aged debtors'!#REF!</definedName>
    <definedName name="BExF5HR2GFV7O8LKG9SJ4BY78LYA" localSheetId="10" hidden="1">#REF!</definedName>
    <definedName name="BExF5HR2GFV7O8LKG9SJ4BY78LYA" localSheetId="12" hidden="1">#REF!</definedName>
    <definedName name="BExF5HR2GFV7O8LKG9SJ4BY78LYA" localSheetId="9" hidden="1">'Customer data'!#REF!</definedName>
    <definedName name="BExF5HR2GFV7O8LKG9SJ4BY78LYA" localSheetId="8" hidden="1">'Largest debtors'!#REF!</definedName>
    <definedName name="BExF5HR2GFV7O8LKG9SJ4BY78LYA" localSheetId="11" hidden="1">#REF!</definedName>
    <definedName name="BExF5HR2GFV7O8LKG9SJ4BY78LYA" localSheetId="6" hidden="1">Stock!#REF!</definedName>
    <definedName name="BExF5HR2GFV7O8LKG9SJ4BY78LYA" hidden="1">#REF!</definedName>
    <definedName name="BExF5ZFO2A29GHWR5ES64Z9OS16J" localSheetId="7" hidden="1">'Aged debtors'!#REF!</definedName>
    <definedName name="BExF5ZFO2A29GHWR5ES64Z9OS16J" localSheetId="10" hidden="1">#REF!</definedName>
    <definedName name="BExF5ZFO2A29GHWR5ES64Z9OS16J" localSheetId="12" hidden="1">#REF!</definedName>
    <definedName name="BExF5ZFO2A29GHWR5ES64Z9OS16J" localSheetId="9" hidden="1">'Customer data'!#REF!</definedName>
    <definedName name="BExF5ZFO2A29GHWR5ES64Z9OS16J" localSheetId="8" hidden="1">'Largest debtors'!#REF!</definedName>
    <definedName name="BExF5ZFO2A29GHWR5ES64Z9OS16J" localSheetId="11" hidden="1">#REF!</definedName>
    <definedName name="BExF5ZFO2A29GHWR5ES64Z9OS16J" localSheetId="6" hidden="1">Stock!#REF!</definedName>
    <definedName name="BExF5ZFO2A29GHWR5ES64Z9OS16J" hidden="1">#REF!</definedName>
    <definedName name="BExF63S045JO7H2ZJCBTBVH3SUIF" localSheetId="7" hidden="1">'Aged debtors'!#REF!</definedName>
    <definedName name="BExF63S045JO7H2ZJCBTBVH3SUIF" localSheetId="10" hidden="1">#REF!</definedName>
    <definedName name="BExF63S045JO7H2ZJCBTBVH3SUIF" localSheetId="12" hidden="1">#REF!</definedName>
    <definedName name="BExF63S045JO7H2ZJCBTBVH3SUIF" localSheetId="9" hidden="1">'Customer data'!#REF!</definedName>
    <definedName name="BExF63S045JO7H2ZJCBTBVH3SUIF" localSheetId="8" hidden="1">'Largest debtors'!#REF!</definedName>
    <definedName name="BExF63S045JO7H2ZJCBTBVH3SUIF" localSheetId="11" hidden="1">#REF!</definedName>
    <definedName name="BExF63S045JO7H2ZJCBTBVH3SUIF" localSheetId="6" hidden="1">Stock!#REF!</definedName>
    <definedName name="BExF63S045JO7H2ZJCBTBVH3SUIF" hidden="1">#REF!</definedName>
    <definedName name="BExF642TEGTXCI9A61ZOONJCB0U1" localSheetId="7" hidden="1">'Aged debtors'!#REF!</definedName>
    <definedName name="BExF642TEGTXCI9A61ZOONJCB0U1" localSheetId="10" hidden="1">#REF!</definedName>
    <definedName name="BExF642TEGTXCI9A61ZOONJCB0U1" localSheetId="12" hidden="1">#REF!</definedName>
    <definedName name="BExF642TEGTXCI9A61ZOONJCB0U1" localSheetId="9" hidden="1">'Customer data'!#REF!</definedName>
    <definedName name="BExF642TEGTXCI9A61ZOONJCB0U1" localSheetId="8" hidden="1">'Largest debtors'!#REF!</definedName>
    <definedName name="BExF642TEGTXCI9A61ZOONJCB0U1" localSheetId="11" hidden="1">#REF!</definedName>
    <definedName name="BExF642TEGTXCI9A61ZOONJCB0U1" localSheetId="6" hidden="1">Stock!#REF!</definedName>
    <definedName name="BExF642TEGTXCI9A61ZOONJCB0U1" hidden="1">#REF!</definedName>
    <definedName name="BExF67O951CF8UJF3KBDNR0E83C1" localSheetId="7" hidden="1">'Aged debtors'!#REF!</definedName>
    <definedName name="BExF67O951CF8UJF3KBDNR0E83C1" localSheetId="10" hidden="1">#REF!</definedName>
    <definedName name="BExF67O951CF8UJF3KBDNR0E83C1" localSheetId="12" hidden="1">#REF!</definedName>
    <definedName name="BExF67O951CF8UJF3KBDNR0E83C1" localSheetId="9" hidden="1">'Customer data'!#REF!</definedName>
    <definedName name="BExF67O951CF8UJF3KBDNR0E83C1" localSheetId="8" hidden="1">'Largest debtors'!#REF!</definedName>
    <definedName name="BExF67O951CF8UJF3KBDNR0E83C1" localSheetId="11" hidden="1">#REF!</definedName>
    <definedName name="BExF67O951CF8UJF3KBDNR0E83C1" localSheetId="6" hidden="1">Stock!#REF!</definedName>
    <definedName name="BExF67O951CF8UJF3KBDNR0E83C1" hidden="1">#REF!</definedName>
    <definedName name="BExF6FGUF393KTMBT40S5BYAFG00" localSheetId="7" hidden="1">'Aged debtors'!#REF!</definedName>
    <definedName name="BExF6FGUF393KTMBT40S5BYAFG00" localSheetId="10" hidden="1">#REF!</definedName>
    <definedName name="BExF6FGUF393KTMBT40S5BYAFG00" localSheetId="12" hidden="1">#REF!</definedName>
    <definedName name="BExF6FGUF393KTMBT40S5BYAFG00" localSheetId="9" hidden="1">'Customer data'!#REF!</definedName>
    <definedName name="BExF6FGUF393KTMBT40S5BYAFG00" localSheetId="8" hidden="1">'Largest debtors'!#REF!</definedName>
    <definedName name="BExF6FGUF393KTMBT40S5BYAFG00" localSheetId="11" hidden="1">#REF!</definedName>
    <definedName name="BExF6FGUF393KTMBT40S5BYAFG00" localSheetId="6" hidden="1">Stock!#REF!</definedName>
    <definedName name="BExF6FGUF393KTMBT40S5BYAFG00" hidden="1">#REF!</definedName>
    <definedName name="BExF6GNYXWY8A0SY4PW1B6KJMMTM" localSheetId="7" hidden="1">'Aged debtors'!#REF!</definedName>
    <definedName name="BExF6GNYXWY8A0SY4PW1B6KJMMTM" localSheetId="10" hidden="1">#REF!</definedName>
    <definedName name="BExF6GNYXWY8A0SY4PW1B6KJMMTM" localSheetId="12" hidden="1">#REF!</definedName>
    <definedName name="BExF6GNYXWY8A0SY4PW1B6KJMMTM" localSheetId="9" hidden="1">'Customer data'!#REF!</definedName>
    <definedName name="BExF6GNYXWY8A0SY4PW1B6KJMMTM" localSheetId="8" hidden="1">'Largest debtors'!#REF!</definedName>
    <definedName name="BExF6GNYXWY8A0SY4PW1B6KJMMTM" localSheetId="11" hidden="1">#REF!</definedName>
    <definedName name="BExF6GNYXWY8A0SY4PW1B6KJMMTM" localSheetId="6" hidden="1">Stock!#REF!</definedName>
    <definedName name="BExF6GNYXWY8A0SY4PW1B6KJMMTM" hidden="1">#REF!</definedName>
    <definedName name="BExF6IB8K74Z0AFT05GPOKKZW7C9" localSheetId="7" hidden="1">'Aged debtors'!#REF!</definedName>
    <definedName name="BExF6IB8K74Z0AFT05GPOKKZW7C9" localSheetId="10" hidden="1">#REF!</definedName>
    <definedName name="BExF6IB8K74Z0AFT05GPOKKZW7C9" localSheetId="12" hidden="1">#REF!</definedName>
    <definedName name="BExF6IB8K74Z0AFT05GPOKKZW7C9" localSheetId="9" hidden="1">'Customer data'!#REF!</definedName>
    <definedName name="BExF6IB8K74Z0AFT05GPOKKZW7C9" localSheetId="8" hidden="1">'Largest debtors'!#REF!</definedName>
    <definedName name="BExF6IB8K74Z0AFT05GPOKKZW7C9" localSheetId="11" hidden="1">#REF!</definedName>
    <definedName name="BExF6IB8K74Z0AFT05GPOKKZW7C9" localSheetId="6" hidden="1">Stock!#REF!</definedName>
    <definedName name="BExF6IB8K74Z0AFT05GPOKKZW7C9" hidden="1">#REF!</definedName>
    <definedName name="BExF6ZE8D5CMPJPRWT6S4HM56LPF" localSheetId="7" hidden="1">'Aged debtors'!#REF!</definedName>
    <definedName name="BExF6ZE8D5CMPJPRWT6S4HM56LPF" localSheetId="10" hidden="1">#REF!</definedName>
    <definedName name="BExF6ZE8D5CMPJPRWT6S4HM56LPF" localSheetId="12" hidden="1">#REF!</definedName>
    <definedName name="BExF6ZE8D5CMPJPRWT6S4HM56LPF" localSheetId="9" hidden="1">'Customer data'!#REF!</definedName>
    <definedName name="BExF6ZE8D5CMPJPRWT6S4HM56LPF" localSheetId="8" hidden="1">'Largest debtors'!#REF!</definedName>
    <definedName name="BExF6ZE8D5CMPJPRWT6S4HM56LPF" localSheetId="11" hidden="1">#REF!</definedName>
    <definedName name="BExF6ZE8D5CMPJPRWT6S4HM56LPF" localSheetId="6" hidden="1">Stock!#REF!</definedName>
    <definedName name="BExF6ZE8D5CMPJPRWT6S4HM56LPF" hidden="1">#REF!</definedName>
    <definedName name="BExF7K88K7ASGV6RAOAGH52G04VR" localSheetId="7" hidden="1">'Aged debtors'!#REF!</definedName>
    <definedName name="BExF7K88K7ASGV6RAOAGH52G04VR" localSheetId="10" hidden="1">#REF!</definedName>
    <definedName name="BExF7K88K7ASGV6RAOAGH52G04VR" localSheetId="12" hidden="1">#REF!</definedName>
    <definedName name="BExF7K88K7ASGV6RAOAGH52G04VR" localSheetId="9" hidden="1">'Customer data'!#REF!</definedName>
    <definedName name="BExF7K88K7ASGV6RAOAGH52G04VR" localSheetId="8" hidden="1">'Largest debtors'!#REF!</definedName>
    <definedName name="BExF7K88K7ASGV6RAOAGH52G04VR" localSheetId="11" hidden="1">#REF!</definedName>
    <definedName name="BExF7K88K7ASGV6RAOAGH52G04VR" localSheetId="6" hidden="1">Stock!#REF!</definedName>
    <definedName name="BExF7K88K7ASGV6RAOAGH52G04VR" hidden="1">#REF!</definedName>
    <definedName name="BExF7OVDRP3LHNAF2CX4V84CKKIR" localSheetId="7" hidden="1">'Aged debtors'!#REF!</definedName>
    <definedName name="BExF7OVDRP3LHNAF2CX4V84CKKIR" localSheetId="10" hidden="1">#REF!</definedName>
    <definedName name="BExF7OVDRP3LHNAF2CX4V84CKKIR" localSheetId="12" hidden="1">#REF!</definedName>
    <definedName name="BExF7OVDRP3LHNAF2CX4V84CKKIR" localSheetId="9" hidden="1">'Customer data'!#REF!</definedName>
    <definedName name="BExF7OVDRP3LHNAF2CX4V84CKKIR" localSheetId="8" hidden="1">'Largest debtors'!#REF!</definedName>
    <definedName name="BExF7OVDRP3LHNAF2CX4V84CKKIR" localSheetId="11" hidden="1">#REF!</definedName>
    <definedName name="BExF7OVDRP3LHNAF2CX4V84CKKIR" localSheetId="6" hidden="1">Stock!#REF!</definedName>
    <definedName name="BExF7OVDRP3LHNAF2CX4V84CKKIR" hidden="1">#REF!</definedName>
    <definedName name="BExF7QO41X2A2SL8UXDNP99GY7U9" localSheetId="7" hidden="1">'Aged debtors'!#REF!</definedName>
    <definedName name="BExF7QO41X2A2SL8UXDNP99GY7U9" localSheetId="10" hidden="1">#REF!</definedName>
    <definedName name="BExF7QO41X2A2SL8UXDNP99GY7U9" localSheetId="12" hidden="1">#REF!</definedName>
    <definedName name="BExF7QO41X2A2SL8UXDNP99GY7U9" localSheetId="9" hidden="1">'Customer data'!#REF!</definedName>
    <definedName name="BExF7QO41X2A2SL8UXDNP99GY7U9" localSheetId="8" hidden="1">'Largest debtors'!#REF!</definedName>
    <definedName name="BExF7QO41X2A2SL8UXDNP99GY7U9" localSheetId="11" hidden="1">#REF!</definedName>
    <definedName name="BExF7QO41X2A2SL8UXDNP99GY7U9" localSheetId="6" hidden="1">Stock!#REF!</definedName>
    <definedName name="BExF7QO41X2A2SL8UXDNP99GY7U9" hidden="1">#REF!</definedName>
    <definedName name="BExF81GI8B8WBHXFTET68A9358BR" localSheetId="7" hidden="1">'Aged debtors'!#REF!</definedName>
    <definedName name="BExF81GI8B8WBHXFTET68A9358BR" localSheetId="10" hidden="1">#REF!</definedName>
    <definedName name="BExF81GI8B8WBHXFTET68A9358BR" localSheetId="12" hidden="1">#REF!</definedName>
    <definedName name="BExF81GI8B8WBHXFTET68A9358BR" localSheetId="9" hidden="1">'Customer data'!#REF!</definedName>
    <definedName name="BExF81GI8B8WBHXFTET68A9358BR" localSheetId="8" hidden="1">'Largest debtors'!#REF!</definedName>
    <definedName name="BExF81GI8B8WBHXFTET68A9358BR" localSheetId="11" hidden="1">#REF!</definedName>
    <definedName name="BExF81GI8B8WBHXFTET68A9358BR" localSheetId="6" hidden="1">Stock!#REF!</definedName>
    <definedName name="BExF81GI8B8WBHXFTET68A9358BR" hidden="1">#REF!</definedName>
    <definedName name="BExGL97US0Y3KXXASUTVR26XLT70" localSheetId="7" hidden="1">'Aged debtors'!#REF!</definedName>
    <definedName name="BExGL97US0Y3KXXASUTVR26XLT70" localSheetId="10" hidden="1">#REF!</definedName>
    <definedName name="BExGL97US0Y3KXXASUTVR26XLT70" localSheetId="12" hidden="1">#REF!</definedName>
    <definedName name="BExGL97US0Y3KXXASUTVR26XLT70" localSheetId="9" hidden="1">'Customer data'!#REF!</definedName>
    <definedName name="BExGL97US0Y3KXXASUTVR26XLT70" localSheetId="8" hidden="1">'Largest debtors'!#REF!</definedName>
    <definedName name="BExGL97US0Y3KXXASUTVR26XLT70" localSheetId="11" hidden="1">#REF!</definedName>
    <definedName name="BExGL97US0Y3KXXASUTVR26XLT70" localSheetId="6" hidden="1">Stock!#REF!</definedName>
    <definedName name="BExGL97US0Y3KXXASUTVR26XLT70" hidden="1">#REF!</definedName>
    <definedName name="BExGLFIF7HCFSHNQHKEV6RY0WCO3" localSheetId="7" hidden="1">'Aged debtors'!#REF!</definedName>
    <definedName name="BExGLFIF7HCFSHNQHKEV6RY0WCO3" localSheetId="10" hidden="1">#REF!</definedName>
    <definedName name="BExGLFIF7HCFSHNQHKEV6RY0WCO3" localSheetId="12" hidden="1">#REF!</definedName>
    <definedName name="BExGLFIF7HCFSHNQHKEV6RY0WCO3" localSheetId="9" hidden="1">'Customer data'!#REF!</definedName>
    <definedName name="BExGLFIF7HCFSHNQHKEV6RY0WCO3" localSheetId="8" hidden="1">'Largest debtors'!#REF!</definedName>
    <definedName name="BExGLFIF7HCFSHNQHKEV6RY0WCO3" localSheetId="11" hidden="1">#REF!</definedName>
    <definedName name="BExGLFIF7HCFSHNQHKEV6RY0WCO3" localSheetId="6" hidden="1">Stock!#REF!</definedName>
    <definedName name="BExGLFIF7HCFSHNQHKEV6RY0WCO3" hidden="1">#REF!</definedName>
    <definedName name="BExGLTARRL0J772UD2TXEYAVPY6E" localSheetId="7" hidden="1">'Aged debtors'!#REF!</definedName>
    <definedName name="BExGLTARRL0J772UD2TXEYAVPY6E" localSheetId="10" hidden="1">#REF!</definedName>
    <definedName name="BExGLTARRL0J772UD2TXEYAVPY6E" localSheetId="12" hidden="1">#REF!</definedName>
    <definedName name="BExGLTARRL0J772UD2TXEYAVPY6E" localSheetId="9" hidden="1">'Customer data'!#REF!</definedName>
    <definedName name="BExGLTARRL0J772UD2TXEYAVPY6E" localSheetId="8" hidden="1">'Largest debtors'!#REF!</definedName>
    <definedName name="BExGLTARRL0J772UD2TXEYAVPY6E" localSheetId="11" hidden="1">#REF!</definedName>
    <definedName name="BExGLTARRL0J772UD2TXEYAVPY6E" localSheetId="6" hidden="1">Stock!#REF!</definedName>
    <definedName name="BExGLTARRL0J772UD2TXEYAVPY6E" hidden="1">#REF!</definedName>
    <definedName name="BExGLYE6RZTAAWHJBG2QFJPTDS2Q" localSheetId="7" hidden="1">'Aged debtors'!#REF!</definedName>
    <definedName name="BExGLYE6RZTAAWHJBG2QFJPTDS2Q" localSheetId="10" hidden="1">#REF!</definedName>
    <definedName name="BExGLYE6RZTAAWHJBG2QFJPTDS2Q" localSheetId="12" hidden="1">#REF!</definedName>
    <definedName name="BExGLYE6RZTAAWHJBG2QFJPTDS2Q" localSheetId="9" hidden="1">'Customer data'!#REF!</definedName>
    <definedName name="BExGLYE6RZTAAWHJBG2QFJPTDS2Q" localSheetId="8" hidden="1">'Largest debtors'!#REF!</definedName>
    <definedName name="BExGLYE6RZTAAWHJBG2QFJPTDS2Q" localSheetId="11" hidden="1">#REF!</definedName>
    <definedName name="BExGLYE6RZTAAWHJBG2QFJPTDS2Q" localSheetId="6" hidden="1">Stock!#REF!</definedName>
    <definedName name="BExGLYE6RZTAAWHJBG2QFJPTDS2Q" hidden="1">#REF!</definedName>
    <definedName name="BExGM4DZ65OAQP7MA4LN6QMYZOFF" localSheetId="7" hidden="1">'Aged debtors'!#REF!</definedName>
    <definedName name="BExGM4DZ65OAQP7MA4LN6QMYZOFF" localSheetId="10" hidden="1">#REF!</definedName>
    <definedName name="BExGM4DZ65OAQP7MA4LN6QMYZOFF" localSheetId="12" hidden="1">#REF!</definedName>
    <definedName name="BExGM4DZ65OAQP7MA4LN6QMYZOFF" localSheetId="9" hidden="1">'Customer data'!#REF!</definedName>
    <definedName name="BExGM4DZ65OAQP7MA4LN6QMYZOFF" localSheetId="8" hidden="1">'Largest debtors'!#REF!</definedName>
    <definedName name="BExGM4DZ65OAQP7MA4LN6QMYZOFF" localSheetId="11" hidden="1">#REF!</definedName>
    <definedName name="BExGM4DZ65OAQP7MA4LN6QMYZOFF" localSheetId="6" hidden="1">Stock!#REF!</definedName>
    <definedName name="BExGM4DZ65OAQP7MA4LN6QMYZOFF" hidden="1">#REF!</definedName>
    <definedName name="BExGMCXCWEC9XNUOEMZ61TMI6CUO" localSheetId="7" hidden="1">'Aged debtors'!#REF!</definedName>
    <definedName name="BExGMCXCWEC9XNUOEMZ61TMI6CUO" localSheetId="10" hidden="1">#REF!</definedName>
    <definedName name="BExGMCXCWEC9XNUOEMZ61TMI6CUO" localSheetId="12" hidden="1">#REF!</definedName>
    <definedName name="BExGMCXCWEC9XNUOEMZ61TMI6CUO" localSheetId="9" hidden="1">'Customer data'!#REF!</definedName>
    <definedName name="BExGMCXCWEC9XNUOEMZ61TMI6CUO" localSheetId="8" hidden="1">'Largest debtors'!#REF!</definedName>
    <definedName name="BExGMCXCWEC9XNUOEMZ61TMI6CUO" localSheetId="11" hidden="1">#REF!</definedName>
    <definedName name="BExGMCXCWEC9XNUOEMZ61TMI6CUO" localSheetId="6" hidden="1">Stock!#REF!</definedName>
    <definedName name="BExGMCXCWEC9XNUOEMZ61TMI6CUO" hidden="1">#REF!</definedName>
    <definedName name="BExGMJDGIH0MEPC2TUSFUCY2ROTB" localSheetId="7" hidden="1">'Aged debtors'!#REF!</definedName>
    <definedName name="BExGMJDGIH0MEPC2TUSFUCY2ROTB" localSheetId="10" hidden="1">#REF!</definedName>
    <definedName name="BExGMJDGIH0MEPC2TUSFUCY2ROTB" localSheetId="12" hidden="1">#REF!</definedName>
    <definedName name="BExGMJDGIH0MEPC2TUSFUCY2ROTB" localSheetId="9" hidden="1">'Customer data'!#REF!</definedName>
    <definedName name="BExGMJDGIH0MEPC2TUSFUCY2ROTB" localSheetId="8" hidden="1">'Largest debtors'!#REF!</definedName>
    <definedName name="BExGMJDGIH0MEPC2TUSFUCY2ROTB" localSheetId="11" hidden="1">#REF!</definedName>
    <definedName name="BExGMJDGIH0MEPC2TUSFUCY2ROTB" localSheetId="6" hidden="1">Stock!#REF!</definedName>
    <definedName name="BExGMJDGIH0MEPC2TUSFUCY2ROTB" hidden="1">#REF!</definedName>
    <definedName name="BExGMKPW2HPKN0M0XKF3AZ8YP0D6" localSheetId="7" hidden="1">'Aged debtors'!#REF!</definedName>
    <definedName name="BExGMKPW2HPKN0M0XKF3AZ8YP0D6" localSheetId="10" hidden="1">#REF!</definedName>
    <definedName name="BExGMKPW2HPKN0M0XKF3AZ8YP0D6" localSheetId="12" hidden="1">#REF!</definedName>
    <definedName name="BExGMKPW2HPKN0M0XKF3AZ8YP0D6" localSheetId="9" hidden="1">'Customer data'!#REF!</definedName>
    <definedName name="BExGMKPW2HPKN0M0XKF3AZ8YP0D6" localSheetId="8" hidden="1">'Largest debtors'!#REF!</definedName>
    <definedName name="BExGMKPW2HPKN0M0XKF3AZ8YP0D6" localSheetId="11" hidden="1">#REF!</definedName>
    <definedName name="BExGMKPW2HPKN0M0XKF3AZ8YP0D6" localSheetId="6" hidden="1">Stock!#REF!</definedName>
    <definedName name="BExGMKPW2HPKN0M0XKF3AZ8YP0D6" hidden="1">#REF!</definedName>
    <definedName name="BExGMP2F175LGL6QVSJGP6GKYHHA" localSheetId="7" hidden="1">'Aged debtors'!#REF!</definedName>
    <definedName name="BExGMP2F175LGL6QVSJGP6GKYHHA" localSheetId="10" hidden="1">#REF!</definedName>
    <definedName name="BExGMP2F175LGL6QVSJGP6GKYHHA" localSheetId="12" hidden="1">#REF!</definedName>
    <definedName name="BExGMP2F175LGL6QVSJGP6GKYHHA" localSheetId="9" hidden="1">'Customer data'!#REF!</definedName>
    <definedName name="BExGMP2F175LGL6QVSJGP6GKYHHA" localSheetId="8" hidden="1">'Largest debtors'!#REF!</definedName>
    <definedName name="BExGMP2F175LGL6QVSJGP6GKYHHA" localSheetId="11" hidden="1">#REF!</definedName>
    <definedName name="BExGMP2F175LGL6QVSJGP6GKYHHA" localSheetId="6" hidden="1">Stock!#REF!</definedName>
    <definedName name="BExGMP2F175LGL6QVSJGP6GKYHHA" hidden="1">#REF!</definedName>
    <definedName name="BExGMPIIP8GKML2VVA8OEFL43NCS" localSheetId="7" hidden="1">'Aged debtors'!#REF!</definedName>
    <definedName name="BExGMPIIP8GKML2VVA8OEFL43NCS" localSheetId="10" hidden="1">#REF!</definedName>
    <definedName name="BExGMPIIP8GKML2VVA8OEFL43NCS" localSheetId="12" hidden="1">#REF!</definedName>
    <definedName name="BExGMPIIP8GKML2VVA8OEFL43NCS" localSheetId="9" hidden="1">'Customer data'!#REF!</definedName>
    <definedName name="BExGMPIIP8GKML2VVA8OEFL43NCS" localSheetId="8" hidden="1">'Largest debtors'!#REF!</definedName>
    <definedName name="BExGMPIIP8GKML2VVA8OEFL43NCS" localSheetId="11" hidden="1">#REF!</definedName>
    <definedName name="BExGMPIIP8GKML2VVA8OEFL43NCS" localSheetId="6" hidden="1">Stock!#REF!</definedName>
    <definedName name="BExGMPIIP8GKML2VVA8OEFL43NCS" hidden="1">#REF!</definedName>
    <definedName name="BExGMZ3UBN48IXU1ZEFYECEMZ1IM" localSheetId="7" hidden="1">'Aged debtors'!#REF!</definedName>
    <definedName name="BExGMZ3UBN48IXU1ZEFYECEMZ1IM" localSheetId="10" hidden="1">#REF!</definedName>
    <definedName name="BExGMZ3UBN48IXU1ZEFYECEMZ1IM" localSheetId="12" hidden="1">#REF!</definedName>
    <definedName name="BExGMZ3UBN48IXU1ZEFYECEMZ1IM" localSheetId="9" hidden="1">'Customer data'!#REF!</definedName>
    <definedName name="BExGMZ3UBN48IXU1ZEFYECEMZ1IM" localSheetId="8" hidden="1">'Largest debtors'!#REF!</definedName>
    <definedName name="BExGMZ3UBN48IXU1ZEFYECEMZ1IM" localSheetId="11" hidden="1">#REF!</definedName>
    <definedName name="BExGMZ3UBN48IXU1ZEFYECEMZ1IM" localSheetId="6" hidden="1">Stock!#REF!</definedName>
    <definedName name="BExGMZ3UBN48IXU1ZEFYECEMZ1IM" hidden="1">#REF!</definedName>
    <definedName name="BExGN4I0QATXNZCLZJM1KH1OIJQH" localSheetId="7" hidden="1">'Aged debtors'!#REF!</definedName>
    <definedName name="BExGN4I0QATXNZCLZJM1KH1OIJQH" localSheetId="10" hidden="1">#REF!</definedName>
    <definedName name="BExGN4I0QATXNZCLZJM1KH1OIJQH" localSheetId="12" hidden="1">#REF!</definedName>
    <definedName name="BExGN4I0QATXNZCLZJM1KH1OIJQH" localSheetId="9" hidden="1">'Customer data'!#REF!</definedName>
    <definedName name="BExGN4I0QATXNZCLZJM1KH1OIJQH" localSheetId="8" hidden="1">'Largest debtors'!#REF!</definedName>
    <definedName name="BExGN4I0QATXNZCLZJM1KH1OIJQH" localSheetId="11" hidden="1">#REF!</definedName>
    <definedName name="BExGN4I0QATXNZCLZJM1KH1OIJQH" localSheetId="6" hidden="1">Stock!#REF!</definedName>
    <definedName name="BExGN4I0QATXNZCLZJM1KH1OIJQH" hidden="1">#REF!</definedName>
    <definedName name="BExGN9FZ2RWCMSY1YOBJKZMNIM9R" localSheetId="7" hidden="1">'Aged debtors'!#REF!</definedName>
    <definedName name="BExGN9FZ2RWCMSY1YOBJKZMNIM9R" localSheetId="10" hidden="1">#REF!</definedName>
    <definedName name="BExGN9FZ2RWCMSY1YOBJKZMNIM9R" localSheetId="12" hidden="1">#REF!</definedName>
    <definedName name="BExGN9FZ2RWCMSY1YOBJKZMNIM9R" localSheetId="9" hidden="1">'Customer data'!#REF!</definedName>
    <definedName name="BExGN9FZ2RWCMSY1YOBJKZMNIM9R" localSheetId="8" hidden="1">'Largest debtors'!#REF!</definedName>
    <definedName name="BExGN9FZ2RWCMSY1YOBJKZMNIM9R" localSheetId="11" hidden="1">#REF!</definedName>
    <definedName name="BExGN9FZ2RWCMSY1YOBJKZMNIM9R" localSheetId="6" hidden="1">Stock!#REF!</definedName>
    <definedName name="BExGN9FZ2RWCMSY1YOBJKZMNIM9R" hidden="1">#REF!</definedName>
    <definedName name="BExGNDSIMTHOCXXG6QOGR6DA8SGG" localSheetId="7" hidden="1">'Aged debtors'!#REF!</definedName>
    <definedName name="BExGNDSIMTHOCXXG6QOGR6DA8SGG" localSheetId="10" hidden="1">#REF!</definedName>
    <definedName name="BExGNDSIMTHOCXXG6QOGR6DA8SGG" localSheetId="12" hidden="1">#REF!</definedName>
    <definedName name="BExGNDSIMTHOCXXG6QOGR6DA8SGG" localSheetId="9" hidden="1">'Customer data'!#REF!</definedName>
    <definedName name="BExGNDSIMTHOCXXG6QOGR6DA8SGG" localSheetId="8" hidden="1">'Largest debtors'!#REF!</definedName>
    <definedName name="BExGNDSIMTHOCXXG6QOGR6DA8SGG" localSheetId="11" hidden="1">#REF!</definedName>
    <definedName name="BExGNDSIMTHOCXXG6QOGR6DA8SGG" localSheetId="6" hidden="1">Stock!#REF!</definedName>
    <definedName name="BExGNDSIMTHOCXXG6QOGR6DA8SGG" hidden="1">#REF!</definedName>
    <definedName name="BExGNN2YQ9BDAZXT2GLCSAPXKIM7" localSheetId="7" hidden="1">'Aged debtors'!#REF!</definedName>
    <definedName name="BExGNN2YQ9BDAZXT2GLCSAPXKIM7" localSheetId="10" hidden="1">#REF!</definedName>
    <definedName name="BExGNN2YQ9BDAZXT2GLCSAPXKIM7" localSheetId="12" hidden="1">#REF!</definedName>
    <definedName name="BExGNN2YQ9BDAZXT2GLCSAPXKIM7" localSheetId="9" hidden="1">'Customer data'!#REF!</definedName>
    <definedName name="BExGNN2YQ9BDAZXT2GLCSAPXKIM7" localSheetId="8" hidden="1">'Largest debtors'!#REF!</definedName>
    <definedName name="BExGNN2YQ9BDAZXT2GLCSAPXKIM7" localSheetId="11" hidden="1">#REF!</definedName>
    <definedName name="BExGNN2YQ9BDAZXT2GLCSAPXKIM7" localSheetId="6" hidden="1">Stock!#REF!</definedName>
    <definedName name="BExGNN2YQ9BDAZXT2GLCSAPXKIM7" hidden="1">#REF!</definedName>
    <definedName name="BExGO2O0V6UYDY26AX8OSN72F77N" localSheetId="7" hidden="1">'Aged debtors'!#REF!</definedName>
    <definedName name="BExGO2O0V6UYDY26AX8OSN72F77N" localSheetId="10" hidden="1">#REF!</definedName>
    <definedName name="BExGO2O0V6UYDY26AX8OSN72F77N" localSheetId="12" hidden="1">#REF!</definedName>
    <definedName name="BExGO2O0V6UYDY26AX8OSN72F77N" localSheetId="9" hidden="1">'Customer data'!#REF!</definedName>
    <definedName name="BExGO2O0V6UYDY26AX8OSN72F77N" localSheetId="8" hidden="1">'Largest debtors'!#REF!</definedName>
    <definedName name="BExGO2O0V6UYDY26AX8OSN72F77N" localSheetId="11" hidden="1">#REF!</definedName>
    <definedName name="BExGO2O0V6UYDY26AX8OSN72F77N" localSheetId="6" hidden="1">Stock!#REF!</definedName>
    <definedName name="BExGO2O0V6UYDY26AX8OSN72F77N" hidden="1">#REF!</definedName>
    <definedName name="BExGO70E2O70LF46V8T26YFPL4V8" localSheetId="7" hidden="1">'Aged debtors'!#REF!</definedName>
    <definedName name="BExGO70E2O70LF46V8T26YFPL4V8" localSheetId="10" hidden="1">#REF!</definedName>
    <definedName name="BExGO70E2O70LF46V8T26YFPL4V8" localSheetId="12" hidden="1">#REF!</definedName>
    <definedName name="BExGO70E2O70LF46V8T26YFPL4V8" localSheetId="9" hidden="1">'Customer data'!#REF!</definedName>
    <definedName name="BExGO70E2O70LF46V8T26YFPL4V8" localSheetId="8" hidden="1">'Largest debtors'!#REF!</definedName>
    <definedName name="BExGO70E2O70LF46V8T26YFPL4V8" localSheetId="11" hidden="1">#REF!</definedName>
    <definedName name="BExGO70E2O70LF46V8T26YFPL4V8" localSheetId="6" hidden="1">Stock!#REF!</definedName>
    <definedName name="BExGO70E2O70LF46V8T26YFPL4V8" hidden="1">#REF!</definedName>
    <definedName name="BExGO8D1R9I69SERTZT2W3SLEZNA" localSheetId="7" hidden="1">'Aged debtors'!#REF!</definedName>
    <definedName name="BExGO8D1R9I69SERTZT2W3SLEZNA" localSheetId="10" hidden="1">#REF!</definedName>
    <definedName name="BExGO8D1R9I69SERTZT2W3SLEZNA" localSheetId="12" hidden="1">#REF!</definedName>
    <definedName name="BExGO8D1R9I69SERTZT2W3SLEZNA" localSheetId="9" hidden="1">'Customer data'!#REF!</definedName>
    <definedName name="BExGO8D1R9I69SERTZT2W3SLEZNA" localSheetId="8" hidden="1">'Largest debtors'!#REF!</definedName>
    <definedName name="BExGO8D1R9I69SERTZT2W3SLEZNA" localSheetId="11" hidden="1">#REF!</definedName>
    <definedName name="BExGO8D1R9I69SERTZT2W3SLEZNA" localSheetId="6" hidden="1">Stock!#REF!</definedName>
    <definedName name="BExGO8D1R9I69SERTZT2W3SLEZNA" hidden="1">#REF!</definedName>
    <definedName name="BExGODR8ZSMUC11I56QHSZ686XV5" localSheetId="7" hidden="1">'Aged debtors'!#REF!</definedName>
    <definedName name="BExGODR8ZSMUC11I56QHSZ686XV5" localSheetId="10" hidden="1">#REF!</definedName>
    <definedName name="BExGODR8ZSMUC11I56QHSZ686XV5" localSheetId="12" hidden="1">#REF!</definedName>
    <definedName name="BExGODR8ZSMUC11I56QHSZ686XV5" localSheetId="9" hidden="1">'Customer data'!#REF!</definedName>
    <definedName name="BExGODR8ZSMUC11I56QHSZ686XV5" localSheetId="8" hidden="1">'Largest debtors'!#REF!</definedName>
    <definedName name="BExGODR8ZSMUC11I56QHSZ686XV5" localSheetId="11" hidden="1">#REF!</definedName>
    <definedName name="BExGODR8ZSMUC11I56QHSZ686XV5" localSheetId="6" hidden="1">Stock!#REF!</definedName>
    <definedName name="BExGODR8ZSMUC11I56QHSZ686XV5" hidden="1">#REF!</definedName>
    <definedName name="BExGPHGT5KDOCMV2EFS4OVKTWBRD" localSheetId="7" hidden="1">'Aged debtors'!#REF!</definedName>
    <definedName name="BExGPHGT5KDOCMV2EFS4OVKTWBRD" localSheetId="10" hidden="1">#REF!</definedName>
    <definedName name="BExGPHGT5KDOCMV2EFS4OVKTWBRD" localSheetId="12" hidden="1">#REF!</definedName>
    <definedName name="BExGPHGT5KDOCMV2EFS4OVKTWBRD" localSheetId="9" hidden="1">'Customer data'!#REF!</definedName>
    <definedName name="BExGPHGT5KDOCMV2EFS4OVKTWBRD" localSheetId="8" hidden="1">'Largest debtors'!#REF!</definedName>
    <definedName name="BExGPHGT5KDOCMV2EFS4OVKTWBRD" localSheetId="11" hidden="1">#REF!</definedName>
    <definedName name="BExGPHGT5KDOCMV2EFS4OVKTWBRD" localSheetId="6" hidden="1">Stock!#REF!</definedName>
    <definedName name="BExGPHGT5KDOCMV2EFS4OVKTWBRD" hidden="1">#REF!</definedName>
    <definedName name="BExGPID72Y4Y619LWASUQZKZHJNC" localSheetId="7" hidden="1">'Aged debtors'!#REF!</definedName>
    <definedName name="BExGPID72Y4Y619LWASUQZKZHJNC" localSheetId="10" hidden="1">#REF!</definedName>
    <definedName name="BExGPID72Y4Y619LWASUQZKZHJNC" localSheetId="12" hidden="1">#REF!</definedName>
    <definedName name="BExGPID72Y4Y619LWASUQZKZHJNC" localSheetId="9" hidden="1">'Customer data'!#REF!</definedName>
    <definedName name="BExGPID72Y4Y619LWASUQZKZHJNC" localSheetId="8" hidden="1">'Largest debtors'!#REF!</definedName>
    <definedName name="BExGPID72Y4Y619LWASUQZKZHJNC" localSheetId="11" hidden="1">#REF!</definedName>
    <definedName name="BExGPID72Y4Y619LWASUQZKZHJNC" localSheetId="6" hidden="1">Stock!#REF!</definedName>
    <definedName name="BExGPID72Y4Y619LWASUQZKZHJNC" hidden="1">#REF!</definedName>
    <definedName name="BExGQ36ZOMR9GV8T05M605MMOY3Y" localSheetId="7" hidden="1">'Aged debtors'!#REF!</definedName>
    <definedName name="BExGQ36ZOMR9GV8T05M605MMOY3Y" localSheetId="10" hidden="1">#REF!</definedName>
    <definedName name="BExGQ36ZOMR9GV8T05M605MMOY3Y" localSheetId="12" hidden="1">#REF!</definedName>
    <definedName name="BExGQ36ZOMR9GV8T05M605MMOY3Y" localSheetId="9" hidden="1">'Customer data'!#REF!</definedName>
    <definedName name="BExGQ36ZOMR9GV8T05M605MMOY3Y" localSheetId="8" hidden="1">'Largest debtors'!#REF!</definedName>
    <definedName name="BExGQ36ZOMR9GV8T05M605MMOY3Y" localSheetId="11" hidden="1">#REF!</definedName>
    <definedName name="BExGQ36ZOMR9GV8T05M605MMOY3Y" localSheetId="6" hidden="1">Stock!#REF!</definedName>
    <definedName name="BExGQ36ZOMR9GV8T05M605MMOY3Y" hidden="1">#REF!</definedName>
    <definedName name="BExGQ61DTJ0SBFMDFBAK3XZ9O0ZO" localSheetId="7" hidden="1">'Aged debtors'!#REF!</definedName>
    <definedName name="BExGQ61DTJ0SBFMDFBAK3XZ9O0ZO" localSheetId="10" hidden="1">#REF!</definedName>
    <definedName name="BExGQ61DTJ0SBFMDFBAK3XZ9O0ZO" localSheetId="12" hidden="1">#REF!</definedName>
    <definedName name="BExGQ61DTJ0SBFMDFBAK3XZ9O0ZO" localSheetId="9" hidden="1">'Customer data'!#REF!</definedName>
    <definedName name="BExGQ61DTJ0SBFMDFBAK3XZ9O0ZO" localSheetId="8" hidden="1">'Largest debtors'!#REF!</definedName>
    <definedName name="BExGQ61DTJ0SBFMDFBAK3XZ9O0ZO" localSheetId="11" hidden="1">#REF!</definedName>
    <definedName name="BExGQ61DTJ0SBFMDFBAK3XZ9O0ZO" localSheetId="6" hidden="1">Stock!#REF!</definedName>
    <definedName name="BExGQ61DTJ0SBFMDFBAK3XZ9O0ZO" hidden="1">#REF!</definedName>
    <definedName name="BExGQ6SG9XEOD0VMBAR22YPZWSTA" localSheetId="7" hidden="1">'Aged debtors'!#REF!</definedName>
    <definedName name="BExGQ6SG9XEOD0VMBAR22YPZWSTA" localSheetId="10" hidden="1">#REF!</definedName>
    <definedName name="BExGQ6SG9XEOD0VMBAR22YPZWSTA" localSheetId="12" hidden="1">#REF!</definedName>
    <definedName name="BExGQ6SG9XEOD0VMBAR22YPZWSTA" localSheetId="9" hidden="1">'Customer data'!#REF!</definedName>
    <definedName name="BExGQ6SG9XEOD0VMBAR22YPZWSTA" localSheetId="8" hidden="1">'Largest debtors'!#REF!</definedName>
    <definedName name="BExGQ6SG9XEOD0VMBAR22YPZWSTA" localSheetId="11" hidden="1">#REF!</definedName>
    <definedName name="BExGQ6SG9XEOD0VMBAR22YPZWSTA" localSheetId="6" hidden="1">Stock!#REF!</definedName>
    <definedName name="BExGQ6SG9XEOD0VMBAR22YPZWSTA" hidden="1">#REF!</definedName>
    <definedName name="BExGQPO7ENFEQC0NC6MC9OZR2LHY" localSheetId="7" hidden="1">'Aged debtors'!#REF!</definedName>
    <definedName name="BExGQPO7ENFEQC0NC6MC9OZR2LHY" localSheetId="10" hidden="1">#REF!</definedName>
    <definedName name="BExGQPO7ENFEQC0NC6MC9OZR2LHY" localSheetId="12" hidden="1">#REF!</definedName>
    <definedName name="BExGQPO7ENFEQC0NC6MC9OZR2LHY" localSheetId="9" hidden="1">'Customer data'!#REF!</definedName>
    <definedName name="BExGQPO7ENFEQC0NC6MC9OZR2LHY" localSheetId="8" hidden="1">'Largest debtors'!#REF!</definedName>
    <definedName name="BExGQPO7ENFEQC0NC6MC9OZR2LHY" localSheetId="11" hidden="1">#REF!</definedName>
    <definedName name="BExGQPO7ENFEQC0NC6MC9OZR2LHY" localSheetId="6" hidden="1">Stock!#REF!</definedName>
    <definedName name="BExGQPO7ENFEQC0NC6MC9OZR2LHY" hidden="1">#REF!</definedName>
    <definedName name="BExGQX0H4EZMXBJTKJJE4ICJWN5O" localSheetId="7" hidden="1">'Aged debtors'!#REF!</definedName>
    <definedName name="BExGQX0H4EZMXBJTKJJE4ICJWN5O" localSheetId="10" hidden="1">#REF!</definedName>
    <definedName name="BExGQX0H4EZMXBJTKJJE4ICJWN5O" localSheetId="12" hidden="1">#REF!</definedName>
    <definedName name="BExGQX0H4EZMXBJTKJJE4ICJWN5O" localSheetId="9" hidden="1">'Customer data'!#REF!</definedName>
    <definedName name="BExGQX0H4EZMXBJTKJJE4ICJWN5O" localSheetId="8" hidden="1">'Largest debtors'!#REF!</definedName>
    <definedName name="BExGQX0H4EZMXBJTKJJE4ICJWN5O" localSheetId="11" hidden="1">#REF!</definedName>
    <definedName name="BExGQX0H4EZMXBJTKJJE4ICJWN5O" localSheetId="6" hidden="1">Stock!#REF!</definedName>
    <definedName name="BExGQX0H4EZMXBJTKJJE4ICJWN5O" hidden="1">#REF!</definedName>
    <definedName name="BExGR6LQ97HETGS3CT96L4IK0JSH" localSheetId="7" hidden="1">'Aged debtors'!#REF!</definedName>
    <definedName name="BExGR6LQ97HETGS3CT96L4IK0JSH" localSheetId="10" hidden="1">#REF!</definedName>
    <definedName name="BExGR6LQ97HETGS3CT96L4IK0JSH" localSheetId="12" hidden="1">#REF!</definedName>
    <definedName name="BExGR6LQ97HETGS3CT96L4IK0JSH" localSheetId="9" hidden="1">'Customer data'!#REF!</definedName>
    <definedName name="BExGR6LQ97HETGS3CT96L4IK0JSH" localSheetId="8" hidden="1">'Largest debtors'!#REF!</definedName>
    <definedName name="BExGR6LQ97HETGS3CT96L4IK0JSH" localSheetId="11" hidden="1">#REF!</definedName>
    <definedName name="BExGR6LQ97HETGS3CT96L4IK0JSH" localSheetId="6" hidden="1">Stock!#REF!</definedName>
    <definedName name="BExGR6LQ97HETGS3CT96L4IK0JSH" hidden="1">#REF!</definedName>
    <definedName name="BExGS2IWR5DUNJ1U9PAKIV8CMBNI" localSheetId="7" hidden="1">'Aged debtors'!#REF!</definedName>
    <definedName name="BExGS2IWR5DUNJ1U9PAKIV8CMBNI" localSheetId="10" hidden="1">#REF!</definedName>
    <definedName name="BExGS2IWR5DUNJ1U9PAKIV8CMBNI" localSheetId="12" hidden="1">#REF!</definedName>
    <definedName name="BExGS2IWR5DUNJ1U9PAKIV8CMBNI" localSheetId="9" hidden="1">'Customer data'!#REF!</definedName>
    <definedName name="BExGS2IWR5DUNJ1U9PAKIV8CMBNI" localSheetId="8" hidden="1">'Largest debtors'!#REF!</definedName>
    <definedName name="BExGS2IWR5DUNJ1U9PAKIV8CMBNI" localSheetId="11" hidden="1">#REF!</definedName>
    <definedName name="BExGS2IWR5DUNJ1U9PAKIV8CMBNI" localSheetId="6" hidden="1">Stock!#REF!</definedName>
    <definedName name="BExGS2IWR5DUNJ1U9PAKIV8CMBNI" hidden="1">#REF!</definedName>
    <definedName name="BExGS69P9FFTEOPDS0MWFKF45G47" localSheetId="7" hidden="1">'Aged debtors'!#REF!</definedName>
    <definedName name="BExGS69P9FFTEOPDS0MWFKF45G47" localSheetId="10" hidden="1">#REF!</definedName>
    <definedName name="BExGS69P9FFTEOPDS0MWFKF45G47" localSheetId="12" hidden="1">#REF!</definedName>
    <definedName name="BExGS69P9FFTEOPDS0MWFKF45G47" localSheetId="9" hidden="1">'Customer data'!#REF!</definedName>
    <definedName name="BExGS69P9FFTEOPDS0MWFKF45G47" localSheetId="8" hidden="1">'Largest debtors'!#REF!</definedName>
    <definedName name="BExGS69P9FFTEOPDS0MWFKF45G47" localSheetId="11" hidden="1">#REF!</definedName>
    <definedName name="BExGS69P9FFTEOPDS0MWFKF45G47" localSheetId="6" hidden="1">Stock!#REF!</definedName>
    <definedName name="BExGS69P9FFTEOPDS0MWFKF45G47" hidden="1">#REF!</definedName>
    <definedName name="BExGSQY65LH1PCKKM5WHDW83F35O" localSheetId="7" hidden="1">'Aged debtors'!#REF!</definedName>
    <definedName name="BExGSQY65LH1PCKKM5WHDW83F35O" localSheetId="10" hidden="1">#REF!</definedName>
    <definedName name="BExGSQY65LH1PCKKM5WHDW83F35O" localSheetId="12" hidden="1">#REF!</definedName>
    <definedName name="BExGSQY65LH1PCKKM5WHDW83F35O" localSheetId="9" hidden="1">'Customer data'!#REF!</definedName>
    <definedName name="BExGSQY65LH1PCKKM5WHDW83F35O" localSheetId="8" hidden="1">'Largest debtors'!#REF!</definedName>
    <definedName name="BExGSQY65LH1PCKKM5WHDW83F35O" localSheetId="11" hidden="1">#REF!</definedName>
    <definedName name="BExGSQY65LH1PCKKM5WHDW83F35O" localSheetId="6" hidden="1">Stock!#REF!</definedName>
    <definedName name="BExGSQY65LH1PCKKM5WHDW83F35O" hidden="1">#REF!</definedName>
    <definedName name="BExGSYW1GKISF0PMUAK3XJK9PEW9" localSheetId="7" hidden="1">'Aged debtors'!#REF!</definedName>
    <definedName name="BExGSYW1GKISF0PMUAK3XJK9PEW9" localSheetId="10" hidden="1">#REF!</definedName>
    <definedName name="BExGSYW1GKISF0PMUAK3XJK9PEW9" localSheetId="12" hidden="1">#REF!</definedName>
    <definedName name="BExGSYW1GKISF0PMUAK3XJK9PEW9" localSheetId="9" hidden="1">'Customer data'!#REF!</definedName>
    <definedName name="BExGSYW1GKISF0PMUAK3XJK9PEW9" localSheetId="8" hidden="1">'Largest debtors'!#REF!</definedName>
    <definedName name="BExGSYW1GKISF0PMUAK3XJK9PEW9" localSheetId="11" hidden="1">#REF!</definedName>
    <definedName name="BExGSYW1GKISF0PMUAK3XJK9PEW9" localSheetId="6" hidden="1">Stock!#REF!</definedName>
    <definedName name="BExGSYW1GKISF0PMUAK3XJK9PEW9" hidden="1">#REF!</definedName>
    <definedName name="BExGT0DZJB6LSF6L693UUB9EY1VQ" localSheetId="7" hidden="1">'Aged debtors'!#REF!</definedName>
    <definedName name="BExGT0DZJB6LSF6L693UUB9EY1VQ" localSheetId="10" hidden="1">#REF!</definedName>
    <definedName name="BExGT0DZJB6LSF6L693UUB9EY1VQ" localSheetId="12" hidden="1">#REF!</definedName>
    <definedName name="BExGT0DZJB6LSF6L693UUB9EY1VQ" localSheetId="9" hidden="1">'Customer data'!#REF!</definedName>
    <definedName name="BExGT0DZJB6LSF6L693UUB9EY1VQ" localSheetId="8" hidden="1">'Largest debtors'!#REF!</definedName>
    <definedName name="BExGT0DZJB6LSF6L693UUB9EY1VQ" localSheetId="11" hidden="1">#REF!</definedName>
    <definedName name="BExGT0DZJB6LSF6L693UUB9EY1VQ" localSheetId="6" hidden="1">Stock!#REF!</definedName>
    <definedName name="BExGT0DZJB6LSF6L693UUB9EY1VQ" hidden="1">#REF!</definedName>
    <definedName name="BExGTGVFIF8HOQXR54SK065A8M4K" localSheetId="7" hidden="1">'Aged debtors'!#REF!</definedName>
    <definedName name="BExGTGVFIF8HOQXR54SK065A8M4K" localSheetId="10" hidden="1">#REF!</definedName>
    <definedName name="BExGTGVFIF8HOQXR54SK065A8M4K" localSheetId="12" hidden="1">#REF!</definedName>
    <definedName name="BExGTGVFIF8HOQXR54SK065A8M4K" localSheetId="9" hidden="1">'Customer data'!#REF!</definedName>
    <definedName name="BExGTGVFIF8HOQXR54SK065A8M4K" localSheetId="8" hidden="1">'Largest debtors'!#REF!</definedName>
    <definedName name="BExGTGVFIF8HOQXR54SK065A8M4K" localSheetId="11" hidden="1">#REF!</definedName>
    <definedName name="BExGTGVFIF8HOQXR54SK065A8M4K" localSheetId="6" hidden="1">Stock!#REF!</definedName>
    <definedName name="BExGTGVFIF8HOQXR54SK065A8M4K" hidden="1">#REF!</definedName>
    <definedName name="BExGTIYX3OWPIINOGY1E4QQYSKHP" localSheetId="7" hidden="1">'Aged debtors'!#REF!</definedName>
    <definedName name="BExGTIYX3OWPIINOGY1E4QQYSKHP" localSheetId="10" hidden="1">#REF!</definedName>
    <definedName name="BExGTIYX3OWPIINOGY1E4QQYSKHP" localSheetId="12" hidden="1">#REF!</definedName>
    <definedName name="BExGTIYX3OWPIINOGY1E4QQYSKHP" localSheetId="9" hidden="1">'Customer data'!#REF!</definedName>
    <definedName name="BExGTIYX3OWPIINOGY1E4QQYSKHP" localSheetId="8" hidden="1">'Largest debtors'!#REF!</definedName>
    <definedName name="BExGTIYX3OWPIINOGY1E4QQYSKHP" localSheetId="11" hidden="1">#REF!</definedName>
    <definedName name="BExGTIYX3OWPIINOGY1E4QQYSKHP" localSheetId="6" hidden="1">Stock!#REF!</definedName>
    <definedName name="BExGTIYX3OWPIINOGY1E4QQYSKHP" hidden="1">#REF!</definedName>
    <definedName name="BExGTKGUN0KUU3C0RL2LK98D8MEK" localSheetId="7" hidden="1">'Aged debtors'!#REF!</definedName>
    <definedName name="BExGTKGUN0KUU3C0RL2LK98D8MEK" localSheetId="10" hidden="1">#REF!</definedName>
    <definedName name="BExGTKGUN0KUU3C0RL2LK98D8MEK" localSheetId="12" hidden="1">#REF!</definedName>
    <definedName name="BExGTKGUN0KUU3C0RL2LK98D8MEK" localSheetId="9" hidden="1">'Customer data'!#REF!</definedName>
    <definedName name="BExGTKGUN0KUU3C0RL2LK98D8MEK" localSheetId="8" hidden="1">'Largest debtors'!#REF!</definedName>
    <definedName name="BExGTKGUN0KUU3C0RL2LK98D8MEK" localSheetId="11" hidden="1">#REF!</definedName>
    <definedName name="BExGTKGUN0KUU3C0RL2LK98D8MEK" localSheetId="6" hidden="1">Stock!#REF!</definedName>
    <definedName name="BExGTKGUN0KUU3C0RL2LK98D8MEK" hidden="1">#REF!</definedName>
    <definedName name="BExGU2G9OPRZRIU9YGF6NX9FUW0J" localSheetId="7" hidden="1">'Aged debtors'!#REF!</definedName>
    <definedName name="BExGU2G9OPRZRIU9YGF6NX9FUW0J" localSheetId="10" hidden="1">#REF!</definedName>
    <definedName name="BExGU2G9OPRZRIU9YGF6NX9FUW0J" localSheetId="12" hidden="1">#REF!</definedName>
    <definedName name="BExGU2G9OPRZRIU9YGF6NX9FUW0J" localSheetId="9" hidden="1">'Customer data'!#REF!</definedName>
    <definedName name="BExGU2G9OPRZRIU9YGF6NX9FUW0J" localSheetId="8" hidden="1">'Largest debtors'!#REF!</definedName>
    <definedName name="BExGU2G9OPRZRIU9YGF6NX9FUW0J" localSheetId="11" hidden="1">#REF!</definedName>
    <definedName name="BExGU2G9OPRZRIU9YGF6NX9FUW0J" localSheetId="6" hidden="1">Stock!#REF!</definedName>
    <definedName name="BExGU2G9OPRZRIU9YGF6NX9FUW0J" hidden="1">#REF!</definedName>
    <definedName name="BExGU6HTKLRZO8UOI3DTAM5RFDBA" localSheetId="7" hidden="1">'Aged debtors'!#REF!</definedName>
    <definedName name="BExGU6HTKLRZO8UOI3DTAM5RFDBA" localSheetId="10" hidden="1">#REF!</definedName>
    <definedName name="BExGU6HTKLRZO8UOI3DTAM5RFDBA" localSheetId="12" hidden="1">#REF!</definedName>
    <definedName name="BExGU6HTKLRZO8UOI3DTAM5RFDBA" localSheetId="9" hidden="1">'Customer data'!#REF!</definedName>
    <definedName name="BExGU6HTKLRZO8UOI3DTAM5RFDBA" localSheetId="8" hidden="1">'Largest debtors'!#REF!</definedName>
    <definedName name="BExGU6HTKLRZO8UOI3DTAM5RFDBA" localSheetId="11" hidden="1">#REF!</definedName>
    <definedName name="BExGU6HTKLRZO8UOI3DTAM5RFDBA" localSheetId="6" hidden="1">Stock!#REF!</definedName>
    <definedName name="BExGU6HTKLRZO8UOI3DTAM5RFDBA" hidden="1">#REF!</definedName>
    <definedName name="BExGUIBXBRHGM97ZX6GBA4ZDQ79C" localSheetId="7" hidden="1">'Aged debtors'!#REF!</definedName>
    <definedName name="BExGUIBXBRHGM97ZX6GBA4ZDQ79C" localSheetId="10" hidden="1">#REF!</definedName>
    <definedName name="BExGUIBXBRHGM97ZX6GBA4ZDQ79C" localSheetId="12" hidden="1">#REF!</definedName>
    <definedName name="BExGUIBXBRHGM97ZX6GBA4ZDQ79C" localSheetId="9" hidden="1">'Customer data'!#REF!</definedName>
    <definedName name="BExGUIBXBRHGM97ZX6GBA4ZDQ79C" localSheetId="8" hidden="1">'Largest debtors'!#REF!</definedName>
    <definedName name="BExGUIBXBRHGM97ZX6GBA4ZDQ79C" localSheetId="11" hidden="1">#REF!</definedName>
    <definedName name="BExGUIBXBRHGM97ZX6GBA4ZDQ79C" localSheetId="6" hidden="1">Stock!#REF!</definedName>
    <definedName name="BExGUIBXBRHGM97ZX6GBA4ZDQ79C" hidden="1">#REF!</definedName>
    <definedName name="BExGUM8D91UNPCOO4TKP9FGX85TF" localSheetId="7" hidden="1">'Aged debtors'!#REF!</definedName>
    <definedName name="BExGUM8D91UNPCOO4TKP9FGX85TF" localSheetId="10" hidden="1">#REF!</definedName>
    <definedName name="BExGUM8D91UNPCOO4TKP9FGX85TF" localSheetId="12" hidden="1">#REF!</definedName>
    <definedName name="BExGUM8D91UNPCOO4TKP9FGX85TF" localSheetId="9" hidden="1">'Customer data'!#REF!</definedName>
    <definedName name="BExGUM8D91UNPCOO4TKP9FGX85TF" localSheetId="8" hidden="1">'Largest debtors'!#REF!</definedName>
    <definedName name="BExGUM8D91UNPCOO4TKP9FGX85TF" localSheetId="11" hidden="1">#REF!</definedName>
    <definedName name="BExGUM8D91UNPCOO4TKP9FGX85TF" localSheetId="6" hidden="1">Stock!#REF!</definedName>
    <definedName name="BExGUM8D91UNPCOO4TKP9FGX85TF" hidden="1">#REF!</definedName>
    <definedName name="BExGUR6BA03XPBK60SQUW197GJ5X" localSheetId="7" hidden="1">'Aged debtors'!#REF!</definedName>
    <definedName name="BExGUR6BA03XPBK60SQUW197GJ5X" localSheetId="10" hidden="1">#REF!</definedName>
    <definedName name="BExGUR6BA03XPBK60SQUW197GJ5X" localSheetId="12" hidden="1">#REF!</definedName>
    <definedName name="BExGUR6BA03XPBK60SQUW197GJ5X" localSheetId="9" hidden="1">'Customer data'!#REF!</definedName>
    <definedName name="BExGUR6BA03XPBK60SQUW197GJ5X" localSheetId="8" hidden="1">'Largest debtors'!#REF!</definedName>
    <definedName name="BExGUR6BA03XPBK60SQUW197GJ5X" localSheetId="11" hidden="1">#REF!</definedName>
    <definedName name="BExGUR6BA03XPBK60SQUW197GJ5X" localSheetId="6" hidden="1">Stock!#REF!</definedName>
    <definedName name="BExGUR6BA03XPBK60SQUW197GJ5X" hidden="1">#REF!</definedName>
    <definedName name="BExGUZKF06F209XL1IZWVJEQ82EE" localSheetId="7" hidden="1">'Aged debtors'!#REF!</definedName>
    <definedName name="BExGUZKF06F209XL1IZWVJEQ82EE" localSheetId="10" hidden="1">#REF!</definedName>
    <definedName name="BExGUZKF06F209XL1IZWVJEQ82EE" localSheetId="12" hidden="1">#REF!</definedName>
    <definedName name="BExGUZKF06F209XL1IZWVJEQ82EE" localSheetId="9" hidden="1">'Customer data'!#REF!</definedName>
    <definedName name="BExGUZKF06F209XL1IZWVJEQ82EE" localSheetId="8" hidden="1">'Largest debtors'!#REF!</definedName>
    <definedName name="BExGUZKF06F209XL1IZWVJEQ82EE" localSheetId="11" hidden="1">#REF!</definedName>
    <definedName name="BExGUZKF06F209XL1IZWVJEQ82EE" localSheetId="6" hidden="1">Stock!#REF!</definedName>
    <definedName name="BExGUZKF06F209XL1IZWVJEQ82EE" hidden="1">#REF!</definedName>
    <definedName name="BExGV2EVT380QHD4AP2RL9MR8L5L" localSheetId="7" hidden="1">'Aged debtors'!#REF!</definedName>
    <definedName name="BExGV2EVT380QHD4AP2RL9MR8L5L" localSheetId="10" hidden="1">#REF!</definedName>
    <definedName name="BExGV2EVT380QHD4AP2RL9MR8L5L" localSheetId="12" hidden="1">#REF!</definedName>
    <definedName name="BExGV2EVT380QHD4AP2RL9MR8L5L" localSheetId="9" hidden="1">'Customer data'!#REF!</definedName>
    <definedName name="BExGV2EVT380QHD4AP2RL9MR8L5L" localSheetId="8" hidden="1">'Largest debtors'!#REF!</definedName>
    <definedName name="BExGV2EVT380QHD4AP2RL9MR8L5L" localSheetId="11" hidden="1">#REF!</definedName>
    <definedName name="BExGV2EVT380QHD4AP2RL9MR8L5L" localSheetId="6" hidden="1">Stock!#REF!</definedName>
    <definedName name="BExGV2EVT380QHD4AP2RL9MR8L5L" hidden="1">#REF!</definedName>
    <definedName name="BExGW2Z7AMPG6H9EXA9ML6EZVGGA" localSheetId="7" hidden="1">'Aged debtors'!#REF!</definedName>
    <definedName name="BExGW2Z7AMPG6H9EXA9ML6EZVGGA" localSheetId="10" hidden="1">#REF!</definedName>
    <definedName name="BExGW2Z7AMPG6H9EXA9ML6EZVGGA" localSheetId="12" hidden="1">#REF!</definedName>
    <definedName name="BExGW2Z7AMPG6H9EXA9ML6EZVGGA" localSheetId="9" hidden="1">'Customer data'!#REF!</definedName>
    <definedName name="BExGW2Z7AMPG6H9EXA9ML6EZVGGA" localSheetId="8" hidden="1">'Largest debtors'!#REF!</definedName>
    <definedName name="BExGW2Z7AMPG6H9EXA9ML6EZVGGA" localSheetId="11" hidden="1">#REF!</definedName>
    <definedName name="BExGW2Z7AMPG6H9EXA9ML6EZVGGA" localSheetId="6" hidden="1">Stock!#REF!</definedName>
    <definedName name="BExGW2Z7AMPG6H9EXA9ML6EZVGGA" hidden="1">#REF!</definedName>
    <definedName name="BExGWABG5VT5XO1A196RK61AXA8C" localSheetId="7" hidden="1">'Aged debtors'!#REF!</definedName>
    <definedName name="BExGWABG5VT5XO1A196RK61AXA8C" localSheetId="10" hidden="1">#REF!</definedName>
    <definedName name="BExGWABG5VT5XO1A196RK61AXA8C" localSheetId="12" hidden="1">#REF!</definedName>
    <definedName name="BExGWABG5VT5XO1A196RK61AXA8C" localSheetId="9" hidden="1">'Customer data'!#REF!</definedName>
    <definedName name="BExGWABG5VT5XO1A196RK61AXA8C" localSheetId="8" hidden="1">'Largest debtors'!#REF!</definedName>
    <definedName name="BExGWABG5VT5XO1A196RK61AXA8C" localSheetId="11" hidden="1">#REF!</definedName>
    <definedName name="BExGWABG5VT5XO1A196RK61AXA8C" localSheetId="6" hidden="1">Stock!#REF!</definedName>
    <definedName name="BExGWABG5VT5XO1A196RK61AXA8C" hidden="1">#REF!</definedName>
    <definedName name="BExGWLEOC70Z8QAJTPT2PDHTNM4L" localSheetId="7" hidden="1">'Aged debtors'!#REF!</definedName>
    <definedName name="BExGWLEOC70Z8QAJTPT2PDHTNM4L" localSheetId="10" hidden="1">#REF!</definedName>
    <definedName name="BExGWLEOC70Z8QAJTPT2PDHTNM4L" localSheetId="12" hidden="1">#REF!</definedName>
    <definedName name="BExGWLEOC70Z8QAJTPT2PDHTNM4L" localSheetId="9" hidden="1">'Customer data'!#REF!</definedName>
    <definedName name="BExGWLEOC70Z8QAJTPT2PDHTNM4L" localSheetId="8" hidden="1">'Largest debtors'!#REF!</definedName>
    <definedName name="BExGWLEOC70Z8QAJTPT2PDHTNM4L" localSheetId="11" hidden="1">#REF!</definedName>
    <definedName name="BExGWLEOC70Z8QAJTPT2PDHTNM4L" localSheetId="6" hidden="1">Stock!#REF!</definedName>
    <definedName name="BExGWLEOC70Z8QAJTPT2PDHTNM4L" hidden="1">#REF!</definedName>
    <definedName name="BExGWNCXLCRTLBVMTXYJ5PHQI6SS" localSheetId="7" hidden="1">'Aged debtors'!#REF!</definedName>
    <definedName name="BExGWNCXLCRTLBVMTXYJ5PHQI6SS" localSheetId="10" hidden="1">#REF!</definedName>
    <definedName name="BExGWNCXLCRTLBVMTXYJ5PHQI6SS" localSheetId="12" hidden="1">#REF!</definedName>
    <definedName name="BExGWNCXLCRTLBVMTXYJ5PHQI6SS" localSheetId="9" hidden="1">'Customer data'!#REF!</definedName>
    <definedName name="BExGWNCXLCRTLBVMTXYJ5PHQI6SS" localSheetId="8" hidden="1">'Largest debtors'!#REF!</definedName>
    <definedName name="BExGWNCXLCRTLBVMTXYJ5PHQI6SS" localSheetId="11" hidden="1">#REF!</definedName>
    <definedName name="BExGWNCXLCRTLBVMTXYJ5PHQI6SS" localSheetId="6" hidden="1">Stock!#REF!</definedName>
    <definedName name="BExGWNCXLCRTLBVMTXYJ5PHQI6SS" hidden="1">#REF!</definedName>
    <definedName name="BExGX7FTB1CKAT5HUW6H531FIY6I" localSheetId="7" hidden="1">'Aged debtors'!#REF!</definedName>
    <definedName name="BExGX7FTB1CKAT5HUW6H531FIY6I" localSheetId="10" hidden="1">#REF!</definedName>
    <definedName name="BExGX7FTB1CKAT5HUW6H531FIY6I" localSheetId="12" hidden="1">#REF!</definedName>
    <definedName name="BExGX7FTB1CKAT5HUW6H531FIY6I" localSheetId="9" hidden="1">'Customer data'!#REF!</definedName>
    <definedName name="BExGX7FTB1CKAT5HUW6H531FIY6I" localSheetId="8" hidden="1">'Largest debtors'!#REF!</definedName>
    <definedName name="BExGX7FTB1CKAT5HUW6H531FIY6I" localSheetId="11" hidden="1">#REF!</definedName>
    <definedName name="BExGX7FTB1CKAT5HUW6H531FIY6I" localSheetId="6" hidden="1">Stock!#REF!</definedName>
    <definedName name="BExGX7FTB1CKAT5HUW6H531FIY6I" hidden="1">#REF!</definedName>
    <definedName name="BExGX9DVACJQIZ4GH6YAD2A7F70O" localSheetId="7" hidden="1">'Aged debtors'!#REF!</definedName>
    <definedName name="BExGX9DVACJQIZ4GH6YAD2A7F70O" localSheetId="10" hidden="1">#REF!</definedName>
    <definedName name="BExGX9DVACJQIZ4GH6YAD2A7F70O" localSheetId="12" hidden="1">#REF!</definedName>
    <definedName name="BExGX9DVACJQIZ4GH6YAD2A7F70O" localSheetId="9" hidden="1">'Customer data'!#REF!</definedName>
    <definedName name="BExGX9DVACJQIZ4GH6YAD2A7F70O" localSheetId="8" hidden="1">'Largest debtors'!#REF!</definedName>
    <definedName name="BExGX9DVACJQIZ4GH6YAD2A7F70O" localSheetId="11" hidden="1">#REF!</definedName>
    <definedName name="BExGX9DVACJQIZ4GH6YAD2A7F70O" localSheetId="6" hidden="1">Stock!#REF!</definedName>
    <definedName name="BExGX9DVACJQIZ4GH6YAD2A7F70O" hidden="1">#REF!</definedName>
    <definedName name="BExGXDVP2S2Y8Z8Q43I78RCIK3DD" localSheetId="7" hidden="1">'Aged debtors'!#REF!</definedName>
    <definedName name="BExGXDVP2S2Y8Z8Q43I78RCIK3DD" localSheetId="10" hidden="1">#REF!</definedName>
    <definedName name="BExGXDVP2S2Y8Z8Q43I78RCIK3DD" localSheetId="12" hidden="1">#REF!</definedName>
    <definedName name="BExGXDVP2S2Y8Z8Q43I78RCIK3DD" localSheetId="9" hidden="1">'Customer data'!#REF!</definedName>
    <definedName name="BExGXDVP2S2Y8Z8Q43I78RCIK3DD" localSheetId="8" hidden="1">'Largest debtors'!#REF!</definedName>
    <definedName name="BExGXDVP2S2Y8Z8Q43I78RCIK3DD" localSheetId="11" hidden="1">#REF!</definedName>
    <definedName name="BExGXDVP2S2Y8Z8Q43I78RCIK3DD" localSheetId="6" hidden="1">Stock!#REF!</definedName>
    <definedName name="BExGXDVP2S2Y8Z8Q43I78RCIK3DD" hidden="1">#REF!</definedName>
    <definedName name="BExGXJ9W5JU7TT9S0BKL5Y6VVB39" localSheetId="7" hidden="1">'Aged debtors'!#REF!</definedName>
    <definedName name="BExGXJ9W5JU7TT9S0BKL5Y6VVB39" localSheetId="10" hidden="1">#REF!</definedName>
    <definedName name="BExGXJ9W5JU7TT9S0BKL5Y6VVB39" localSheetId="12" hidden="1">#REF!</definedName>
    <definedName name="BExGXJ9W5JU7TT9S0BKL5Y6VVB39" localSheetId="9" hidden="1">'Customer data'!#REF!</definedName>
    <definedName name="BExGXJ9W5JU7TT9S0BKL5Y6VVB39" localSheetId="8" hidden="1">'Largest debtors'!#REF!</definedName>
    <definedName name="BExGXJ9W5JU7TT9S0BKL5Y6VVB39" localSheetId="11" hidden="1">#REF!</definedName>
    <definedName name="BExGXJ9W5JU7TT9S0BKL5Y6VVB39" localSheetId="6" hidden="1">Stock!#REF!</definedName>
    <definedName name="BExGXJ9W5JU7TT9S0BKL5Y6VVB39" hidden="1">#REF!</definedName>
    <definedName name="BExGXZ0ABB43C7SMRKZHWOSU9EQX" localSheetId="7" hidden="1">'Aged debtors'!#REF!</definedName>
    <definedName name="BExGXZ0ABB43C7SMRKZHWOSU9EQX" localSheetId="10" hidden="1">#REF!</definedName>
    <definedName name="BExGXZ0ABB43C7SMRKZHWOSU9EQX" localSheetId="12" hidden="1">#REF!</definedName>
    <definedName name="BExGXZ0ABB43C7SMRKZHWOSU9EQX" localSheetId="9" hidden="1">'Customer data'!#REF!</definedName>
    <definedName name="BExGXZ0ABB43C7SMRKZHWOSU9EQX" localSheetId="8" hidden="1">'Largest debtors'!#REF!</definedName>
    <definedName name="BExGXZ0ABB43C7SMRKZHWOSU9EQX" localSheetId="11" hidden="1">#REF!</definedName>
    <definedName name="BExGXZ0ABB43C7SMRKZHWOSU9EQX" localSheetId="6" hidden="1">Stock!#REF!</definedName>
    <definedName name="BExGXZ0ABB43C7SMRKZHWOSU9EQX" hidden="1">#REF!</definedName>
    <definedName name="BExGY6SU3SYVCJ3AG2ITY59SAZ5A" localSheetId="7" hidden="1">'Aged debtors'!#REF!</definedName>
    <definedName name="BExGY6SU3SYVCJ3AG2ITY59SAZ5A" localSheetId="10" hidden="1">#REF!</definedName>
    <definedName name="BExGY6SU3SYVCJ3AG2ITY59SAZ5A" localSheetId="12" hidden="1">#REF!</definedName>
    <definedName name="BExGY6SU3SYVCJ3AG2ITY59SAZ5A" localSheetId="9" hidden="1">'Customer data'!#REF!</definedName>
    <definedName name="BExGY6SU3SYVCJ3AG2ITY59SAZ5A" localSheetId="8" hidden="1">'Largest debtors'!#REF!</definedName>
    <definedName name="BExGY6SU3SYVCJ3AG2ITY59SAZ5A" localSheetId="11" hidden="1">#REF!</definedName>
    <definedName name="BExGY6SU3SYVCJ3AG2ITY59SAZ5A" localSheetId="6" hidden="1">Stock!#REF!</definedName>
    <definedName name="BExGY6SU3SYVCJ3AG2ITY59SAZ5A" hidden="1">#REF!</definedName>
    <definedName name="BExGY6YA4P5KMY2VHT0DYK3YTFAX" localSheetId="7" hidden="1">'Aged debtors'!#REF!</definedName>
    <definedName name="BExGY6YA4P5KMY2VHT0DYK3YTFAX" localSheetId="10" hidden="1">#REF!</definedName>
    <definedName name="BExGY6YA4P5KMY2VHT0DYK3YTFAX" localSheetId="12" hidden="1">#REF!</definedName>
    <definedName name="BExGY6YA4P5KMY2VHT0DYK3YTFAX" localSheetId="9" hidden="1">'Customer data'!#REF!</definedName>
    <definedName name="BExGY6YA4P5KMY2VHT0DYK3YTFAX" localSheetId="8" hidden="1">'Largest debtors'!#REF!</definedName>
    <definedName name="BExGY6YA4P5KMY2VHT0DYK3YTFAX" localSheetId="11" hidden="1">#REF!</definedName>
    <definedName name="BExGY6YA4P5KMY2VHT0DYK3YTFAX" localSheetId="6" hidden="1">Stock!#REF!</definedName>
    <definedName name="BExGY6YA4P5KMY2VHT0DYK3YTFAX" hidden="1">#REF!</definedName>
    <definedName name="BExGYC718HTZ80PNKYPVIYGRJVF6" localSheetId="7" hidden="1">'Aged debtors'!#REF!</definedName>
    <definedName name="BExGYC718HTZ80PNKYPVIYGRJVF6" localSheetId="10" hidden="1">#REF!</definedName>
    <definedName name="BExGYC718HTZ80PNKYPVIYGRJVF6" localSheetId="12" hidden="1">#REF!</definedName>
    <definedName name="BExGYC718HTZ80PNKYPVIYGRJVF6" localSheetId="9" hidden="1">'Customer data'!#REF!</definedName>
    <definedName name="BExGYC718HTZ80PNKYPVIYGRJVF6" localSheetId="8" hidden="1">'Largest debtors'!#REF!</definedName>
    <definedName name="BExGYC718HTZ80PNKYPVIYGRJVF6" localSheetId="11" hidden="1">#REF!</definedName>
    <definedName name="BExGYC718HTZ80PNKYPVIYGRJVF6" localSheetId="6" hidden="1">Stock!#REF!</definedName>
    <definedName name="BExGYC718HTZ80PNKYPVIYGRJVF6" hidden="1">#REF!</definedName>
    <definedName name="BExGYCNATXZY2FID93B17YWIPPRD" localSheetId="7" hidden="1">'Aged debtors'!#REF!</definedName>
    <definedName name="BExGYCNATXZY2FID93B17YWIPPRD" localSheetId="10" hidden="1">#REF!</definedName>
    <definedName name="BExGYCNATXZY2FID93B17YWIPPRD" localSheetId="12" hidden="1">#REF!</definedName>
    <definedName name="BExGYCNATXZY2FID93B17YWIPPRD" localSheetId="9" hidden="1">'Customer data'!#REF!</definedName>
    <definedName name="BExGYCNATXZY2FID93B17YWIPPRD" localSheetId="8" hidden="1">'Largest debtors'!#REF!</definedName>
    <definedName name="BExGYCNATXZY2FID93B17YWIPPRD" localSheetId="11" hidden="1">#REF!</definedName>
    <definedName name="BExGYCNATXZY2FID93B17YWIPPRD" localSheetId="6" hidden="1">Stock!#REF!</definedName>
    <definedName name="BExGYCNATXZY2FID93B17YWIPPRD" hidden="1">#REF!</definedName>
    <definedName name="BExGYGJJJ3BBCQAOA51WHP01HN73" localSheetId="7" hidden="1">'Aged debtors'!#REF!</definedName>
    <definedName name="BExGYGJJJ3BBCQAOA51WHP01HN73" localSheetId="10" hidden="1">#REF!</definedName>
    <definedName name="BExGYGJJJ3BBCQAOA51WHP01HN73" localSheetId="12" hidden="1">#REF!</definedName>
    <definedName name="BExGYGJJJ3BBCQAOA51WHP01HN73" localSheetId="9" hidden="1">'Customer data'!#REF!</definedName>
    <definedName name="BExGYGJJJ3BBCQAOA51WHP01HN73" localSheetId="8" hidden="1">'Largest debtors'!#REF!</definedName>
    <definedName name="BExGYGJJJ3BBCQAOA51WHP01HN73" localSheetId="11" hidden="1">#REF!</definedName>
    <definedName name="BExGYGJJJ3BBCQAOA51WHP01HN73" localSheetId="6" hidden="1">Stock!#REF!</definedName>
    <definedName name="BExGYGJJJ3BBCQAOA51WHP01HN73" hidden="1">#REF!</definedName>
    <definedName name="BExGZJ78ZWZCVHZ3BKEKFJZ6MAEO" localSheetId="7" hidden="1">'Aged debtors'!#REF!</definedName>
    <definedName name="BExGZJ78ZWZCVHZ3BKEKFJZ6MAEO" localSheetId="10" hidden="1">#REF!</definedName>
    <definedName name="BExGZJ78ZWZCVHZ3BKEKFJZ6MAEO" localSheetId="12" hidden="1">#REF!</definedName>
    <definedName name="BExGZJ78ZWZCVHZ3BKEKFJZ6MAEO" localSheetId="9" hidden="1">'Customer data'!#REF!</definedName>
    <definedName name="BExGZJ78ZWZCVHZ3BKEKFJZ6MAEO" localSheetId="8" hidden="1">'Largest debtors'!#REF!</definedName>
    <definedName name="BExGZJ78ZWZCVHZ3BKEKFJZ6MAEO" localSheetId="11" hidden="1">#REF!</definedName>
    <definedName name="BExGZJ78ZWZCVHZ3BKEKFJZ6MAEO" localSheetId="6" hidden="1">Stock!#REF!</definedName>
    <definedName name="BExGZJ78ZWZCVHZ3BKEKFJZ6MAEO" hidden="1">#REF!</definedName>
    <definedName name="BExGZP1PWGFKVVVN4YDIS22DZPCR" localSheetId="7" hidden="1">'Aged debtors'!#REF!</definedName>
    <definedName name="BExGZP1PWGFKVVVN4YDIS22DZPCR" localSheetId="10" hidden="1">#REF!</definedName>
    <definedName name="BExGZP1PWGFKVVVN4YDIS22DZPCR" localSheetId="12" hidden="1">#REF!</definedName>
    <definedName name="BExGZP1PWGFKVVVN4YDIS22DZPCR" localSheetId="9" hidden="1">'Customer data'!#REF!</definedName>
    <definedName name="BExGZP1PWGFKVVVN4YDIS22DZPCR" localSheetId="8" hidden="1">'Largest debtors'!#REF!</definedName>
    <definedName name="BExGZP1PWGFKVVVN4YDIS22DZPCR" localSheetId="11" hidden="1">#REF!</definedName>
    <definedName name="BExGZP1PWGFKVVVN4YDIS22DZPCR" localSheetId="6" hidden="1">Stock!#REF!</definedName>
    <definedName name="BExGZP1PWGFKVVVN4YDIS22DZPCR" hidden="1">#REF!</definedName>
    <definedName name="BExH00L21GZX5YJJGVMOAWBERLP5" localSheetId="7" hidden="1">'Aged debtors'!#REF!</definedName>
    <definedName name="BExH00L21GZX5YJJGVMOAWBERLP5" localSheetId="10" hidden="1">#REF!</definedName>
    <definedName name="BExH00L21GZX5YJJGVMOAWBERLP5" localSheetId="12" hidden="1">#REF!</definedName>
    <definedName name="BExH00L21GZX5YJJGVMOAWBERLP5" localSheetId="9" hidden="1">'Customer data'!#REF!</definedName>
    <definedName name="BExH00L21GZX5YJJGVMOAWBERLP5" localSheetId="8" hidden="1">'Largest debtors'!#REF!</definedName>
    <definedName name="BExH00L21GZX5YJJGVMOAWBERLP5" localSheetId="11" hidden="1">#REF!</definedName>
    <definedName name="BExH00L21GZX5YJJGVMOAWBERLP5" localSheetId="6" hidden="1">Stock!#REF!</definedName>
    <definedName name="BExH00L21GZX5YJJGVMOAWBERLP5" hidden="1">#REF!</definedName>
    <definedName name="BExH02ZD6VAY1KQLAQYBBI6WWIZB" localSheetId="7" hidden="1">'Aged debtors'!#REF!</definedName>
    <definedName name="BExH02ZD6VAY1KQLAQYBBI6WWIZB" localSheetId="10" hidden="1">#REF!</definedName>
    <definedName name="BExH02ZD6VAY1KQLAQYBBI6WWIZB" localSheetId="12" hidden="1">#REF!</definedName>
    <definedName name="BExH02ZD6VAY1KQLAQYBBI6WWIZB" localSheetId="9" hidden="1">'Customer data'!#REF!</definedName>
    <definedName name="BExH02ZD6VAY1KQLAQYBBI6WWIZB" localSheetId="8" hidden="1">'Largest debtors'!#REF!</definedName>
    <definedName name="BExH02ZD6VAY1KQLAQYBBI6WWIZB" localSheetId="11" hidden="1">#REF!</definedName>
    <definedName name="BExH02ZD6VAY1KQLAQYBBI6WWIZB" localSheetId="6" hidden="1">Stock!#REF!</definedName>
    <definedName name="BExH02ZD6VAY1KQLAQYBBI6WWIZB" hidden="1">#REF!</definedName>
    <definedName name="BExH08Z6LQCGGSGSAILMHX4X7JMD" localSheetId="7" hidden="1">'Aged debtors'!#REF!</definedName>
    <definedName name="BExH08Z6LQCGGSGSAILMHX4X7JMD" localSheetId="10" hidden="1">#REF!</definedName>
    <definedName name="BExH08Z6LQCGGSGSAILMHX4X7JMD" localSheetId="12" hidden="1">#REF!</definedName>
    <definedName name="BExH08Z6LQCGGSGSAILMHX4X7JMD" localSheetId="9" hidden="1">'Customer data'!#REF!</definedName>
    <definedName name="BExH08Z6LQCGGSGSAILMHX4X7JMD" localSheetId="8" hidden="1">'Largest debtors'!#REF!</definedName>
    <definedName name="BExH08Z6LQCGGSGSAILMHX4X7JMD" localSheetId="11" hidden="1">#REF!</definedName>
    <definedName name="BExH08Z6LQCGGSGSAILMHX4X7JMD" localSheetId="6" hidden="1">Stock!#REF!</definedName>
    <definedName name="BExH08Z6LQCGGSGSAILMHX4X7JMD" hidden="1">#REF!</definedName>
    <definedName name="BExH0KT9Z8HEVRRQRGQ8YHXRLIJA" localSheetId="7" hidden="1">'Aged debtors'!#REF!</definedName>
    <definedName name="BExH0KT9Z8HEVRRQRGQ8YHXRLIJA" localSheetId="10" hidden="1">#REF!</definedName>
    <definedName name="BExH0KT9Z8HEVRRQRGQ8YHXRLIJA" localSheetId="12" hidden="1">#REF!</definedName>
    <definedName name="BExH0KT9Z8HEVRRQRGQ8YHXRLIJA" localSheetId="9" hidden="1">'Customer data'!#REF!</definedName>
    <definedName name="BExH0KT9Z8HEVRRQRGQ8YHXRLIJA" localSheetId="8" hidden="1">'Largest debtors'!#REF!</definedName>
    <definedName name="BExH0KT9Z8HEVRRQRGQ8YHXRLIJA" localSheetId="11" hidden="1">#REF!</definedName>
    <definedName name="BExH0KT9Z8HEVRRQRGQ8YHXRLIJA" localSheetId="6" hidden="1">Stock!#REF!</definedName>
    <definedName name="BExH0KT9Z8HEVRRQRGQ8YHXRLIJA" hidden="1">#REF!</definedName>
    <definedName name="BExH0M0FDN12YBOCKL3XL2Z7T7Y8" localSheetId="7" hidden="1">'Aged debtors'!#REF!</definedName>
    <definedName name="BExH0M0FDN12YBOCKL3XL2Z7T7Y8" localSheetId="10" hidden="1">#REF!</definedName>
    <definedName name="BExH0M0FDN12YBOCKL3XL2Z7T7Y8" localSheetId="12" hidden="1">#REF!</definedName>
    <definedName name="BExH0M0FDN12YBOCKL3XL2Z7T7Y8" localSheetId="9" hidden="1">'Customer data'!#REF!</definedName>
    <definedName name="BExH0M0FDN12YBOCKL3XL2Z7T7Y8" localSheetId="8" hidden="1">'Largest debtors'!#REF!</definedName>
    <definedName name="BExH0M0FDN12YBOCKL3XL2Z7T7Y8" localSheetId="11" hidden="1">#REF!</definedName>
    <definedName name="BExH0M0FDN12YBOCKL3XL2Z7T7Y8" localSheetId="6" hidden="1">Stock!#REF!</definedName>
    <definedName name="BExH0M0FDN12YBOCKL3XL2Z7T7Y8" hidden="1">#REF!</definedName>
    <definedName name="BExH12Y4WX542WI3ZEM15AK4UM9J" localSheetId="7" hidden="1">'Aged debtors'!#REF!</definedName>
    <definedName name="BExH12Y4WX542WI3ZEM15AK4UM9J" localSheetId="10" hidden="1">#REF!</definedName>
    <definedName name="BExH12Y4WX542WI3ZEM15AK4UM9J" localSheetId="12" hidden="1">#REF!</definedName>
    <definedName name="BExH12Y4WX542WI3ZEM15AK4UM9J" localSheetId="9" hidden="1">'Customer data'!#REF!</definedName>
    <definedName name="BExH12Y4WX542WI3ZEM15AK4UM9J" localSheetId="8" hidden="1">'Largest debtors'!#REF!</definedName>
    <definedName name="BExH12Y4WX542WI3ZEM15AK4UM9J" localSheetId="11" hidden="1">#REF!</definedName>
    <definedName name="BExH12Y4WX542WI3ZEM15AK4UM9J" localSheetId="6" hidden="1">Stock!#REF!</definedName>
    <definedName name="BExH12Y4WX542WI3ZEM15AK4UM9J" hidden="1">#REF!</definedName>
    <definedName name="BExH1JFFHEBFX9BWJMNIA3N66R3Z" localSheetId="7" hidden="1">'Aged debtors'!#REF!</definedName>
    <definedName name="BExH1JFFHEBFX9BWJMNIA3N66R3Z" localSheetId="10" hidden="1">#REF!</definedName>
    <definedName name="BExH1JFFHEBFX9BWJMNIA3N66R3Z" localSheetId="12" hidden="1">#REF!</definedName>
    <definedName name="BExH1JFFHEBFX9BWJMNIA3N66R3Z" localSheetId="9" hidden="1">'Customer data'!#REF!</definedName>
    <definedName name="BExH1JFFHEBFX9BWJMNIA3N66R3Z" localSheetId="8" hidden="1">'Largest debtors'!#REF!</definedName>
    <definedName name="BExH1JFFHEBFX9BWJMNIA3N66R3Z" localSheetId="11" hidden="1">#REF!</definedName>
    <definedName name="BExH1JFFHEBFX9BWJMNIA3N66R3Z" localSheetId="6" hidden="1">Stock!#REF!</definedName>
    <definedName name="BExH1JFFHEBFX9BWJMNIA3N66R3Z" hidden="1">#REF!</definedName>
    <definedName name="BExH225UTM6S9FW4MUDZS7F1PQSH" localSheetId="7" hidden="1">'Aged debtors'!#REF!</definedName>
    <definedName name="BExH225UTM6S9FW4MUDZS7F1PQSH" localSheetId="10" hidden="1">#REF!</definedName>
    <definedName name="BExH225UTM6S9FW4MUDZS7F1PQSH" localSheetId="12" hidden="1">#REF!</definedName>
    <definedName name="BExH225UTM6S9FW4MUDZS7F1PQSH" localSheetId="9" hidden="1">'Customer data'!#REF!</definedName>
    <definedName name="BExH225UTM6S9FW4MUDZS7F1PQSH" localSheetId="8" hidden="1">'Largest debtors'!#REF!</definedName>
    <definedName name="BExH225UTM6S9FW4MUDZS7F1PQSH" localSheetId="11" hidden="1">#REF!</definedName>
    <definedName name="BExH225UTM6S9FW4MUDZS7F1PQSH" localSheetId="6" hidden="1">Stock!#REF!</definedName>
    <definedName name="BExH225UTM6S9FW4MUDZS7F1PQSH" hidden="1">#REF!</definedName>
    <definedName name="BExH23271RF7AYZ542KHQTH68GQ7" localSheetId="7" hidden="1">'Aged debtors'!#REF!</definedName>
    <definedName name="BExH23271RF7AYZ542KHQTH68GQ7" localSheetId="10" hidden="1">#REF!</definedName>
    <definedName name="BExH23271RF7AYZ542KHQTH68GQ7" localSheetId="12" hidden="1">#REF!</definedName>
    <definedName name="BExH23271RF7AYZ542KHQTH68GQ7" localSheetId="9" hidden="1">'Customer data'!#REF!</definedName>
    <definedName name="BExH23271RF7AYZ542KHQTH68GQ7" localSheetId="8" hidden="1">'Largest debtors'!#REF!</definedName>
    <definedName name="BExH23271RF7AYZ542KHQTH68GQ7" localSheetId="11" hidden="1">#REF!</definedName>
    <definedName name="BExH23271RF7AYZ542KHQTH68GQ7" localSheetId="6" hidden="1">Stock!#REF!</definedName>
    <definedName name="BExH23271RF7AYZ542KHQTH68GQ7" hidden="1">#REF!</definedName>
    <definedName name="BExH27UV451VYAQXLHQCYRJ80UTX" localSheetId="7" hidden="1">'Aged debtors'!#REF!</definedName>
    <definedName name="BExH27UV451VYAQXLHQCYRJ80UTX" localSheetId="10" hidden="1">#REF!</definedName>
    <definedName name="BExH27UV451VYAQXLHQCYRJ80UTX" localSheetId="12" hidden="1">#REF!</definedName>
    <definedName name="BExH27UV451VYAQXLHQCYRJ80UTX" localSheetId="9" hidden="1">'Customer data'!#REF!</definedName>
    <definedName name="BExH27UV451VYAQXLHQCYRJ80UTX" localSheetId="8" hidden="1">'Largest debtors'!#REF!</definedName>
    <definedName name="BExH27UV451VYAQXLHQCYRJ80UTX" localSheetId="11" hidden="1">#REF!</definedName>
    <definedName name="BExH27UV451VYAQXLHQCYRJ80UTX" localSheetId="6" hidden="1">Stock!#REF!</definedName>
    <definedName name="BExH27UV451VYAQXLHQCYRJ80UTX" hidden="1">#REF!</definedName>
    <definedName name="BExH2GJQR4JALNB314RY0LDI49VH" localSheetId="7" hidden="1">'Aged debtors'!#REF!</definedName>
    <definedName name="BExH2GJQR4JALNB314RY0LDI49VH" localSheetId="10" hidden="1">#REF!</definedName>
    <definedName name="BExH2GJQR4JALNB314RY0LDI49VH" localSheetId="12" hidden="1">#REF!</definedName>
    <definedName name="BExH2GJQR4JALNB314RY0LDI49VH" localSheetId="9" hidden="1">'Customer data'!#REF!</definedName>
    <definedName name="BExH2GJQR4JALNB314RY0LDI49VH" localSheetId="8" hidden="1">'Largest debtors'!#REF!</definedName>
    <definedName name="BExH2GJQR4JALNB314RY0LDI49VH" localSheetId="11" hidden="1">#REF!</definedName>
    <definedName name="BExH2GJQR4JALNB314RY0LDI49VH" localSheetId="6" hidden="1">Stock!#REF!</definedName>
    <definedName name="BExH2GJQR4JALNB314RY0LDI49VH" hidden="1">#REF!</definedName>
    <definedName name="BExH2WKXV8X5S2GSBBTWGI0NLNAH" localSheetId="7" hidden="1">'Aged debtors'!#REF!</definedName>
    <definedName name="BExH2WKXV8X5S2GSBBTWGI0NLNAH" localSheetId="10" hidden="1">#REF!</definedName>
    <definedName name="BExH2WKXV8X5S2GSBBTWGI0NLNAH" localSheetId="12" hidden="1">#REF!</definedName>
    <definedName name="BExH2WKXV8X5S2GSBBTWGI0NLNAH" localSheetId="9" hidden="1">'Customer data'!#REF!</definedName>
    <definedName name="BExH2WKXV8X5S2GSBBTWGI0NLNAH" localSheetId="8" hidden="1">'Largest debtors'!#REF!</definedName>
    <definedName name="BExH2WKXV8X5S2GSBBTWGI0NLNAH" localSheetId="11" hidden="1">#REF!</definedName>
    <definedName name="BExH2WKXV8X5S2GSBBTWGI0NLNAH" localSheetId="6" hidden="1">Stock!#REF!</definedName>
    <definedName name="BExH2WKXV8X5S2GSBBTWGI0NLNAH" hidden="1">#REF!</definedName>
    <definedName name="BExH2XS1UFYFGU0S0EBXX90W2WE8" localSheetId="7" hidden="1">'Aged debtors'!#REF!</definedName>
    <definedName name="BExH2XS1UFYFGU0S0EBXX90W2WE8" localSheetId="10" hidden="1">#REF!</definedName>
    <definedName name="BExH2XS1UFYFGU0S0EBXX90W2WE8" localSheetId="12" hidden="1">#REF!</definedName>
    <definedName name="BExH2XS1UFYFGU0S0EBXX90W2WE8" localSheetId="9" hidden="1">'Customer data'!#REF!</definedName>
    <definedName name="BExH2XS1UFYFGU0S0EBXX90W2WE8" localSheetId="8" hidden="1">'Largest debtors'!#REF!</definedName>
    <definedName name="BExH2XS1UFYFGU0S0EBXX90W2WE8" localSheetId="11" hidden="1">#REF!</definedName>
    <definedName name="BExH2XS1UFYFGU0S0EBXX90W2WE8" localSheetId="6" hidden="1">Stock!#REF!</definedName>
    <definedName name="BExH2XS1UFYFGU0S0EBXX90W2WE8" hidden="1">#REF!</definedName>
    <definedName name="BExH2XS2TND9SB0GC295R4FP6K5Y" localSheetId="7" hidden="1">'Aged debtors'!#REF!</definedName>
    <definedName name="BExH2XS2TND9SB0GC295R4FP6K5Y" localSheetId="10" hidden="1">#REF!</definedName>
    <definedName name="BExH2XS2TND9SB0GC295R4FP6K5Y" localSheetId="12" hidden="1">#REF!</definedName>
    <definedName name="BExH2XS2TND9SB0GC295R4FP6K5Y" localSheetId="9" hidden="1">'Customer data'!#REF!</definedName>
    <definedName name="BExH2XS2TND9SB0GC295R4FP6K5Y" localSheetId="8" hidden="1">'Largest debtors'!#REF!</definedName>
    <definedName name="BExH2XS2TND9SB0GC295R4FP6K5Y" localSheetId="11" hidden="1">#REF!</definedName>
    <definedName name="BExH2XS2TND9SB0GC295R4FP6K5Y" localSheetId="6" hidden="1">Stock!#REF!</definedName>
    <definedName name="BExH2XS2TND9SB0GC295R4FP6K5Y" hidden="1">#REF!</definedName>
    <definedName name="BExH3IRB6764RQ5HBYRLH6XCT29X" localSheetId="7" hidden="1">'Aged debtors'!#REF!</definedName>
    <definedName name="BExH3IRB6764RQ5HBYRLH6XCT29X" localSheetId="10" hidden="1">#REF!</definedName>
    <definedName name="BExH3IRB6764RQ5HBYRLH6XCT29X" localSheetId="12" hidden="1">#REF!</definedName>
    <definedName name="BExH3IRB6764RQ5HBYRLH6XCT29X" localSheetId="9" hidden="1">'Customer data'!#REF!</definedName>
    <definedName name="BExH3IRB6764RQ5HBYRLH6XCT29X" localSheetId="8" hidden="1">'Largest debtors'!#REF!</definedName>
    <definedName name="BExH3IRB6764RQ5HBYRLH6XCT29X" localSheetId="11" hidden="1">#REF!</definedName>
    <definedName name="BExH3IRB6764RQ5HBYRLH6XCT29X" localSheetId="6" hidden="1">Stock!#REF!</definedName>
    <definedName name="BExH3IRB6764RQ5HBYRLH6XCT29X" hidden="1">#REF!</definedName>
    <definedName name="BExIG2U8V6RSB47SXLCQG3Q68YRO" localSheetId="7" hidden="1">'Aged debtors'!#REF!</definedName>
    <definedName name="BExIG2U8V6RSB47SXLCQG3Q68YRO" localSheetId="10" hidden="1">#REF!</definedName>
    <definedName name="BExIG2U8V6RSB47SXLCQG3Q68YRO" localSheetId="12" hidden="1">#REF!</definedName>
    <definedName name="BExIG2U8V6RSB47SXLCQG3Q68YRO" localSheetId="9" hidden="1">'Customer data'!#REF!</definedName>
    <definedName name="BExIG2U8V6RSB47SXLCQG3Q68YRO" localSheetId="8" hidden="1">'Largest debtors'!#REF!</definedName>
    <definedName name="BExIG2U8V6RSB47SXLCQG3Q68YRO" localSheetId="11" hidden="1">#REF!</definedName>
    <definedName name="BExIG2U8V6RSB47SXLCQG3Q68YRO" localSheetId="6" hidden="1">Stock!#REF!</definedName>
    <definedName name="BExIG2U8V6RSB47SXLCQG3Q68YRO" hidden="1">#REF!</definedName>
    <definedName name="BExIGWT86FPOEYTI8GXCGU5Y3KGK" localSheetId="7" hidden="1">'Aged debtors'!#REF!</definedName>
    <definedName name="BExIGWT86FPOEYTI8GXCGU5Y3KGK" localSheetId="10" hidden="1">#REF!</definedName>
    <definedName name="BExIGWT86FPOEYTI8GXCGU5Y3KGK" localSheetId="12" hidden="1">#REF!</definedName>
    <definedName name="BExIGWT86FPOEYTI8GXCGU5Y3KGK" localSheetId="9" hidden="1">'Customer data'!#REF!</definedName>
    <definedName name="BExIGWT86FPOEYTI8GXCGU5Y3KGK" localSheetId="8" hidden="1">'Largest debtors'!#REF!</definedName>
    <definedName name="BExIGWT86FPOEYTI8GXCGU5Y3KGK" localSheetId="11" hidden="1">#REF!</definedName>
    <definedName name="BExIGWT86FPOEYTI8GXCGU5Y3KGK" localSheetId="6" hidden="1">Stock!#REF!</definedName>
    <definedName name="BExIGWT86FPOEYTI8GXCGU5Y3KGK" hidden="1">#REF!</definedName>
    <definedName name="BExII1KN91Q7DLW0UB7W2TJ5ACT9" localSheetId="7" hidden="1">'Aged debtors'!#REF!</definedName>
    <definedName name="BExII1KN91Q7DLW0UB7W2TJ5ACT9" localSheetId="10" hidden="1">#REF!</definedName>
    <definedName name="BExII1KN91Q7DLW0UB7W2TJ5ACT9" localSheetId="12" hidden="1">#REF!</definedName>
    <definedName name="BExII1KN91Q7DLW0UB7W2TJ5ACT9" localSheetId="9" hidden="1">'Customer data'!#REF!</definedName>
    <definedName name="BExII1KN91Q7DLW0UB7W2TJ5ACT9" localSheetId="8" hidden="1">'Largest debtors'!#REF!</definedName>
    <definedName name="BExII1KN91Q7DLW0UB7W2TJ5ACT9" localSheetId="11" hidden="1">#REF!</definedName>
    <definedName name="BExII1KN91Q7DLW0UB7W2TJ5ACT9" localSheetId="6" hidden="1">Stock!#REF!</definedName>
    <definedName name="BExII1KN91Q7DLW0UB7W2TJ5ACT9" hidden="1">#REF!</definedName>
    <definedName name="BExII50LI8I0CDOOZEMIVHVA2V95" localSheetId="7" hidden="1">'Aged debtors'!#REF!</definedName>
    <definedName name="BExII50LI8I0CDOOZEMIVHVA2V95" localSheetId="10" hidden="1">#REF!</definedName>
    <definedName name="BExII50LI8I0CDOOZEMIVHVA2V95" localSheetId="12" hidden="1">#REF!</definedName>
    <definedName name="BExII50LI8I0CDOOZEMIVHVA2V95" localSheetId="9" hidden="1">'Customer data'!#REF!</definedName>
    <definedName name="BExII50LI8I0CDOOZEMIVHVA2V95" localSheetId="8" hidden="1">'Largest debtors'!#REF!</definedName>
    <definedName name="BExII50LI8I0CDOOZEMIVHVA2V95" localSheetId="11" hidden="1">#REF!</definedName>
    <definedName name="BExII50LI8I0CDOOZEMIVHVA2V95" localSheetId="6" hidden="1">Stock!#REF!</definedName>
    <definedName name="BExII50LI8I0CDOOZEMIVHVA2V95" hidden="1">#REF!</definedName>
    <definedName name="BExIIXMY38TQD12CVV4S57L3I809" localSheetId="7" hidden="1">'Aged debtors'!#REF!</definedName>
    <definedName name="BExIIXMY38TQD12CVV4S57L3I809" localSheetId="10" hidden="1">#REF!</definedName>
    <definedName name="BExIIXMY38TQD12CVV4S57L3I809" localSheetId="12" hidden="1">#REF!</definedName>
    <definedName name="BExIIXMY38TQD12CVV4S57L3I809" localSheetId="9" hidden="1">'Customer data'!#REF!</definedName>
    <definedName name="BExIIXMY38TQD12CVV4S57L3I809" localSheetId="8" hidden="1">'Largest debtors'!#REF!</definedName>
    <definedName name="BExIIXMY38TQD12CVV4S57L3I809" localSheetId="11" hidden="1">#REF!</definedName>
    <definedName name="BExIIXMY38TQD12CVV4S57L3I809" localSheetId="6" hidden="1">Stock!#REF!</definedName>
    <definedName name="BExIIXMY38TQD12CVV4S57L3I809" hidden="1">#REF!</definedName>
    <definedName name="BExIIY37NEVU2LGS1JE4VR9AN6W4" localSheetId="7" hidden="1">'Aged debtors'!#REF!</definedName>
    <definedName name="BExIIY37NEVU2LGS1JE4VR9AN6W4" localSheetId="10" hidden="1">#REF!</definedName>
    <definedName name="BExIIY37NEVU2LGS1JE4VR9AN6W4" localSheetId="12" hidden="1">#REF!</definedName>
    <definedName name="BExIIY37NEVU2LGS1JE4VR9AN6W4" localSheetId="9" hidden="1">'Customer data'!#REF!</definedName>
    <definedName name="BExIIY37NEVU2LGS1JE4VR9AN6W4" localSheetId="8" hidden="1">'Largest debtors'!#REF!</definedName>
    <definedName name="BExIIY37NEVU2LGS1JE4VR9AN6W4" localSheetId="11" hidden="1">#REF!</definedName>
    <definedName name="BExIIY37NEVU2LGS1JE4VR9AN6W4" localSheetId="6" hidden="1">Stock!#REF!</definedName>
    <definedName name="BExIIY37NEVU2LGS1JE4VR9AN6W4" hidden="1">#REF!</definedName>
    <definedName name="BExIIYJAGXR8TPZ1KCYM7EGJ79UW" localSheetId="7" hidden="1">'Aged debtors'!#REF!</definedName>
    <definedName name="BExIIYJAGXR8TPZ1KCYM7EGJ79UW" localSheetId="10" hidden="1">#REF!</definedName>
    <definedName name="BExIIYJAGXR8TPZ1KCYM7EGJ79UW" localSheetId="12" hidden="1">#REF!</definedName>
    <definedName name="BExIIYJAGXR8TPZ1KCYM7EGJ79UW" localSheetId="9" hidden="1">'Customer data'!#REF!</definedName>
    <definedName name="BExIIYJAGXR8TPZ1KCYM7EGJ79UW" localSheetId="8" hidden="1">'Largest debtors'!#REF!</definedName>
    <definedName name="BExIIYJAGXR8TPZ1KCYM7EGJ79UW" localSheetId="11" hidden="1">#REF!</definedName>
    <definedName name="BExIIYJAGXR8TPZ1KCYM7EGJ79UW" localSheetId="6" hidden="1">Stock!#REF!</definedName>
    <definedName name="BExIIYJAGXR8TPZ1KCYM7EGJ79UW" hidden="1">#REF!</definedName>
    <definedName name="BExIJ3160YCWGAVEU0208ZGXXG3P" localSheetId="7" hidden="1">'Aged debtors'!#REF!</definedName>
    <definedName name="BExIJ3160YCWGAVEU0208ZGXXG3P" localSheetId="10" hidden="1">#REF!</definedName>
    <definedName name="BExIJ3160YCWGAVEU0208ZGXXG3P" localSheetId="12" hidden="1">#REF!</definedName>
    <definedName name="BExIJ3160YCWGAVEU0208ZGXXG3P" localSheetId="9" hidden="1">'Customer data'!#REF!</definedName>
    <definedName name="BExIJ3160YCWGAVEU0208ZGXXG3P" localSheetId="8" hidden="1">'Largest debtors'!#REF!</definedName>
    <definedName name="BExIJ3160YCWGAVEU0208ZGXXG3P" localSheetId="11" hidden="1">#REF!</definedName>
    <definedName name="BExIJ3160YCWGAVEU0208ZGXXG3P" localSheetId="6" hidden="1">Stock!#REF!</definedName>
    <definedName name="BExIJ3160YCWGAVEU0208ZGXXG3P" hidden="1">#REF!</definedName>
    <definedName name="BExIJQK80ZEKSTV62E59AYJYUNLI" localSheetId="7" hidden="1">'Aged debtors'!#REF!</definedName>
    <definedName name="BExIJQK80ZEKSTV62E59AYJYUNLI" localSheetId="10" hidden="1">#REF!</definedName>
    <definedName name="BExIJQK80ZEKSTV62E59AYJYUNLI" localSheetId="12" hidden="1">#REF!</definedName>
    <definedName name="BExIJQK80ZEKSTV62E59AYJYUNLI" localSheetId="9" hidden="1">'Customer data'!#REF!</definedName>
    <definedName name="BExIJQK80ZEKSTV62E59AYJYUNLI" localSheetId="8" hidden="1">'Largest debtors'!#REF!</definedName>
    <definedName name="BExIJQK80ZEKSTV62E59AYJYUNLI" localSheetId="11" hidden="1">#REF!</definedName>
    <definedName name="BExIJQK80ZEKSTV62E59AYJYUNLI" localSheetId="6" hidden="1">Stock!#REF!</definedName>
    <definedName name="BExIJQK80ZEKSTV62E59AYJYUNLI" hidden="1">#REF!</definedName>
    <definedName name="BExIJRLX3M0YQLU1D5Y9V7HM5QNM" localSheetId="7" hidden="1">'Aged debtors'!#REF!</definedName>
    <definedName name="BExIJRLX3M0YQLU1D5Y9V7HM5QNM" localSheetId="10" hidden="1">#REF!</definedName>
    <definedName name="BExIJRLX3M0YQLU1D5Y9V7HM5QNM" localSheetId="12" hidden="1">#REF!</definedName>
    <definedName name="BExIJRLX3M0YQLU1D5Y9V7HM5QNM" localSheetId="9" hidden="1">'Customer data'!#REF!</definedName>
    <definedName name="BExIJRLX3M0YQLU1D5Y9V7HM5QNM" localSheetId="8" hidden="1">'Largest debtors'!#REF!</definedName>
    <definedName name="BExIJRLX3M0YQLU1D5Y9V7HM5QNM" localSheetId="11" hidden="1">#REF!</definedName>
    <definedName name="BExIJRLX3M0YQLU1D5Y9V7HM5QNM" localSheetId="6" hidden="1">Stock!#REF!</definedName>
    <definedName name="BExIJRLX3M0YQLU1D5Y9V7HM5QNM" hidden="1">#REF!</definedName>
    <definedName name="BExIJV22J0QA7286KNPMHO1ZUCB3" localSheetId="7" hidden="1">'Aged debtors'!#REF!</definedName>
    <definedName name="BExIJV22J0QA7286KNPMHO1ZUCB3" localSheetId="10" hidden="1">#REF!</definedName>
    <definedName name="BExIJV22J0QA7286KNPMHO1ZUCB3" localSheetId="12" hidden="1">#REF!</definedName>
    <definedName name="BExIJV22J0QA7286KNPMHO1ZUCB3" localSheetId="9" hidden="1">'Customer data'!#REF!</definedName>
    <definedName name="BExIJV22J0QA7286KNPMHO1ZUCB3" localSheetId="8" hidden="1">'Largest debtors'!#REF!</definedName>
    <definedName name="BExIJV22J0QA7286KNPMHO1ZUCB3" localSheetId="11" hidden="1">#REF!</definedName>
    <definedName name="BExIJV22J0QA7286KNPMHO1ZUCB3" localSheetId="6" hidden="1">Stock!#REF!</definedName>
    <definedName name="BExIJV22J0QA7286KNPMHO1ZUCB3" hidden="1">#REF!</definedName>
    <definedName name="BExIJWK0NGTGQ4X7D5VIVXD14JHI" localSheetId="7" hidden="1">'Aged debtors'!#REF!</definedName>
    <definedName name="BExIJWK0NGTGQ4X7D5VIVXD14JHI" localSheetId="10" hidden="1">#REF!</definedName>
    <definedName name="BExIJWK0NGTGQ4X7D5VIVXD14JHI" localSheetId="12" hidden="1">#REF!</definedName>
    <definedName name="BExIJWK0NGTGQ4X7D5VIVXD14JHI" localSheetId="9" hidden="1">'Customer data'!#REF!</definedName>
    <definedName name="BExIJWK0NGTGQ4X7D5VIVXD14JHI" localSheetId="8" hidden="1">'Largest debtors'!#REF!</definedName>
    <definedName name="BExIJWK0NGTGQ4X7D5VIVXD14JHI" localSheetId="11" hidden="1">#REF!</definedName>
    <definedName name="BExIJWK0NGTGQ4X7D5VIVXD14JHI" localSheetId="6" hidden="1">Stock!#REF!</definedName>
    <definedName name="BExIJWK0NGTGQ4X7D5VIVXD14JHI" hidden="1">#REF!</definedName>
    <definedName name="BExIJWPCIYINEJUTXU74VK7WG031" localSheetId="7" hidden="1">'Aged debtors'!#REF!</definedName>
    <definedName name="BExIJWPCIYINEJUTXU74VK7WG031" localSheetId="10" hidden="1">#REF!</definedName>
    <definedName name="BExIJWPCIYINEJUTXU74VK7WG031" localSheetId="12" hidden="1">#REF!</definedName>
    <definedName name="BExIJWPCIYINEJUTXU74VK7WG031" localSheetId="9" hidden="1">'Customer data'!#REF!</definedName>
    <definedName name="BExIJWPCIYINEJUTXU74VK7WG031" localSheetId="8" hidden="1">'Largest debtors'!#REF!</definedName>
    <definedName name="BExIJWPCIYINEJUTXU74VK7WG031" localSheetId="11" hidden="1">#REF!</definedName>
    <definedName name="BExIJWPCIYINEJUTXU74VK7WG031" localSheetId="6" hidden="1">Stock!#REF!</definedName>
    <definedName name="BExIJWPCIYINEJUTXU74VK7WG031" hidden="1">#REF!</definedName>
    <definedName name="BExIKHTXPZR5A8OHB6HDP6QWDHAD" localSheetId="7" hidden="1">'Aged debtors'!#REF!</definedName>
    <definedName name="BExIKHTXPZR5A8OHB6HDP6QWDHAD" localSheetId="10" hidden="1">#REF!</definedName>
    <definedName name="BExIKHTXPZR5A8OHB6HDP6QWDHAD" localSheetId="12" hidden="1">#REF!</definedName>
    <definedName name="BExIKHTXPZR5A8OHB6HDP6QWDHAD" localSheetId="9" hidden="1">'Customer data'!#REF!</definedName>
    <definedName name="BExIKHTXPZR5A8OHB6HDP6QWDHAD" localSheetId="8" hidden="1">'Largest debtors'!#REF!</definedName>
    <definedName name="BExIKHTXPZR5A8OHB6HDP6QWDHAD" localSheetId="11" hidden="1">#REF!</definedName>
    <definedName name="BExIKHTXPZR5A8OHB6HDP6QWDHAD" localSheetId="6" hidden="1">Stock!#REF!</definedName>
    <definedName name="BExIKHTXPZR5A8OHB6HDP6QWDHAD" hidden="1">#REF!</definedName>
    <definedName name="BExIKMMJOETSAXJYY1SIKM58LMA2" localSheetId="7" hidden="1">'Aged debtors'!#REF!</definedName>
    <definedName name="BExIKMMJOETSAXJYY1SIKM58LMA2" localSheetId="10" hidden="1">#REF!</definedName>
    <definedName name="BExIKMMJOETSAXJYY1SIKM58LMA2" localSheetId="12" hidden="1">#REF!</definedName>
    <definedName name="BExIKMMJOETSAXJYY1SIKM58LMA2" localSheetId="9" hidden="1">'Customer data'!#REF!</definedName>
    <definedName name="BExIKMMJOETSAXJYY1SIKM58LMA2" localSheetId="8" hidden="1">'Largest debtors'!#REF!</definedName>
    <definedName name="BExIKMMJOETSAXJYY1SIKM58LMA2" localSheetId="11" hidden="1">#REF!</definedName>
    <definedName name="BExIKMMJOETSAXJYY1SIKM58LMA2" localSheetId="6" hidden="1">Stock!#REF!</definedName>
    <definedName name="BExIKMMJOETSAXJYY1SIKM58LMA2" hidden="1">#REF!</definedName>
    <definedName name="BExIKTYZESFT3LC0ASFMFKSE0D1X" localSheetId="7" hidden="1">'Aged debtors'!#REF!</definedName>
    <definedName name="BExIKTYZESFT3LC0ASFMFKSE0D1X" localSheetId="10" hidden="1">#REF!</definedName>
    <definedName name="BExIKTYZESFT3LC0ASFMFKSE0D1X" localSheetId="12" hidden="1">#REF!</definedName>
    <definedName name="BExIKTYZESFT3LC0ASFMFKSE0D1X" localSheetId="9" hidden="1">'Customer data'!#REF!</definedName>
    <definedName name="BExIKTYZESFT3LC0ASFMFKSE0D1X" localSheetId="8" hidden="1">'Largest debtors'!#REF!</definedName>
    <definedName name="BExIKTYZESFT3LC0ASFMFKSE0D1X" localSheetId="11" hidden="1">#REF!</definedName>
    <definedName name="BExIKTYZESFT3LC0ASFMFKSE0D1X" localSheetId="6" hidden="1">Stock!#REF!</definedName>
    <definedName name="BExIKTYZESFT3LC0ASFMFKSE0D1X" hidden="1">#REF!</definedName>
    <definedName name="BExIL0PMZ2SXK9R6MLP43KBU1J2P" localSheetId="7" hidden="1">'Aged debtors'!#REF!</definedName>
    <definedName name="BExIL0PMZ2SXK9R6MLP43KBU1J2P" localSheetId="10" hidden="1">#REF!</definedName>
    <definedName name="BExIL0PMZ2SXK9R6MLP43KBU1J2P" localSheetId="12" hidden="1">#REF!</definedName>
    <definedName name="BExIL0PMZ2SXK9R6MLP43KBU1J2P" localSheetId="9" hidden="1">'Customer data'!#REF!</definedName>
    <definedName name="BExIL0PMZ2SXK9R6MLP43KBU1J2P" localSheetId="8" hidden="1">'Largest debtors'!#REF!</definedName>
    <definedName name="BExIL0PMZ2SXK9R6MLP43KBU1J2P" localSheetId="11" hidden="1">#REF!</definedName>
    <definedName name="BExIL0PMZ2SXK9R6MLP43KBU1J2P" localSheetId="6" hidden="1">Stock!#REF!</definedName>
    <definedName name="BExIL0PMZ2SXK9R6MLP43KBU1J2P" hidden="1">#REF!</definedName>
    <definedName name="BExILG5F338C0FFLMVOKMKF8X5ZP" localSheetId="7" hidden="1">'Aged debtors'!#REF!</definedName>
    <definedName name="BExILG5F338C0FFLMVOKMKF8X5ZP" localSheetId="10" hidden="1">#REF!</definedName>
    <definedName name="BExILG5F338C0FFLMVOKMKF8X5ZP" localSheetId="12" hidden="1">#REF!</definedName>
    <definedName name="BExILG5F338C0FFLMVOKMKF8X5ZP" localSheetId="9" hidden="1">'Customer data'!#REF!</definedName>
    <definedName name="BExILG5F338C0FFLMVOKMKF8X5ZP" localSheetId="8" hidden="1">'Largest debtors'!#REF!</definedName>
    <definedName name="BExILG5F338C0FFLMVOKMKF8X5ZP" localSheetId="11" hidden="1">#REF!</definedName>
    <definedName name="BExILG5F338C0FFLMVOKMKF8X5ZP" localSheetId="6" hidden="1">Stock!#REF!</definedName>
    <definedName name="BExILG5F338C0FFLMVOKMKF8X5ZP" hidden="1">#REF!</definedName>
    <definedName name="BExILGQTQM0HOD0BJI90YO7GOIN3" localSheetId="7" hidden="1">'Aged debtors'!#REF!</definedName>
    <definedName name="BExILGQTQM0HOD0BJI90YO7GOIN3" localSheetId="10" hidden="1">#REF!</definedName>
    <definedName name="BExILGQTQM0HOD0BJI90YO7GOIN3" localSheetId="12" hidden="1">#REF!</definedName>
    <definedName name="BExILGQTQM0HOD0BJI90YO7GOIN3" localSheetId="9" hidden="1">'Customer data'!#REF!</definedName>
    <definedName name="BExILGQTQM0HOD0BJI90YO7GOIN3" localSheetId="8" hidden="1">'Largest debtors'!#REF!</definedName>
    <definedName name="BExILGQTQM0HOD0BJI90YO7GOIN3" localSheetId="11" hidden="1">#REF!</definedName>
    <definedName name="BExILGQTQM0HOD0BJI90YO7GOIN3" localSheetId="6" hidden="1">Stock!#REF!</definedName>
    <definedName name="BExILGQTQM0HOD0BJI90YO7GOIN3" hidden="1">#REF!</definedName>
    <definedName name="BExIMGK9Z94TFPWWZFMD10HV0IF6" localSheetId="7" hidden="1">'Aged debtors'!#REF!</definedName>
    <definedName name="BExIMGK9Z94TFPWWZFMD10HV0IF6" localSheetId="10" hidden="1">#REF!</definedName>
    <definedName name="BExIMGK9Z94TFPWWZFMD10HV0IF6" localSheetId="12" hidden="1">#REF!</definedName>
    <definedName name="BExIMGK9Z94TFPWWZFMD10HV0IF6" localSheetId="9" hidden="1">'Customer data'!#REF!</definedName>
    <definedName name="BExIMGK9Z94TFPWWZFMD10HV0IF6" localSheetId="8" hidden="1">'Largest debtors'!#REF!</definedName>
    <definedName name="BExIMGK9Z94TFPWWZFMD10HV0IF6" localSheetId="11" hidden="1">#REF!</definedName>
    <definedName name="BExIMGK9Z94TFPWWZFMD10HV0IF6" localSheetId="6" hidden="1">Stock!#REF!</definedName>
    <definedName name="BExIMGK9Z94TFPWWZFMD10HV0IF6" hidden="1">#REF!</definedName>
    <definedName name="BExINIMK8XC3JOBT2EXYFHHH52H0" localSheetId="7" hidden="1">'Aged debtors'!#REF!</definedName>
    <definedName name="BExINIMK8XC3JOBT2EXYFHHH52H0" localSheetId="10" hidden="1">#REF!</definedName>
    <definedName name="BExINIMK8XC3JOBT2EXYFHHH52H0" localSheetId="12" hidden="1">#REF!</definedName>
    <definedName name="BExINIMK8XC3JOBT2EXYFHHH52H0" localSheetId="9" hidden="1">'Customer data'!#REF!</definedName>
    <definedName name="BExINIMK8XC3JOBT2EXYFHHH52H0" localSheetId="8" hidden="1">'Largest debtors'!#REF!</definedName>
    <definedName name="BExINIMK8XC3JOBT2EXYFHHH52H0" localSheetId="11" hidden="1">#REF!</definedName>
    <definedName name="BExINIMK8XC3JOBT2EXYFHHH52H0" localSheetId="6" hidden="1">Stock!#REF!</definedName>
    <definedName name="BExINIMK8XC3JOBT2EXYFHHH52H0" hidden="1">#REF!</definedName>
    <definedName name="BExINLX401ZKEGWU168DS4JUM2J6" localSheetId="7" hidden="1">'Aged debtors'!#REF!</definedName>
    <definedName name="BExINLX401ZKEGWU168DS4JUM2J6" localSheetId="10" hidden="1">#REF!</definedName>
    <definedName name="BExINLX401ZKEGWU168DS4JUM2J6" localSheetId="12" hidden="1">#REF!</definedName>
    <definedName name="BExINLX401ZKEGWU168DS4JUM2J6" localSheetId="9" hidden="1">'Customer data'!#REF!</definedName>
    <definedName name="BExINLX401ZKEGWU168DS4JUM2J6" localSheetId="8" hidden="1">'Largest debtors'!#REF!</definedName>
    <definedName name="BExINLX401ZKEGWU168DS4JUM2J6" localSheetId="11" hidden="1">#REF!</definedName>
    <definedName name="BExINLX401ZKEGWU168DS4JUM2J6" localSheetId="6" hidden="1">Stock!#REF!</definedName>
    <definedName name="BExINLX401ZKEGWU168DS4JUM2J6" hidden="1">#REF!</definedName>
    <definedName name="BExINMYYJO1FTV1CZF6O5XCFAMQX" localSheetId="7" hidden="1">'Aged debtors'!#REF!</definedName>
    <definedName name="BExINMYYJO1FTV1CZF6O5XCFAMQX" localSheetId="10" hidden="1">#REF!</definedName>
    <definedName name="BExINMYYJO1FTV1CZF6O5XCFAMQX" localSheetId="12" hidden="1">#REF!</definedName>
    <definedName name="BExINMYYJO1FTV1CZF6O5XCFAMQX" localSheetId="9" hidden="1">'Customer data'!#REF!</definedName>
    <definedName name="BExINMYYJO1FTV1CZF6O5XCFAMQX" localSheetId="8" hidden="1">'Largest debtors'!#REF!</definedName>
    <definedName name="BExINMYYJO1FTV1CZF6O5XCFAMQX" localSheetId="11" hidden="1">#REF!</definedName>
    <definedName name="BExINMYYJO1FTV1CZF6O5XCFAMQX" localSheetId="6" hidden="1">Stock!#REF!</definedName>
    <definedName name="BExINMYYJO1FTV1CZF6O5XCFAMQX" hidden="1">#REF!</definedName>
    <definedName name="BExINP2H4KI05FRFV5PKZFE00HKO" localSheetId="7" hidden="1">'Aged debtors'!#REF!</definedName>
    <definedName name="BExINP2H4KI05FRFV5PKZFE00HKO" localSheetId="10" hidden="1">#REF!</definedName>
    <definedName name="BExINP2H4KI05FRFV5PKZFE00HKO" localSheetId="12" hidden="1">#REF!</definedName>
    <definedName name="BExINP2H4KI05FRFV5PKZFE00HKO" localSheetId="9" hidden="1">'Customer data'!#REF!</definedName>
    <definedName name="BExINP2H4KI05FRFV5PKZFE00HKO" localSheetId="8" hidden="1">'Largest debtors'!#REF!</definedName>
    <definedName name="BExINP2H4KI05FRFV5PKZFE00HKO" localSheetId="11" hidden="1">#REF!</definedName>
    <definedName name="BExINP2H4KI05FRFV5PKZFE00HKO" localSheetId="6" hidden="1">Stock!#REF!</definedName>
    <definedName name="BExINP2H4KI05FRFV5PKZFE00HKO" hidden="1">#REF!</definedName>
    <definedName name="BExINZELVWYGU876QUUZCIMXPBQC" localSheetId="7" hidden="1">'Aged debtors'!#REF!</definedName>
    <definedName name="BExINZELVWYGU876QUUZCIMXPBQC" localSheetId="10" hidden="1">#REF!</definedName>
    <definedName name="BExINZELVWYGU876QUUZCIMXPBQC" localSheetId="12" hidden="1">#REF!</definedName>
    <definedName name="BExINZELVWYGU876QUUZCIMXPBQC" localSheetId="9" hidden="1">'Customer data'!#REF!</definedName>
    <definedName name="BExINZELVWYGU876QUUZCIMXPBQC" localSheetId="8" hidden="1">'Largest debtors'!#REF!</definedName>
    <definedName name="BExINZELVWYGU876QUUZCIMXPBQC" localSheetId="11" hidden="1">#REF!</definedName>
    <definedName name="BExINZELVWYGU876QUUZCIMXPBQC" localSheetId="6" hidden="1">Stock!#REF!</definedName>
    <definedName name="BExINZELVWYGU876QUUZCIMXPBQC" hidden="1">#REF!</definedName>
    <definedName name="BExIOCQUQHKUU1KONGSDOLQTQEIC" localSheetId="7" hidden="1">'Aged debtors'!#REF!</definedName>
    <definedName name="BExIOCQUQHKUU1KONGSDOLQTQEIC" localSheetId="10" hidden="1">#REF!</definedName>
    <definedName name="BExIOCQUQHKUU1KONGSDOLQTQEIC" localSheetId="12" hidden="1">#REF!</definedName>
    <definedName name="BExIOCQUQHKUU1KONGSDOLQTQEIC" localSheetId="9" hidden="1">'Customer data'!#REF!</definedName>
    <definedName name="BExIOCQUQHKUU1KONGSDOLQTQEIC" localSheetId="8" hidden="1">'Largest debtors'!#REF!</definedName>
    <definedName name="BExIOCQUQHKUU1KONGSDOLQTQEIC" localSheetId="11" hidden="1">#REF!</definedName>
    <definedName name="BExIOCQUQHKUU1KONGSDOLQTQEIC" localSheetId="6" hidden="1">Stock!#REF!</definedName>
    <definedName name="BExIOCQUQHKUU1KONGSDOLQTQEIC" hidden="1">#REF!</definedName>
    <definedName name="BExIOFL8Y5O61VLKTB4H20IJNWS1" localSheetId="7" hidden="1">'Aged debtors'!#REF!</definedName>
    <definedName name="BExIOFL8Y5O61VLKTB4H20IJNWS1" localSheetId="10" hidden="1">#REF!</definedName>
    <definedName name="BExIOFL8Y5O61VLKTB4H20IJNWS1" localSheetId="12" hidden="1">#REF!</definedName>
    <definedName name="BExIOFL8Y5O61VLKTB4H20IJNWS1" localSheetId="9" hidden="1">'Customer data'!#REF!</definedName>
    <definedName name="BExIOFL8Y5O61VLKTB4H20IJNWS1" localSheetId="8" hidden="1">'Largest debtors'!#REF!</definedName>
    <definedName name="BExIOFL8Y5O61VLKTB4H20IJNWS1" localSheetId="11" hidden="1">#REF!</definedName>
    <definedName name="BExIOFL8Y5O61VLKTB4H20IJNWS1" localSheetId="6" hidden="1">Stock!#REF!</definedName>
    <definedName name="BExIOFL8Y5O61VLKTB4H20IJNWS1" hidden="1">#REF!</definedName>
    <definedName name="BExIOMBXRW5NS4ZPYX9G5QREZ5J6" localSheetId="7" hidden="1">'Aged debtors'!#REF!</definedName>
    <definedName name="BExIOMBXRW5NS4ZPYX9G5QREZ5J6" localSheetId="10" hidden="1">#REF!</definedName>
    <definedName name="BExIOMBXRW5NS4ZPYX9G5QREZ5J6" localSheetId="12" hidden="1">#REF!</definedName>
    <definedName name="BExIOMBXRW5NS4ZPYX9G5QREZ5J6" localSheetId="9" hidden="1">'Customer data'!#REF!</definedName>
    <definedName name="BExIOMBXRW5NS4ZPYX9G5QREZ5J6" localSheetId="8" hidden="1">'Largest debtors'!#REF!</definedName>
    <definedName name="BExIOMBXRW5NS4ZPYX9G5QREZ5J6" localSheetId="11" hidden="1">#REF!</definedName>
    <definedName name="BExIOMBXRW5NS4ZPYX9G5QREZ5J6" localSheetId="6" hidden="1">Stock!#REF!</definedName>
    <definedName name="BExIOMBXRW5NS4ZPYX9G5QREZ5J6" hidden="1">#REF!</definedName>
    <definedName name="BExIORA3GK78T7C7SNBJJUONJ0LS" localSheetId="7" hidden="1">'Aged debtors'!#REF!</definedName>
    <definedName name="BExIORA3GK78T7C7SNBJJUONJ0LS" localSheetId="10" hidden="1">#REF!</definedName>
    <definedName name="BExIORA3GK78T7C7SNBJJUONJ0LS" localSheetId="12" hidden="1">#REF!</definedName>
    <definedName name="BExIORA3GK78T7C7SNBJJUONJ0LS" localSheetId="9" hidden="1">'Customer data'!#REF!</definedName>
    <definedName name="BExIORA3GK78T7C7SNBJJUONJ0LS" localSheetId="8" hidden="1">'Largest debtors'!#REF!</definedName>
    <definedName name="BExIORA3GK78T7C7SNBJJUONJ0LS" localSheetId="11" hidden="1">#REF!</definedName>
    <definedName name="BExIORA3GK78T7C7SNBJJUONJ0LS" localSheetId="6" hidden="1">Stock!#REF!</definedName>
    <definedName name="BExIORA3GK78T7C7SNBJJUONJ0LS" hidden="1">#REF!</definedName>
    <definedName name="BExIOTZ5EFZ2NASVQ05RH15HRSW6" localSheetId="7" hidden="1">'Aged debtors'!#REF!</definedName>
    <definedName name="BExIOTZ5EFZ2NASVQ05RH15HRSW6" localSheetId="10" hidden="1">#REF!</definedName>
    <definedName name="BExIOTZ5EFZ2NASVQ05RH15HRSW6" localSheetId="12" hidden="1">#REF!</definedName>
    <definedName name="BExIOTZ5EFZ2NASVQ05RH15HRSW6" localSheetId="9" hidden="1">'Customer data'!#REF!</definedName>
    <definedName name="BExIOTZ5EFZ2NASVQ05RH15HRSW6" localSheetId="8" hidden="1">'Largest debtors'!#REF!</definedName>
    <definedName name="BExIOTZ5EFZ2NASVQ05RH15HRSW6" localSheetId="11" hidden="1">#REF!</definedName>
    <definedName name="BExIOTZ5EFZ2NASVQ05RH15HRSW6" localSheetId="6" hidden="1">Stock!#REF!</definedName>
    <definedName name="BExIOTZ5EFZ2NASVQ05RH15HRSW6" hidden="1">#REF!</definedName>
    <definedName name="BExIPB25DKX4S2ZCKQN7KWSC3JBF" localSheetId="7" hidden="1">'Aged debtors'!#REF!</definedName>
    <definedName name="BExIPB25DKX4S2ZCKQN7KWSC3JBF" localSheetId="10" hidden="1">#REF!</definedName>
    <definedName name="BExIPB25DKX4S2ZCKQN7KWSC3JBF" localSheetId="12" hidden="1">#REF!</definedName>
    <definedName name="BExIPB25DKX4S2ZCKQN7KWSC3JBF" localSheetId="9" hidden="1">'Customer data'!#REF!</definedName>
    <definedName name="BExIPB25DKX4S2ZCKQN7KWSC3JBF" localSheetId="8" hidden="1">'Largest debtors'!#REF!</definedName>
    <definedName name="BExIPB25DKX4S2ZCKQN7KWSC3JBF" localSheetId="11" hidden="1">#REF!</definedName>
    <definedName name="BExIPB25DKX4S2ZCKQN7KWSC3JBF" localSheetId="6" hidden="1">Stock!#REF!</definedName>
    <definedName name="BExIPB25DKX4S2ZCKQN7KWSC3JBF" hidden="1">#REF!</definedName>
    <definedName name="BExIPKNFUDPDKOSH5GHDVNA8D66S" localSheetId="7" hidden="1">'Aged debtors'!#REF!</definedName>
    <definedName name="BExIPKNFUDPDKOSH5GHDVNA8D66S" localSheetId="10" hidden="1">#REF!</definedName>
    <definedName name="BExIPKNFUDPDKOSH5GHDVNA8D66S" localSheetId="12" hidden="1">#REF!</definedName>
    <definedName name="BExIPKNFUDPDKOSH5GHDVNA8D66S" localSheetId="9" hidden="1">'Customer data'!#REF!</definedName>
    <definedName name="BExIPKNFUDPDKOSH5GHDVNA8D66S" localSheetId="8" hidden="1">'Largest debtors'!#REF!</definedName>
    <definedName name="BExIPKNFUDPDKOSH5GHDVNA8D66S" localSheetId="11" hidden="1">#REF!</definedName>
    <definedName name="BExIPKNFUDPDKOSH5GHDVNA8D66S" localSheetId="6" hidden="1">Stock!#REF!</definedName>
    <definedName name="BExIPKNFUDPDKOSH5GHDVNA8D66S" hidden="1">#REF!</definedName>
    <definedName name="BExIPQ6ZMIIPESOVQ5GP432OHGZ2" localSheetId="7" hidden="1">'Aged debtors'!#REF!</definedName>
    <definedName name="BExIPQ6ZMIIPESOVQ5GP432OHGZ2" localSheetId="10" hidden="1">#REF!</definedName>
    <definedName name="BExIPQ6ZMIIPESOVQ5GP432OHGZ2" localSheetId="12" hidden="1">#REF!</definedName>
    <definedName name="BExIPQ6ZMIIPESOVQ5GP432OHGZ2" localSheetId="9" hidden="1">'Customer data'!#REF!</definedName>
    <definedName name="BExIPQ6ZMIIPESOVQ5GP432OHGZ2" localSheetId="8" hidden="1">'Largest debtors'!#REF!</definedName>
    <definedName name="BExIPQ6ZMIIPESOVQ5GP432OHGZ2" localSheetId="11" hidden="1">#REF!</definedName>
    <definedName name="BExIPQ6ZMIIPESOVQ5GP432OHGZ2" localSheetId="6" hidden="1">Stock!#REF!</definedName>
    <definedName name="BExIPQ6ZMIIPESOVQ5GP432OHGZ2" hidden="1">#REF!</definedName>
    <definedName name="BExIQ1VS9A2FHVD9TUHKG9K8EVVP" localSheetId="7" hidden="1">'Aged debtors'!#REF!</definedName>
    <definedName name="BExIQ1VS9A2FHVD9TUHKG9K8EVVP" localSheetId="10" hidden="1">#REF!</definedName>
    <definedName name="BExIQ1VS9A2FHVD9TUHKG9K8EVVP" localSheetId="12" hidden="1">#REF!</definedName>
    <definedName name="BExIQ1VS9A2FHVD9TUHKG9K8EVVP" localSheetId="9" hidden="1">'Customer data'!#REF!</definedName>
    <definedName name="BExIQ1VS9A2FHVD9TUHKG9K8EVVP" localSheetId="8" hidden="1">'Largest debtors'!#REF!</definedName>
    <definedName name="BExIQ1VS9A2FHVD9TUHKG9K8EVVP" localSheetId="11" hidden="1">#REF!</definedName>
    <definedName name="BExIQ1VS9A2FHVD9TUHKG9K8EVVP" localSheetId="6" hidden="1">Stock!#REF!</definedName>
    <definedName name="BExIQ1VS9A2FHVD9TUHKG9K8EVVP" hidden="1">#REF!</definedName>
    <definedName name="BExIQ3J19L30PSQ2CXNT6IHW0I7V" localSheetId="7" hidden="1">'Aged debtors'!#REF!</definedName>
    <definedName name="BExIQ3J19L30PSQ2CXNT6IHW0I7V" localSheetId="10" hidden="1">#REF!</definedName>
    <definedName name="BExIQ3J19L30PSQ2CXNT6IHW0I7V" localSheetId="12" hidden="1">#REF!</definedName>
    <definedName name="BExIQ3J19L30PSQ2CXNT6IHW0I7V" localSheetId="9" hidden="1">'Customer data'!#REF!</definedName>
    <definedName name="BExIQ3J19L30PSQ2CXNT6IHW0I7V" localSheetId="8" hidden="1">'Largest debtors'!#REF!</definedName>
    <definedName name="BExIQ3J19L30PSQ2CXNT6IHW0I7V" localSheetId="11" hidden="1">#REF!</definedName>
    <definedName name="BExIQ3J19L30PSQ2CXNT6IHW0I7V" localSheetId="6" hidden="1">Stock!#REF!</definedName>
    <definedName name="BExIQ3J19L30PSQ2CXNT6IHW0I7V" hidden="1">#REF!</definedName>
    <definedName name="BExIQ5S19ITB0NDRUN4XV7B905ED" localSheetId="7" hidden="1">'Aged debtors'!#REF!</definedName>
    <definedName name="BExIQ5S19ITB0NDRUN4XV7B905ED" localSheetId="10" hidden="1">#REF!</definedName>
    <definedName name="BExIQ5S19ITB0NDRUN4XV7B905ED" localSheetId="12" hidden="1">#REF!</definedName>
    <definedName name="BExIQ5S19ITB0NDRUN4XV7B905ED" localSheetId="9" hidden="1">'Customer data'!#REF!</definedName>
    <definedName name="BExIQ5S19ITB0NDRUN4XV7B905ED" localSheetId="8" hidden="1">'Largest debtors'!#REF!</definedName>
    <definedName name="BExIQ5S19ITB0NDRUN4XV7B905ED" localSheetId="11" hidden="1">#REF!</definedName>
    <definedName name="BExIQ5S19ITB0NDRUN4XV7B905ED" localSheetId="6" hidden="1">Stock!#REF!</definedName>
    <definedName name="BExIQ5S19ITB0NDRUN4XV7B905ED" hidden="1">#REF!</definedName>
    <definedName name="BExIQBMDE1L6J4H27K1FMSHQKDSE" localSheetId="7" hidden="1">'Aged debtors'!#REF!</definedName>
    <definedName name="BExIQBMDE1L6J4H27K1FMSHQKDSE" localSheetId="10" hidden="1">#REF!</definedName>
    <definedName name="BExIQBMDE1L6J4H27K1FMSHQKDSE" localSheetId="12" hidden="1">#REF!</definedName>
    <definedName name="BExIQBMDE1L6J4H27K1FMSHQKDSE" localSheetId="9" hidden="1">'Customer data'!#REF!</definedName>
    <definedName name="BExIQBMDE1L6J4H27K1FMSHQKDSE" localSheetId="8" hidden="1">'Largest debtors'!#REF!</definedName>
    <definedName name="BExIQBMDE1L6J4H27K1FMSHQKDSE" localSheetId="11" hidden="1">#REF!</definedName>
    <definedName name="BExIQBMDE1L6J4H27K1FMSHQKDSE" localSheetId="6" hidden="1">Stock!#REF!</definedName>
    <definedName name="BExIQBMDE1L6J4H27K1FMSHQKDSE" hidden="1">#REF!</definedName>
    <definedName name="BExIQE65LVXUOF3UZFO7SDHFJH22" localSheetId="7" hidden="1">'Aged debtors'!#REF!</definedName>
    <definedName name="BExIQE65LVXUOF3UZFO7SDHFJH22" localSheetId="10" hidden="1">#REF!</definedName>
    <definedName name="BExIQE65LVXUOF3UZFO7SDHFJH22" localSheetId="12" hidden="1">#REF!</definedName>
    <definedName name="BExIQE65LVXUOF3UZFO7SDHFJH22" localSheetId="9" hidden="1">'Customer data'!#REF!</definedName>
    <definedName name="BExIQE65LVXUOF3UZFO7SDHFJH22" localSheetId="8" hidden="1">'Largest debtors'!#REF!</definedName>
    <definedName name="BExIQE65LVXUOF3UZFO7SDHFJH22" localSheetId="11" hidden="1">#REF!</definedName>
    <definedName name="BExIQE65LVXUOF3UZFO7SDHFJH22" localSheetId="6" hidden="1">Stock!#REF!</definedName>
    <definedName name="BExIQE65LVXUOF3UZFO7SDHFJH22" hidden="1">#REF!</definedName>
    <definedName name="BExIQG9OO2KKBOWTMD1OXY36TEGA" localSheetId="7" hidden="1">'Aged debtors'!#REF!</definedName>
    <definedName name="BExIQG9OO2KKBOWTMD1OXY36TEGA" localSheetId="10" hidden="1">#REF!</definedName>
    <definedName name="BExIQG9OO2KKBOWTMD1OXY36TEGA" localSheetId="12" hidden="1">#REF!</definedName>
    <definedName name="BExIQG9OO2KKBOWTMD1OXY36TEGA" localSheetId="9" hidden="1">'Customer data'!#REF!</definedName>
    <definedName name="BExIQG9OO2KKBOWTMD1OXY36TEGA" localSheetId="8" hidden="1">'Largest debtors'!#REF!</definedName>
    <definedName name="BExIQG9OO2KKBOWTMD1OXY36TEGA" localSheetId="11" hidden="1">#REF!</definedName>
    <definedName name="BExIQG9OO2KKBOWTMD1OXY36TEGA" localSheetId="6" hidden="1">Stock!#REF!</definedName>
    <definedName name="BExIQG9OO2KKBOWTMD1OXY36TEGA" hidden="1">#REF!</definedName>
    <definedName name="BExIR2ALYRP9FW99DK2084J7IIDC" localSheetId="7" hidden="1">'Aged debtors'!#REF!</definedName>
    <definedName name="BExIR2ALYRP9FW99DK2084J7IIDC" localSheetId="10" hidden="1">#REF!</definedName>
    <definedName name="BExIR2ALYRP9FW99DK2084J7IIDC" localSheetId="12" hidden="1">#REF!</definedName>
    <definedName name="BExIR2ALYRP9FW99DK2084J7IIDC" localSheetId="9" hidden="1">'Customer data'!#REF!</definedName>
    <definedName name="BExIR2ALYRP9FW99DK2084J7IIDC" localSheetId="8" hidden="1">'Largest debtors'!#REF!</definedName>
    <definedName name="BExIR2ALYRP9FW99DK2084J7IIDC" localSheetId="11" hidden="1">#REF!</definedName>
    <definedName name="BExIR2ALYRP9FW99DK2084J7IIDC" localSheetId="6" hidden="1">Stock!#REF!</definedName>
    <definedName name="BExIR2ALYRP9FW99DK2084J7IIDC" hidden="1">#REF!</definedName>
    <definedName name="BExIRRBGTY01OQOI3U5SW59RFDFI" localSheetId="7" hidden="1">'Aged debtors'!#REF!</definedName>
    <definedName name="BExIRRBGTY01OQOI3U5SW59RFDFI" localSheetId="10" hidden="1">#REF!</definedName>
    <definedName name="BExIRRBGTY01OQOI3U5SW59RFDFI" localSheetId="12" hidden="1">#REF!</definedName>
    <definedName name="BExIRRBGTY01OQOI3U5SW59RFDFI" localSheetId="9" hidden="1">'Customer data'!#REF!</definedName>
    <definedName name="BExIRRBGTY01OQOI3U5SW59RFDFI" localSheetId="8" hidden="1">'Largest debtors'!#REF!</definedName>
    <definedName name="BExIRRBGTY01OQOI3U5SW59RFDFI" localSheetId="11" hidden="1">#REF!</definedName>
    <definedName name="BExIRRBGTY01OQOI3U5SW59RFDFI" localSheetId="6" hidden="1">Stock!#REF!</definedName>
    <definedName name="BExIRRBGTY01OQOI3U5SW59RFDFI" hidden="1">#REF!</definedName>
    <definedName name="BExISC5B700MZUBFTQ9K4IKTF7HR" localSheetId="7" hidden="1">'Aged debtors'!#REF!</definedName>
    <definedName name="BExISC5B700MZUBFTQ9K4IKTF7HR" localSheetId="10" hidden="1">#REF!</definedName>
    <definedName name="BExISC5B700MZUBFTQ9K4IKTF7HR" localSheetId="12" hidden="1">#REF!</definedName>
    <definedName name="BExISC5B700MZUBFTQ9K4IKTF7HR" localSheetId="9" hidden="1">'Customer data'!#REF!</definedName>
    <definedName name="BExISC5B700MZUBFTQ9K4IKTF7HR" localSheetId="8" hidden="1">'Largest debtors'!#REF!</definedName>
    <definedName name="BExISC5B700MZUBFTQ9K4IKTF7HR" localSheetId="11" hidden="1">#REF!</definedName>
    <definedName name="BExISC5B700MZUBFTQ9K4IKTF7HR" localSheetId="6" hidden="1">Stock!#REF!</definedName>
    <definedName name="BExISC5B700MZUBFTQ9K4IKTF7HR" hidden="1">#REF!</definedName>
    <definedName name="BExISRFKJYUZ4AKW44IJF7RF9Y90" localSheetId="7" hidden="1">'Aged debtors'!#REF!</definedName>
    <definedName name="BExISRFKJYUZ4AKW44IJF7RF9Y90" localSheetId="10" hidden="1">#REF!</definedName>
    <definedName name="BExISRFKJYUZ4AKW44IJF7RF9Y90" localSheetId="12" hidden="1">#REF!</definedName>
    <definedName name="BExISRFKJYUZ4AKW44IJF7RF9Y90" localSheetId="9" hidden="1">'Customer data'!#REF!</definedName>
    <definedName name="BExISRFKJYUZ4AKW44IJF7RF9Y90" localSheetId="8" hidden="1">'Largest debtors'!#REF!</definedName>
    <definedName name="BExISRFKJYUZ4AKW44IJF7RF9Y90" localSheetId="11" hidden="1">#REF!</definedName>
    <definedName name="BExISRFKJYUZ4AKW44IJF7RF9Y90" localSheetId="6" hidden="1">Stock!#REF!</definedName>
    <definedName name="BExISRFKJYUZ4AKW44IJF7RF9Y90" hidden="1">#REF!</definedName>
    <definedName name="BExIUUT2MHIOV6R3WHA0DPM1KBKY" localSheetId="7" hidden="1">'Aged debtors'!#REF!</definedName>
    <definedName name="BExIUUT2MHIOV6R3WHA0DPM1KBKY" localSheetId="10" hidden="1">#REF!</definedName>
    <definedName name="BExIUUT2MHIOV6R3WHA0DPM1KBKY" localSheetId="12" hidden="1">#REF!</definedName>
    <definedName name="BExIUUT2MHIOV6R3WHA0DPM1KBKY" localSheetId="9" hidden="1">'Customer data'!#REF!</definedName>
    <definedName name="BExIUUT2MHIOV6R3WHA0DPM1KBKY" localSheetId="8" hidden="1">'Largest debtors'!#REF!</definedName>
    <definedName name="BExIUUT2MHIOV6R3WHA0DPM1KBKY" localSheetId="11" hidden="1">#REF!</definedName>
    <definedName name="BExIUUT2MHIOV6R3WHA0DPM1KBKY" localSheetId="6" hidden="1">Stock!#REF!</definedName>
    <definedName name="BExIUUT2MHIOV6R3WHA0DPM1KBKY" hidden="1">#REF!</definedName>
    <definedName name="BExIV0I2O9F8D1UK1SI8AEYR6U0A" localSheetId="7" hidden="1">'Aged debtors'!#REF!</definedName>
    <definedName name="BExIV0I2O9F8D1UK1SI8AEYR6U0A" localSheetId="10" hidden="1">#REF!</definedName>
    <definedName name="BExIV0I2O9F8D1UK1SI8AEYR6U0A" localSheetId="12" hidden="1">#REF!</definedName>
    <definedName name="BExIV0I2O9F8D1UK1SI8AEYR6U0A" localSheetId="9" hidden="1">'Customer data'!#REF!</definedName>
    <definedName name="BExIV0I2O9F8D1UK1SI8AEYR6U0A" localSheetId="8" hidden="1">'Largest debtors'!#REF!</definedName>
    <definedName name="BExIV0I2O9F8D1UK1SI8AEYR6U0A" localSheetId="11" hidden="1">#REF!</definedName>
    <definedName name="BExIV0I2O9F8D1UK1SI8AEYR6U0A" localSheetId="6" hidden="1">Stock!#REF!</definedName>
    <definedName name="BExIV0I2O9F8D1UK1SI8AEYR6U0A" hidden="1">#REF!</definedName>
    <definedName name="BExIV2LM38XPLRTWT0R44TMQ59E5" localSheetId="7" hidden="1">'Aged debtors'!#REF!</definedName>
    <definedName name="BExIV2LM38XPLRTWT0R44TMQ59E5" localSheetId="10" hidden="1">#REF!</definedName>
    <definedName name="BExIV2LM38XPLRTWT0R44TMQ59E5" localSheetId="12" hidden="1">#REF!</definedName>
    <definedName name="BExIV2LM38XPLRTWT0R44TMQ59E5" localSheetId="9" hidden="1">'Customer data'!#REF!</definedName>
    <definedName name="BExIV2LM38XPLRTWT0R44TMQ59E5" localSheetId="8" hidden="1">'Largest debtors'!#REF!</definedName>
    <definedName name="BExIV2LM38XPLRTWT0R44TMQ59E5" localSheetId="11" hidden="1">#REF!</definedName>
    <definedName name="BExIV2LM38XPLRTWT0R44TMQ59E5" localSheetId="6" hidden="1">Stock!#REF!</definedName>
    <definedName name="BExIV2LM38XPLRTWT0R44TMQ59E5" hidden="1">#REF!</definedName>
    <definedName name="BExIV3HY4S0YRV1F7XEMF2YHAR2I" localSheetId="7" hidden="1">'Aged debtors'!#REF!</definedName>
    <definedName name="BExIV3HY4S0YRV1F7XEMF2YHAR2I" localSheetId="10" hidden="1">#REF!</definedName>
    <definedName name="BExIV3HY4S0YRV1F7XEMF2YHAR2I" localSheetId="12" hidden="1">#REF!</definedName>
    <definedName name="BExIV3HY4S0YRV1F7XEMF2YHAR2I" localSheetId="9" hidden="1">'Customer data'!#REF!</definedName>
    <definedName name="BExIV3HY4S0YRV1F7XEMF2YHAR2I" localSheetId="8" hidden="1">'Largest debtors'!#REF!</definedName>
    <definedName name="BExIV3HY4S0YRV1F7XEMF2YHAR2I" localSheetId="11" hidden="1">#REF!</definedName>
    <definedName name="BExIV3HY4S0YRV1F7XEMF2YHAR2I" localSheetId="6" hidden="1">Stock!#REF!</definedName>
    <definedName name="BExIV3HY4S0YRV1F7XEMF2YHAR2I" hidden="1">#REF!</definedName>
    <definedName name="BExIV6HUZFRIFLXW2SICKGTAH1PV" localSheetId="7" hidden="1">'Aged debtors'!#REF!</definedName>
    <definedName name="BExIV6HUZFRIFLXW2SICKGTAH1PV" localSheetId="10" hidden="1">#REF!</definedName>
    <definedName name="BExIV6HUZFRIFLXW2SICKGTAH1PV" localSheetId="12" hidden="1">#REF!</definedName>
    <definedName name="BExIV6HUZFRIFLXW2SICKGTAH1PV" localSheetId="9" hidden="1">'Customer data'!#REF!</definedName>
    <definedName name="BExIV6HUZFRIFLXW2SICKGTAH1PV" localSheetId="8" hidden="1">'Largest debtors'!#REF!</definedName>
    <definedName name="BExIV6HUZFRIFLXW2SICKGTAH1PV" localSheetId="11" hidden="1">#REF!</definedName>
    <definedName name="BExIV6HUZFRIFLXW2SICKGTAH1PV" localSheetId="6" hidden="1">Stock!#REF!</definedName>
    <definedName name="BExIV6HUZFRIFLXW2SICKGTAH1PV" hidden="1">#REF!</definedName>
    <definedName name="BExIVCXWL6H5LD9DHDIA4F5U9TQL" localSheetId="7" hidden="1">'Aged debtors'!#REF!</definedName>
    <definedName name="BExIVCXWL6H5LD9DHDIA4F5U9TQL" localSheetId="10" hidden="1">#REF!</definedName>
    <definedName name="BExIVCXWL6H5LD9DHDIA4F5U9TQL" localSheetId="12" hidden="1">#REF!</definedName>
    <definedName name="BExIVCXWL6H5LD9DHDIA4F5U9TQL" localSheetId="9" hidden="1">'Customer data'!#REF!</definedName>
    <definedName name="BExIVCXWL6H5LD9DHDIA4F5U9TQL" localSheetId="8" hidden="1">'Largest debtors'!#REF!</definedName>
    <definedName name="BExIVCXWL6H5LD9DHDIA4F5U9TQL" localSheetId="11" hidden="1">#REF!</definedName>
    <definedName name="BExIVCXWL6H5LD9DHDIA4F5U9TQL" localSheetId="6" hidden="1">Stock!#REF!</definedName>
    <definedName name="BExIVCXWL6H5LD9DHDIA4F5U9TQL" hidden="1">#REF!</definedName>
    <definedName name="BExIVMOIPSEWSIHIDDLOXESQ28A0" localSheetId="7" hidden="1">'Aged debtors'!#REF!</definedName>
    <definedName name="BExIVMOIPSEWSIHIDDLOXESQ28A0" localSheetId="10" hidden="1">#REF!</definedName>
    <definedName name="BExIVMOIPSEWSIHIDDLOXESQ28A0" localSheetId="12" hidden="1">#REF!</definedName>
    <definedName name="BExIVMOIPSEWSIHIDDLOXESQ28A0" localSheetId="9" hidden="1">'Customer data'!#REF!</definedName>
    <definedName name="BExIVMOIPSEWSIHIDDLOXESQ28A0" localSheetId="8" hidden="1">'Largest debtors'!#REF!</definedName>
    <definedName name="BExIVMOIPSEWSIHIDDLOXESQ28A0" localSheetId="11" hidden="1">#REF!</definedName>
    <definedName name="BExIVMOIPSEWSIHIDDLOXESQ28A0" localSheetId="6" hidden="1">Stock!#REF!</definedName>
    <definedName name="BExIVMOIPSEWSIHIDDLOXESQ28A0" hidden="1">#REF!</definedName>
    <definedName name="BExIWB3SY3WRIVIOF988DNNODBOA" localSheetId="7" hidden="1">'Aged debtors'!#REF!</definedName>
    <definedName name="BExIWB3SY3WRIVIOF988DNNODBOA" localSheetId="10" hidden="1">#REF!</definedName>
    <definedName name="BExIWB3SY3WRIVIOF988DNNODBOA" localSheetId="12" hidden="1">#REF!</definedName>
    <definedName name="BExIWB3SY3WRIVIOF988DNNODBOA" localSheetId="9" hidden="1">'Customer data'!#REF!</definedName>
    <definedName name="BExIWB3SY3WRIVIOF988DNNODBOA" localSheetId="8" hidden="1">'Largest debtors'!#REF!</definedName>
    <definedName name="BExIWB3SY3WRIVIOF988DNNODBOA" localSheetId="11" hidden="1">#REF!</definedName>
    <definedName name="BExIWB3SY3WRIVIOF988DNNODBOA" localSheetId="6" hidden="1">Stock!#REF!</definedName>
    <definedName name="BExIWB3SY3WRIVIOF988DNNODBOA" hidden="1">#REF!</definedName>
    <definedName name="BExIWH3KUK94B7833DD4TB0Y6KP9" localSheetId="7" hidden="1">'Aged debtors'!#REF!</definedName>
    <definedName name="BExIWH3KUK94B7833DD4TB0Y6KP9" localSheetId="10" hidden="1">#REF!</definedName>
    <definedName name="BExIWH3KUK94B7833DD4TB0Y6KP9" localSheetId="12" hidden="1">#REF!</definedName>
    <definedName name="BExIWH3KUK94B7833DD4TB0Y6KP9" localSheetId="9" hidden="1">'Customer data'!#REF!</definedName>
    <definedName name="BExIWH3KUK94B7833DD4TB0Y6KP9" localSheetId="8" hidden="1">'Largest debtors'!#REF!</definedName>
    <definedName name="BExIWH3KUK94B7833DD4TB0Y6KP9" localSheetId="11" hidden="1">#REF!</definedName>
    <definedName name="BExIWH3KUK94B7833DD4TB0Y6KP9" localSheetId="6" hidden="1">Stock!#REF!</definedName>
    <definedName name="BExIWH3KUK94B7833DD4TB0Y6KP9" hidden="1">#REF!</definedName>
    <definedName name="BExIX5OAP9KSUE5SIZCW9P39Q4WE" localSheetId="7" hidden="1">'Aged debtors'!#REF!</definedName>
    <definedName name="BExIX5OAP9KSUE5SIZCW9P39Q4WE" localSheetId="10" hidden="1">#REF!</definedName>
    <definedName name="BExIX5OAP9KSUE5SIZCW9P39Q4WE" localSheetId="12" hidden="1">#REF!</definedName>
    <definedName name="BExIX5OAP9KSUE5SIZCW9P39Q4WE" localSheetId="9" hidden="1">'Customer data'!#REF!</definedName>
    <definedName name="BExIX5OAP9KSUE5SIZCW9P39Q4WE" localSheetId="8" hidden="1">'Largest debtors'!#REF!</definedName>
    <definedName name="BExIX5OAP9KSUE5SIZCW9P39Q4WE" localSheetId="11" hidden="1">#REF!</definedName>
    <definedName name="BExIX5OAP9KSUE5SIZCW9P39Q4WE" localSheetId="6" hidden="1">Stock!#REF!</definedName>
    <definedName name="BExIX5OAP9KSUE5SIZCW9P39Q4WE" hidden="1">#REF!</definedName>
    <definedName name="BExIXM5R87ZL3FHALWZXYCPHGX3E" localSheetId="7" hidden="1">'Aged debtors'!#REF!</definedName>
    <definedName name="BExIXM5R87ZL3FHALWZXYCPHGX3E" localSheetId="10" hidden="1">#REF!</definedName>
    <definedName name="BExIXM5R87ZL3FHALWZXYCPHGX3E" localSheetId="12" hidden="1">#REF!</definedName>
    <definedName name="BExIXM5R87ZL3FHALWZXYCPHGX3E" localSheetId="9" hidden="1">'Customer data'!#REF!</definedName>
    <definedName name="BExIXM5R87ZL3FHALWZXYCPHGX3E" localSheetId="8" hidden="1">'Largest debtors'!#REF!</definedName>
    <definedName name="BExIXM5R87ZL3FHALWZXYCPHGX3E" localSheetId="11" hidden="1">#REF!</definedName>
    <definedName name="BExIXM5R87ZL3FHALWZXYCPHGX3E" localSheetId="6" hidden="1">Stock!#REF!</definedName>
    <definedName name="BExIXM5R87ZL3FHALWZXYCPHGX3E" hidden="1">#REF!</definedName>
    <definedName name="BExIXS036ZCKT2Z8XZKLZ8PFWQGL" localSheetId="7" hidden="1">'Aged debtors'!#REF!</definedName>
    <definedName name="BExIXS036ZCKT2Z8XZKLZ8PFWQGL" localSheetId="10" hidden="1">#REF!</definedName>
    <definedName name="BExIXS036ZCKT2Z8XZKLZ8PFWQGL" localSheetId="12" hidden="1">#REF!</definedName>
    <definedName name="BExIXS036ZCKT2Z8XZKLZ8PFWQGL" localSheetId="9" hidden="1">'Customer data'!#REF!</definedName>
    <definedName name="BExIXS036ZCKT2Z8XZKLZ8PFWQGL" localSheetId="8" hidden="1">'Largest debtors'!#REF!</definedName>
    <definedName name="BExIXS036ZCKT2Z8XZKLZ8PFWQGL" localSheetId="11" hidden="1">#REF!</definedName>
    <definedName name="BExIXS036ZCKT2Z8XZKLZ8PFWQGL" localSheetId="6" hidden="1">Stock!#REF!</definedName>
    <definedName name="BExIXS036ZCKT2Z8XZKLZ8PFWQGL" hidden="1">#REF!</definedName>
    <definedName name="BExIYMPZ0KS2KOJFQAUQJ77L7701" localSheetId="7" hidden="1">'Aged debtors'!#REF!</definedName>
    <definedName name="BExIYMPZ0KS2KOJFQAUQJ77L7701" localSheetId="10" hidden="1">#REF!</definedName>
    <definedName name="BExIYMPZ0KS2KOJFQAUQJ77L7701" localSheetId="12" hidden="1">#REF!</definedName>
    <definedName name="BExIYMPZ0KS2KOJFQAUQJ77L7701" localSheetId="9" hidden="1">'Customer data'!#REF!</definedName>
    <definedName name="BExIYMPZ0KS2KOJFQAUQJ77L7701" localSheetId="8" hidden="1">'Largest debtors'!#REF!</definedName>
    <definedName name="BExIYMPZ0KS2KOJFQAUQJ77L7701" localSheetId="11" hidden="1">#REF!</definedName>
    <definedName name="BExIYMPZ0KS2KOJFQAUQJ77L7701" localSheetId="6" hidden="1">Stock!#REF!</definedName>
    <definedName name="BExIYMPZ0KS2KOJFQAUQJ77L7701" hidden="1">#REF!</definedName>
    <definedName name="BExIYZGLDQ1TN7BIIN4RLDP31GIM" localSheetId="7" hidden="1">'Aged debtors'!#REF!</definedName>
    <definedName name="BExIYZGLDQ1TN7BIIN4RLDP31GIM" localSheetId="10" hidden="1">#REF!</definedName>
    <definedName name="BExIYZGLDQ1TN7BIIN4RLDP31GIM" localSheetId="12" hidden="1">#REF!</definedName>
    <definedName name="BExIYZGLDQ1TN7BIIN4RLDP31GIM" localSheetId="9" hidden="1">'Customer data'!#REF!</definedName>
    <definedName name="BExIYZGLDQ1TN7BIIN4RLDP31GIM" localSheetId="8" hidden="1">'Largest debtors'!#REF!</definedName>
    <definedName name="BExIYZGLDQ1TN7BIIN4RLDP31GIM" localSheetId="11" hidden="1">#REF!</definedName>
    <definedName name="BExIYZGLDQ1TN7BIIN4RLDP31GIM" localSheetId="6" hidden="1">Stock!#REF!</definedName>
    <definedName name="BExIYZGLDQ1TN7BIIN4RLDP31GIM" hidden="1">#REF!</definedName>
    <definedName name="BExIZKVXYD5O2JBU81F2UFJZLLSI" localSheetId="7" hidden="1">'Aged debtors'!#REF!</definedName>
    <definedName name="BExIZKVXYD5O2JBU81F2UFJZLLSI" localSheetId="10" hidden="1">#REF!</definedName>
    <definedName name="BExIZKVXYD5O2JBU81F2UFJZLLSI" localSheetId="12" hidden="1">#REF!</definedName>
    <definedName name="BExIZKVXYD5O2JBU81F2UFJZLLSI" localSheetId="9" hidden="1">'Customer data'!#REF!</definedName>
    <definedName name="BExIZKVXYD5O2JBU81F2UFJZLLSI" localSheetId="8" hidden="1">'Largest debtors'!#REF!</definedName>
    <definedName name="BExIZKVXYD5O2JBU81F2UFJZLLSI" localSheetId="11" hidden="1">#REF!</definedName>
    <definedName name="BExIZKVXYD5O2JBU81F2UFJZLLSI" localSheetId="6" hidden="1">Stock!#REF!</definedName>
    <definedName name="BExIZKVXYD5O2JBU81F2UFJZLLSI" hidden="1">#REF!</definedName>
    <definedName name="BExIZPZDHC8HGER83WHCZAHOX7LK" localSheetId="7" hidden="1">'Aged debtors'!#REF!</definedName>
    <definedName name="BExIZPZDHC8HGER83WHCZAHOX7LK" localSheetId="10" hidden="1">#REF!</definedName>
    <definedName name="BExIZPZDHC8HGER83WHCZAHOX7LK" localSheetId="12" hidden="1">#REF!</definedName>
    <definedName name="BExIZPZDHC8HGER83WHCZAHOX7LK" localSheetId="9" hidden="1">'Customer data'!#REF!</definedName>
    <definedName name="BExIZPZDHC8HGER83WHCZAHOX7LK" localSheetId="8" hidden="1">'Largest debtors'!#REF!</definedName>
    <definedName name="BExIZPZDHC8HGER83WHCZAHOX7LK" localSheetId="11" hidden="1">#REF!</definedName>
    <definedName name="BExIZPZDHC8HGER83WHCZAHOX7LK" localSheetId="6" hidden="1">Stock!#REF!</definedName>
    <definedName name="BExIZPZDHC8HGER83WHCZAHOX7LK" hidden="1">#REF!</definedName>
    <definedName name="BExIZY2PUZ0OF9YKK1B13IW0VS6G" localSheetId="7" hidden="1">'Aged debtors'!#REF!</definedName>
    <definedName name="BExIZY2PUZ0OF9YKK1B13IW0VS6G" localSheetId="10" hidden="1">#REF!</definedName>
    <definedName name="BExIZY2PUZ0OF9YKK1B13IW0VS6G" localSheetId="12" hidden="1">#REF!</definedName>
    <definedName name="BExIZY2PUZ0OF9YKK1B13IW0VS6G" localSheetId="9" hidden="1">'Customer data'!#REF!</definedName>
    <definedName name="BExIZY2PUZ0OF9YKK1B13IW0VS6G" localSheetId="8" hidden="1">'Largest debtors'!#REF!</definedName>
    <definedName name="BExIZY2PUZ0OF9YKK1B13IW0VS6G" localSheetId="11" hidden="1">#REF!</definedName>
    <definedName name="BExIZY2PUZ0OF9YKK1B13IW0VS6G" localSheetId="6" hidden="1">Stock!#REF!</definedName>
    <definedName name="BExIZY2PUZ0OF9YKK1B13IW0VS6G" hidden="1">#REF!</definedName>
    <definedName name="BExJ0DYJWXGE7DA39PYL3WM05U9O" localSheetId="7" hidden="1">'Aged debtors'!#REF!</definedName>
    <definedName name="BExJ0DYJWXGE7DA39PYL3WM05U9O" localSheetId="10" hidden="1">#REF!</definedName>
    <definedName name="BExJ0DYJWXGE7DA39PYL3WM05U9O" localSheetId="12" hidden="1">#REF!</definedName>
    <definedName name="BExJ0DYJWXGE7DA39PYL3WM05U9O" localSheetId="9" hidden="1">'Customer data'!#REF!</definedName>
    <definedName name="BExJ0DYJWXGE7DA39PYL3WM05U9O" localSheetId="8" hidden="1">'Largest debtors'!#REF!</definedName>
    <definedName name="BExJ0DYJWXGE7DA39PYL3WM05U9O" localSheetId="11" hidden="1">#REF!</definedName>
    <definedName name="BExJ0DYJWXGE7DA39PYL3WM05U9O" localSheetId="6" hidden="1">Stock!#REF!</definedName>
    <definedName name="BExJ0DYJWXGE7DA39PYL3WM05U9O" hidden="1">#REF!</definedName>
    <definedName name="BExJ0MY8SY5J5V50H3UKE78ODTVB" localSheetId="7" hidden="1">'Aged debtors'!#REF!</definedName>
    <definedName name="BExJ0MY8SY5J5V50H3UKE78ODTVB" localSheetId="10" hidden="1">#REF!</definedName>
    <definedName name="BExJ0MY8SY5J5V50H3UKE78ODTVB" localSheetId="12" hidden="1">#REF!</definedName>
    <definedName name="BExJ0MY8SY5J5V50H3UKE78ODTVB" localSheetId="9" hidden="1">'Customer data'!#REF!</definedName>
    <definedName name="BExJ0MY8SY5J5V50H3UKE78ODTVB" localSheetId="8" hidden="1">'Largest debtors'!#REF!</definedName>
    <definedName name="BExJ0MY8SY5J5V50H3UKE78ODTVB" localSheetId="11" hidden="1">#REF!</definedName>
    <definedName name="BExJ0MY8SY5J5V50H3UKE78ODTVB" localSheetId="6" hidden="1">Stock!#REF!</definedName>
    <definedName name="BExJ0MY8SY5J5V50H3UKE78ODTVB" hidden="1">#REF!</definedName>
    <definedName name="BExJ0YC98G37ML4N8FLP8D95EFRF" localSheetId="7" hidden="1">'Aged debtors'!#REF!</definedName>
    <definedName name="BExJ0YC98G37ML4N8FLP8D95EFRF" localSheetId="10" hidden="1">#REF!</definedName>
    <definedName name="BExJ0YC98G37ML4N8FLP8D95EFRF" localSheetId="12" hidden="1">#REF!</definedName>
    <definedName name="BExJ0YC98G37ML4N8FLP8D95EFRF" localSheetId="9" hidden="1">'Customer data'!#REF!</definedName>
    <definedName name="BExJ0YC98G37ML4N8FLP8D95EFRF" localSheetId="8" hidden="1">'Largest debtors'!#REF!</definedName>
    <definedName name="BExJ0YC98G37ML4N8FLP8D95EFRF" localSheetId="11" hidden="1">#REF!</definedName>
    <definedName name="BExJ0YC98G37ML4N8FLP8D95EFRF" localSheetId="6" hidden="1">Stock!#REF!</definedName>
    <definedName name="BExJ0YC98G37ML4N8FLP8D95EFRF" hidden="1">#REF!</definedName>
    <definedName name="BExKCDYKAEV45AFXHVHZZ62E5BM3" localSheetId="7" hidden="1">'Aged debtors'!#REF!</definedName>
    <definedName name="BExKCDYKAEV45AFXHVHZZ62E5BM3" localSheetId="10" hidden="1">#REF!</definedName>
    <definedName name="BExKCDYKAEV45AFXHVHZZ62E5BM3" localSheetId="12" hidden="1">#REF!</definedName>
    <definedName name="BExKCDYKAEV45AFXHVHZZ62E5BM3" localSheetId="9" hidden="1">'Customer data'!#REF!</definedName>
    <definedName name="BExKCDYKAEV45AFXHVHZZ62E5BM3" localSheetId="8" hidden="1">'Largest debtors'!#REF!</definedName>
    <definedName name="BExKCDYKAEV45AFXHVHZZ62E5BM3" localSheetId="11" hidden="1">#REF!</definedName>
    <definedName name="BExKCDYKAEV45AFXHVHZZ62E5BM3" localSheetId="6" hidden="1">Stock!#REF!</definedName>
    <definedName name="BExKCDYKAEV45AFXHVHZZ62E5BM3" hidden="1">#REF!</definedName>
    <definedName name="BExKDKO0W4AGQO1V7K6Q4VM750FT" localSheetId="7" hidden="1">'Aged debtors'!#REF!</definedName>
    <definedName name="BExKDKO0W4AGQO1V7K6Q4VM750FT" localSheetId="10" hidden="1">#REF!</definedName>
    <definedName name="BExKDKO0W4AGQO1V7K6Q4VM750FT" localSheetId="12" hidden="1">#REF!</definedName>
    <definedName name="BExKDKO0W4AGQO1V7K6Q4VM750FT" localSheetId="9" hidden="1">'Customer data'!#REF!</definedName>
    <definedName name="BExKDKO0W4AGQO1V7K6Q4VM750FT" localSheetId="8" hidden="1">'Largest debtors'!#REF!</definedName>
    <definedName name="BExKDKO0W4AGQO1V7K6Q4VM750FT" localSheetId="11" hidden="1">#REF!</definedName>
    <definedName name="BExKDKO0W4AGQO1V7K6Q4VM750FT" localSheetId="6" hidden="1">Stock!#REF!</definedName>
    <definedName name="BExKDKO0W4AGQO1V7K6Q4VM750FT" hidden="1">#REF!</definedName>
    <definedName name="BExKEFE0I3MT6ZLC4T1L9465HKTN" localSheetId="7" hidden="1">'Aged debtors'!#REF!</definedName>
    <definedName name="BExKEFE0I3MT6ZLC4T1L9465HKTN" localSheetId="10" hidden="1">#REF!</definedName>
    <definedName name="BExKEFE0I3MT6ZLC4T1L9465HKTN" localSheetId="12" hidden="1">#REF!</definedName>
    <definedName name="BExKEFE0I3MT6ZLC4T1L9465HKTN" localSheetId="9" hidden="1">'Customer data'!#REF!</definedName>
    <definedName name="BExKEFE0I3MT6ZLC4T1L9465HKTN" localSheetId="8" hidden="1">'Largest debtors'!#REF!</definedName>
    <definedName name="BExKEFE0I3MT6ZLC4T1L9465HKTN" localSheetId="11" hidden="1">#REF!</definedName>
    <definedName name="BExKEFE0I3MT6ZLC4T1L9465HKTN" localSheetId="6" hidden="1">Stock!#REF!</definedName>
    <definedName name="BExKEFE0I3MT6ZLC4T1L9465HKTN" hidden="1">#REF!</definedName>
    <definedName name="BExKEK6O5BVJP4VY02FY7JNAZ6BT" localSheetId="7" hidden="1">'Aged debtors'!#REF!</definedName>
    <definedName name="BExKEK6O5BVJP4VY02FY7JNAZ6BT" localSheetId="10" hidden="1">#REF!</definedName>
    <definedName name="BExKEK6O5BVJP4VY02FY7JNAZ6BT" localSheetId="12" hidden="1">#REF!</definedName>
    <definedName name="BExKEK6O5BVJP4VY02FY7JNAZ6BT" localSheetId="9" hidden="1">'Customer data'!#REF!</definedName>
    <definedName name="BExKEK6O5BVJP4VY02FY7JNAZ6BT" localSheetId="8" hidden="1">'Largest debtors'!#REF!</definedName>
    <definedName name="BExKEK6O5BVJP4VY02FY7JNAZ6BT" localSheetId="11" hidden="1">#REF!</definedName>
    <definedName name="BExKEK6O5BVJP4VY02FY7JNAZ6BT" localSheetId="6" hidden="1">Stock!#REF!</definedName>
    <definedName name="BExKEK6O5BVJP4VY02FY7JNAZ6BT" hidden="1">#REF!</definedName>
    <definedName name="BExKEW0RR5LA3VC46A2BEOOMQE56" localSheetId="7" hidden="1">'Aged debtors'!#REF!</definedName>
    <definedName name="BExKEW0RR5LA3VC46A2BEOOMQE56" localSheetId="10" hidden="1">#REF!</definedName>
    <definedName name="BExKEW0RR5LA3VC46A2BEOOMQE56" localSheetId="12" hidden="1">#REF!</definedName>
    <definedName name="BExKEW0RR5LA3VC46A2BEOOMQE56" localSheetId="9" hidden="1">'Customer data'!#REF!</definedName>
    <definedName name="BExKEW0RR5LA3VC46A2BEOOMQE56" localSheetId="8" hidden="1">'Largest debtors'!#REF!</definedName>
    <definedName name="BExKEW0RR5LA3VC46A2BEOOMQE56" localSheetId="11" hidden="1">#REF!</definedName>
    <definedName name="BExKEW0RR5LA3VC46A2BEOOMQE56" localSheetId="6" hidden="1">Stock!#REF!</definedName>
    <definedName name="BExKEW0RR5LA3VC46A2BEOOMQE56" hidden="1">#REF!</definedName>
    <definedName name="BExKFA3VI1CZK21SM0N3LZWT9LA1" localSheetId="7" hidden="1">'Aged debtors'!#REF!</definedName>
    <definedName name="BExKFA3VI1CZK21SM0N3LZWT9LA1" localSheetId="10" hidden="1">#REF!</definedName>
    <definedName name="BExKFA3VI1CZK21SM0N3LZWT9LA1" localSheetId="12" hidden="1">#REF!</definedName>
    <definedName name="BExKFA3VI1CZK21SM0N3LZWT9LA1" localSheetId="9" hidden="1">'Customer data'!#REF!</definedName>
    <definedName name="BExKFA3VI1CZK21SM0N3LZWT9LA1" localSheetId="8" hidden="1">'Largest debtors'!#REF!</definedName>
    <definedName name="BExKFA3VI1CZK21SM0N3LZWT9LA1" localSheetId="11" hidden="1">#REF!</definedName>
    <definedName name="BExKFA3VI1CZK21SM0N3LZWT9LA1" localSheetId="6" hidden="1">Stock!#REF!</definedName>
    <definedName name="BExKFA3VI1CZK21SM0N3LZWT9LA1" hidden="1">#REF!</definedName>
    <definedName name="BExKFOSK5DJ151C4E8544UWMYTOC" localSheetId="7" hidden="1">'Aged debtors'!#REF!</definedName>
    <definedName name="BExKFOSK5DJ151C4E8544UWMYTOC" localSheetId="10" hidden="1">#REF!</definedName>
    <definedName name="BExKFOSK5DJ151C4E8544UWMYTOC" localSheetId="12" hidden="1">#REF!</definedName>
    <definedName name="BExKFOSK5DJ151C4E8544UWMYTOC" localSheetId="9" hidden="1">'Customer data'!#REF!</definedName>
    <definedName name="BExKFOSK5DJ151C4E8544UWMYTOC" localSheetId="8" hidden="1">'Largest debtors'!#REF!</definedName>
    <definedName name="BExKFOSK5DJ151C4E8544UWMYTOC" localSheetId="11" hidden="1">#REF!</definedName>
    <definedName name="BExKFOSK5DJ151C4E8544UWMYTOC" localSheetId="6" hidden="1">Stock!#REF!</definedName>
    <definedName name="BExKFOSK5DJ151C4E8544UWMYTOC" hidden="1">#REF!</definedName>
    <definedName name="BExKFYJC4EVEV54F82K6VKP7Q3OU" localSheetId="7" hidden="1">'Aged debtors'!#REF!</definedName>
    <definedName name="BExKFYJC4EVEV54F82K6VKP7Q3OU" localSheetId="10" hidden="1">#REF!</definedName>
    <definedName name="BExKFYJC4EVEV54F82K6VKP7Q3OU" localSheetId="12" hidden="1">#REF!</definedName>
    <definedName name="BExKFYJC4EVEV54F82K6VKP7Q3OU" localSheetId="9" hidden="1">'Customer data'!#REF!</definedName>
    <definedName name="BExKFYJC4EVEV54F82K6VKP7Q3OU" localSheetId="8" hidden="1">'Largest debtors'!#REF!</definedName>
    <definedName name="BExKFYJC4EVEV54F82K6VKP7Q3OU" localSheetId="11" hidden="1">#REF!</definedName>
    <definedName name="BExKFYJC4EVEV54F82K6VKP7Q3OU" localSheetId="6" hidden="1">Stock!#REF!</definedName>
    <definedName name="BExKFYJC4EVEV54F82K6VKP7Q3OU" hidden="1">#REF!</definedName>
    <definedName name="BExKG4IYHBKQQ8J8FN10GB2IKO33" localSheetId="7" hidden="1">'Aged debtors'!#REF!</definedName>
    <definedName name="BExKG4IYHBKQQ8J8FN10GB2IKO33" localSheetId="10" hidden="1">#REF!</definedName>
    <definedName name="BExKG4IYHBKQQ8J8FN10GB2IKO33" localSheetId="12" hidden="1">#REF!</definedName>
    <definedName name="BExKG4IYHBKQQ8J8FN10GB2IKO33" localSheetId="9" hidden="1">'Customer data'!#REF!</definedName>
    <definedName name="BExKG4IYHBKQQ8J8FN10GB2IKO33" localSheetId="8" hidden="1">'Largest debtors'!#REF!</definedName>
    <definedName name="BExKG4IYHBKQQ8J8FN10GB2IKO33" localSheetId="11" hidden="1">#REF!</definedName>
    <definedName name="BExKG4IYHBKQQ8J8FN10GB2IKO33" localSheetId="6" hidden="1">Stock!#REF!</definedName>
    <definedName name="BExKG4IYHBKQQ8J8FN10GB2IKO33" hidden="1">#REF!</definedName>
    <definedName name="BExKGF0L44S78D33WMQ1A75TRKB9" localSheetId="7" hidden="1">'Aged debtors'!#REF!</definedName>
    <definedName name="BExKGF0L44S78D33WMQ1A75TRKB9" localSheetId="10" hidden="1">#REF!</definedName>
    <definedName name="BExKGF0L44S78D33WMQ1A75TRKB9" localSheetId="12" hidden="1">#REF!</definedName>
    <definedName name="BExKGF0L44S78D33WMQ1A75TRKB9" localSheetId="9" hidden="1">'Customer data'!#REF!</definedName>
    <definedName name="BExKGF0L44S78D33WMQ1A75TRKB9" localSheetId="8" hidden="1">'Largest debtors'!#REF!</definedName>
    <definedName name="BExKGF0L44S78D33WMQ1A75TRKB9" localSheetId="11" hidden="1">#REF!</definedName>
    <definedName name="BExKGF0L44S78D33WMQ1A75TRKB9" localSheetId="6" hidden="1">Stock!#REF!</definedName>
    <definedName name="BExKGF0L44S78D33WMQ1A75TRKB9" hidden="1">#REF!</definedName>
    <definedName name="BExKGFRN31B3G20LMQ4LRF879J68" localSheetId="7" hidden="1">'Aged debtors'!#REF!</definedName>
    <definedName name="BExKGFRN31B3G20LMQ4LRF879J68" localSheetId="10" hidden="1">#REF!</definedName>
    <definedName name="BExKGFRN31B3G20LMQ4LRF879J68" localSheetId="12" hidden="1">#REF!</definedName>
    <definedName name="BExKGFRN31B3G20LMQ4LRF879J68" localSheetId="9" hidden="1">'Customer data'!#REF!</definedName>
    <definedName name="BExKGFRN31B3G20LMQ4LRF879J68" localSheetId="8" hidden="1">'Largest debtors'!#REF!</definedName>
    <definedName name="BExKGFRN31B3G20LMQ4LRF879J68" localSheetId="11" hidden="1">#REF!</definedName>
    <definedName name="BExKGFRN31B3G20LMQ4LRF879J68" localSheetId="6" hidden="1">Stock!#REF!</definedName>
    <definedName name="BExKGFRN31B3G20LMQ4LRF879J68" hidden="1">#REF!</definedName>
    <definedName name="BExKGJD3U3ADZILP20U3EURP0UQP" localSheetId="7" hidden="1">'Aged debtors'!#REF!</definedName>
    <definedName name="BExKGJD3U3ADZILP20U3EURP0UQP" localSheetId="10" hidden="1">#REF!</definedName>
    <definedName name="BExKGJD3U3ADZILP20U3EURP0UQP" localSheetId="12" hidden="1">#REF!</definedName>
    <definedName name="BExKGJD3U3ADZILP20U3EURP0UQP" localSheetId="9" hidden="1">'Customer data'!#REF!</definedName>
    <definedName name="BExKGJD3U3ADZILP20U3EURP0UQP" localSheetId="8" hidden="1">'Largest debtors'!#REF!</definedName>
    <definedName name="BExKGJD3U3ADZILP20U3EURP0UQP" localSheetId="11" hidden="1">#REF!</definedName>
    <definedName name="BExKGJD3U3ADZILP20U3EURP0UQP" localSheetId="6" hidden="1">Stock!#REF!</definedName>
    <definedName name="BExKGJD3U3ADZILP20U3EURP0UQP" hidden="1">#REF!</definedName>
    <definedName name="BExKHAMUH8NR3HRV0V6FHJE3ROLN" localSheetId="7" hidden="1">'Aged debtors'!#REF!</definedName>
    <definedName name="BExKHAMUH8NR3HRV0V6FHJE3ROLN" localSheetId="10" hidden="1">#REF!</definedName>
    <definedName name="BExKHAMUH8NR3HRV0V6FHJE3ROLN" localSheetId="12" hidden="1">#REF!</definedName>
    <definedName name="BExKHAMUH8NR3HRV0V6FHJE3ROLN" localSheetId="9" hidden="1">'Customer data'!#REF!</definedName>
    <definedName name="BExKHAMUH8NR3HRV0V6FHJE3ROLN" localSheetId="8" hidden="1">'Largest debtors'!#REF!</definedName>
    <definedName name="BExKHAMUH8NR3HRV0V6FHJE3ROLN" localSheetId="11" hidden="1">#REF!</definedName>
    <definedName name="BExKHAMUH8NR3HRV0V6FHJE3ROLN" localSheetId="6" hidden="1">Stock!#REF!</definedName>
    <definedName name="BExKHAMUH8NR3HRV0V6FHJE3ROLN" hidden="1">#REF!</definedName>
    <definedName name="BExKHPM9XA0ADDK7TUR0N38EXWEP" localSheetId="7" hidden="1">'Aged debtors'!#REF!</definedName>
    <definedName name="BExKHPM9XA0ADDK7TUR0N38EXWEP" localSheetId="10" hidden="1">#REF!</definedName>
    <definedName name="BExKHPM9XA0ADDK7TUR0N38EXWEP" localSheetId="12" hidden="1">#REF!</definedName>
    <definedName name="BExKHPM9XA0ADDK7TUR0N38EXWEP" localSheetId="9" hidden="1">'Customer data'!#REF!</definedName>
    <definedName name="BExKHPM9XA0ADDK7TUR0N38EXWEP" localSheetId="8" hidden="1">'Largest debtors'!#REF!</definedName>
    <definedName name="BExKHPM9XA0ADDK7TUR0N38EXWEP" localSheetId="11" hidden="1">#REF!</definedName>
    <definedName name="BExKHPM9XA0ADDK7TUR0N38EXWEP" localSheetId="6" hidden="1">Stock!#REF!</definedName>
    <definedName name="BExKHPM9XA0ADDK7TUR0N38EXWEP" hidden="1">#REF!</definedName>
    <definedName name="BExKI4076KXCDE5KXL79KT36OKLO" localSheetId="7" hidden="1">'Aged debtors'!#REF!</definedName>
    <definedName name="BExKI4076KXCDE5KXL79KT36OKLO" localSheetId="10" hidden="1">#REF!</definedName>
    <definedName name="BExKI4076KXCDE5KXL79KT36OKLO" localSheetId="12" hidden="1">#REF!</definedName>
    <definedName name="BExKI4076KXCDE5KXL79KT36OKLO" localSheetId="9" hidden="1">'Customer data'!#REF!</definedName>
    <definedName name="BExKI4076KXCDE5KXL79KT36OKLO" localSheetId="8" hidden="1">'Largest debtors'!#REF!</definedName>
    <definedName name="BExKI4076KXCDE5KXL79KT36OKLO" localSheetId="11" hidden="1">#REF!</definedName>
    <definedName name="BExKI4076KXCDE5KXL79KT36OKLO" localSheetId="6" hidden="1">Stock!#REF!</definedName>
    <definedName name="BExKI4076KXCDE5KXL79KT36OKLO" hidden="1">#REF!</definedName>
    <definedName name="BExKI7LO70WYISR7Q0Y1ZDWO9M3B" localSheetId="7" hidden="1">'Aged debtors'!#REF!</definedName>
    <definedName name="BExKI7LO70WYISR7Q0Y1ZDWO9M3B" localSheetId="10" hidden="1">#REF!</definedName>
    <definedName name="BExKI7LO70WYISR7Q0Y1ZDWO9M3B" localSheetId="12" hidden="1">#REF!</definedName>
    <definedName name="BExKI7LO70WYISR7Q0Y1ZDWO9M3B" localSheetId="9" hidden="1">'Customer data'!#REF!</definedName>
    <definedName name="BExKI7LO70WYISR7Q0Y1ZDWO9M3B" localSheetId="8" hidden="1">'Largest debtors'!#REF!</definedName>
    <definedName name="BExKI7LO70WYISR7Q0Y1ZDWO9M3B" localSheetId="11" hidden="1">#REF!</definedName>
    <definedName name="BExKI7LO70WYISR7Q0Y1ZDWO9M3B" localSheetId="6" hidden="1">Stock!#REF!</definedName>
    <definedName name="BExKI7LO70WYISR7Q0Y1ZDWO9M3B" hidden="1">#REF!</definedName>
    <definedName name="BExKIGQV6TXIZG039HBOJU62WP2U" localSheetId="7" hidden="1">'Aged debtors'!#REF!</definedName>
    <definedName name="BExKIGQV6TXIZG039HBOJU62WP2U" localSheetId="10" hidden="1">#REF!</definedName>
    <definedName name="BExKIGQV6TXIZG039HBOJU62WP2U" localSheetId="12" hidden="1">#REF!</definedName>
    <definedName name="BExKIGQV6TXIZG039HBOJU62WP2U" localSheetId="9" hidden="1">'Customer data'!#REF!</definedName>
    <definedName name="BExKIGQV6TXIZG039HBOJU62WP2U" localSheetId="8" hidden="1">'Largest debtors'!#REF!</definedName>
    <definedName name="BExKIGQV6TXIZG039HBOJU62WP2U" localSheetId="11" hidden="1">#REF!</definedName>
    <definedName name="BExKIGQV6TXIZG039HBOJU62WP2U" localSheetId="6" hidden="1">Stock!#REF!</definedName>
    <definedName name="BExKIGQV6TXIZG039HBOJU62WP2U" hidden="1">#REF!</definedName>
    <definedName name="BExKJINMXS61G2TZEXCJAWVV4F57" localSheetId="7" hidden="1">'Aged debtors'!#REF!</definedName>
    <definedName name="BExKJINMXS61G2TZEXCJAWVV4F57" localSheetId="10" hidden="1">#REF!</definedName>
    <definedName name="BExKJINMXS61G2TZEXCJAWVV4F57" localSheetId="12" hidden="1">#REF!</definedName>
    <definedName name="BExKJINMXS61G2TZEXCJAWVV4F57" localSheetId="9" hidden="1">'Customer data'!#REF!</definedName>
    <definedName name="BExKJINMXS61G2TZEXCJAWVV4F57" localSheetId="8" hidden="1">'Largest debtors'!#REF!</definedName>
    <definedName name="BExKJINMXS61G2TZEXCJAWVV4F57" localSheetId="11" hidden="1">#REF!</definedName>
    <definedName name="BExKJINMXS61G2TZEXCJAWVV4F57" localSheetId="6" hidden="1">Stock!#REF!</definedName>
    <definedName name="BExKJINMXS61G2TZEXCJAWVV4F57" hidden="1">#REF!</definedName>
    <definedName name="BExKJK5ME8KB7HA0180L7OUZDDGV" localSheetId="7" hidden="1">'Aged debtors'!#REF!</definedName>
    <definedName name="BExKJK5ME8KB7HA0180L7OUZDDGV" localSheetId="10" hidden="1">#REF!</definedName>
    <definedName name="BExKJK5ME8KB7HA0180L7OUZDDGV" localSheetId="12" hidden="1">#REF!</definedName>
    <definedName name="BExKJK5ME8KB7HA0180L7OUZDDGV" localSheetId="9" hidden="1">'Customer data'!#REF!</definedName>
    <definedName name="BExKJK5ME8KB7HA0180L7OUZDDGV" localSheetId="8" hidden="1">'Largest debtors'!#REF!</definedName>
    <definedName name="BExKJK5ME8KB7HA0180L7OUZDDGV" localSheetId="11" hidden="1">#REF!</definedName>
    <definedName name="BExKJK5ME8KB7HA0180L7OUZDDGV" localSheetId="6" hidden="1">Stock!#REF!</definedName>
    <definedName name="BExKJK5ME8KB7HA0180L7OUZDDGV" hidden="1">#REF!</definedName>
    <definedName name="BExKJN5IF0VMDILJ5K8ZENF2QYV1" localSheetId="7" hidden="1">'Aged debtors'!#REF!</definedName>
    <definedName name="BExKJN5IF0VMDILJ5K8ZENF2QYV1" localSheetId="10" hidden="1">#REF!</definedName>
    <definedName name="BExKJN5IF0VMDILJ5K8ZENF2QYV1" localSheetId="12" hidden="1">#REF!</definedName>
    <definedName name="BExKJN5IF0VMDILJ5K8ZENF2QYV1" localSheetId="9" hidden="1">'Customer data'!#REF!</definedName>
    <definedName name="BExKJN5IF0VMDILJ5K8ZENF2QYV1" localSheetId="8" hidden="1">'Largest debtors'!#REF!</definedName>
    <definedName name="BExKJN5IF0VMDILJ5K8ZENF2QYV1" localSheetId="11" hidden="1">#REF!</definedName>
    <definedName name="BExKJN5IF0VMDILJ5K8ZENF2QYV1" localSheetId="6" hidden="1">Stock!#REF!</definedName>
    <definedName name="BExKJN5IF0VMDILJ5K8ZENF2QYV1" hidden="1">#REF!</definedName>
    <definedName name="BExKJUSJPFUIK20FTVAFJWR2OUYX" localSheetId="7" hidden="1">'Aged debtors'!#REF!</definedName>
    <definedName name="BExKJUSJPFUIK20FTVAFJWR2OUYX" localSheetId="10" hidden="1">#REF!</definedName>
    <definedName name="BExKJUSJPFUIK20FTVAFJWR2OUYX" localSheetId="12" hidden="1">#REF!</definedName>
    <definedName name="BExKJUSJPFUIK20FTVAFJWR2OUYX" localSheetId="9" hidden="1">'Customer data'!#REF!</definedName>
    <definedName name="BExKJUSJPFUIK20FTVAFJWR2OUYX" localSheetId="8" hidden="1">'Largest debtors'!#REF!</definedName>
    <definedName name="BExKJUSJPFUIK20FTVAFJWR2OUYX" localSheetId="11" hidden="1">#REF!</definedName>
    <definedName name="BExKJUSJPFUIK20FTVAFJWR2OUYX" localSheetId="6" hidden="1">Stock!#REF!</definedName>
    <definedName name="BExKJUSJPFUIK20FTVAFJWR2OUYX" hidden="1">#REF!</definedName>
    <definedName name="BExKKIM9NPF6B3SPMPIQB27HQME4" localSheetId="7" hidden="1">'Aged debtors'!#REF!</definedName>
    <definedName name="BExKKIM9NPF6B3SPMPIQB27HQME4" localSheetId="10" hidden="1">#REF!</definedName>
    <definedName name="BExKKIM9NPF6B3SPMPIQB27HQME4" localSheetId="12" hidden="1">#REF!</definedName>
    <definedName name="BExKKIM9NPF6B3SPMPIQB27HQME4" localSheetId="9" hidden="1">'Customer data'!#REF!</definedName>
    <definedName name="BExKKIM9NPF6B3SPMPIQB27HQME4" localSheetId="8" hidden="1">'Largest debtors'!#REF!</definedName>
    <definedName name="BExKKIM9NPF6B3SPMPIQB27HQME4" localSheetId="11" hidden="1">#REF!</definedName>
    <definedName name="BExKKIM9NPF6B3SPMPIQB27HQME4" localSheetId="6" hidden="1">Stock!#REF!</definedName>
    <definedName name="BExKKIM9NPF6B3SPMPIQB27HQME4" hidden="1">#REF!</definedName>
    <definedName name="BExKKIX1BCBQ4R3K41QD8NTV0OV0" localSheetId="7" hidden="1">'Aged debtors'!#REF!</definedName>
    <definedName name="BExKKIX1BCBQ4R3K41QD8NTV0OV0" localSheetId="10" hidden="1">#REF!</definedName>
    <definedName name="BExKKIX1BCBQ4R3K41QD8NTV0OV0" localSheetId="12" hidden="1">#REF!</definedName>
    <definedName name="BExKKIX1BCBQ4R3K41QD8NTV0OV0" localSheetId="9" hidden="1">'Customer data'!#REF!</definedName>
    <definedName name="BExKKIX1BCBQ4R3K41QD8NTV0OV0" localSheetId="8" hidden="1">'Largest debtors'!#REF!</definedName>
    <definedName name="BExKKIX1BCBQ4R3K41QD8NTV0OV0" localSheetId="11" hidden="1">#REF!</definedName>
    <definedName name="BExKKIX1BCBQ4R3K41QD8NTV0OV0" localSheetId="6" hidden="1">Stock!#REF!</definedName>
    <definedName name="BExKKIX1BCBQ4R3K41QD8NTV0OV0" hidden="1">#REF!</definedName>
    <definedName name="BExKKUGD2HMJWQEYZ8H3X1BMXFS9" localSheetId="7" hidden="1">'Aged debtors'!#REF!</definedName>
    <definedName name="BExKKUGD2HMJWQEYZ8H3X1BMXFS9" localSheetId="10" hidden="1">#REF!</definedName>
    <definedName name="BExKKUGD2HMJWQEYZ8H3X1BMXFS9" localSheetId="12" hidden="1">#REF!</definedName>
    <definedName name="BExKKUGD2HMJWQEYZ8H3X1BMXFS9" localSheetId="9" hidden="1">'Customer data'!#REF!</definedName>
    <definedName name="BExKKUGD2HMJWQEYZ8H3X1BMXFS9" localSheetId="8" hidden="1">'Largest debtors'!#REF!</definedName>
    <definedName name="BExKKUGD2HMJWQEYZ8H3X1BMXFS9" localSheetId="11" hidden="1">#REF!</definedName>
    <definedName name="BExKKUGD2HMJWQEYZ8H3X1BMXFS9" localSheetId="6" hidden="1">Stock!#REF!</definedName>
    <definedName name="BExKKUGD2HMJWQEYZ8H3X1BMXFS9" hidden="1">#REF!</definedName>
    <definedName name="BExKKX05KCZZZPKOR1NE5A8RGVT4" localSheetId="7" hidden="1">'Aged debtors'!#REF!</definedName>
    <definedName name="BExKKX05KCZZZPKOR1NE5A8RGVT4" localSheetId="10" hidden="1">#REF!</definedName>
    <definedName name="BExKKX05KCZZZPKOR1NE5A8RGVT4" localSheetId="12" hidden="1">#REF!</definedName>
    <definedName name="BExKKX05KCZZZPKOR1NE5A8RGVT4" localSheetId="9" hidden="1">'Customer data'!#REF!</definedName>
    <definedName name="BExKKX05KCZZZPKOR1NE5A8RGVT4" localSheetId="8" hidden="1">'Largest debtors'!#REF!</definedName>
    <definedName name="BExKKX05KCZZZPKOR1NE5A8RGVT4" localSheetId="11" hidden="1">#REF!</definedName>
    <definedName name="BExKKX05KCZZZPKOR1NE5A8RGVT4" localSheetId="6" hidden="1">Stock!#REF!</definedName>
    <definedName name="BExKKX05KCZZZPKOR1NE5A8RGVT4" hidden="1">#REF!</definedName>
    <definedName name="BExKLD6S9L66QYREYHBE5J44OK7X" localSheetId="7" hidden="1">'Aged debtors'!#REF!</definedName>
    <definedName name="BExKLD6S9L66QYREYHBE5J44OK7X" localSheetId="10" hidden="1">#REF!</definedName>
    <definedName name="BExKLD6S9L66QYREYHBE5J44OK7X" localSheetId="12" hidden="1">#REF!</definedName>
    <definedName name="BExKLD6S9L66QYREYHBE5J44OK7X" localSheetId="9" hidden="1">'Customer data'!#REF!</definedName>
    <definedName name="BExKLD6S9L66QYREYHBE5J44OK7X" localSheetId="8" hidden="1">'Largest debtors'!#REF!</definedName>
    <definedName name="BExKLD6S9L66QYREYHBE5J44OK7X" localSheetId="11" hidden="1">#REF!</definedName>
    <definedName name="BExKLD6S9L66QYREYHBE5J44OK7X" localSheetId="6" hidden="1">Stock!#REF!</definedName>
    <definedName name="BExKLD6S9L66QYREYHBE5J44OK7X" hidden="1">#REF!</definedName>
    <definedName name="BExKM6EPPRV6XJ5PK87NYUNONLFG" localSheetId="7" hidden="1">'Aged debtors'!#REF!</definedName>
    <definedName name="BExKM6EPPRV6XJ5PK87NYUNONLFG" localSheetId="10" hidden="1">#REF!</definedName>
    <definedName name="BExKM6EPPRV6XJ5PK87NYUNONLFG" localSheetId="12" hidden="1">#REF!</definedName>
    <definedName name="BExKM6EPPRV6XJ5PK87NYUNONLFG" localSheetId="9" hidden="1">'Customer data'!#REF!</definedName>
    <definedName name="BExKM6EPPRV6XJ5PK87NYUNONLFG" localSheetId="8" hidden="1">'Largest debtors'!#REF!</definedName>
    <definedName name="BExKM6EPPRV6XJ5PK87NYUNONLFG" localSheetId="11" hidden="1">#REF!</definedName>
    <definedName name="BExKM6EPPRV6XJ5PK87NYUNONLFG" localSheetId="6" hidden="1">Stock!#REF!</definedName>
    <definedName name="BExKM6EPPRV6XJ5PK87NYUNONLFG" hidden="1">#REF!</definedName>
    <definedName name="BExKMWBX4EH3EYJ07UFEM08NB40Z" localSheetId="7" hidden="1">'Aged debtors'!#REF!</definedName>
    <definedName name="BExKMWBX4EH3EYJ07UFEM08NB40Z" localSheetId="10" hidden="1">#REF!</definedName>
    <definedName name="BExKMWBX4EH3EYJ07UFEM08NB40Z" localSheetId="12" hidden="1">#REF!</definedName>
    <definedName name="BExKMWBX4EH3EYJ07UFEM08NB40Z" localSheetId="9" hidden="1">'Customer data'!#REF!</definedName>
    <definedName name="BExKMWBX4EH3EYJ07UFEM08NB40Z" localSheetId="8" hidden="1">'Largest debtors'!#REF!</definedName>
    <definedName name="BExKMWBX4EH3EYJ07UFEM08NB40Z" localSheetId="11" hidden="1">#REF!</definedName>
    <definedName name="BExKMWBX4EH3EYJ07UFEM08NB40Z" localSheetId="6" hidden="1">Stock!#REF!</definedName>
    <definedName name="BExKMWBX4EH3EYJ07UFEM08NB40Z" hidden="1">#REF!</definedName>
    <definedName name="BExKNBGV2IR3S7M0BX4810KZB4V3" localSheetId="7" hidden="1">'Aged debtors'!#REF!</definedName>
    <definedName name="BExKNBGV2IR3S7M0BX4810KZB4V3" localSheetId="10" hidden="1">#REF!</definedName>
    <definedName name="BExKNBGV2IR3S7M0BX4810KZB4V3" localSheetId="12" hidden="1">#REF!</definedName>
    <definedName name="BExKNBGV2IR3S7M0BX4810KZB4V3" localSheetId="9" hidden="1">'Customer data'!#REF!</definedName>
    <definedName name="BExKNBGV2IR3S7M0BX4810KZB4V3" localSheetId="8" hidden="1">'Largest debtors'!#REF!</definedName>
    <definedName name="BExKNBGV2IR3S7M0BX4810KZB4V3" localSheetId="11" hidden="1">#REF!</definedName>
    <definedName name="BExKNBGV2IR3S7M0BX4810KZB4V3" localSheetId="6" hidden="1">Stock!#REF!</definedName>
    <definedName name="BExKNBGV2IR3S7M0BX4810KZB4V3" hidden="1">#REF!</definedName>
    <definedName name="BExKNGV2YY749C42AQ2T9QNIE5C3" localSheetId="7" hidden="1">'Aged debtors'!#REF!</definedName>
    <definedName name="BExKNGV2YY749C42AQ2T9QNIE5C3" localSheetId="10" hidden="1">#REF!</definedName>
    <definedName name="BExKNGV2YY749C42AQ2T9QNIE5C3" localSheetId="12" hidden="1">#REF!</definedName>
    <definedName name="BExKNGV2YY749C42AQ2T9QNIE5C3" localSheetId="9" hidden="1">'Customer data'!#REF!</definedName>
    <definedName name="BExKNGV2YY749C42AQ2T9QNIE5C3" localSheetId="8" hidden="1">'Largest debtors'!#REF!</definedName>
    <definedName name="BExKNGV2YY749C42AQ2T9QNIE5C3" localSheetId="11" hidden="1">#REF!</definedName>
    <definedName name="BExKNGV2YY749C42AQ2T9QNIE5C3" localSheetId="6" hidden="1">Stock!#REF!</definedName>
    <definedName name="BExKNGV2YY749C42AQ2T9QNIE5C3" hidden="1">#REF!</definedName>
    <definedName name="BExKNZLD7UATC1MYRNJD8H2NH4KU" localSheetId="7" hidden="1">'Aged debtors'!#REF!</definedName>
    <definedName name="BExKNZLD7UATC1MYRNJD8H2NH4KU" localSheetId="10" hidden="1">#REF!</definedName>
    <definedName name="BExKNZLD7UATC1MYRNJD8H2NH4KU" localSheetId="12" hidden="1">#REF!</definedName>
    <definedName name="BExKNZLD7UATC1MYRNJD8H2NH4KU" localSheetId="9" hidden="1">'Customer data'!#REF!</definedName>
    <definedName name="BExKNZLD7UATC1MYRNJD8H2NH4KU" localSheetId="8" hidden="1">'Largest debtors'!#REF!</definedName>
    <definedName name="BExKNZLD7UATC1MYRNJD8H2NH4KU" localSheetId="11" hidden="1">#REF!</definedName>
    <definedName name="BExKNZLD7UATC1MYRNJD8H2NH4KU" localSheetId="6" hidden="1">Stock!#REF!</definedName>
    <definedName name="BExKNZLD7UATC1MYRNJD8H2NH4KU" hidden="1">#REF!</definedName>
    <definedName name="BExKNZQUKQQG2Y97R74G4O4BJP1L" localSheetId="7" hidden="1">'Aged debtors'!#REF!</definedName>
    <definedName name="BExKNZQUKQQG2Y97R74G4O4BJP1L" localSheetId="10" hidden="1">#REF!</definedName>
    <definedName name="BExKNZQUKQQG2Y97R74G4O4BJP1L" localSheetId="12" hidden="1">#REF!</definedName>
    <definedName name="BExKNZQUKQQG2Y97R74G4O4BJP1L" localSheetId="9" hidden="1">'Customer data'!#REF!</definedName>
    <definedName name="BExKNZQUKQQG2Y97R74G4O4BJP1L" localSheetId="8" hidden="1">'Largest debtors'!#REF!</definedName>
    <definedName name="BExKNZQUKQQG2Y97R74G4O4BJP1L" localSheetId="11" hidden="1">#REF!</definedName>
    <definedName name="BExKNZQUKQQG2Y97R74G4O4BJP1L" localSheetId="6" hidden="1">Stock!#REF!</definedName>
    <definedName name="BExKNZQUKQQG2Y97R74G4O4BJP1L" hidden="1">#REF!</definedName>
    <definedName name="BExKO2FXWJWC5IZLDN8JHYILQJ2N" localSheetId="7" hidden="1">'Aged debtors'!#REF!</definedName>
    <definedName name="BExKO2FXWJWC5IZLDN8JHYILQJ2N" localSheetId="10" hidden="1">#REF!</definedName>
    <definedName name="BExKO2FXWJWC5IZLDN8JHYILQJ2N" localSheetId="12" hidden="1">#REF!</definedName>
    <definedName name="BExKO2FXWJWC5IZLDN8JHYILQJ2N" localSheetId="9" hidden="1">'Customer data'!#REF!</definedName>
    <definedName name="BExKO2FXWJWC5IZLDN8JHYILQJ2N" localSheetId="8" hidden="1">'Largest debtors'!#REF!</definedName>
    <definedName name="BExKO2FXWJWC5IZLDN8JHYILQJ2N" localSheetId="11" hidden="1">#REF!</definedName>
    <definedName name="BExKO2FXWJWC5IZLDN8JHYILQJ2N" localSheetId="6" hidden="1">Stock!#REF!</definedName>
    <definedName name="BExKO2FXWJWC5IZLDN8JHYILQJ2N" hidden="1">#REF!</definedName>
    <definedName name="BExKODIZGWW2EQD0FEYW6WK6XLCM" localSheetId="7" hidden="1">'Aged debtors'!#REF!</definedName>
    <definedName name="BExKODIZGWW2EQD0FEYW6WK6XLCM" localSheetId="10" hidden="1">#REF!</definedName>
    <definedName name="BExKODIZGWW2EQD0FEYW6WK6XLCM" localSheetId="12" hidden="1">#REF!</definedName>
    <definedName name="BExKODIZGWW2EQD0FEYW6WK6XLCM" localSheetId="9" hidden="1">'Customer data'!#REF!</definedName>
    <definedName name="BExKODIZGWW2EQD0FEYW6WK6XLCM" localSheetId="8" hidden="1">'Largest debtors'!#REF!</definedName>
    <definedName name="BExKODIZGWW2EQD0FEYW6WK6XLCM" localSheetId="11" hidden="1">#REF!</definedName>
    <definedName name="BExKODIZGWW2EQD0FEYW6WK6XLCM" localSheetId="6" hidden="1">Stock!#REF!</definedName>
    <definedName name="BExKODIZGWW2EQD0FEYW6WK6XLCM" hidden="1">#REF!</definedName>
    <definedName name="BExKOPO2HPWVQGAKW8LOZMPIDEFG" localSheetId="7" hidden="1">'Aged debtors'!#REF!</definedName>
    <definedName name="BExKOPO2HPWVQGAKW8LOZMPIDEFG" localSheetId="10" hidden="1">#REF!</definedName>
    <definedName name="BExKOPO2HPWVQGAKW8LOZMPIDEFG" localSheetId="12" hidden="1">#REF!</definedName>
    <definedName name="BExKOPO2HPWVQGAKW8LOZMPIDEFG" localSheetId="9" hidden="1">'Customer data'!#REF!</definedName>
    <definedName name="BExKOPO2HPWVQGAKW8LOZMPIDEFG" localSheetId="8" hidden="1">'Largest debtors'!#REF!</definedName>
    <definedName name="BExKOPO2HPWVQGAKW8LOZMPIDEFG" localSheetId="11" hidden="1">#REF!</definedName>
    <definedName name="BExKOPO2HPWVQGAKW8LOZMPIDEFG" localSheetId="6" hidden="1">Stock!#REF!</definedName>
    <definedName name="BExKOPO2HPWVQGAKW8LOZMPIDEFG" hidden="1">#REF!</definedName>
    <definedName name="BExKPEZP0QTKOTLIMMIFSVTHQEEK" localSheetId="7" hidden="1">'Aged debtors'!#REF!</definedName>
    <definedName name="BExKPEZP0QTKOTLIMMIFSVTHQEEK" localSheetId="10" hidden="1">#REF!</definedName>
    <definedName name="BExKPEZP0QTKOTLIMMIFSVTHQEEK" localSheetId="12" hidden="1">#REF!</definedName>
    <definedName name="BExKPEZP0QTKOTLIMMIFSVTHQEEK" localSheetId="9" hidden="1">'Customer data'!#REF!</definedName>
    <definedName name="BExKPEZP0QTKOTLIMMIFSVTHQEEK" localSheetId="8" hidden="1">'Largest debtors'!#REF!</definedName>
    <definedName name="BExKPEZP0QTKOTLIMMIFSVTHQEEK" localSheetId="11" hidden="1">#REF!</definedName>
    <definedName name="BExKPEZP0QTKOTLIMMIFSVTHQEEK" localSheetId="6" hidden="1">Stock!#REF!</definedName>
    <definedName name="BExKPEZP0QTKOTLIMMIFSVTHQEEK" hidden="1">#REF!</definedName>
    <definedName name="BExKPN8C7GN36ZJZHLOB74LU6KT0" localSheetId="7" hidden="1">'Aged debtors'!#REF!</definedName>
    <definedName name="BExKPN8C7GN36ZJZHLOB74LU6KT0" localSheetId="10" hidden="1">#REF!</definedName>
    <definedName name="BExKPN8C7GN36ZJZHLOB74LU6KT0" localSheetId="12" hidden="1">#REF!</definedName>
    <definedName name="BExKPN8C7GN36ZJZHLOB74LU6KT0" localSheetId="9" hidden="1">'Customer data'!#REF!</definedName>
    <definedName name="BExKPN8C7GN36ZJZHLOB74LU6KT0" localSheetId="8" hidden="1">'Largest debtors'!#REF!</definedName>
    <definedName name="BExKPN8C7GN36ZJZHLOB74LU6KT0" localSheetId="11" hidden="1">#REF!</definedName>
    <definedName name="BExKPN8C7GN36ZJZHLOB74LU6KT0" localSheetId="6" hidden="1">Stock!#REF!</definedName>
    <definedName name="BExKPN8C7GN36ZJZHLOB74LU6KT0" hidden="1">#REF!</definedName>
    <definedName name="BExKPX9VZ1J5021Q98K60HMPJU58" localSheetId="7" hidden="1">'Aged debtors'!#REF!</definedName>
    <definedName name="BExKPX9VZ1J5021Q98K60HMPJU58" localSheetId="10" hidden="1">#REF!</definedName>
    <definedName name="BExKPX9VZ1J5021Q98K60HMPJU58" localSheetId="12" hidden="1">#REF!</definedName>
    <definedName name="BExKPX9VZ1J5021Q98K60HMPJU58" localSheetId="9" hidden="1">'Customer data'!#REF!</definedName>
    <definedName name="BExKPX9VZ1J5021Q98K60HMPJU58" localSheetId="8" hidden="1">'Largest debtors'!#REF!</definedName>
    <definedName name="BExKPX9VZ1J5021Q98K60HMPJU58" localSheetId="11" hidden="1">#REF!</definedName>
    <definedName name="BExKPX9VZ1J5021Q98K60HMPJU58" localSheetId="6" hidden="1">Stock!#REF!</definedName>
    <definedName name="BExKPX9VZ1J5021Q98K60HMPJU58" hidden="1">#REF!</definedName>
    <definedName name="BExKQK1Q9L08BFCXMDU762FDOPK9" localSheetId="7" hidden="1">'Aged debtors'!#REF!</definedName>
    <definedName name="BExKQK1Q9L08BFCXMDU762FDOPK9" localSheetId="10" hidden="1">#REF!</definedName>
    <definedName name="BExKQK1Q9L08BFCXMDU762FDOPK9" localSheetId="12" hidden="1">#REF!</definedName>
    <definedName name="BExKQK1Q9L08BFCXMDU762FDOPK9" localSheetId="9" hidden="1">'Customer data'!#REF!</definedName>
    <definedName name="BExKQK1Q9L08BFCXMDU762FDOPK9" localSheetId="8" hidden="1">'Largest debtors'!#REF!</definedName>
    <definedName name="BExKQK1Q9L08BFCXMDU762FDOPK9" localSheetId="11" hidden="1">#REF!</definedName>
    <definedName name="BExKQK1Q9L08BFCXMDU762FDOPK9" localSheetId="6" hidden="1">Stock!#REF!</definedName>
    <definedName name="BExKQK1Q9L08BFCXMDU762FDOPK9" hidden="1">#REF!</definedName>
    <definedName name="BExKQM5GJ1ZN5REKFE7YVBQ0KXWF" localSheetId="7" hidden="1">'Aged debtors'!#REF!</definedName>
    <definedName name="BExKQM5GJ1ZN5REKFE7YVBQ0KXWF" localSheetId="10" hidden="1">#REF!</definedName>
    <definedName name="BExKQM5GJ1ZN5REKFE7YVBQ0KXWF" localSheetId="12" hidden="1">#REF!</definedName>
    <definedName name="BExKQM5GJ1ZN5REKFE7YVBQ0KXWF" localSheetId="9" hidden="1">'Customer data'!#REF!</definedName>
    <definedName name="BExKQM5GJ1ZN5REKFE7YVBQ0KXWF" localSheetId="8" hidden="1">'Largest debtors'!#REF!</definedName>
    <definedName name="BExKQM5GJ1ZN5REKFE7YVBQ0KXWF" localSheetId="11" hidden="1">#REF!</definedName>
    <definedName name="BExKQM5GJ1ZN5REKFE7YVBQ0KXWF" localSheetId="6" hidden="1">Stock!#REF!</definedName>
    <definedName name="BExKQM5GJ1ZN5REKFE7YVBQ0KXWF" hidden="1">#REF!</definedName>
    <definedName name="BExKQQ71278061G7ZFYGPWOMOMY2" localSheetId="7" hidden="1">'Aged debtors'!#REF!</definedName>
    <definedName name="BExKQQ71278061G7ZFYGPWOMOMY2" localSheetId="10" hidden="1">#REF!</definedName>
    <definedName name="BExKQQ71278061G7ZFYGPWOMOMY2" localSheetId="12" hidden="1">#REF!</definedName>
    <definedName name="BExKQQ71278061G7ZFYGPWOMOMY2" localSheetId="9" hidden="1">'Customer data'!#REF!</definedName>
    <definedName name="BExKQQ71278061G7ZFYGPWOMOMY2" localSheetId="8" hidden="1">'Largest debtors'!#REF!</definedName>
    <definedName name="BExKQQ71278061G7ZFYGPWOMOMY2" localSheetId="11" hidden="1">#REF!</definedName>
    <definedName name="BExKQQ71278061G7ZFYGPWOMOMY2" localSheetId="6" hidden="1">Stock!#REF!</definedName>
    <definedName name="BExKQQ71278061G7ZFYGPWOMOMY2" hidden="1">#REF!</definedName>
    <definedName name="BExKQTXRG3ECU8NT47UR7643LO5G" localSheetId="7" hidden="1">'Aged debtors'!#REF!</definedName>
    <definedName name="BExKQTXRG3ECU8NT47UR7643LO5G" localSheetId="10" hidden="1">#REF!</definedName>
    <definedName name="BExKQTXRG3ECU8NT47UR7643LO5G" localSheetId="12" hidden="1">#REF!</definedName>
    <definedName name="BExKQTXRG3ECU8NT47UR7643LO5G" localSheetId="9" hidden="1">'Customer data'!#REF!</definedName>
    <definedName name="BExKQTXRG3ECU8NT47UR7643LO5G" localSheetId="8" hidden="1">'Largest debtors'!#REF!</definedName>
    <definedName name="BExKQTXRG3ECU8NT47UR7643LO5G" localSheetId="11" hidden="1">#REF!</definedName>
    <definedName name="BExKQTXRG3ECU8NT47UR7643LO5G" localSheetId="6" hidden="1">Stock!#REF!</definedName>
    <definedName name="BExKQTXRG3ECU8NT47UR7643LO5G" hidden="1">#REF!</definedName>
    <definedName name="BExKSA37DZTCK6H13HPIKR0ZFVL8" localSheetId="7" hidden="1">'Aged debtors'!#REF!</definedName>
    <definedName name="BExKSA37DZTCK6H13HPIKR0ZFVL8" localSheetId="10" hidden="1">#REF!</definedName>
    <definedName name="BExKSA37DZTCK6H13HPIKR0ZFVL8" localSheetId="12" hidden="1">#REF!</definedName>
    <definedName name="BExKSA37DZTCK6H13HPIKR0ZFVL8" localSheetId="9" hidden="1">'Customer data'!#REF!</definedName>
    <definedName name="BExKSA37DZTCK6H13HPIKR0ZFVL8" localSheetId="8" hidden="1">'Largest debtors'!#REF!</definedName>
    <definedName name="BExKSA37DZTCK6H13HPIKR0ZFVL8" localSheetId="11" hidden="1">#REF!</definedName>
    <definedName name="BExKSA37DZTCK6H13HPIKR0ZFVL8" localSheetId="6" hidden="1">Stock!#REF!</definedName>
    <definedName name="BExKSA37DZTCK6H13HPIKR0ZFVL8" hidden="1">#REF!</definedName>
    <definedName name="BExKSFMOMSZYDE0WNC94F40S6636" localSheetId="7" hidden="1">'Aged debtors'!#REF!</definedName>
    <definedName name="BExKSFMOMSZYDE0WNC94F40S6636" localSheetId="10" hidden="1">#REF!</definedName>
    <definedName name="BExKSFMOMSZYDE0WNC94F40S6636" localSheetId="12" hidden="1">#REF!</definedName>
    <definedName name="BExKSFMOMSZYDE0WNC94F40S6636" localSheetId="9" hidden="1">'Customer data'!#REF!</definedName>
    <definedName name="BExKSFMOMSZYDE0WNC94F40S6636" localSheetId="8" hidden="1">'Largest debtors'!#REF!</definedName>
    <definedName name="BExKSFMOMSZYDE0WNC94F40S6636" localSheetId="11" hidden="1">#REF!</definedName>
    <definedName name="BExKSFMOMSZYDE0WNC94F40S6636" localSheetId="6" hidden="1">Stock!#REF!</definedName>
    <definedName name="BExKSFMOMSZYDE0WNC94F40S6636" hidden="1">#REF!</definedName>
    <definedName name="BExKSHQ9K79S8KYUWIV5M5LAHHF1" localSheetId="7" hidden="1">'Aged debtors'!#REF!</definedName>
    <definedName name="BExKSHQ9K79S8KYUWIV5M5LAHHF1" localSheetId="10" hidden="1">#REF!</definedName>
    <definedName name="BExKSHQ9K79S8KYUWIV5M5LAHHF1" localSheetId="12" hidden="1">#REF!</definedName>
    <definedName name="BExKSHQ9K79S8KYUWIV5M5LAHHF1" localSheetId="9" hidden="1">'Customer data'!#REF!</definedName>
    <definedName name="BExKSHQ9K79S8KYUWIV5M5LAHHF1" localSheetId="8" hidden="1">'Largest debtors'!#REF!</definedName>
    <definedName name="BExKSHQ9K79S8KYUWIV5M5LAHHF1" localSheetId="11" hidden="1">#REF!</definedName>
    <definedName name="BExKSHQ9K79S8KYUWIV5M5LAHHF1" localSheetId="6" hidden="1">Stock!#REF!</definedName>
    <definedName name="BExKSHQ9K79S8KYUWIV5M5LAHHF1" hidden="1">#REF!</definedName>
    <definedName name="BExKSJTWG9L3FCX8FLK4EMUJMF27" localSheetId="7" hidden="1">'Aged debtors'!#REF!</definedName>
    <definedName name="BExKSJTWG9L3FCX8FLK4EMUJMF27" localSheetId="10" hidden="1">#REF!</definedName>
    <definedName name="BExKSJTWG9L3FCX8FLK4EMUJMF27" localSheetId="12" hidden="1">#REF!</definedName>
    <definedName name="BExKSJTWG9L3FCX8FLK4EMUJMF27" localSheetId="9" hidden="1">'Customer data'!#REF!</definedName>
    <definedName name="BExKSJTWG9L3FCX8FLK4EMUJMF27" localSheetId="8" hidden="1">'Largest debtors'!#REF!</definedName>
    <definedName name="BExKSJTWG9L3FCX8FLK4EMUJMF27" localSheetId="11" hidden="1">#REF!</definedName>
    <definedName name="BExKSJTWG9L3FCX8FLK4EMUJMF27" localSheetId="6" hidden="1">Stock!#REF!</definedName>
    <definedName name="BExKSJTWG9L3FCX8FLK4EMUJMF27" hidden="1">#REF!</definedName>
    <definedName name="BExKSX60G1MUS689FXIGYP2F7C62" localSheetId="7" hidden="1">'Aged debtors'!#REF!</definedName>
    <definedName name="BExKSX60G1MUS689FXIGYP2F7C62" localSheetId="10" hidden="1">#REF!</definedName>
    <definedName name="BExKSX60G1MUS689FXIGYP2F7C62" localSheetId="12" hidden="1">#REF!</definedName>
    <definedName name="BExKSX60G1MUS689FXIGYP2F7C62" localSheetId="9" hidden="1">'Customer data'!#REF!</definedName>
    <definedName name="BExKSX60G1MUS689FXIGYP2F7C62" localSheetId="8" hidden="1">'Largest debtors'!#REF!</definedName>
    <definedName name="BExKSX60G1MUS689FXIGYP2F7C62" localSheetId="11" hidden="1">#REF!</definedName>
    <definedName name="BExKSX60G1MUS689FXIGYP2F7C62" localSheetId="6" hidden="1">Stock!#REF!</definedName>
    <definedName name="BExKSX60G1MUS689FXIGYP2F7C62" hidden="1">#REF!</definedName>
    <definedName name="BExKT2UZ7Y2VWF5NQE18SJRLD2RN" localSheetId="7" hidden="1">'Aged debtors'!#REF!</definedName>
    <definedName name="BExKT2UZ7Y2VWF5NQE18SJRLD2RN" localSheetId="10" hidden="1">#REF!</definedName>
    <definedName name="BExKT2UZ7Y2VWF5NQE18SJRLD2RN" localSheetId="12" hidden="1">#REF!</definedName>
    <definedName name="BExKT2UZ7Y2VWF5NQE18SJRLD2RN" localSheetId="9" hidden="1">'Customer data'!#REF!</definedName>
    <definedName name="BExKT2UZ7Y2VWF5NQE18SJRLD2RN" localSheetId="8" hidden="1">'Largest debtors'!#REF!</definedName>
    <definedName name="BExKT2UZ7Y2VWF5NQE18SJRLD2RN" localSheetId="11" hidden="1">#REF!</definedName>
    <definedName name="BExKT2UZ7Y2VWF5NQE18SJRLD2RN" localSheetId="6" hidden="1">Stock!#REF!</definedName>
    <definedName name="BExKT2UZ7Y2VWF5NQE18SJRLD2RN" hidden="1">#REF!</definedName>
    <definedName name="BExKTQZGN8GI3XGSEXMPCCA3S19H" localSheetId="7" hidden="1">'Aged debtors'!#REF!</definedName>
    <definedName name="BExKTQZGN8GI3XGSEXMPCCA3S19H" localSheetId="10" hidden="1">#REF!</definedName>
    <definedName name="BExKTQZGN8GI3XGSEXMPCCA3S19H" localSheetId="12" hidden="1">#REF!</definedName>
    <definedName name="BExKTQZGN8GI3XGSEXMPCCA3S19H" localSheetId="9" hidden="1">'Customer data'!#REF!</definedName>
    <definedName name="BExKTQZGN8GI3XGSEXMPCCA3S19H" localSheetId="8" hidden="1">'Largest debtors'!#REF!</definedName>
    <definedName name="BExKTQZGN8GI3XGSEXMPCCA3S19H" localSheetId="11" hidden="1">#REF!</definedName>
    <definedName name="BExKTQZGN8GI3XGSEXMPCCA3S19H" localSheetId="6" hidden="1">Stock!#REF!</definedName>
    <definedName name="BExKTQZGN8GI3XGSEXMPCCA3S19H" hidden="1">#REF!</definedName>
    <definedName name="BExKTUKYYU0F6TUW1RXV24LRAZFE" localSheetId="7" hidden="1">'Aged debtors'!#REF!</definedName>
    <definedName name="BExKTUKYYU0F6TUW1RXV24LRAZFE" localSheetId="10" hidden="1">#REF!</definedName>
    <definedName name="BExKTUKYYU0F6TUW1RXV24LRAZFE" localSheetId="12" hidden="1">#REF!</definedName>
    <definedName name="BExKTUKYYU0F6TUW1RXV24LRAZFE" localSheetId="9" hidden="1">'Customer data'!#REF!</definedName>
    <definedName name="BExKTUKYYU0F6TUW1RXV24LRAZFE" localSheetId="8" hidden="1">'Largest debtors'!#REF!</definedName>
    <definedName name="BExKTUKYYU0F6TUW1RXV24LRAZFE" localSheetId="11" hidden="1">#REF!</definedName>
    <definedName name="BExKTUKYYU0F6TUW1RXV24LRAZFE" localSheetId="6" hidden="1">Stock!#REF!</definedName>
    <definedName name="BExKTUKYYU0F6TUW1RXV24LRAZFE" hidden="1">#REF!</definedName>
    <definedName name="BExKU82I99FEUIZLODXJDOJC96CQ" localSheetId="7" hidden="1">'Aged debtors'!#REF!</definedName>
    <definedName name="BExKU82I99FEUIZLODXJDOJC96CQ" localSheetId="10" hidden="1">#REF!</definedName>
    <definedName name="BExKU82I99FEUIZLODXJDOJC96CQ" localSheetId="12" hidden="1">#REF!</definedName>
    <definedName name="BExKU82I99FEUIZLODXJDOJC96CQ" localSheetId="9" hidden="1">'Customer data'!#REF!</definedName>
    <definedName name="BExKU82I99FEUIZLODXJDOJC96CQ" localSheetId="8" hidden="1">'Largest debtors'!#REF!</definedName>
    <definedName name="BExKU82I99FEUIZLODXJDOJC96CQ" localSheetId="11" hidden="1">#REF!</definedName>
    <definedName name="BExKU82I99FEUIZLODXJDOJC96CQ" localSheetId="6" hidden="1">Stock!#REF!</definedName>
    <definedName name="BExKU82I99FEUIZLODXJDOJC96CQ" hidden="1">#REF!</definedName>
    <definedName name="BExKULEKJLA77AUQPDUHSM94Y76Z" localSheetId="7" hidden="1">'Aged debtors'!#REF!</definedName>
    <definedName name="BExKULEKJLA77AUQPDUHSM94Y76Z" localSheetId="10" hidden="1">#REF!</definedName>
    <definedName name="BExKULEKJLA77AUQPDUHSM94Y76Z" localSheetId="12" hidden="1">#REF!</definedName>
    <definedName name="BExKULEKJLA77AUQPDUHSM94Y76Z" localSheetId="9" hidden="1">'Customer data'!#REF!</definedName>
    <definedName name="BExKULEKJLA77AUQPDUHSM94Y76Z" localSheetId="8" hidden="1">'Largest debtors'!#REF!</definedName>
    <definedName name="BExKULEKJLA77AUQPDUHSM94Y76Z" localSheetId="11" hidden="1">#REF!</definedName>
    <definedName name="BExKULEKJLA77AUQPDUHSM94Y76Z" localSheetId="6" hidden="1">Stock!#REF!</definedName>
    <definedName name="BExKULEKJLA77AUQPDUHSM94Y76Z" hidden="1">#REF!</definedName>
    <definedName name="BExKVDVK6HN74GQPTXICP9BFC8CF" localSheetId="7" hidden="1">'Aged debtors'!#REF!</definedName>
    <definedName name="BExKVDVK6HN74GQPTXICP9BFC8CF" localSheetId="10" hidden="1">#REF!</definedName>
    <definedName name="BExKVDVK6HN74GQPTXICP9BFC8CF" localSheetId="12" hidden="1">#REF!</definedName>
    <definedName name="BExKVDVK6HN74GQPTXICP9BFC8CF" localSheetId="9" hidden="1">'Customer data'!#REF!</definedName>
    <definedName name="BExKVDVK6HN74GQPTXICP9BFC8CF" localSheetId="8" hidden="1">'Largest debtors'!#REF!</definedName>
    <definedName name="BExKVDVK6HN74GQPTXICP9BFC8CF" localSheetId="11" hidden="1">#REF!</definedName>
    <definedName name="BExKVDVK6HN74GQPTXICP9BFC8CF" localSheetId="6" hidden="1">Stock!#REF!</definedName>
    <definedName name="BExKVDVK6HN74GQPTXICP9BFC8CF" hidden="1">#REF!</definedName>
    <definedName name="BExKVFZ3ZZGIC1QI8XN6BYFWN0ZY" localSheetId="7" hidden="1">'Aged debtors'!#REF!</definedName>
    <definedName name="BExKVFZ3ZZGIC1QI8XN6BYFWN0ZY" localSheetId="10" hidden="1">#REF!</definedName>
    <definedName name="BExKVFZ3ZZGIC1QI8XN6BYFWN0ZY" localSheetId="12" hidden="1">#REF!</definedName>
    <definedName name="BExKVFZ3ZZGIC1QI8XN6BYFWN0ZY" localSheetId="9" hidden="1">'Customer data'!#REF!</definedName>
    <definedName name="BExKVFZ3ZZGIC1QI8XN6BYFWN0ZY" localSheetId="8" hidden="1">'Largest debtors'!#REF!</definedName>
    <definedName name="BExKVFZ3ZZGIC1QI8XN6BYFWN0ZY" localSheetId="11" hidden="1">#REF!</definedName>
    <definedName name="BExKVFZ3ZZGIC1QI8XN6BYFWN0ZY" localSheetId="6" hidden="1">Stock!#REF!</definedName>
    <definedName name="BExKVFZ3ZZGIC1QI8XN6BYFWN0ZY" hidden="1">#REF!</definedName>
    <definedName name="BExKVG4KGO28KPGTAFL1R8TTZ10N" localSheetId="7" hidden="1">'Aged debtors'!#REF!</definedName>
    <definedName name="BExKVG4KGO28KPGTAFL1R8TTZ10N" localSheetId="10" hidden="1">#REF!</definedName>
    <definedName name="BExKVG4KGO28KPGTAFL1R8TTZ10N" localSheetId="12" hidden="1">#REF!</definedName>
    <definedName name="BExKVG4KGO28KPGTAFL1R8TTZ10N" localSheetId="9" hidden="1">'Customer data'!#REF!</definedName>
    <definedName name="BExKVG4KGO28KPGTAFL1R8TTZ10N" localSheetId="8" hidden="1">'Largest debtors'!#REF!</definedName>
    <definedName name="BExKVG4KGO28KPGTAFL1R8TTZ10N" localSheetId="11" hidden="1">#REF!</definedName>
    <definedName name="BExKVG4KGO28KPGTAFL1R8TTZ10N" localSheetId="6" hidden="1">Stock!#REF!</definedName>
    <definedName name="BExKVG4KGO28KPGTAFL1R8TTZ10N" hidden="1">#REF!</definedName>
    <definedName name="BExKW0CSH7DA02YSNV64PSEIXB2P" localSheetId="7" hidden="1">'Aged debtors'!#REF!</definedName>
    <definedName name="BExKW0CSH7DA02YSNV64PSEIXB2P" localSheetId="10" hidden="1">#REF!</definedName>
    <definedName name="BExKW0CSH7DA02YSNV64PSEIXB2P" localSheetId="12" hidden="1">#REF!</definedName>
    <definedName name="BExKW0CSH7DA02YSNV64PSEIXB2P" localSheetId="9" hidden="1">'Customer data'!#REF!</definedName>
    <definedName name="BExKW0CSH7DA02YSNV64PSEIXB2P" localSheetId="8" hidden="1">'Largest debtors'!#REF!</definedName>
    <definedName name="BExKW0CSH7DA02YSNV64PSEIXB2P" localSheetId="11" hidden="1">#REF!</definedName>
    <definedName name="BExKW0CSH7DA02YSNV64PSEIXB2P" localSheetId="6" hidden="1">Stock!#REF!</definedName>
    <definedName name="BExKW0CSH7DA02YSNV64PSEIXB2P" hidden="1">#REF!</definedName>
    <definedName name="BExM9NUG3Q31X01AI9ZJCZIX25CS" localSheetId="7" hidden="1">'Aged debtors'!#REF!</definedName>
    <definedName name="BExM9NUG3Q31X01AI9ZJCZIX25CS" localSheetId="10" hidden="1">#REF!</definedName>
    <definedName name="BExM9NUG3Q31X01AI9ZJCZIX25CS" localSheetId="12" hidden="1">#REF!</definedName>
    <definedName name="BExM9NUG3Q31X01AI9ZJCZIX25CS" localSheetId="9" hidden="1">'Customer data'!#REF!</definedName>
    <definedName name="BExM9NUG3Q31X01AI9ZJCZIX25CS" localSheetId="8" hidden="1">'Largest debtors'!#REF!</definedName>
    <definedName name="BExM9NUG3Q31X01AI9ZJCZIX25CS" localSheetId="11" hidden="1">#REF!</definedName>
    <definedName name="BExM9NUG3Q31X01AI9ZJCZIX25CS" localSheetId="6" hidden="1">Stock!#REF!</definedName>
    <definedName name="BExM9NUG3Q31X01AI9ZJCZIX25CS" hidden="1">#REF!</definedName>
    <definedName name="BExM9OG182RP30MY23PG49LVPZ1C" localSheetId="7" hidden="1">'Aged debtors'!#REF!</definedName>
    <definedName name="BExM9OG182RP30MY23PG49LVPZ1C" localSheetId="10" hidden="1">#REF!</definedName>
    <definedName name="BExM9OG182RP30MY23PG49LVPZ1C" localSheetId="12" hidden="1">#REF!</definedName>
    <definedName name="BExM9OG182RP30MY23PG49LVPZ1C" localSheetId="9" hidden="1">'Customer data'!#REF!</definedName>
    <definedName name="BExM9OG182RP30MY23PG49LVPZ1C" localSheetId="8" hidden="1">'Largest debtors'!#REF!</definedName>
    <definedName name="BExM9OG182RP30MY23PG49LVPZ1C" localSheetId="11" hidden="1">#REF!</definedName>
    <definedName name="BExM9OG182RP30MY23PG49LVPZ1C" localSheetId="6" hidden="1">Stock!#REF!</definedName>
    <definedName name="BExM9OG182RP30MY23PG49LVPZ1C" hidden="1">#REF!</definedName>
    <definedName name="BExMA64MW1S18NH8DCKPCCEI5KCB" localSheetId="7" hidden="1">'Aged debtors'!#REF!</definedName>
    <definedName name="BExMA64MW1S18NH8DCKPCCEI5KCB" localSheetId="10" hidden="1">#REF!</definedName>
    <definedName name="BExMA64MW1S18NH8DCKPCCEI5KCB" localSheetId="12" hidden="1">#REF!</definedName>
    <definedName name="BExMA64MW1S18NH8DCKPCCEI5KCB" localSheetId="9" hidden="1">'Customer data'!#REF!</definedName>
    <definedName name="BExMA64MW1S18NH8DCKPCCEI5KCB" localSheetId="8" hidden="1">'Largest debtors'!#REF!</definedName>
    <definedName name="BExMA64MW1S18NH8DCKPCCEI5KCB" localSheetId="11" hidden="1">#REF!</definedName>
    <definedName name="BExMA64MW1S18NH8DCKPCCEI5KCB" localSheetId="6" hidden="1">Stock!#REF!</definedName>
    <definedName name="BExMA64MW1S18NH8DCKPCCEI5KCB" hidden="1">#REF!</definedName>
    <definedName name="BExMB4QRS0R3MTB4CMUHFZ84LNZQ" localSheetId="7" hidden="1">'Aged debtors'!#REF!</definedName>
    <definedName name="BExMB4QRS0R3MTB4CMUHFZ84LNZQ" localSheetId="10" hidden="1">#REF!</definedName>
    <definedName name="BExMB4QRS0R3MTB4CMUHFZ84LNZQ" localSheetId="12" hidden="1">#REF!</definedName>
    <definedName name="BExMB4QRS0R3MTB4CMUHFZ84LNZQ" localSheetId="9" hidden="1">'Customer data'!#REF!</definedName>
    <definedName name="BExMB4QRS0R3MTB4CMUHFZ84LNZQ" localSheetId="8" hidden="1">'Largest debtors'!#REF!</definedName>
    <definedName name="BExMB4QRS0R3MTB4CMUHFZ84LNZQ" localSheetId="11" hidden="1">#REF!</definedName>
    <definedName name="BExMB4QRS0R3MTB4CMUHFZ84LNZQ" localSheetId="6" hidden="1">Stock!#REF!</definedName>
    <definedName name="BExMB4QRS0R3MTB4CMUHFZ84LNZQ" hidden="1">#REF!</definedName>
    <definedName name="BExMBC35WKQY5CWQJLV4D05O6971" localSheetId="7" hidden="1">'Aged debtors'!#REF!</definedName>
    <definedName name="BExMBC35WKQY5CWQJLV4D05O6971" localSheetId="10" hidden="1">#REF!</definedName>
    <definedName name="BExMBC35WKQY5CWQJLV4D05O6971" localSheetId="12" hidden="1">#REF!</definedName>
    <definedName name="BExMBC35WKQY5CWQJLV4D05O6971" localSheetId="9" hidden="1">'Customer data'!#REF!</definedName>
    <definedName name="BExMBC35WKQY5CWQJLV4D05O6971" localSheetId="8" hidden="1">'Largest debtors'!#REF!</definedName>
    <definedName name="BExMBC35WKQY5CWQJLV4D05O6971" localSheetId="11" hidden="1">#REF!</definedName>
    <definedName name="BExMBC35WKQY5CWQJLV4D05O6971" localSheetId="6" hidden="1">Stock!#REF!</definedName>
    <definedName name="BExMBC35WKQY5CWQJLV4D05O6971" hidden="1">#REF!</definedName>
    <definedName name="BExMBK6ISK3U7KHZKUJXIDKGF6VW" localSheetId="7" hidden="1">'Aged debtors'!#REF!</definedName>
    <definedName name="BExMBK6ISK3U7KHZKUJXIDKGF6VW" localSheetId="10" hidden="1">#REF!</definedName>
    <definedName name="BExMBK6ISK3U7KHZKUJXIDKGF6VW" localSheetId="12" hidden="1">#REF!</definedName>
    <definedName name="BExMBK6ISK3U7KHZKUJXIDKGF6VW" localSheetId="9" hidden="1">'Customer data'!#REF!</definedName>
    <definedName name="BExMBK6ISK3U7KHZKUJXIDKGF6VW" localSheetId="8" hidden="1">'Largest debtors'!#REF!</definedName>
    <definedName name="BExMBK6ISK3U7KHZKUJXIDKGF6VW" localSheetId="11" hidden="1">#REF!</definedName>
    <definedName name="BExMBK6ISK3U7KHZKUJXIDKGF6VW" localSheetId="6" hidden="1">Stock!#REF!</definedName>
    <definedName name="BExMBK6ISK3U7KHZKUJXIDKGF6VW" hidden="1">#REF!</definedName>
    <definedName name="BExMBYPQDG9AYDQ5E8IECVFREPO6" localSheetId="7" hidden="1">'Aged debtors'!#REF!</definedName>
    <definedName name="BExMBYPQDG9AYDQ5E8IECVFREPO6" localSheetId="10" hidden="1">#REF!</definedName>
    <definedName name="BExMBYPQDG9AYDQ5E8IECVFREPO6" localSheetId="12" hidden="1">#REF!</definedName>
    <definedName name="BExMBYPQDG9AYDQ5E8IECVFREPO6" localSheetId="9" hidden="1">'Customer data'!#REF!</definedName>
    <definedName name="BExMBYPQDG9AYDQ5E8IECVFREPO6" localSheetId="8" hidden="1">'Largest debtors'!#REF!</definedName>
    <definedName name="BExMBYPQDG9AYDQ5E8IECVFREPO6" localSheetId="11" hidden="1">#REF!</definedName>
    <definedName name="BExMBYPQDG9AYDQ5E8IECVFREPO6" localSheetId="6" hidden="1">Stock!#REF!</definedName>
    <definedName name="BExMBYPQDG9AYDQ5E8IECVFREPO6" hidden="1">#REF!</definedName>
    <definedName name="BExMC8AZUTX8LG89K2JJR7ZG62XX" localSheetId="7" hidden="1">'Aged debtors'!#REF!</definedName>
    <definedName name="BExMC8AZUTX8LG89K2JJR7ZG62XX" localSheetId="10" hidden="1">#REF!</definedName>
    <definedName name="BExMC8AZUTX8LG89K2JJR7ZG62XX" localSheetId="12" hidden="1">#REF!</definedName>
    <definedName name="BExMC8AZUTX8LG89K2JJR7ZG62XX" localSheetId="9" hidden="1">'Customer data'!#REF!</definedName>
    <definedName name="BExMC8AZUTX8LG89K2JJR7ZG62XX" localSheetId="8" hidden="1">'Largest debtors'!#REF!</definedName>
    <definedName name="BExMC8AZUTX8LG89K2JJR7ZG62XX" localSheetId="11" hidden="1">#REF!</definedName>
    <definedName name="BExMC8AZUTX8LG89K2JJR7ZG62XX" localSheetId="6" hidden="1">Stock!#REF!</definedName>
    <definedName name="BExMC8AZUTX8LG89K2JJR7ZG62XX" hidden="1">#REF!</definedName>
    <definedName name="BExMCA96YR10V72G2R0SCIKPZLIZ" localSheetId="7" hidden="1">'Aged debtors'!#REF!</definedName>
    <definedName name="BExMCA96YR10V72G2R0SCIKPZLIZ" localSheetId="10" hidden="1">#REF!</definedName>
    <definedName name="BExMCA96YR10V72G2R0SCIKPZLIZ" localSheetId="12" hidden="1">#REF!</definedName>
    <definedName name="BExMCA96YR10V72G2R0SCIKPZLIZ" localSheetId="9" hidden="1">'Customer data'!#REF!</definedName>
    <definedName name="BExMCA96YR10V72G2R0SCIKPZLIZ" localSheetId="8" hidden="1">'Largest debtors'!#REF!</definedName>
    <definedName name="BExMCA96YR10V72G2R0SCIKPZLIZ" localSheetId="11" hidden="1">#REF!</definedName>
    <definedName name="BExMCA96YR10V72G2R0SCIKPZLIZ" localSheetId="6" hidden="1">Stock!#REF!</definedName>
    <definedName name="BExMCA96YR10V72G2R0SCIKPZLIZ" hidden="1">#REF!</definedName>
    <definedName name="BExMCB5JU5I2VQDUBS4O42BTEVKI" localSheetId="7" hidden="1">'Aged debtors'!#REF!</definedName>
    <definedName name="BExMCB5JU5I2VQDUBS4O42BTEVKI" localSheetId="10" hidden="1">#REF!</definedName>
    <definedName name="BExMCB5JU5I2VQDUBS4O42BTEVKI" localSheetId="12" hidden="1">#REF!</definedName>
    <definedName name="BExMCB5JU5I2VQDUBS4O42BTEVKI" localSheetId="9" hidden="1">'Customer data'!#REF!</definedName>
    <definedName name="BExMCB5JU5I2VQDUBS4O42BTEVKI" localSheetId="8" hidden="1">'Largest debtors'!#REF!</definedName>
    <definedName name="BExMCB5JU5I2VQDUBS4O42BTEVKI" localSheetId="11" hidden="1">#REF!</definedName>
    <definedName name="BExMCB5JU5I2VQDUBS4O42BTEVKI" localSheetId="6" hidden="1">Stock!#REF!</definedName>
    <definedName name="BExMCB5JU5I2VQDUBS4O42BTEVKI" hidden="1">#REF!</definedName>
    <definedName name="BExMCFSQFSEMPY5IXDIRKZDASDBR" localSheetId="7" hidden="1">'Aged debtors'!#REF!</definedName>
    <definedName name="BExMCFSQFSEMPY5IXDIRKZDASDBR" localSheetId="10" hidden="1">#REF!</definedName>
    <definedName name="BExMCFSQFSEMPY5IXDIRKZDASDBR" localSheetId="12" hidden="1">#REF!</definedName>
    <definedName name="BExMCFSQFSEMPY5IXDIRKZDASDBR" localSheetId="9" hidden="1">'Customer data'!#REF!</definedName>
    <definedName name="BExMCFSQFSEMPY5IXDIRKZDASDBR" localSheetId="8" hidden="1">'Largest debtors'!#REF!</definedName>
    <definedName name="BExMCFSQFSEMPY5IXDIRKZDASDBR" localSheetId="11" hidden="1">#REF!</definedName>
    <definedName name="BExMCFSQFSEMPY5IXDIRKZDASDBR" localSheetId="6" hidden="1">Stock!#REF!</definedName>
    <definedName name="BExMCFSQFSEMPY5IXDIRKZDASDBR" hidden="1">#REF!</definedName>
    <definedName name="BExMCMZOEYWVOOJ98TBHTTCS7XB8" localSheetId="7" hidden="1">'Aged debtors'!#REF!</definedName>
    <definedName name="BExMCMZOEYWVOOJ98TBHTTCS7XB8" localSheetId="10" hidden="1">#REF!</definedName>
    <definedName name="BExMCMZOEYWVOOJ98TBHTTCS7XB8" localSheetId="12" hidden="1">#REF!</definedName>
    <definedName name="BExMCMZOEYWVOOJ98TBHTTCS7XB8" localSheetId="9" hidden="1">'Customer data'!#REF!</definedName>
    <definedName name="BExMCMZOEYWVOOJ98TBHTTCS7XB8" localSheetId="8" hidden="1">'Largest debtors'!#REF!</definedName>
    <definedName name="BExMCMZOEYWVOOJ98TBHTTCS7XB8" localSheetId="11" hidden="1">#REF!</definedName>
    <definedName name="BExMCMZOEYWVOOJ98TBHTTCS7XB8" localSheetId="6" hidden="1">Stock!#REF!</definedName>
    <definedName name="BExMCMZOEYWVOOJ98TBHTTCS7XB8" hidden="1">#REF!</definedName>
    <definedName name="BExMCS8EF2W3FS9QADNKREYSI8P0" localSheetId="7" hidden="1">'Aged debtors'!#REF!</definedName>
    <definedName name="BExMCS8EF2W3FS9QADNKREYSI8P0" localSheetId="10" hidden="1">#REF!</definedName>
    <definedName name="BExMCS8EF2W3FS9QADNKREYSI8P0" localSheetId="12" hidden="1">#REF!</definedName>
    <definedName name="BExMCS8EF2W3FS9QADNKREYSI8P0" localSheetId="9" hidden="1">'Customer data'!#REF!</definedName>
    <definedName name="BExMCS8EF2W3FS9QADNKREYSI8P0" localSheetId="8" hidden="1">'Largest debtors'!#REF!</definedName>
    <definedName name="BExMCS8EF2W3FS9QADNKREYSI8P0" localSheetId="11" hidden="1">#REF!</definedName>
    <definedName name="BExMCS8EF2W3FS9QADNKREYSI8P0" localSheetId="6" hidden="1">Stock!#REF!</definedName>
    <definedName name="BExMCS8EF2W3FS9QADNKREYSI8P0" hidden="1">#REF!</definedName>
    <definedName name="BExMCYTT6TVDWMJXO1NZANRTVNAN" localSheetId="7" hidden="1">'Aged debtors'!#REF!</definedName>
    <definedName name="BExMCYTT6TVDWMJXO1NZANRTVNAN" localSheetId="10" hidden="1">#REF!</definedName>
    <definedName name="BExMCYTT6TVDWMJXO1NZANRTVNAN" localSheetId="12" hidden="1">#REF!</definedName>
    <definedName name="BExMCYTT6TVDWMJXO1NZANRTVNAN" localSheetId="9" hidden="1">'Customer data'!#REF!</definedName>
    <definedName name="BExMCYTT6TVDWMJXO1NZANRTVNAN" localSheetId="8" hidden="1">'Largest debtors'!#REF!</definedName>
    <definedName name="BExMCYTT6TVDWMJXO1NZANRTVNAN" localSheetId="11" hidden="1">#REF!</definedName>
    <definedName name="BExMCYTT6TVDWMJXO1NZANRTVNAN" localSheetId="6" hidden="1">Stock!#REF!</definedName>
    <definedName name="BExMCYTT6TVDWMJXO1NZANRTVNAN" hidden="1">#REF!</definedName>
    <definedName name="BExMDGD1KQP7NNR78X2ZX4FCBQ1S" localSheetId="7" hidden="1">'Aged debtors'!#REF!</definedName>
    <definedName name="BExMDGD1KQP7NNR78X2ZX4FCBQ1S" localSheetId="10" hidden="1">#REF!</definedName>
    <definedName name="BExMDGD1KQP7NNR78X2ZX4FCBQ1S" localSheetId="12" hidden="1">#REF!</definedName>
    <definedName name="BExMDGD1KQP7NNR78X2ZX4FCBQ1S" localSheetId="9" hidden="1">'Customer data'!#REF!</definedName>
    <definedName name="BExMDGD1KQP7NNR78X2ZX4FCBQ1S" localSheetId="8" hidden="1">'Largest debtors'!#REF!</definedName>
    <definedName name="BExMDGD1KQP7NNR78X2ZX4FCBQ1S" localSheetId="11" hidden="1">#REF!</definedName>
    <definedName name="BExMDGD1KQP7NNR78X2ZX4FCBQ1S" localSheetId="6" hidden="1">Stock!#REF!</definedName>
    <definedName name="BExMDGD1KQP7NNR78X2ZX4FCBQ1S" hidden="1">#REF!</definedName>
    <definedName name="BExME2U47N8LZG0BPJ49ANY5QVV2" localSheetId="7" hidden="1">'Aged debtors'!#REF!</definedName>
    <definedName name="BExME2U47N8LZG0BPJ49ANY5QVV2" localSheetId="10" hidden="1">#REF!</definedName>
    <definedName name="BExME2U47N8LZG0BPJ49ANY5QVV2" localSheetId="12" hidden="1">#REF!</definedName>
    <definedName name="BExME2U47N8LZG0BPJ49ANY5QVV2" localSheetId="9" hidden="1">'Customer data'!#REF!</definedName>
    <definedName name="BExME2U47N8LZG0BPJ49ANY5QVV2" localSheetId="8" hidden="1">'Largest debtors'!#REF!</definedName>
    <definedName name="BExME2U47N8LZG0BPJ49ANY5QVV2" localSheetId="11" hidden="1">#REF!</definedName>
    <definedName name="BExME2U47N8LZG0BPJ49ANY5QVV2" localSheetId="6" hidden="1">Stock!#REF!</definedName>
    <definedName name="BExME2U47N8LZG0BPJ49ANY5QVV2" hidden="1">#REF!</definedName>
    <definedName name="BExME88DH5DUKMUFI9FNVECXFD2E" localSheetId="7" hidden="1">'Aged debtors'!#REF!</definedName>
    <definedName name="BExME88DH5DUKMUFI9FNVECXFD2E" localSheetId="10" hidden="1">#REF!</definedName>
    <definedName name="BExME88DH5DUKMUFI9FNVECXFD2E" localSheetId="12" hidden="1">#REF!</definedName>
    <definedName name="BExME88DH5DUKMUFI9FNVECXFD2E" localSheetId="9" hidden="1">'Customer data'!#REF!</definedName>
    <definedName name="BExME88DH5DUKMUFI9FNVECXFD2E" localSheetId="8" hidden="1">'Largest debtors'!#REF!</definedName>
    <definedName name="BExME88DH5DUKMUFI9FNVECXFD2E" localSheetId="11" hidden="1">#REF!</definedName>
    <definedName name="BExME88DH5DUKMUFI9FNVECXFD2E" localSheetId="6" hidden="1">Stock!#REF!</definedName>
    <definedName name="BExME88DH5DUKMUFI9FNVECXFD2E" hidden="1">#REF!</definedName>
    <definedName name="BExME9A7MOGAK7YTTQYXP5DL6VYA" localSheetId="7" hidden="1">'Aged debtors'!#REF!</definedName>
    <definedName name="BExME9A7MOGAK7YTTQYXP5DL6VYA" localSheetId="10" hidden="1">#REF!</definedName>
    <definedName name="BExME9A7MOGAK7YTTQYXP5DL6VYA" localSheetId="12" hidden="1">#REF!</definedName>
    <definedName name="BExME9A7MOGAK7YTTQYXP5DL6VYA" localSheetId="9" hidden="1">'Customer data'!#REF!</definedName>
    <definedName name="BExME9A7MOGAK7YTTQYXP5DL6VYA" localSheetId="8" hidden="1">'Largest debtors'!#REF!</definedName>
    <definedName name="BExME9A7MOGAK7YTTQYXP5DL6VYA" localSheetId="11" hidden="1">#REF!</definedName>
    <definedName name="BExME9A7MOGAK7YTTQYXP5DL6VYA" localSheetId="6" hidden="1">Stock!#REF!</definedName>
    <definedName name="BExME9A7MOGAK7YTTQYXP5DL6VYA" hidden="1">#REF!</definedName>
    <definedName name="BExMEOV9YFRY5C3GDLU60GIX10BY" localSheetId="7" hidden="1">'Aged debtors'!#REF!</definedName>
    <definedName name="BExMEOV9YFRY5C3GDLU60GIX10BY" localSheetId="10" hidden="1">#REF!</definedName>
    <definedName name="BExMEOV9YFRY5C3GDLU60GIX10BY" localSheetId="12" hidden="1">#REF!</definedName>
    <definedName name="BExMEOV9YFRY5C3GDLU60GIX10BY" localSheetId="9" hidden="1">'Customer data'!#REF!</definedName>
    <definedName name="BExMEOV9YFRY5C3GDLU60GIX10BY" localSheetId="8" hidden="1">'Largest debtors'!#REF!</definedName>
    <definedName name="BExMEOV9YFRY5C3GDLU60GIX10BY" localSheetId="11" hidden="1">#REF!</definedName>
    <definedName name="BExMEOV9YFRY5C3GDLU60GIX10BY" localSheetId="6" hidden="1">Stock!#REF!</definedName>
    <definedName name="BExMEOV9YFRY5C3GDLU60GIX10BY" hidden="1">#REF!</definedName>
    <definedName name="BExMEY09ESM4H2YGKEQQRYUD114R" localSheetId="7" hidden="1">'Aged debtors'!#REF!</definedName>
    <definedName name="BExMEY09ESM4H2YGKEQQRYUD114R" localSheetId="10" hidden="1">#REF!</definedName>
    <definedName name="BExMEY09ESM4H2YGKEQQRYUD114R" localSheetId="12" hidden="1">#REF!</definedName>
    <definedName name="BExMEY09ESM4H2YGKEQQRYUD114R" localSheetId="9" hidden="1">'Customer data'!#REF!</definedName>
    <definedName name="BExMEY09ESM4H2YGKEQQRYUD114R" localSheetId="8" hidden="1">'Largest debtors'!#REF!</definedName>
    <definedName name="BExMEY09ESM4H2YGKEQQRYUD114R" localSheetId="11" hidden="1">#REF!</definedName>
    <definedName name="BExMEY09ESM4H2YGKEQQRYUD114R" localSheetId="6" hidden="1">Stock!#REF!</definedName>
    <definedName name="BExMEY09ESM4H2YGKEQQRYUD114R" hidden="1">#REF!</definedName>
    <definedName name="BExMFDLBSWFMRDYJ2DZETI3EXKN2" localSheetId="7" hidden="1">'Aged debtors'!#REF!</definedName>
    <definedName name="BExMFDLBSWFMRDYJ2DZETI3EXKN2" localSheetId="10" hidden="1">#REF!</definedName>
    <definedName name="BExMFDLBSWFMRDYJ2DZETI3EXKN2" localSheetId="12" hidden="1">#REF!</definedName>
    <definedName name="BExMFDLBSWFMRDYJ2DZETI3EXKN2" localSheetId="9" hidden="1">'Customer data'!#REF!</definedName>
    <definedName name="BExMFDLBSWFMRDYJ2DZETI3EXKN2" localSheetId="8" hidden="1">'Largest debtors'!#REF!</definedName>
    <definedName name="BExMFDLBSWFMRDYJ2DZETI3EXKN2" localSheetId="11" hidden="1">#REF!</definedName>
    <definedName name="BExMFDLBSWFMRDYJ2DZETI3EXKN2" localSheetId="6" hidden="1">Stock!#REF!</definedName>
    <definedName name="BExMFDLBSWFMRDYJ2DZETI3EXKN2" hidden="1">#REF!</definedName>
    <definedName name="BExMFLDTMRTCHKA37LQW67BG8D5C" localSheetId="7" hidden="1">'Aged debtors'!#REF!</definedName>
    <definedName name="BExMFLDTMRTCHKA37LQW67BG8D5C" localSheetId="10" hidden="1">#REF!</definedName>
    <definedName name="BExMFLDTMRTCHKA37LQW67BG8D5C" localSheetId="12" hidden="1">#REF!</definedName>
    <definedName name="BExMFLDTMRTCHKA37LQW67BG8D5C" localSheetId="9" hidden="1">'Customer data'!#REF!</definedName>
    <definedName name="BExMFLDTMRTCHKA37LQW67BG8D5C" localSheetId="8" hidden="1">'Largest debtors'!#REF!</definedName>
    <definedName name="BExMFLDTMRTCHKA37LQW67BG8D5C" localSheetId="11" hidden="1">#REF!</definedName>
    <definedName name="BExMFLDTMRTCHKA37LQW67BG8D5C" localSheetId="6" hidden="1">Stock!#REF!</definedName>
    <definedName name="BExMFLDTMRTCHKA37LQW67BG8D5C" hidden="1">#REF!</definedName>
    <definedName name="BExMHSSYC6KVHA3QDTSYPN92TWMI" localSheetId="7" hidden="1">'Aged debtors'!#REF!</definedName>
    <definedName name="BExMHSSYC6KVHA3QDTSYPN92TWMI" localSheetId="10" hidden="1">#REF!</definedName>
    <definedName name="BExMHSSYC6KVHA3QDTSYPN92TWMI" localSheetId="12" hidden="1">#REF!</definedName>
    <definedName name="BExMHSSYC6KVHA3QDTSYPN92TWMI" localSheetId="9" hidden="1">'Customer data'!#REF!</definedName>
    <definedName name="BExMHSSYC6KVHA3QDTSYPN92TWMI" localSheetId="8" hidden="1">'Largest debtors'!#REF!</definedName>
    <definedName name="BExMHSSYC6KVHA3QDTSYPN92TWMI" localSheetId="11" hidden="1">#REF!</definedName>
    <definedName name="BExMHSSYC6KVHA3QDTSYPN92TWMI" localSheetId="6" hidden="1">Stock!#REF!</definedName>
    <definedName name="BExMHSSYC6KVHA3QDTSYPN92TWMI" hidden="1">#REF!</definedName>
    <definedName name="BExMI3AJ9477KDL4T9DHET4LJJTW" localSheetId="7" hidden="1">'Aged debtors'!#REF!</definedName>
    <definedName name="BExMI3AJ9477KDL4T9DHET4LJJTW" localSheetId="10" hidden="1">#REF!</definedName>
    <definedName name="BExMI3AJ9477KDL4T9DHET4LJJTW" localSheetId="12" hidden="1">#REF!</definedName>
    <definedName name="BExMI3AJ9477KDL4T9DHET4LJJTW" localSheetId="9" hidden="1">'Customer data'!#REF!</definedName>
    <definedName name="BExMI3AJ9477KDL4T9DHET4LJJTW" localSheetId="8" hidden="1">'Largest debtors'!#REF!</definedName>
    <definedName name="BExMI3AJ9477KDL4T9DHET4LJJTW" localSheetId="11" hidden="1">#REF!</definedName>
    <definedName name="BExMI3AJ9477KDL4T9DHET4LJJTW" localSheetId="6" hidden="1">Stock!#REF!</definedName>
    <definedName name="BExMI3AJ9477KDL4T9DHET4LJJTW" hidden="1">#REF!</definedName>
    <definedName name="BExMI8JB94SBD9EMNJEK7Y2T6GYU" localSheetId="7" hidden="1">'Aged debtors'!#REF!</definedName>
    <definedName name="BExMI8JB94SBD9EMNJEK7Y2T6GYU" localSheetId="10" hidden="1">#REF!</definedName>
    <definedName name="BExMI8JB94SBD9EMNJEK7Y2T6GYU" localSheetId="12" hidden="1">#REF!</definedName>
    <definedName name="BExMI8JB94SBD9EMNJEK7Y2T6GYU" localSheetId="9" hidden="1">'Customer data'!#REF!</definedName>
    <definedName name="BExMI8JB94SBD9EMNJEK7Y2T6GYU" localSheetId="8" hidden="1">'Largest debtors'!#REF!</definedName>
    <definedName name="BExMI8JB94SBD9EMNJEK7Y2T6GYU" localSheetId="11" hidden="1">#REF!</definedName>
    <definedName name="BExMI8JB94SBD9EMNJEK7Y2T6GYU" localSheetId="6" hidden="1">Stock!#REF!</definedName>
    <definedName name="BExMI8JB94SBD9EMNJEK7Y2T6GYU" hidden="1">#REF!</definedName>
    <definedName name="BExMIBOOZU40JS3F89OMPSRCE9MM" localSheetId="7" hidden="1">'Aged debtors'!#REF!</definedName>
    <definedName name="BExMIBOOZU40JS3F89OMPSRCE9MM" localSheetId="10" hidden="1">#REF!</definedName>
    <definedName name="BExMIBOOZU40JS3F89OMPSRCE9MM" localSheetId="12" hidden="1">#REF!</definedName>
    <definedName name="BExMIBOOZU40JS3F89OMPSRCE9MM" localSheetId="9" hidden="1">'Customer data'!#REF!</definedName>
    <definedName name="BExMIBOOZU40JS3F89OMPSRCE9MM" localSheetId="8" hidden="1">'Largest debtors'!#REF!</definedName>
    <definedName name="BExMIBOOZU40JS3F89OMPSRCE9MM" localSheetId="11" hidden="1">#REF!</definedName>
    <definedName name="BExMIBOOZU40JS3F89OMPSRCE9MM" localSheetId="6" hidden="1">Stock!#REF!</definedName>
    <definedName name="BExMIBOOZU40JS3F89OMPSRCE9MM" hidden="1">#REF!</definedName>
    <definedName name="BExMIIQ5MBWSIHTFWAQADXMZC22Q" localSheetId="7" hidden="1">'Aged debtors'!#REF!</definedName>
    <definedName name="BExMIIQ5MBWSIHTFWAQADXMZC22Q" localSheetId="10" hidden="1">#REF!</definedName>
    <definedName name="BExMIIQ5MBWSIHTFWAQADXMZC22Q" localSheetId="12" hidden="1">#REF!</definedName>
    <definedName name="BExMIIQ5MBWSIHTFWAQADXMZC22Q" localSheetId="9" hidden="1">'Customer data'!#REF!</definedName>
    <definedName name="BExMIIQ5MBWSIHTFWAQADXMZC22Q" localSheetId="8" hidden="1">'Largest debtors'!#REF!</definedName>
    <definedName name="BExMIIQ5MBWSIHTFWAQADXMZC22Q" localSheetId="11" hidden="1">#REF!</definedName>
    <definedName name="BExMIIQ5MBWSIHTFWAQADXMZC22Q" localSheetId="6" hidden="1">Stock!#REF!</definedName>
    <definedName name="BExMIIQ5MBWSIHTFWAQADXMZC22Q" hidden="1">#REF!</definedName>
    <definedName name="BExMIL4I2GE866I25CR5JBLJWJ6A" localSheetId="7" hidden="1">'Aged debtors'!#REF!</definedName>
    <definedName name="BExMIL4I2GE866I25CR5JBLJWJ6A" localSheetId="10" hidden="1">#REF!</definedName>
    <definedName name="BExMIL4I2GE866I25CR5JBLJWJ6A" localSheetId="12" hidden="1">#REF!</definedName>
    <definedName name="BExMIL4I2GE866I25CR5JBLJWJ6A" localSheetId="9" hidden="1">'Customer data'!#REF!</definedName>
    <definedName name="BExMIL4I2GE866I25CR5JBLJWJ6A" localSheetId="8" hidden="1">'Largest debtors'!#REF!</definedName>
    <definedName name="BExMIL4I2GE866I25CR5JBLJWJ6A" localSheetId="11" hidden="1">#REF!</definedName>
    <definedName name="BExMIL4I2GE866I25CR5JBLJWJ6A" localSheetId="6" hidden="1">Stock!#REF!</definedName>
    <definedName name="BExMIL4I2GE866I25CR5JBLJWJ6A" hidden="1">#REF!</definedName>
    <definedName name="BExMINTM4ICUY8N84NTAN56HOG13" localSheetId="7" hidden="1">'Aged debtors'!#REF!</definedName>
    <definedName name="BExMINTM4ICUY8N84NTAN56HOG13" localSheetId="10" hidden="1">#REF!</definedName>
    <definedName name="BExMINTM4ICUY8N84NTAN56HOG13" localSheetId="12" hidden="1">#REF!</definedName>
    <definedName name="BExMINTM4ICUY8N84NTAN56HOG13" localSheetId="9" hidden="1">'Customer data'!#REF!</definedName>
    <definedName name="BExMINTM4ICUY8N84NTAN56HOG13" localSheetId="8" hidden="1">'Largest debtors'!#REF!</definedName>
    <definedName name="BExMINTM4ICUY8N84NTAN56HOG13" localSheetId="11" hidden="1">#REF!</definedName>
    <definedName name="BExMINTM4ICUY8N84NTAN56HOG13" localSheetId="6" hidden="1">Stock!#REF!</definedName>
    <definedName name="BExMINTM4ICUY8N84NTAN56HOG13" hidden="1">#REF!</definedName>
    <definedName name="BExMIRKIPF27SNO82SPFSB3T5U17" localSheetId="7" hidden="1">'Aged debtors'!#REF!</definedName>
    <definedName name="BExMIRKIPF27SNO82SPFSB3T5U17" localSheetId="10" hidden="1">#REF!</definedName>
    <definedName name="BExMIRKIPF27SNO82SPFSB3T5U17" localSheetId="12" hidden="1">#REF!</definedName>
    <definedName name="BExMIRKIPF27SNO82SPFSB3T5U17" localSheetId="9" hidden="1">'Customer data'!#REF!</definedName>
    <definedName name="BExMIRKIPF27SNO82SPFSB3T5U17" localSheetId="8" hidden="1">'Largest debtors'!#REF!</definedName>
    <definedName name="BExMIRKIPF27SNO82SPFSB3T5U17" localSheetId="11" hidden="1">#REF!</definedName>
    <definedName name="BExMIRKIPF27SNO82SPFSB3T5U17" localSheetId="6" hidden="1">Stock!#REF!</definedName>
    <definedName name="BExMIRKIPF27SNO82SPFSB3T5U17" hidden="1">#REF!</definedName>
    <definedName name="BExMJNC8ZFB9DRFOJ961ZAJ8U3A8" localSheetId="7" hidden="1">'Aged debtors'!#REF!</definedName>
    <definedName name="BExMJNC8ZFB9DRFOJ961ZAJ8U3A8" localSheetId="10" hidden="1">#REF!</definedName>
    <definedName name="BExMJNC8ZFB9DRFOJ961ZAJ8U3A8" localSheetId="12" hidden="1">#REF!</definedName>
    <definedName name="BExMJNC8ZFB9DRFOJ961ZAJ8U3A8" localSheetId="9" hidden="1">'Customer data'!#REF!</definedName>
    <definedName name="BExMJNC8ZFB9DRFOJ961ZAJ8U3A8" localSheetId="8" hidden="1">'Largest debtors'!#REF!</definedName>
    <definedName name="BExMJNC8ZFB9DRFOJ961ZAJ8U3A8" localSheetId="11" hidden="1">#REF!</definedName>
    <definedName name="BExMJNC8ZFB9DRFOJ961ZAJ8U3A8" localSheetId="6" hidden="1">Stock!#REF!</definedName>
    <definedName name="BExMJNC8ZFB9DRFOJ961ZAJ8U3A8" hidden="1">#REF!</definedName>
    <definedName name="BExMJTBV8A3D31W2IQHP9RDFPPHQ" localSheetId="7" hidden="1">'Aged debtors'!#REF!</definedName>
    <definedName name="BExMJTBV8A3D31W2IQHP9RDFPPHQ" localSheetId="10" hidden="1">#REF!</definedName>
    <definedName name="BExMJTBV8A3D31W2IQHP9RDFPPHQ" localSheetId="12" hidden="1">#REF!</definedName>
    <definedName name="BExMJTBV8A3D31W2IQHP9RDFPPHQ" localSheetId="9" hidden="1">'Customer data'!#REF!</definedName>
    <definedName name="BExMJTBV8A3D31W2IQHP9RDFPPHQ" localSheetId="8" hidden="1">'Largest debtors'!#REF!</definedName>
    <definedName name="BExMJTBV8A3D31W2IQHP9RDFPPHQ" localSheetId="11" hidden="1">#REF!</definedName>
    <definedName name="BExMJTBV8A3D31W2IQHP9RDFPPHQ" localSheetId="6" hidden="1">Stock!#REF!</definedName>
    <definedName name="BExMJTBV8A3D31W2IQHP9RDFPPHQ" hidden="1">#REF!</definedName>
    <definedName name="BExMKBGQDUZ8AWXYHA3QVMSDVZ3D" localSheetId="7" hidden="1">'Aged debtors'!#REF!</definedName>
    <definedName name="BExMKBGQDUZ8AWXYHA3QVMSDVZ3D" localSheetId="10" hidden="1">#REF!</definedName>
    <definedName name="BExMKBGQDUZ8AWXYHA3QVMSDVZ3D" localSheetId="12" hidden="1">#REF!</definedName>
    <definedName name="BExMKBGQDUZ8AWXYHA3QVMSDVZ3D" localSheetId="9" hidden="1">'Customer data'!#REF!</definedName>
    <definedName name="BExMKBGQDUZ8AWXYHA3QVMSDVZ3D" localSheetId="8" hidden="1">'Largest debtors'!#REF!</definedName>
    <definedName name="BExMKBGQDUZ8AWXYHA3QVMSDVZ3D" localSheetId="11" hidden="1">#REF!</definedName>
    <definedName name="BExMKBGQDUZ8AWXYHA3QVMSDVZ3D" localSheetId="6" hidden="1">Stock!#REF!</definedName>
    <definedName name="BExMKBGQDUZ8AWXYHA3QVMSDVZ3D" hidden="1">#REF!</definedName>
    <definedName name="BExMKBM1467553LDFZRRKVSHN374" localSheetId="7" hidden="1">'Aged debtors'!#REF!</definedName>
    <definedName name="BExMKBM1467553LDFZRRKVSHN374" localSheetId="10" hidden="1">#REF!</definedName>
    <definedName name="BExMKBM1467553LDFZRRKVSHN374" localSheetId="12" hidden="1">#REF!</definedName>
    <definedName name="BExMKBM1467553LDFZRRKVSHN374" localSheetId="9" hidden="1">'Customer data'!#REF!</definedName>
    <definedName name="BExMKBM1467553LDFZRRKVSHN374" localSheetId="8" hidden="1">'Largest debtors'!#REF!</definedName>
    <definedName name="BExMKBM1467553LDFZRRKVSHN374" localSheetId="11" hidden="1">#REF!</definedName>
    <definedName name="BExMKBM1467553LDFZRRKVSHN374" localSheetId="6" hidden="1">Stock!#REF!</definedName>
    <definedName name="BExMKBM1467553LDFZRRKVSHN374" hidden="1">#REF!</definedName>
    <definedName name="BExMKZ535P011X4TNV16GCOH4H21" localSheetId="7" hidden="1">'Aged debtors'!#REF!</definedName>
    <definedName name="BExMKZ535P011X4TNV16GCOH4H21" localSheetId="10" hidden="1">#REF!</definedName>
    <definedName name="BExMKZ535P011X4TNV16GCOH4H21" localSheetId="12" hidden="1">#REF!</definedName>
    <definedName name="BExMKZ535P011X4TNV16GCOH4H21" localSheetId="9" hidden="1">'Customer data'!#REF!</definedName>
    <definedName name="BExMKZ535P011X4TNV16GCOH4H21" localSheetId="8" hidden="1">'Largest debtors'!#REF!</definedName>
    <definedName name="BExMKZ535P011X4TNV16GCOH4H21" localSheetId="11" hidden="1">#REF!</definedName>
    <definedName name="BExMKZ535P011X4TNV16GCOH4H21" localSheetId="6" hidden="1">Stock!#REF!</definedName>
    <definedName name="BExMKZ535P011X4TNV16GCOH4H21" hidden="1">#REF!</definedName>
    <definedName name="BExML3XQNDIMX55ZCHHXKUV3D6E6" localSheetId="7" hidden="1">'Aged debtors'!#REF!</definedName>
    <definedName name="BExML3XQNDIMX55ZCHHXKUV3D6E6" localSheetId="10" hidden="1">#REF!</definedName>
    <definedName name="BExML3XQNDIMX55ZCHHXKUV3D6E6" localSheetId="12" hidden="1">#REF!</definedName>
    <definedName name="BExML3XQNDIMX55ZCHHXKUV3D6E6" localSheetId="9" hidden="1">'Customer data'!#REF!</definedName>
    <definedName name="BExML3XQNDIMX55ZCHHXKUV3D6E6" localSheetId="8" hidden="1">'Largest debtors'!#REF!</definedName>
    <definedName name="BExML3XQNDIMX55ZCHHXKUV3D6E6" localSheetId="11" hidden="1">#REF!</definedName>
    <definedName name="BExML3XQNDIMX55ZCHHXKUV3D6E6" localSheetId="6" hidden="1">Stock!#REF!</definedName>
    <definedName name="BExML3XQNDIMX55ZCHHXKUV3D6E6" hidden="1">#REF!</definedName>
    <definedName name="BExMLO5Z61RE85X8HHX2G4IU3AZW" localSheetId="7" hidden="1">'Aged debtors'!#REF!</definedName>
    <definedName name="BExMLO5Z61RE85X8HHX2G4IU3AZW" localSheetId="10" hidden="1">#REF!</definedName>
    <definedName name="BExMLO5Z61RE85X8HHX2G4IU3AZW" localSheetId="12" hidden="1">#REF!</definedName>
    <definedName name="BExMLO5Z61RE85X8HHX2G4IU3AZW" localSheetId="9" hidden="1">'Customer data'!#REF!</definedName>
    <definedName name="BExMLO5Z61RE85X8HHX2G4IU3AZW" localSheetId="8" hidden="1">'Largest debtors'!#REF!</definedName>
    <definedName name="BExMLO5Z61RE85X8HHX2G4IU3AZW" localSheetId="11" hidden="1">#REF!</definedName>
    <definedName name="BExMLO5Z61RE85X8HHX2G4IU3AZW" localSheetId="6" hidden="1">Stock!#REF!</definedName>
    <definedName name="BExMLO5Z61RE85X8HHX2G4IU3AZW" hidden="1">#REF!</definedName>
    <definedName name="BExMM8ZRS5RQ8H1H55RVPVTDL5NL" localSheetId="7" hidden="1">'Aged debtors'!#REF!</definedName>
    <definedName name="BExMM8ZRS5RQ8H1H55RVPVTDL5NL" localSheetId="10" hidden="1">#REF!</definedName>
    <definedName name="BExMM8ZRS5RQ8H1H55RVPVTDL5NL" localSheetId="12" hidden="1">#REF!</definedName>
    <definedName name="BExMM8ZRS5RQ8H1H55RVPVTDL5NL" localSheetId="9" hidden="1">'Customer data'!#REF!</definedName>
    <definedName name="BExMM8ZRS5RQ8H1H55RVPVTDL5NL" localSheetId="8" hidden="1">'Largest debtors'!#REF!</definedName>
    <definedName name="BExMM8ZRS5RQ8H1H55RVPVTDL5NL" localSheetId="11" hidden="1">#REF!</definedName>
    <definedName name="BExMM8ZRS5RQ8H1H55RVPVTDL5NL" localSheetId="6" hidden="1">Stock!#REF!</definedName>
    <definedName name="BExMM8ZRS5RQ8H1H55RVPVTDL5NL" hidden="1">#REF!</definedName>
    <definedName name="BExMMH8EAZB09XXQ5X4LR0P4NHG9" localSheetId="7" hidden="1">'Aged debtors'!#REF!</definedName>
    <definedName name="BExMMH8EAZB09XXQ5X4LR0P4NHG9" localSheetId="10" hidden="1">#REF!</definedName>
    <definedName name="BExMMH8EAZB09XXQ5X4LR0P4NHG9" localSheetId="12" hidden="1">#REF!</definedName>
    <definedName name="BExMMH8EAZB09XXQ5X4LR0P4NHG9" localSheetId="9" hidden="1">'Customer data'!#REF!</definedName>
    <definedName name="BExMMH8EAZB09XXQ5X4LR0P4NHG9" localSheetId="8" hidden="1">'Largest debtors'!#REF!</definedName>
    <definedName name="BExMMH8EAZB09XXQ5X4LR0P4NHG9" localSheetId="11" hidden="1">#REF!</definedName>
    <definedName name="BExMMH8EAZB09XXQ5X4LR0P4NHG9" localSheetId="6" hidden="1">Stock!#REF!</definedName>
    <definedName name="BExMMH8EAZB09XXQ5X4LR0P4NHG9" hidden="1">#REF!</definedName>
    <definedName name="BExMMNIZ2T7M22WECMUQXEF4NJ71" localSheetId="7" hidden="1">'Aged debtors'!#REF!</definedName>
    <definedName name="BExMMNIZ2T7M22WECMUQXEF4NJ71" localSheetId="10" hidden="1">#REF!</definedName>
    <definedName name="BExMMNIZ2T7M22WECMUQXEF4NJ71" localSheetId="12" hidden="1">#REF!</definedName>
    <definedName name="BExMMNIZ2T7M22WECMUQXEF4NJ71" localSheetId="9" hidden="1">'Customer data'!#REF!</definedName>
    <definedName name="BExMMNIZ2T7M22WECMUQXEF4NJ71" localSheetId="8" hidden="1">'Largest debtors'!#REF!</definedName>
    <definedName name="BExMMNIZ2T7M22WECMUQXEF4NJ71" localSheetId="11" hidden="1">#REF!</definedName>
    <definedName name="BExMMNIZ2T7M22WECMUQXEF4NJ71" localSheetId="6" hidden="1">Stock!#REF!</definedName>
    <definedName name="BExMMNIZ2T7M22WECMUQXEF4NJ71" hidden="1">#REF!</definedName>
    <definedName name="BExMMQ835AJDHS4B419SS645P67Q" localSheetId="7" hidden="1">'Aged debtors'!#REF!</definedName>
    <definedName name="BExMMQ835AJDHS4B419SS645P67Q" localSheetId="10" hidden="1">#REF!</definedName>
    <definedName name="BExMMQ835AJDHS4B419SS645P67Q" localSheetId="12" hidden="1">#REF!</definedName>
    <definedName name="BExMMQ835AJDHS4B419SS645P67Q" localSheetId="9" hidden="1">'Customer data'!#REF!</definedName>
    <definedName name="BExMMQ835AJDHS4B419SS645P67Q" localSheetId="8" hidden="1">'Largest debtors'!#REF!</definedName>
    <definedName name="BExMMQ835AJDHS4B419SS645P67Q" localSheetId="11" hidden="1">#REF!</definedName>
    <definedName name="BExMMQ835AJDHS4B419SS645P67Q" localSheetId="6" hidden="1">Stock!#REF!</definedName>
    <definedName name="BExMMQ835AJDHS4B419SS645P67Q" hidden="1">#REF!</definedName>
    <definedName name="BExMMTIXETA5VAKBSOFDD5SRU887" localSheetId="7" hidden="1">'Aged debtors'!#REF!</definedName>
    <definedName name="BExMMTIXETA5VAKBSOFDD5SRU887" localSheetId="10" hidden="1">#REF!</definedName>
    <definedName name="BExMMTIXETA5VAKBSOFDD5SRU887" localSheetId="12" hidden="1">#REF!</definedName>
    <definedName name="BExMMTIXETA5VAKBSOFDD5SRU887" localSheetId="9" hidden="1">'Customer data'!#REF!</definedName>
    <definedName name="BExMMTIXETA5VAKBSOFDD5SRU887" localSheetId="8" hidden="1">'Largest debtors'!#REF!</definedName>
    <definedName name="BExMMTIXETA5VAKBSOFDD5SRU887" localSheetId="11" hidden="1">#REF!</definedName>
    <definedName name="BExMMTIXETA5VAKBSOFDD5SRU887" localSheetId="6" hidden="1">Stock!#REF!</definedName>
    <definedName name="BExMMTIXETA5VAKBSOFDD5SRU887" hidden="1">#REF!</definedName>
    <definedName name="BExMMV0P6P5YS3C35G0JYYHI7992" localSheetId="7" hidden="1">'Aged debtors'!#REF!</definedName>
    <definedName name="BExMMV0P6P5YS3C35G0JYYHI7992" localSheetId="10" hidden="1">#REF!</definedName>
    <definedName name="BExMMV0P6P5YS3C35G0JYYHI7992" localSheetId="12" hidden="1">#REF!</definedName>
    <definedName name="BExMMV0P6P5YS3C35G0JYYHI7992" localSheetId="9" hidden="1">'Customer data'!#REF!</definedName>
    <definedName name="BExMMV0P6P5YS3C35G0JYYHI7992" localSheetId="8" hidden="1">'Largest debtors'!#REF!</definedName>
    <definedName name="BExMMV0P6P5YS3C35G0JYYHI7992" localSheetId="11" hidden="1">#REF!</definedName>
    <definedName name="BExMMV0P6P5YS3C35G0JYYHI7992" localSheetId="6" hidden="1">Stock!#REF!</definedName>
    <definedName name="BExMMV0P6P5YS3C35G0JYYHI7992" hidden="1">#REF!</definedName>
    <definedName name="BExMNJLFWZBRN9PZF1IO9CYWV1B2" localSheetId="7" hidden="1">'Aged debtors'!#REF!</definedName>
    <definedName name="BExMNJLFWZBRN9PZF1IO9CYWV1B2" localSheetId="10" hidden="1">#REF!</definedName>
    <definedName name="BExMNJLFWZBRN9PZF1IO9CYWV1B2" localSheetId="12" hidden="1">#REF!</definedName>
    <definedName name="BExMNJLFWZBRN9PZF1IO9CYWV1B2" localSheetId="9" hidden="1">'Customer data'!#REF!</definedName>
    <definedName name="BExMNJLFWZBRN9PZF1IO9CYWV1B2" localSheetId="8" hidden="1">'Largest debtors'!#REF!</definedName>
    <definedName name="BExMNJLFWZBRN9PZF1IO9CYWV1B2" localSheetId="11" hidden="1">#REF!</definedName>
    <definedName name="BExMNJLFWZBRN9PZF1IO9CYWV1B2" localSheetId="6" hidden="1">Stock!#REF!</definedName>
    <definedName name="BExMNJLFWZBRN9PZF1IO9CYWV1B2" hidden="1">#REF!</definedName>
    <definedName name="BExMNKCJ0FA57YEUUAJE43U1QN5P" localSheetId="7" hidden="1">'Aged debtors'!#REF!</definedName>
    <definedName name="BExMNKCJ0FA57YEUUAJE43U1QN5P" localSheetId="10" hidden="1">#REF!</definedName>
    <definedName name="BExMNKCJ0FA57YEUUAJE43U1QN5P" localSheetId="12" hidden="1">#REF!</definedName>
    <definedName name="BExMNKCJ0FA57YEUUAJE43U1QN5P" localSheetId="9" hidden="1">'Customer data'!#REF!</definedName>
    <definedName name="BExMNKCJ0FA57YEUUAJE43U1QN5P" localSheetId="8" hidden="1">'Largest debtors'!#REF!</definedName>
    <definedName name="BExMNKCJ0FA57YEUUAJE43U1QN5P" localSheetId="11" hidden="1">#REF!</definedName>
    <definedName name="BExMNKCJ0FA57YEUUAJE43U1QN5P" localSheetId="6" hidden="1">Stock!#REF!</definedName>
    <definedName name="BExMNKCJ0FA57YEUUAJE43U1QN5P" hidden="1">#REF!</definedName>
    <definedName name="BExMNKN5D1WEF2OOJVP6LZ6DLU3Y" localSheetId="7" hidden="1">'Aged debtors'!#REF!</definedName>
    <definedName name="BExMNKN5D1WEF2OOJVP6LZ6DLU3Y" localSheetId="10" hidden="1">#REF!</definedName>
    <definedName name="BExMNKN5D1WEF2OOJVP6LZ6DLU3Y" localSheetId="12" hidden="1">#REF!</definedName>
    <definedName name="BExMNKN5D1WEF2OOJVP6LZ6DLU3Y" localSheetId="9" hidden="1">'Customer data'!#REF!</definedName>
    <definedName name="BExMNKN5D1WEF2OOJVP6LZ6DLU3Y" localSheetId="8" hidden="1">'Largest debtors'!#REF!</definedName>
    <definedName name="BExMNKN5D1WEF2OOJVP6LZ6DLU3Y" localSheetId="11" hidden="1">#REF!</definedName>
    <definedName name="BExMNKN5D1WEF2OOJVP6LZ6DLU3Y" localSheetId="6" hidden="1">Stock!#REF!</definedName>
    <definedName name="BExMNKN5D1WEF2OOJVP6LZ6DLU3Y" hidden="1">#REF!</definedName>
    <definedName name="BExMNRDZULKJMVY2VKIIRM2M5A1M" localSheetId="7" hidden="1">'Aged debtors'!#REF!</definedName>
    <definedName name="BExMNRDZULKJMVY2VKIIRM2M5A1M" localSheetId="10" hidden="1">#REF!</definedName>
    <definedName name="BExMNRDZULKJMVY2VKIIRM2M5A1M" localSheetId="12" hidden="1">#REF!</definedName>
    <definedName name="BExMNRDZULKJMVY2VKIIRM2M5A1M" localSheetId="9" hidden="1">'Customer data'!#REF!</definedName>
    <definedName name="BExMNRDZULKJMVY2VKIIRM2M5A1M" localSheetId="8" hidden="1">'Largest debtors'!#REF!</definedName>
    <definedName name="BExMNRDZULKJMVY2VKIIRM2M5A1M" localSheetId="11" hidden="1">#REF!</definedName>
    <definedName name="BExMNRDZULKJMVY2VKIIRM2M5A1M" localSheetId="6" hidden="1">Stock!#REF!</definedName>
    <definedName name="BExMNRDZULKJMVY2VKIIRM2M5A1M" hidden="1">#REF!</definedName>
    <definedName name="BExMO9IOWKTWHO8LQJJQI5P3INWY" localSheetId="7" hidden="1">'Aged debtors'!#REF!</definedName>
    <definedName name="BExMO9IOWKTWHO8LQJJQI5P3INWY" localSheetId="10" hidden="1">#REF!</definedName>
    <definedName name="BExMO9IOWKTWHO8LQJJQI5P3INWY" localSheetId="12" hidden="1">#REF!</definedName>
    <definedName name="BExMO9IOWKTWHO8LQJJQI5P3INWY" localSheetId="9" hidden="1">'Customer data'!#REF!</definedName>
    <definedName name="BExMO9IOWKTWHO8LQJJQI5P3INWY" localSheetId="8" hidden="1">'Largest debtors'!#REF!</definedName>
    <definedName name="BExMO9IOWKTWHO8LQJJQI5P3INWY" localSheetId="11" hidden="1">#REF!</definedName>
    <definedName name="BExMO9IOWKTWHO8LQJJQI5P3INWY" localSheetId="6" hidden="1">Stock!#REF!</definedName>
    <definedName name="BExMO9IOWKTWHO8LQJJQI5P3INWY" hidden="1">#REF!</definedName>
    <definedName name="BExMPGZ848E38FUH1JBQN97DGWAT" localSheetId="7" hidden="1">'Aged debtors'!#REF!</definedName>
    <definedName name="BExMPGZ848E38FUH1JBQN97DGWAT" localSheetId="10" hidden="1">#REF!</definedName>
    <definedName name="BExMPGZ848E38FUH1JBQN97DGWAT" localSheetId="12" hidden="1">#REF!</definedName>
    <definedName name="BExMPGZ848E38FUH1JBQN97DGWAT" localSheetId="9" hidden="1">'Customer data'!#REF!</definedName>
    <definedName name="BExMPGZ848E38FUH1JBQN97DGWAT" localSheetId="8" hidden="1">'Largest debtors'!#REF!</definedName>
    <definedName name="BExMPGZ848E38FUH1JBQN97DGWAT" localSheetId="11" hidden="1">#REF!</definedName>
    <definedName name="BExMPGZ848E38FUH1JBQN97DGWAT" localSheetId="6" hidden="1">Stock!#REF!</definedName>
    <definedName name="BExMPGZ848E38FUH1JBQN97DGWAT" hidden="1">#REF!</definedName>
    <definedName name="BExMPMZ07II0R4KGWQQ7PGS3RZS4" localSheetId="7" hidden="1">'Aged debtors'!#REF!</definedName>
    <definedName name="BExMPMZ07II0R4KGWQQ7PGS3RZS4" localSheetId="10" hidden="1">#REF!</definedName>
    <definedName name="BExMPMZ07II0R4KGWQQ7PGS3RZS4" localSheetId="12" hidden="1">#REF!</definedName>
    <definedName name="BExMPMZ07II0R4KGWQQ7PGS3RZS4" localSheetId="9" hidden="1">'Customer data'!#REF!</definedName>
    <definedName name="BExMPMZ07II0R4KGWQQ7PGS3RZS4" localSheetId="8" hidden="1">'Largest debtors'!#REF!</definedName>
    <definedName name="BExMPMZ07II0R4KGWQQ7PGS3RZS4" localSheetId="11" hidden="1">#REF!</definedName>
    <definedName name="BExMPMZ07II0R4KGWQQ7PGS3RZS4" localSheetId="6" hidden="1">Stock!#REF!</definedName>
    <definedName name="BExMPMZ07II0R4KGWQQ7PGS3RZS4" hidden="1">#REF!</definedName>
    <definedName name="BExMQ4I3Q7F0BMPHSFMFW9TZ87UD" localSheetId="7" hidden="1">'Aged debtors'!#REF!</definedName>
    <definedName name="BExMQ4I3Q7F0BMPHSFMFW9TZ87UD" localSheetId="10" hidden="1">#REF!</definedName>
    <definedName name="BExMQ4I3Q7F0BMPHSFMFW9TZ87UD" localSheetId="12" hidden="1">#REF!</definedName>
    <definedName name="BExMQ4I3Q7F0BMPHSFMFW9TZ87UD" localSheetId="9" hidden="1">'Customer data'!#REF!</definedName>
    <definedName name="BExMQ4I3Q7F0BMPHSFMFW9TZ87UD" localSheetId="8" hidden="1">'Largest debtors'!#REF!</definedName>
    <definedName name="BExMQ4I3Q7F0BMPHSFMFW9TZ87UD" localSheetId="11" hidden="1">#REF!</definedName>
    <definedName name="BExMQ4I3Q7F0BMPHSFMFW9TZ87UD" localSheetId="6" hidden="1">Stock!#REF!</definedName>
    <definedName name="BExMQ4I3Q7F0BMPHSFMFW9TZ87UD" hidden="1">#REF!</definedName>
    <definedName name="BExMQ4SWDWI4N16AZ0T5CJ6HH8WC" localSheetId="7" hidden="1">'Aged debtors'!#REF!</definedName>
    <definedName name="BExMQ4SWDWI4N16AZ0T5CJ6HH8WC" localSheetId="10" hidden="1">#REF!</definedName>
    <definedName name="BExMQ4SWDWI4N16AZ0T5CJ6HH8WC" localSheetId="12" hidden="1">#REF!</definedName>
    <definedName name="BExMQ4SWDWI4N16AZ0T5CJ6HH8WC" localSheetId="9" hidden="1">'Customer data'!#REF!</definedName>
    <definedName name="BExMQ4SWDWI4N16AZ0T5CJ6HH8WC" localSheetId="8" hidden="1">'Largest debtors'!#REF!</definedName>
    <definedName name="BExMQ4SWDWI4N16AZ0T5CJ6HH8WC" localSheetId="11" hidden="1">#REF!</definedName>
    <definedName name="BExMQ4SWDWI4N16AZ0T5CJ6HH8WC" localSheetId="6" hidden="1">Stock!#REF!</definedName>
    <definedName name="BExMQ4SWDWI4N16AZ0T5CJ6HH8WC" hidden="1">#REF!</definedName>
    <definedName name="BExMQGXSLPT4A6N47LE6FBVHWBOF" localSheetId="7" hidden="1">'Aged debtors'!#REF!</definedName>
    <definedName name="BExMQGXSLPT4A6N47LE6FBVHWBOF" localSheetId="10" hidden="1">#REF!</definedName>
    <definedName name="BExMQGXSLPT4A6N47LE6FBVHWBOF" localSheetId="12" hidden="1">#REF!</definedName>
    <definedName name="BExMQGXSLPT4A6N47LE6FBVHWBOF" localSheetId="9" hidden="1">'Customer data'!#REF!</definedName>
    <definedName name="BExMQGXSLPT4A6N47LE6FBVHWBOF" localSheetId="8" hidden="1">'Largest debtors'!#REF!</definedName>
    <definedName name="BExMQGXSLPT4A6N47LE6FBVHWBOF" localSheetId="11" hidden="1">#REF!</definedName>
    <definedName name="BExMQGXSLPT4A6N47LE6FBVHWBOF" localSheetId="6" hidden="1">Stock!#REF!</definedName>
    <definedName name="BExMQGXSLPT4A6N47LE6FBVHWBOF" hidden="1">#REF!</definedName>
    <definedName name="BExMQSBR7PL4KLB1Q4961QO45Y4G" localSheetId="7" hidden="1">'Aged debtors'!#REF!</definedName>
    <definedName name="BExMQSBR7PL4KLB1Q4961QO45Y4G" localSheetId="10" hidden="1">#REF!</definedName>
    <definedName name="BExMQSBR7PL4KLB1Q4961QO45Y4G" localSheetId="12" hidden="1">#REF!</definedName>
    <definedName name="BExMQSBR7PL4KLB1Q4961QO45Y4G" localSheetId="9" hidden="1">'Customer data'!#REF!</definedName>
    <definedName name="BExMQSBR7PL4KLB1Q4961QO45Y4G" localSheetId="8" hidden="1">'Largest debtors'!#REF!</definedName>
    <definedName name="BExMQSBR7PL4KLB1Q4961QO45Y4G" localSheetId="11" hidden="1">#REF!</definedName>
    <definedName name="BExMQSBR7PL4KLB1Q4961QO45Y4G" localSheetId="6" hidden="1">Stock!#REF!</definedName>
    <definedName name="BExMQSBR7PL4KLB1Q4961QO45Y4G" hidden="1">#REF!</definedName>
    <definedName name="BExMR1MA4I1X77714ZEPUVC8W398" localSheetId="7" hidden="1">'Aged debtors'!#REF!</definedName>
    <definedName name="BExMR1MA4I1X77714ZEPUVC8W398" localSheetId="10" hidden="1">#REF!</definedName>
    <definedName name="BExMR1MA4I1X77714ZEPUVC8W398" localSheetId="12" hidden="1">#REF!</definedName>
    <definedName name="BExMR1MA4I1X77714ZEPUVC8W398" localSheetId="9" hidden="1">'Customer data'!#REF!</definedName>
    <definedName name="BExMR1MA4I1X77714ZEPUVC8W398" localSheetId="8" hidden="1">'Largest debtors'!#REF!</definedName>
    <definedName name="BExMR1MA4I1X77714ZEPUVC8W398" localSheetId="11" hidden="1">#REF!</definedName>
    <definedName name="BExMR1MA4I1X77714ZEPUVC8W398" localSheetId="6" hidden="1">Stock!#REF!</definedName>
    <definedName name="BExMR1MA4I1X77714ZEPUVC8W398" hidden="1">#REF!</definedName>
    <definedName name="BExMR8YQHA7N77HGHY4Y6R30I3XT" localSheetId="7" hidden="1">'Aged debtors'!#REF!</definedName>
    <definedName name="BExMR8YQHA7N77HGHY4Y6R30I3XT" localSheetId="10" hidden="1">#REF!</definedName>
    <definedName name="BExMR8YQHA7N77HGHY4Y6R30I3XT" localSheetId="12" hidden="1">#REF!</definedName>
    <definedName name="BExMR8YQHA7N77HGHY4Y6R30I3XT" localSheetId="9" hidden="1">'Customer data'!#REF!</definedName>
    <definedName name="BExMR8YQHA7N77HGHY4Y6R30I3XT" localSheetId="8" hidden="1">'Largest debtors'!#REF!</definedName>
    <definedName name="BExMR8YQHA7N77HGHY4Y6R30I3XT" localSheetId="11" hidden="1">#REF!</definedName>
    <definedName name="BExMR8YQHA7N77HGHY4Y6R30I3XT" localSheetId="6" hidden="1">Stock!#REF!</definedName>
    <definedName name="BExMR8YQHA7N77HGHY4Y6R30I3XT" hidden="1">#REF!</definedName>
    <definedName name="BExMRENOIARWRYOIVPDIEBVNRDO7" localSheetId="7" hidden="1">'Aged debtors'!#REF!</definedName>
    <definedName name="BExMRENOIARWRYOIVPDIEBVNRDO7" localSheetId="10" hidden="1">#REF!</definedName>
    <definedName name="BExMRENOIARWRYOIVPDIEBVNRDO7" localSheetId="12" hidden="1">#REF!</definedName>
    <definedName name="BExMRENOIARWRYOIVPDIEBVNRDO7" localSheetId="9" hidden="1">'Customer data'!#REF!</definedName>
    <definedName name="BExMRENOIARWRYOIVPDIEBVNRDO7" localSheetId="8" hidden="1">'Largest debtors'!#REF!</definedName>
    <definedName name="BExMRENOIARWRYOIVPDIEBVNRDO7" localSheetId="11" hidden="1">#REF!</definedName>
    <definedName name="BExMRENOIARWRYOIVPDIEBVNRDO7" localSheetId="6" hidden="1">Stock!#REF!</definedName>
    <definedName name="BExMRENOIARWRYOIVPDIEBVNRDO7" hidden="1">#REF!</definedName>
    <definedName name="BExMRRJNUMGRSDD5GGKKGEIZ6FTS" localSheetId="7" hidden="1">'Aged debtors'!#REF!</definedName>
    <definedName name="BExMRRJNUMGRSDD5GGKKGEIZ6FTS" localSheetId="10" hidden="1">#REF!</definedName>
    <definedName name="BExMRRJNUMGRSDD5GGKKGEIZ6FTS" localSheetId="12" hidden="1">#REF!</definedName>
    <definedName name="BExMRRJNUMGRSDD5GGKKGEIZ6FTS" localSheetId="9" hidden="1">'Customer data'!#REF!</definedName>
    <definedName name="BExMRRJNUMGRSDD5GGKKGEIZ6FTS" localSheetId="8" hidden="1">'Largest debtors'!#REF!</definedName>
    <definedName name="BExMRRJNUMGRSDD5GGKKGEIZ6FTS" localSheetId="11" hidden="1">#REF!</definedName>
    <definedName name="BExMRRJNUMGRSDD5GGKKGEIZ6FTS" localSheetId="6" hidden="1">Stock!#REF!</definedName>
    <definedName name="BExMRRJNUMGRSDD5GGKKGEIZ6FTS" hidden="1">#REF!</definedName>
    <definedName name="BExMRU3ACIU0RD2BNWO55LH5U2BR" localSheetId="7" hidden="1">'Aged debtors'!#REF!</definedName>
    <definedName name="BExMRU3ACIU0RD2BNWO55LH5U2BR" localSheetId="10" hidden="1">#REF!</definedName>
    <definedName name="BExMRU3ACIU0RD2BNWO55LH5U2BR" localSheetId="12" hidden="1">#REF!</definedName>
    <definedName name="BExMRU3ACIU0RD2BNWO55LH5U2BR" localSheetId="9" hidden="1">'Customer data'!#REF!</definedName>
    <definedName name="BExMRU3ACIU0RD2BNWO55LH5U2BR" localSheetId="8" hidden="1">'Largest debtors'!#REF!</definedName>
    <definedName name="BExMRU3ACIU0RD2BNWO55LH5U2BR" localSheetId="11" hidden="1">#REF!</definedName>
    <definedName name="BExMRU3ACIU0RD2BNWO55LH5U2BR" localSheetId="6" hidden="1">Stock!#REF!</definedName>
    <definedName name="BExMRU3ACIU0RD2BNWO55LH5U2BR" hidden="1">#REF!</definedName>
    <definedName name="BExMSQRCC40AP8BDUPL2I2DNC210" localSheetId="7" hidden="1">'Aged debtors'!#REF!</definedName>
    <definedName name="BExMSQRCC40AP8BDUPL2I2DNC210" localSheetId="10" hidden="1">#REF!</definedName>
    <definedName name="BExMSQRCC40AP8BDUPL2I2DNC210" localSheetId="12" hidden="1">#REF!</definedName>
    <definedName name="BExMSQRCC40AP8BDUPL2I2DNC210" localSheetId="9" hidden="1">'Customer data'!#REF!</definedName>
    <definedName name="BExMSQRCC40AP8BDUPL2I2DNC210" localSheetId="8" hidden="1">'Largest debtors'!#REF!</definedName>
    <definedName name="BExMSQRCC40AP8BDUPL2I2DNC210" localSheetId="11" hidden="1">#REF!</definedName>
    <definedName name="BExMSQRCC40AP8BDUPL2I2DNC210" localSheetId="6" hidden="1">Stock!#REF!</definedName>
    <definedName name="BExMSQRCC40AP8BDUPL2I2DNC210" hidden="1">#REF!</definedName>
    <definedName name="BExO55G2KVZ7MIJ30N827CLH0I2A" localSheetId="7" hidden="1">'Aged debtors'!#REF!</definedName>
    <definedName name="BExO55G2KVZ7MIJ30N827CLH0I2A" localSheetId="10" hidden="1">#REF!</definedName>
    <definedName name="BExO55G2KVZ7MIJ30N827CLH0I2A" localSheetId="12" hidden="1">#REF!</definedName>
    <definedName name="BExO55G2KVZ7MIJ30N827CLH0I2A" localSheetId="9" hidden="1">'Customer data'!#REF!</definedName>
    <definedName name="BExO55G2KVZ7MIJ30N827CLH0I2A" localSheetId="8" hidden="1">'Largest debtors'!#REF!</definedName>
    <definedName name="BExO55G2KVZ7MIJ30N827CLH0I2A" localSheetId="11" hidden="1">#REF!</definedName>
    <definedName name="BExO55G2KVZ7MIJ30N827CLH0I2A" localSheetId="6" hidden="1">Stock!#REF!</definedName>
    <definedName name="BExO55G2KVZ7MIJ30N827CLH0I2A" hidden="1">#REF!</definedName>
    <definedName name="BExO5XMAHL7CY3X0B1OPKZ28DCJ5" localSheetId="7" hidden="1">'Aged debtors'!#REF!</definedName>
    <definedName name="BExO5XMAHL7CY3X0B1OPKZ28DCJ5" localSheetId="10" hidden="1">#REF!</definedName>
    <definedName name="BExO5XMAHL7CY3X0B1OPKZ28DCJ5" localSheetId="12" hidden="1">#REF!</definedName>
    <definedName name="BExO5XMAHL7CY3X0B1OPKZ28DCJ5" localSheetId="9" hidden="1">'Customer data'!#REF!</definedName>
    <definedName name="BExO5XMAHL7CY3X0B1OPKZ28DCJ5" localSheetId="8" hidden="1">'Largest debtors'!#REF!</definedName>
    <definedName name="BExO5XMAHL7CY3X0B1OPKZ28DCJ5" localSheetId="11" hidden="1">#REF!</definedName>
    <definedName name="BExO5XMAHL7CY3X0B1OPKZ28DCJ5" localSheetId="6" hidden="1">Stock!#REF!</definedName>
    <definedName name="BExO5XMAHL7CY3X0B1OPKZ28DCJ5" hidden="1">#REF!</definedName>
    <definedName name="BExO66LZJKY4PTQVREELI6POS4AY" localSheetId="7" hidden="1">'Aged debtors'!#REF!</definedName>
    <definedName name="BExO66LZJKY4PTQVREELI6POS4AY" localSheetId="10" hidden="1">#REF!</definedName>
    <definedName name="BExO66LZJKY4PTQVREELI6POS4AY" localSheetId="12" hidden="1">#REF!</definedName>
    <definedName name="BExO66LZJKY4PTQVREELI6POS4AY" localSheetId="9" hidden="1">'Customer data'!#REF!</definedName>
    <definedName name="BExO66LZJKY4PTQVREELI6POS4AY" localSheetId="8" hidden="1">'Largest debtors'!#REF!</definedName>
    <definedName name="BExO66LZJKY4PTQVREELI6POS4AY" localSheetId="11" hidden="1">#REF!</definedName>
    <definedName name="BExO66LZJKY4PTQVREELI6POS4AY" localSheetId="6" hidden="1">Stock!#REF!</definedName>
    <definedName name="BExO66LZJKY4PTQVREELI6POS4AY" hidden="1">#REF!</definedName>
    <definedName name="BExO6LLHCYTF7CIVHKAO0NMET14Q" localSheetId="7" hidden="1">'Aged debtors'!#REF!</definedName>
    <definedName name="BExO6LLHCYTF7CIVHKAO0NMET14Q" localSheetId="10" hidden="1">#REF!</definedName>
    <definedName name="BExO6LLHCYTF7CIVHKAO0NMET14Q" localSheetId="12" hidden="1">#REF!</definedName>
    <definedName name="BExO6LLHCYTF7CIVHKAO0NMET14Q" localSheetId="9" hidden="1">'Customer data'!#REF!</definedName>
    <definedName name="BExO6LLHCYTF7CIVHKAO0NMET14Q" localSheetId="8" hidden="1">'Largest debtors'!#REF!</definedName>
    <definedName name="BExO6LLHCYTF7CIVHKAO0NMET14Q" localSheetId="11" hidden="1">#REF!</definedName>
    <definedName name="BExO6LLHCYTF7CIVHKAO0NMET14Q" localSheetId="6" hidden="1">Stock!#REF!</definedName>
    <definedName name="BExO6LLHCYTF7CIVHKAO0NMET14Q" hidden="1">#REF!</definedName>
    <definedName name="BExO85HMYXZJ7SONWBKKIAXMCI3C" localSheetId="7" hidden="1">'Aged debtors'!#REF!</definedName>
    <definedName name="BExO85HMYXZJ7SONWBKKIAXMCI3C" localSheetId="10" hidden="1">#REF!</definedName>
    <definedName name="BExO85HMYXZJ7SONWBKKIAXMCI3C" localSheetId="12" hidden="1">#REF!</definedName>
    <definedName name="BExO85HMYXZJ7SONWBKKIAXMCI3C" localSheetId="9" hidden="1">'Customer data'!#REF!</definedName>
    <definedName name="BExO85HMYXZJ7SONWBKKIAXMCI3C" localSheetId="8" hidden="1">'Largest debtors'!#REF!</definedName>
    <definedName name="BExO85HMYXZJ7SONWBKKIAXMCI3C" localSheetId="11" hidden="1">#REF!</definedName>
    <definedName name="BExO85HMYXZJ7SONWBKKIAXMCI3C" localSheetId="6" hidden="1">Stock!#REF!</definedName>
    <definedName name="BExO85HMYXZJ7SONWBKKIAXMCI3C" hidden="1">#REF!</definedName>
    <definedName name="BExO863922O4PBGQMUNEQKGN3K96" localSheetId="7" hidden="1">'Aged debtors'!#REF!</definedName>
    <definedName name="BExO863922O4PBGQMUNEQKGN3K96" localSheetId="10" hidden="1">#REF!</definedName>
    <definedName name="BExO863922O4PBGQMUNEQKGN3K96" localSheetId="12" hidden="1">#REF!</definedName>
    <definedName name="BExO863922O4PBGQMUNEQKGN3K96" localSheetId="9" hidden="1">'Customer data'!#REF!</definedName>
    <definedName name="BExO863922O4PBGQMUNEQKGN3K96" localSheetId="8" hidden="1">'Largest debtors'!#REF!</definedName>
    <definedName name="BExO863922O4PBGQMUNEQKGN3K96" localSheetId="11" hidden="1">#REF!</definedName>
    <definedName name="BExO863922O4PBGQMUNEQKGN3K96" localSheetId="6" hidden="1">Stock!#REF!</definedName>
    <definedName name="BExO863922O4PBGQMUNEQKGN3K96" hidden="1">#REF!</definedName>
    <definedName name="BExO8CDTBCABLEUD6PE2UM2EZ6C4" localSheetId="7" hidden="1">'Aged debtors'!#REF!</definedName>
    <definedName name="BExO8CDTBCABLEUD6PE2UM2EZ6C4" localSheetId="10" hidden="1">#REF!</definedName>
    <definedName name="BExO8CDTBCABLEUD6PE2UM2EZ6C4" localSheetId="12" hidden="1">#REF!</definedName>
    <definedName name="BExO8CDTBCABLEUD6PE2UM2EZ6C4" localSheetId="9" hidden="1">'Customer data'!#REF!</definedName>
    <definedName name="BExO8CDTBCABLEUD6PE2UM2EZ6C4" localSheetId="8" hidden="1">'Largest debtors'!#REF!</definedName>
    <definedName name="BExO8CDTBCABLEUD6PE2UM2EZ6C4" localSheetId="11" hidden="1">#REF!</definedName>
    <definedName name="BExO8CDTBCABLEUD6PE2UM2EZ6C4" localSheetId="6" hidden="1">Stock!#REF!</definedName>
    <definedName name="BExO8CDTBCABLEUD6PE2UM2EZ6C4" hidden="1">#REF!</definedName>
    <definedName name="BExO9RS5RXFJ1911HL3CCK6M74EP" localSheetId="7" hidden="1">'Aged debtors'!#REF!</definedName>
    <definedName name="BExO9RS5RXFJ1911HL3CCK6M74EP" localSheetId="10" hidden="1">#REF!</definedName>
    <definedName name="BExO9RS5RXFJ1911HL3CCK6M74EP" localSheetId="12" hidden="1">#REF!</definedName>
    <definedName name="BExO9RS5RXFJ1911HL3CCK6M74EP" localSheetId="9" hidden="1">'Customer data'!#REF!</definedName>
    <definedName name="BExO9RS5RXFJ1911HL3CCK6M74EP" localSheetId="8" hidden="1">'Largest debtors'!#REF!</definedName>
    <definedName name="BExO9RS5RXFJ1911HL3CCK6M74EP" localSheetId="11" hidden="1">#REF!</definedName>
    <definedName name="BExO9RS5RXFJ1911HL3CCK6M74EP" localSheetId="6" hidden="1">Stock!#REF!</definedName>
    <definedName name="BExO9RS5RXFJ1911HL3CCK6M74EP" hidden="1">#REF!</definedName>
    <definedName name="BExO9V2U2YXAY904GYYGU6TD8Y7M" localSheetId="7" hidden="1">'Aged debtors'!#REF!</definedName>
    <definedName name="BExO9V2U2YXAY904GYYGU6TD8Y7M" localSheetId="10" hidden="1">#REF!</definedName>
    <definedName name="BExO9V2U2YXAY904GYYGU6TD8Y7M" localSheetId="12" hidden="1">#REF!</definedName>
    <definedName name="BExO9V2U2YXAY904GYYGU6TD8Y7M" localSheetId="9" hidden="1">'Customer data'!#REF!</definedName>
    <definedName name="BExO9V2U2YXAY904GYYGU6TD8Y7M" localSheetId="8" hidden="1">'Largest debtors'!#REF!</definedName>
    <definedName name="BExO9V2U2YXAY904GYYGU6TD8Y7M" localSheetId="11" hidden="1">#REF!</definedName>
    <definedName name="BExO9V2U2YXAY904GYYGU6TD8Y7M" localSheetId="6" hidden="1">Stock!#REF!</definedName>
    <definedName name="BExO9V2U2YXAY904GYYGU6TD8Y7M" hidden="1">#REF!</definedName>
    <definedName name="BExOAQ3GKCT7YZW1EMVU3EILSZL2" localSheetId="7" hidden="1">'Aged debtors'!#REF!</definedName>
    <definedName name="BExOAQ3GKCT7YZW1EMVU3EILSZL2" localSheetId="10" hidden="1">#REF!</definedName>
    <definedName name="BExOAQ3GKCT7YZW1EMVU3EILSZL2" localSheetId="12" hidden="1">#REF!</definedName>
    <definedName name="BExOAQ3GKCT7YZW1EMVU3EILSZL2" localSheetId="9" hidden="1">'Customer data'!#REF!</definedName>
    <definedName name="BExOAQ3GKCT7YZW1EMVU3EILSZL2" localSheetId="8" hidden="1">'Largest debtors'!#REF!</definedName>
    <definedName name="BExOAQ3GKCT7YZW1EMVU3EILSZL2" localSheetId="11" hidden="1">#REF!</definedName>
    <definedName name="BExOAQ3GKCT7YZW1EMVU3EILSZL2" localSheetId="6" hidden="1">Stock!#REF!</definedName>
    <definedName name="BExOAQ3GKCT7YZW1EMVU3EILSZL2" hidden="1">#REF!</definedName>
    <definedName name="BExOBEZ0IE2WBEYY3D3CMRI72N1K" localSheetId="7" hidden="1">'Aged debtors'!#REF!</definedName>
    <definedName name="BExOBEZ0IE2WBEYY3D3CMRI72N1K" localSheetId="10" hidden="1">#REF!</definedName>
    <definedName name="BExOBEZ0IE2WBEYY3D3CMRI72N1K" localSheetId="12" hidden="1">#REF!</definedName>
    <definedName name="BExOBEZ0IE2WBEYY3D3CMRI72N1K" localSheetId="9" hidden="1">'Customer data'!#REF!</definedName>
    <definedName name="BExOBEZ0IE2WBEYY3D3CMRI72N1K" localSheetId="8" hidden="1">'Largest debtors'!#REF!</definedName>
    <definedName name="BExOBEZ0IE2WBEYY3D3CMRI72N1K" localSheetId="11" hidden="1">#REF!</definedName>
    <definedName name="BExOBEZ0IE2WBEYY3D3CMRI72N1K" localSheetId="6" hidden="1">Stock!#REF!</definedName>
    <definedName name="BExOBEZ0IE2WBEYY3D3CMRI72N1K" hidden="1">#REF!</definedName>
    <definedName name="BExOBIPU8760ITY0C8N27XZ3KWEF" localSheetId="7" hidden="1">'Aged debtors'!#REF!</definedName>
    <definedName name="BExOBIPU8760ITY0C8N27XZ3KWEF" localSheetId="10" hidden="1">#REF!</definedName>
    <definedName name="BExOBIPU8760ITY0C8N27XZ3KWEF" localSheetId="12" hidden="1">#REF!</definedName>
    <definedName name="BExOBIPU8760ITY0C8N27XZ3KWEF" localSheetId="9" hidden="1">'Customer data'!#REF!</definedName>
    <definedName name="BExOBIPU8760ITY0C8N27XZ3KWEF" localSheetId="8" hidden="1">'Largest debtors'!#REF!</definedName>
    <definedName name="BExOBIPU8760ITY0C8N27XZ3KWEF" localSheetId="11" hidden="1">#REF!</definedName>
    <definedName name="BExOBIPU8760ITY0C8N27XZ3KWEF" localSheetId="6" hidden="1">Stock!#REF!</definedName>
    <definedName name="BExOBIPU8760ITY0C8N27XZ3KWEF" hidden="1">#REF!</definedName>
    <definedName name="BExOBYAVUCQ0IGM0Y6A75QHP0Q1A" localSheetId="7" hidden="1">'Aged debtors'!#REF!</definedName>
    <definedName name="BExOBYAVUCQ0IGM0Y6A75QHP0Q1A" localSheetId="10" hidden="1">#REF!</definedName>
    <definedName name="BExOBYAVUCQ0IGM0Y6A75QHP0Q1A" localSheetId="12" hidden="1">#REF!</definedName>
    <definedName name="BExOBYAVUCQ0IGM0Y6A75QHP0Q1A" localSheetId="9" hidden="1">'Customer data'!#REF!</definedName>
    <definedName name="BExOBYAVUCQ0IGM0Y6A75QHP0Q1A" localSheetId="8" hidden="1">'Largest debtors'!#REF!</definedName>
    <definedName name="BExOBYAVUCQ0IGM0Y6A75QHP0Q1A" localSheetId="11" hidden="1">#REF!</definedName>
    <definedName name="BExOBYAVUCQ0IGM0Y6A75QHP0Q1A" localSheetId="6" hidden="1">Stock!#REF!</definedName>
    <definedName name="BExOBYAVUCQ0IGM0Y6A75QHP0Q1A" hidden="1">#REF!</definedName>
    <definedName name="BExOCKXFMOW6WPFEVX1I7R7FNDSS" localSheetId="7" hidden="1">'Aged debtors'!#REF!</definedName>
    <definedName name="BExOCKXFMOW6WPFEVX1I7R7FNDSS" localSheetId="10" hidden="1">#REF!</definedName>
    <definedName name="BExOCKXFMOW6WPFEVX1I7R7FNDSS" localSheetId="12" hidden="1">#REF!</definedName>
    <definedName name="BExOCKXFMOW6WPFEVX1I7R7FNDSS" localSheetId="9" hidden="1">'Customer data'!#REF!</definedName>
    <definedName name="BExOCKXFMOW6WPFEVX1I7R7FNDSS" localSheetId="8" hidden="1">'Largest debtors'!#REF!</definedName>
    <definedName name="BExOCKXFMOW6WPFEVX1I7R7FNDSS" localSheetId="11" hidden="1">#REF!</definedName>
    <definedName name="BExOCKXFMOW6WPFEVX1I7R7FNDSS" localSheetId="6" hidden="1">Stock!#REF!</definedName>
    <definedName name="BExOCKXFMOW6WPFEVX1I7R7FNDSS" hidden="1">#REF!</definedName>
    <definedName name="BExOCPVJQE1W6OCZQ42V1O0X7Q2C" localSheetId="7" hidden="1">'Aged debtors'!#REF!</definedName>
    <definedName name="BExOCPVJQE1W6OCZQ42V1O0X7Q2C" localSheetId="10" hidden="1">#REF!</definedName>
    <definedName name="BExOCPVJQE1W6OCZQ42V1O0X7Q2C" localSheetId="12" hidden="1">#REF!</definedName>
    <definedName name="BExOCPVJQE1W6OCZQ42V1O0X7Q2C" localSheetId="9" hidden="1">'Customer data'!#REF!</definedName>
    <definedName name="BExOCPVJQE1W6OCZQ42V1O0X7Q2C" localSheetId="8" hidden="1">'Largest debtors'!#REF!</definedName>
    <definedName name="BExOCPVJQE1W6OCZQ42V1O0X7Q2C" localSheetId="11" hidden="1">#REF!</definedName>
    <definedName name="BExOCPVJQE1W6OCZQ42V1O0X7Q2C" localSheetId="6" hidden="1">Stock!#REF!</definedName>
    <definedName name="BExOCPVJQE1W6OCZQ42V1O0X7Q2C" hidden="1">#REF!</definedName>
    <definedName name="BExOCYEXOB95DH5NOB0M5NOYX398" localSheetId="7" hidden="1">'Aged debtors'!#REF!</definedName>
    <definedName name="BExOCYEXOB95DH5NOB0M5NOYX398" localSheetId="10" hidden="1">#REF!</definedName>
    <definedName name="BExOCYEXOB95DH5NOB0M5NOYX398" localSheetId="12" hidden="1">#REF!</definedName>
    <definedName name="BExOCYEXOB95DH5NOB0M5NOYX398" localSheetId="9" hidden="1">'Customer data'!#REF!</definedName>
    <definedName name="BExOCYEXOB95DH5NOB0M5NOYX398" localSheetId="8" hidden="1">'Largest debtors'!#REF!</definedName>
    <definedName name="BExOCYEXOB95DH5NOB0M5NOYX398" localSheetId="11" hidden="1">#REF!</definedName>
    <definedName name="BExOCYEXOB95DH5NOB0M5NOYX398" localSheetId="6" hidden="1">Stock!#REF!</definedName>
    <definedName name="BExOCYEXOB95DH5NOB0M5NOYX398" hidden="1">#REF!</definedName>
    <definedName name="BExOD55RS7BQUHRQ6H3USVGKR0P7" localSheetId="7" hidden="1">'Aged debtors'!#REF!</definedName>
    <definedName name="BExOD55RS7BQUHRQ6H3USVGKR0P7" localSheetId="10" hidden="1">#REF!</definedName>
    <definedName name="BExOD55RS7BQUHRQ6H3USVGKR0P7" localSheetId="12" hidden="1">#REF!</definedName>
    <definedName name="BExOD55RS7BQUHRQ6H3USVGKR0P7" localSheetId="9" hidden="1">'Customer data'!#REF!</definedName>
    <definedName name="BExOD55RS7BQUHRQ6H3USVGKR0P7" localSheetId="8" hidden="1">'Largest debtors'!#REF!</definedName>
    <definedName name="BExOD55RS7BQUHRQ6H3USVGKR0P7" localSheetId="11" hidden="1">#REF!</definedName>
    <definedName name="BExOD55RS7BQUHRQ6H3USVGKR0P7" localSheetId="6" hidden="1">Stock!#REF!</definedName>
    <definedName name="BExOD55RS7BQUHRQ6H3USVGKR0P7" hidden="1">#REF!</definedName>
    <definedName name="BExOEV1S6JJVO5PP4BZ20SNGZR7D" localSheetId="7" hidden="1">'Aged debtors'!#REF!</definedName>
    <definedName name="BExOEV1S6JJVO5PP4BZ20SNGZR7D" localSheetId="10" hidden="1">#REF!</definedName>
    <definedName name="BExOEV1S6JJVO5PP4BZ20SNGZR7D" localSheetId="12" hidden="1">#REF!</definedName>
    <definedName name="BExOEV1S6JJVO5PP4BZ20SNGZR7D" localSheetId="9" hidden="1">'Customer data'!#REF!</definedName>
    <definedName name="BExOEV1S6JJVO5PP4BZ20SNGZR7D" localSheetId="8" hidden="1">'Largest debtors'!#REF!</definedName>
    <definedName name="BExOEV1S6JJVO5PP4BZ20SNGZR7D" localSheetId="11" hidden="1">#REF!</definedName>
    <definedName name="BExOEV1S6JJVO5PP4BZ20SNGZR7D" localSheetId="6" hidden="1">Stock!#REF!</definedName>
    <definedName name="BExOEV1S6JJVO5PP4BZ20SNGZR7D" hidden="1">#REF!</definedName>
    <definedName name="BExOFEDNCYI2TPTMQ8SJN3AW4YMF" localSheetId="7" hidden="1">'Aged debtors'!#REF!</definedName>
    <definedName name="BExOFEDNCYI2TPTMQ8SJN3AW4YMF" localSheetId="10" hidden="1">#REF!</definedName>
    <definedName name="BExOFEDNCYI2TPTMQ8SJN3AW4YMF" localSheetId="12" hidden="1">#REF!</definedName>
    <definedName name="BExOFEDNCYI2TPTMQ8SJN3AW4YMF" localSheetId="9" hidden="1">'Customer data'!#REF!</definedName>
    <definedName name="BExOFEDNCYI2TPTMQ8SJN3AW4YMF" localSheetId="8" hidden="1">'Largest debtors'!#REF!</definedName>
    <definedName name="BExOFEDNCYI2TPTMQ8SJN3AW4YMF" localSheetId="11" hidden="1">#REF!</definedName>
    <definedName name="BExOFEDNCYI2TPTMQ8SJN3AW4YMF" localSheetId="6" hidden="1">Stock!#REF!</definedName>
    <definedName name="BExOFEDNCYI2TPTMQ8SJN3AW4YMF" hidden="1">#REF!</definedName>
    <definedName name="BExOG2SW3XOGP9VAPQ3THV3VWV12" localSheetId="7" hidden="1">'Aged debtors'!#REF!</definedName>
    <definedName name="BExOG2SW3XOGP9VAPQ3THV3VWV12" localSheetId="10" hidden="1">#REF!</definedName>
    <definedName name="BExOG2SW3XOGP9VAPQ3THV3VWV12" localSheetId="12" hidden="1">#REF!</definedName>
    <definedName name="BExOG2SW3XOGP9VAPQ3THV3VWV12" localSheetId="9" hidden="1">'Customer data'!#REF!</definedName>
    <definedName name="BExOG2SW3XOGP9VAPQ3THV3VWV12" localSheetId="8" hidden="1">'Largest debtors'!#REF!</definedName>
    <definedName name="BExOG2SW3XOGP9VAPQ3THV3VWV12" localSheetId="11" hidden="1">#REF!</definedName>
    <definedName name="BExOG2SW3XOGP9VAPQ3THV3VWV12" localSheetId="6" hidden="1">Stock!#REF!</definedName>
    <definedName name="BExOG2SW3XOGP9VAPQ3THV3VWV12" hidden="1">#REF!</definedName>
    <definedName name="BExOG45J81K4OPA40KW5VQU54KY3" localSheetId="7" hidden="1">'Aged debtors'!#REF!</definedName>
    <definedName name="BExOG45J81K4OPA40KW5VQU54KY3" localSheetId="10" hidden="1">#REF!</definedName>
    <definedName name="BExOG45J81K4OPA40KW5VQU54KY3" localSheetId="12" hidden="1">#REF!</definedName>
    <definedName name="BExOG45J81K4OPA40KW5VQU54KY3" localSheetId="9" hidden="1">'Customer data'!#REF!</definedName>
    <definedName name="BExOG45J81K4OPA40KW5VQU54KY3" localSheetId="8" hidden="1">'Largest debtors'!#REF!</definedName>
    <definedName name="BExOG45J81K4OPA40KW5VQU54KY3" localSheetId="11" hidden="1">#REF!</definedName>
    <definedName name="BExOG45J81K4OPA40KW5VQU54KY3" localSheetId="6" hidden="1">Stock!#REF!</definedName>
    <definedName name="BExOG45J81K4OPA40KW5VQU54KY3" hidden="1">#REF!</definedName>
    <definedName name="BExOH9ICZ13C1LAW8OTYTR9S7ZP3" localSheetId="7" hidden="1">'Aged debtors'!#REF!</definedName>
    <definedName name="BExOH9ICZ13C1LAW8OTYTR9S7ZP3" localSheetId="10" hidden="1">#REF!</definedName>
    <definedName name="BExOH9ICZ13C1LAW8OTYTR9S7ZP3" localSheetId="12" hidden="1">#REF!</definedName>
    <definedName name="BExOH9ICZ13C1LAW8OTYTR9S7ZP3" localSheetId="9" hidden="1">'Customer data'!#REF!</definedName>
    <definedName name="BExOH9ICZ13C1LAW8OTYTR9S7ZP3" localSheetId="8" hidden="1">'Largest debtors'!#REF!</definedName>
    <definedName name="BExOH9ICZ13C1LAW8OTYTR9S7ZP3" localSheetId="11" hidden="1">#REF!</definedName>
    <definedName name="BExOH9ICZ13C1LAW8OTYTR9S7ZP3" localSheetId="6" hidden="1">Stock!#REF!</definedName>
    <definedName name="BExOH9ICZ13C1LAW8OTYTR9S7ZP3" hidden="1">#REF!</definedName>
    <definedName name="BExOHLHXXJL6363CC082M9M5VVXQ" localSheetId="7" hidden="1">'Aged debtors'!#REF!</definedName>
    <definedName name="BExOHLHXXJL6363CC082M9M5VVXQ" localSheetId="10" hidden="1">#REF!</definedName>
    <definedName name="BExOHLHXXJL6363CC082M9M5VVXQ" localSheetId="12" hidden="1">#REF!</definedName>
    <definedName name="BExOHLHXXJL6363CC082M9M5VVXQ" localSheetId="9" hidden="1">'Customer data'!#REF!</definedName>
    <definedName name="BExOHLHXXJL6363CC082M9M5VVXQ" localSheetId="8" hidden="1">'Largest debtors'!#REF!</definedName>
    <definedName name="BExOHLHXXJL6363CC082M9M5VVXQ" localSheetId="11" hidden="1">#REF!</definedName>
    <definedName name="BExOHLHXXJL6363CC082M9M5VVXQ" localSheetId="6" hidden="1">Stock!#REF!</definedName>
    <definedName name="BExOHLHXXJL6363CC082M9M5VVXQ" hidden="1">#REF!</definedName>
    <definedName name="BExOHNAO5UDXSO73BK2ARHWKS90Y" localSheetId="7" hidden="1">'Aged debtors'!#REF!</definedName>
    <definedName name="BExOHNAO5UDXSO73BK2ARHWKS90Y" localSheetId="10" hidden="1">#REF!</definedName>
    <definedName name="BExOHNAO5UDXSO73BK2ARHWKS90Y" localSheetId="12" hidden="1">#REF!</definedName>
    <definedName name="BExOHNAO5UDXSO73BK2ARHWKS90Y" localSheetId="9" hidden="1">'Customer data'!#REF!</definedName>
    <definedName name="BExOHNAO5UDXSO73BK2ARHWKS90Y" localSheetId="8" hidden="1">'Largest debtors'!#REF!</definedName>
    <definedName name="BExOHNAO5UDXSO73BK2ARHWKS90Y" localSheetId="11" hidden="1">#REF!</definedName>
    <definedName name="BExOHNAO5UDXSO73BK2ARHWKS90Y" localSheetId="6" hidden="1">Stock!#REF!</definedName>
    <definedName name="BExOHNAO5UDXSO73BK2ARHWKS90Y" hidden="1">#REF!</definedName>
    <definedName name="BExOHR1G1I9A9CI1HG94EWBLWNM2" localSheetId="7" hidden="1">'Aged debtors'!#REF!</definedName>
    <definedName name="BExOHR1G1I9A9CI1HG94EWBLWNM2" localSheetId="10" hidden="1">#REF!</definedName>
    <definedName name="BExOHR1G1I9A9CI1HG94EWBLWNM2" localSheetId="12" hidden="1">#REF!</definedName>
    <definedName name="BExOHR1G1I9A9CI1HG94EWBLWNM2" localSheetId="9" hidden="1">'Customer data'!#REF!</definedName>
    <definedName name="BExOHR1G1I9A9CI1HG94EWBLWNM2" localSheetId="8" hidden="1">'Largest debtors'!#REF!</definedName>
    <definedName name="BExOHR1G1I9A9CI1HG94EWBLWNM2" localSheetId="11" hidden="1">#REF!</definedName>
    <definedName name="BExOHR1G1I9A9CI1HG94EWBLWNM2" localSheetId="6" hidden="1">Stock!#REF!</definedName>
    <definedName name="BExOHR1G1I9A9CI1HG94EWBLWNM2" hidden="1">#REF!</definedName>
    <definedName name="BExOHTQPP8LQ98L6PYUI6QW08YID" localSheetId="7" hidden="1">'Aged debtors'!#REF!</definedName>
    <definedName name="BExOHTQPP8LQ98L6PYUI6QW08YID" localSheetId="10" hidden="1">#REF!</definedName>
    <definedName name="BExOHTQPP8LQ98L6PYUI6QW08YID" localSheetId="12" hidden="1">#REF!</definedName>
    <definedName name="BExOHTQPP8LQ98L6PYUI6QW08YID" localSheetId="9" hidden="1">'Customer data'!#REF!</definedName>
    <definedName name="BExOHTQPP8LQ98L6PYUI6QW08YID" localSheetId="8" hidden="1">'Largest debtors'!#REF!</definedName>
    <definedName name="BExOHTQPP8LQ98L6PYUI6QW08YID" localSheetId="11" hidden="1">#REF!</definedName>
    <definedName name="BExOHTQPP8LQ98L6PYUI6QW08YID" localSheetId="6" hidden="1">Stock!#REF!</definedName>
    <definedName name="BExOHTQPP8LQ98L6PYUI6QW08YID" hidden="1">#REF!</definedName>
    <definedName name="BExOIEVCP4Y6VDS23AK84MCYYHRT" localSheetId="7" hidden="1">'Aged debtors'!#REF!</definedName>
    <definedName name="BExOIEVCP4Y6VDS23AK84MCYYHRT" localSheetId="10" hidden="1">#REF!</definedName>
    <definedName name="BExOIEVCP4Y6VDS23AK84MCYYHRT" localSheetId="12" hidden="1">#REF!</definedName>
    <definedName name="BExOIEVCP4Y6VDS23AK84MCYYHRT" localSheetId="9" hidden="1">'Customer data'!#REF!</definedName>
    <definedName name="BExOIEVCP4Y6VDS23AK84MCYYHRT" localSheetId="8" hidden="1">'Largest debtors'!#REF!</definedName>
    <definedName name="BExOIEVCP4Y6VDS23AK84MCYYHRT" localSheetId="11" hidden="1">#REF!</definedName>
    <definedName name="BExOIEVCP4Y6VDS23AK84MCYYHRT" localSheetId="6" hidden="1">Stock!#REF!</definedName>
    <definedName name="BExOIEVCP4Y6VDS23AK84MCYYHRT" hidden="1">#REF!</definedName>
    <definedName name="BExOIM7L0Z3LSII9P7ZTV4KJ8RMA" localSheetId="7" hidden="1">'Aged debtors'!#REF!</definedName>
    <definedName name="BExOIM7L0Z3LSII9P7ZTV4KJ8RMA" localSheetId="10" hidden="1">#REF!</definedName>
    <definedName name="BExOIM7L0Z3LSII9P7ZTV4KJ8RMA" localSheetId="12" hidden="1">#REF!</definedName>
    <definedName name="BExOIM7L0Z3LSII9P7ZTV4KJ8RMA" localSheetId="9" hidden="1">'Customer data'!#REF!</definedName>
    <definedName name="BExOIM7L0Z3LSII9P7ZTV4KJ8RMA" localSheetId="8" hidden="1">'Largest debtors'!#REF!</definedName>
    <definedName name="BExOIM7L0Z3LSII9P7ZTV4KJ8RMA" localSheetId="11" hidden="1">#REF!</definedName>
    <definedName name="BExOIM7L0Z3LSII9P7ZTV4KJ8RMA" localSheetId="6" hidden="1">Stock!#REF!</definedName>
    <definedName name="BExOIM7L0Z3LSII9P7ZTV4KJ8RMA" hidden="1">#REF!</definedName>
    <definedName name="BExOIWJVMJ6MG6JC4SPD1L00OHU1" localSheetId="7" hidden="1">'Aged debtors'!#REF!</definedName>
    <definedName name="BExOIWJVMJ6MG6JC4SPD1L00OHU1" localSheetId="10" hidden="1">#REF!</definedName>
    <definedName name="BExOIWJVMJ6MG6JC4SPD1L00OHU1" localSheetId="12" hidden="1">#REF!</definedName>
    <definedName name="BExOIWJVMJ6MG6JC4SPD1L00OHU1" localSheetId="9" hidden="1">'Customer data'!#REF!</definedName>
    <definedName name="BExOIWJVMJ6MG6JC4SPD1L00OHU1" localSheetId="8" hidden="1">'Largest debtors'!#REF!</definedName>
    <definedName name="BExOIWJVMJ6MG6JC4SPD1L00OHU1" localSheetId="11" hidden="1">#REF!</definedName>
    <definedName name="BExOIWJVMJ6MG6JC4SPD1L00OHU1" localSheetId="6" hidden="1">Stock!#REF!</definedName>
    <definedName name="BExOIWJVMJ6MG6JC4SPD1L00OHU1" hidden="1">#REF!</definedName>
    <definedName name="BExOIYCN8Z4JK3OOG86KYUCV0ME8" localSheetId="7" hidden="1">'Aged debtors'!#REF!</definedName>
    <definedName name="BExOIYCN8Z4JK3OOG86KYUCV0ME8" localSheetId="10" hidden="1">#REF!</definedName>
    <definedName name="BExOIYCN8Z4JK3OOG86KYUCV0ME8" localSheetId="12" hidden="1">#REF!</definedName>
    <definedName name="BExOIYCN8Z4JK3OOG86KYUCV0ME8" localSheetId="9" hidden="1">'Customer data'!#REF!</definedName>
    <definedName name="BExOIYCN8Z4JK3OOG86KYUCV0ME8" localSheetId="8" hidden="1">'Largest debtors'!#REF!</definedName>
    <definedName name="BExOIYCN8Z4JK3OOG86KYUCV0ME8" localSheetId="11" hidden="1">#REF!</definedName>
    <definedName name="BExOIYCN8Z4JK3OOG86KYUCV0ME8" localSheetId="6" hidden="1">Stock!#REF!</definedName>
    <definedName name="BExOIYCN8Z4JK3OOG86KYUCV0ME8" hidden="1">#REF!</definedName>
    <definedName name="BExOJ3AKZ9BCBZT3KD8WMSLK6MN2" localSheetId="7" hidden="1">'Aged debtors'!#REF!</definedName>
    <definedName name="BExOJ3AKZ9BCBZT3KD8WMSLK6MN2" localSheetId="10" hidden="1">#REF!</definedName>
    <definedName name="BExOJ3AKZ9BCBZT3KD8WMSLK6MN2" localSheetId="12" hidden="1">#REF!</definedName>
    <definedName name="BExOJ3AKZ9BCBZT3KD8WMSLK6MN2" localSheetId="9" hidden="1">'Customer data'!#REF!</definedName>
    <definedName name="BExOJ3AKZ9BCBZT3KD8WMSLK6MN2" localSheetId="8" hidden="1">'Largest debtors'!#REF!</definedName>
    <definedName name="BExOJ3AKZ9BCBZT3KD8WMSLK6MN2" localSheetId="11" hidden="1">#REF!</definedName>
    <definedName name="BExOJ3AKZ9BCBZT3KD8WMSLK6MN2" localSheetId="6" hidden="1">Stock!#REF!</definedName>
    <definedName name="BExOJ3AKZ9BCBZT3KD8WMSLK6MN2" hidden="1">#REF!</definedName>
    <definedName name="BExOJM0W6XGSW5MXPTTX0GNF6SFT" localSheetId="7" hidden="1">'Aged debtors'!#REF!</definedName>
    <definedName name="BExOJM0W6XGSW5MXPTTX0GNF6SFT" localSheetId="10" hidden="1">#REF!</definedName>
    <definedName name="BExOJM0W6XGSW5MXPTTX0GNF6SFT" localSheetId="12" hidden="1">#REF!</definedName>
    <definedName name="BExOJM0W6XGSW5MXPTTX0GNF6SFT" localSheetId="9" hidden="1">'Customer data'!#REF!</definedName>
    <definedName name="BExOJM0W6XGSW5MXPTTX0GNF6SFT" localSheetId="8" hidden="1">'Largest debtors'!#REF!</definedName>
    <definedName name="BExOJM0W6XGSW5MXPTTX0GNF6SFT" localSheetId="11" hidden="1">#REF!</definedName>
    <definedName name="BExOJM0W6XGSW5MXPTTX0GNF6SFT" localSheetId="6" hidden="1">Stock!#REF!</definedName>
    <definedName name="BExOJM0W6XGSW5MXPTTX0GNF6SFT" hidden="1">#REF!</definedName>
    <definedName name="BExOKTXMJP351VXKH8VT6SXUNIMF" localSheetId="7" hidden="1">'Aged debtors'!#REF!</definedName>
    <definedName name="BExOKTXMJP351VXKH8VT6SXUNIMF" localSheetId="10" hidden="1">#REF!</definedName>
    <definedName name="BExOKTXMJP351VXKH8VT6SXUNIMF" localSheetId="12" hidden="1">#REF!</definedName>
    <definedName name="BExOKTXMJP351VXKH8VT6SXUNIMF" localSheetId="9" hidden="1">'Customer data'!#REF!</definedName>
    <definedName name="BExOKTXMJP351VXKH8VT6SXUNIMF" localSheetId="8" hidden="1">'Largest debtors'!#REF!</definedName>
    <definedName name="BExOKTXMJP351VXKH8VT6SXUNIMF" localSheetId="11" hidden="1">#REF!</definedName>
    <definedName name="BExOKTXMJP351VXKH8VT6SXUNIMF" localSheetId="6" hidden="1">Stock!#REF!</definedName>
    <definedName name="BExOKTXMJP351VXKH8VT6SXUNIMF" hidden="1">#REF!</definedName>
    <definedName name="BExOL7KH12VAR0LG741SIOJTLWFD" localSheetId="7" hidden="1">'Aged debtors'!#REF!</definedName>
    <definedName name="BExOL7KH12VAR0LG741SIOJTLWFD" localSheetId="10" hidden="1">#REF!</definedName>
    <definedName name="BExOL7KH12VAR0LG741SIOJTLWFD" localSheetId="12" hidden="1">#REF!</definedName>
    <definedName name="BExOL7KH12VAR0LG741SIOJTLWFD" localSheetId="9" hidden="1">'Customer data'!#REF!</definedName>
    <definedName name="BExOL7KH12VAR0LG741SIOJTLWFD" localSheetId="8" hidden="1">'Largest debtors'!#REF!</definedName>
    <definedName name="BExOL7KH12VAR0LG741SIOJTLWFD" localSheetId="11" hidden="1">#REF!</definedName>
    <definedName name="BExOL7KH12VAR0LG741SIOJTLWFD" localSheetId="6" hidden="1">Stock!#REF!</definedName>
    <definedName name="BExOL7KH12VAR0LG741SIOJTLWFD" hidden="1">#REF!</definedName>
    <definedName name="BExOLICXFHJLILCJVFMJE5MGGWKR" localSheetId="7" hidden="1">'Aged debtors'!#REF!</definedName>
    <definedName name="BExOLICXFHJLILCJVFMJE5MGGWKR" localSheetId="10" hidden="1">#REF!</definedName>
    <definedName name="BExOLICXFHJLILCJVFMJE5MGGWKR" localSheetId="12" hidden="1">#REF!</definedName>
    <definedName name="BExOLICXFHJLILCJVFMJE5MGGWKR" localSheetId="9" hidden="1">'Customer data'!#REF!</definedName>
    <definedName name="BExOLICXFHJLILCJVFMJE5MGGWKR" localSheetId="8" hidden="1">'Largest debtors'!#REF!</definedName>
    <definedName name="BExOLICXFHJLILCJVFMJE5MGGWKR" localSheetId="11" hidden="1">#REF!</definedName>
    <definedName name="BExOLICXFHJLILCJVFMJE5MGGWKR" localSheetId="6" hidden="1">Stock!#REF!</definedName>
    <definedName name="BExOLICXFHJLILCJVFMJE5MGGWKR" hidden="1">#REF!</definedName>
    <definedName name="BExOLYZNG5RBD0BTS1OEZJNU92Q5" localSheetId="7" hidden="1">'Aged debtors'!#REF!</definedName>
    <definedName name="BExOLYZNG5RBD0BTS1OEZJNU92Q5" localSheetId="10" hidden="1">#REF!</definedName>
    <definedName name="BExOLYZNG5RBD0BTS1OEZJNU92Q5" localSheetId="12" hidden="1">#REF!</definedName>
    <definedName name="BExOLYZNG5RBD0BTS1OEZJNU92Q5" localSheetId="9" hidden="1">'Customer data'!#REF!</definedName>
    <definedName name="BExOLYZNG5RBD0BTS1OEZJNU92Q5" localSheetId="8" hidden="1">'Largest debtors'!#REF!</definedName>
    <definedName name="BExOLYZNG5RBD0BTS1OEZJNU92Q5" localSheetId="11" hidden="1">#REF!</definedName>
    <definedName name="BExOLYZNG5RBD0BTS1OEZJNU92Q5" localSheetId="6" hidden="1">Stock!#REF!</definedName>
    <definedName name="BExOLYZNG5RBD0BTS1OEZJNU92Q5" hidden="1">#REF!</definedName>
    <definedName name="BExOMKPURE33YQ3K1JG9NVQD4W49" localSheetId="7" hidden="1">'Aged debtors'!#REF!</definedName>
    <definedName name="BExOMKPURE33YQ3K1JG9NVQD4W49" localSheetId="10" hidden="1">#REF!</definedName>
    <definedName name="BExOMKPURE33YQ3K1JG9NVQD4W49" localSheetId="12" hidden="1">#REF!</definedName>
    <definedName name="BExOMKPURE33YQ3K1JG9NVQD4W49" localSheetId="9" hidden="1">'Customer data'!#REF!</definedName>
    <definedName name="BExOMKPURE33YQ3K1JG9NVQD4W49" localSheetId="8" hidden="1">'Largest debtors'!#REF!</definedName>
    <definedName name="BExOMKPURE33YQ3K1JG9NVQD4W49" localSheetId="11" hidden="1">#REF!</definedName>
    <definedName name="BExOMKPURE33YQ3K1JG9NVQD4W49" localSheetId="6" hidden="1">Stock!#REF!</definedName>
    <definedName name="BExOMKPURE33YQ3K1JG9NVQD4W49" hidden="1">#REF!</definedName>
    <definedName name="BExOMP7NGCLUNFK50QD2LPKRG078" localSheetId="7" hidden="1">'Aged debtors'!#REF!</definedName>
    <definedName name="BExOMP7NGCLUNFK50QD2LPKRG078" localSheetId="10" hidden="1">#REF!</definedName>
    <definedName name="BExOMP7NGCLUNFK50QD2LPKRG078" localSheetId="12" hidden="1">#REF!</definedName>
    <definedName name="BExOMP7NGCLUNFK50QD2LPKRG078" localSheetId="9" hidden="1">'Customer data'!#REF!</definedName>
    <definedName name="BExOMP7NGCLUNFK50QD2LPKRG078" localSheetId="8" hidden="1">'Largest debtors'!#REF!</definedName>
    <definedName name="BExOMP7NGCLUNFK50QD2LPKRG078" localSheetId="11" hidden="1">#REF!</definedName>
    <definedName name="BExOMP7NGCLUNFK50QD2LPKRG078" localSheetId="6" hidden="1">Stock!#REF!</definedName>
    <definedName name="BExOMP7NGCLUNFK50QD2LPKRG078" hidden="1">#REF!</definedName>
    <definedName name="BExOMU0A6XMY48SZRYL4WQZD13BI" localSheetId="7" hidden="1">'Aged debtors'!#REF!</definedName>
    <definedName name="BExOMU0A6XMY48SZRYL4WQZD13BI" localSheetId="10" hidden="1">#REF!</definedName>
    <definedName name="BExOMU0A6XMY48SZRYL4WQZD13BI" localSheetId="12" hidden="1">#REF!</definedName>
    <definedName name="BExOMU0A6XMY48SZRYL4WQZD13BI" localSheetId="9" hidden="1">'Customer data'!#REF!</definedName>
    <definedName name="BExOMU0A6XMY48SZRYL4WQZD13BI" localSheetId="8" hidden="1">'Largest debtors'!#REF!</definedName>
    <definedName name="BExOMU0A6XMY48SZRYL4WQZD13BI" localSheetId="11" hidden="1">#REF!</definedName>
    <definedName name="BExOMU0A6XMY48SZRYL4WQZD13BI" localSheetId="6" hidden="1">Stock!#REF!</definedName>
    <definedName name="BExOMU0A6XMY48SZRYL4WQZD13BI" hidden="1">#REF!</definedName>
    <definedName name="BExOMVT0HSNC59DJP4CLISASGHKL" localSheetId="7" hidden="1">'Aged debtors'!#REF!</definedName>
    <definedName name="BExOMVT0HSNC59DJP4CLISASGHKL" localSheetId="10" hidden="1">#REF!</definedName>
    <definedName name="BExOMVT0HSNC59DJP4CLISASGHKL" localSheetId="12" hidden="1">#REF!</definedName>
    <definedName name="BExOMVT0HSNC59DJP4CLISASGHKL" localSheetId="9" hidden="1">'Customer data'!#REF!</definedName>
    <definedName name="BExOMVT0HSNC59DJP4CLISASGHKL" localSheetId="8" hidden="1">'Largest debtors'!#REF!</definedName>
    <definedName name="BExOMVT0HSNC59DJP4CLISASGHKL" localSheetId="11" hidden="1">#REF!</definedName>
    <definedName name="BExOMVT0HSNC59DJP4CLISASGHKL" localSheetId="6" hidden="1">Stock!#REF!</definedName>
    <definedName name="BExOMVT0HSNC59DJP4CLISASGHKL" hidden="1">#REF!</definedName>
    <definedName name="BExON0AX35F2SI0UCVMGWGVIUNI3" localSheetId="7" hidden="1">'Aged debtors'!#REF!</definedName>
    <definedName name="BExON0AX35F2SI0UCVMGWGVIUNI3" localSheetId="10" hidden="1">#REF!</definedName>
    <definedName name="BExON0AX35F2SI0UCVMGWGVIUNI3" localSheetId="12" hidden="1">#REF!</definedName>
    <definedName name="BExON0AX35F2SI0UCVMGWGVIUNI3" localSheetId="9" hidden="1">'Customer data'!#REF!</definedName>
    <definedName name="BExON0AX35F2SI0UCVMGWGVIUNI3" localSheetId="8" hidden="1">'Largest debtors'!#REF!</definedName>
    <definedName name="BExON0AX35F2SI0UCVMGWGVIUNI3" localSheetId="11" hidden="1">#REF!</definedName>
    <definedName name="BExON0AX35F2SI0UCVMGWGVIUNI3" localSheetId="6" hidden="1">Stock!#REF!</definedName>
    <definedName name="BExON0AX35F2SI0UCVMGWGVIUNI3" hidden="1">#REF!</definedName>
    <definedName name="BExONB3A7CO4YD8RB41PHC93BQ9M" localSheetId="7" hidden="1">'Aged debtors'!#REF!</definedName>
    <definedName name="BExONB3A7CO4YD8RB41PHC93BQ9M" localSheetId="10" hidden="1">#REF!</definedName>
    <definedName name="BExONB3A7CO4YD8RB41PHC93BQ9M" localSheetId="12" hidden="1">#REF!</definedName>
    <definedName name="BExONB3A7CO4YD8RB41PHC93BQ9M" localSheetId="9" hidden="1">'Customer data'!#REF!</definedName>
    <definedName name="BExONB3A7CO4YD8RB41PHC93BQ9M" localSheetId="8" hidden="1">'Largest debtors'!#REF!</definedName>
    <definedName name="BExONB3A7CO4YD8RB41PHC93BQ9M" localSheetId="11" hidden="1">#REF!</definedName>
    <definedName name="BExONB3A7CO4YD8RB41PHC93BQ9M" localSheetId="6" hidden="1">Stock!#REF!</definedName>
    <definedName name="BExONB3A7CO4YD8RB41PHC93BQ9M" hidden="1">#REF!</definedName>
    <definedName name="BExONFQH6UUXF8V0GI4BRIST9RFO" localSheetId="7" hidden="1">'Aged debtors'!#REF!</definedName>
    <definedName name="BExONFQH6UUXF8V0GI4BRIST9RFO" localSheetId="10" hidden="1">#REF!</definedName>
    <definedName name="BExONFQH6UUXF8V0GI4BRIST9RFO" localSheetId="12" hidden="1">#REF!</definedName>
    <definedName name="BExONFQH6UUXF8V0GI4BRIST9RFO" localSheetId="9" hidden="1">'Customer data'!#REF!</definedName>
    <definedName name="BExONFQH6UUXF8V0GI4BRIST9RFO" localSheetId="8" hidden="1">'Largest debtors'!#REF!</definedName>
    <definedName name="BExONFQH6UUXF8V0GI4BRIST9RFO" localSheetId="11" hidden="1">#REF!</definedName>
    <definedName name="BExONFQH6UUXF8V0GI4BRIST9RFO" localSheetId="6" hidden="1">Stock!#REF!</definedName>
    <definedName name="BExONFQH6UUXF8V0GI4BRIST9RFO" hidden="1">#REF!</definedName>
    <definedName name="BExONIL31DZWU7IFVN3VV0XTXJA1" localSheetId="7" hidden="1">'Aged debtors'!#REF!</definedName>
    <definedName name="BExONIL31DZWU7IFVN3VV0XTXJA1" localSheetId="10" hidden="1">#REF!</definedName>
    <definedName name="BExONIL31DZWU7IFVN3VV0XTXJA1" localSheetId="12" hidden="1">#REF!</definedName>
    <definedName name="BExONIL31DZWU7IFVN3VV0XTXJA1" localSheetId="9" hidden="1">'Customer data'!#REF!</definedName>
    <definedName name="BExONIL31DZWU7IFVN3VV0XTXJA1" localSheetId="8" hidden="1">'Largest debtors'!#REF!</definedName>
    <definedName name="BExONIL31DZWU7IFVN3VV0XTXJA1" localSheetId="11" hidden="1">#REF!</definedName>
    <definedName name="BExONIL31DZWU7IFVN3VV0XTXJA1" localSheetId="6" hidden="1">Stock!#REF!</definedName>
    <definedName name="BExONIL31DZWU7IFVN3VV0XTXJA1" hidden="1">#REF!</definedName>
    <definedName name="BExONJ1BU17R0F5A2UP1UGJBOGKS" localSheetId="7" hidden="1">'Aged debtors'!#REF!</definedName>
    <definedName name="BExONJ1BU17R0F5A2UP1UGJBOGKS" localSheetId="10" hidden="1">#REF!</definedName>
    <definedName name="BExONJ1BU17R0F5A2UP1UGJBOGKS" localSheetId="12" hidden="1">#REF!</definedName>
    <definedName name="BExONJ1BU17R0F5A2UP1UGJBOGKS" localSheetId="9" hidden="1">'Customer data'!#REF!</definedName>
    <definedName name="BExONJ1BU17R0F5A2UP1UGJBOGKS" localSheetId="8" hidden="1">'Largest debtors'!#REF!</definedName>
    <definedName name="BExONJ1BU17R0F5A2UP1UGJBOGKS" localSheetId="11" hidden="1">#REF!</definedName>
    <definedName name="BExONJ1BU17R0F5A2UP1UGJBOGKS" localSheetId="6" hidden="1">Stock!#REF!</definedName>
    <definedName name="BExONJ1BU17R0F5A2UP1UGJBOGKS" hidden="1">#REF!</definedName>
    <definedName name="BExONRQ1BAA4F3TXP2MYQ4YCZ09S" localSheetId="7" hidden="1">'Aged debtors'!#REF!</definedName>
    <definedName name="BExONRQ1BAA4F3TXP2MYQ4YCZ09S" localSheetId="10" hidden="1">#REF!</definedName>
    <definedName name="BExONRQ1BAA4F3TXP2MYQ4YCZ09S" localSheetId="12" hidden="1">#REF!</definedName>
    <definedName name="BExONRQ1BAA4F3TXP2MYQ4YCZ09S" localSheetId="9" hidden="1">'Customer data'!#REF!</definedName>
    <definedName name="BExONRQ1BAA4F3TXP2MYQ4YCZ09S" localSheetId="8" hidden="1">'Largest debtors'!#REF!</definedName>
    <definedName name="BExONRQ1BAA4F3TXP2MYQ4YCZ09S" localSheetId="11" hidden="1">#REF!</definedName>
    <definedName name="BExONRQ1BAA4F3TXP2MYQ4YCZ09S" localSheetId="6" hidden="1">Stock!#REF!</definedName>
    <definedName name="BExONRQ1BAA4F3TXP2MYQ4YCZ09S" hidden="1">#REF!</definedName>
    <definedName name="BExONUVFS8DYQLIVHF8NHUJM2MHR" localSheetId="7" hidden="1">'Aged debtors'!#REF!</definedName>
    <definedName name="BExONUVFS8DYQLIVHF8NHUJM2MHR" localSheetId="10" hidden="1">#REF!</definedName>
    <definedName name="BExONUVFS8DYQLIVHF8NHUJM2MHR" localSheetId="12" hidden="1">#REF!</definedName>
    <definedName name="BExONUVFS8DYQLIVHF8NHUJM2MHR" localSheetId="9" hidden="1">'Customer data'!#REF!</definedName>
    <definedName name="BExONUVFS8DYQLIVHF8NHUJM2MHR" localSheetId="8" hidden="1">'Largest debtors'!#REF!</definedName>
    <definedName name="BExONUVFS8DYQLIVHF8NHUJM2MHR" localSheetId="11" hidden="1">#REF!</definedName>
    <definedName name="BExONUVFS8DYQLIVHF8NHUJM2MHR" localSheetId="6" hidden="1">Stock!#REF!</definedName>
    <definedName name="BExONUVFS8DYQLIVHF8NHUJM2MHR" hidden="1">#REF!</definedName>
    <definedName name="BExOO1WWIZSGB0YTGKESB45TSVMZ" localSheetId="7" hidden="1">'Aged debtors'!#REF!</definedName>
    <definedName name="BExOO1WWIZSGB0YTGKESB45TSVMZ" localSheetId="10" hidden="1">#REF!</definedName>
    <definedName name="BExOO1WWIZSGB0YTGKESB45TSVMZ" localSheetId="12" hidden="1">#REF!</definedName>
    <definedName name="BExOO1WWIZSGB0YTGKESB45TSVMZ" localSheetId="9" hidden="1">'Customer data'!#REF!</definedName>
    <definedName name="BExOO1WWIZSGB0YTGKESB45TSVMZ" localSheetId="8" hidden="1">'Largest debtors'!#REF!</definedName>
    <definedName name="BExOO1WWIZSGB0YTGKESB45TSVMZ" localSheetId="11" hidden="1">#REF!</definedName>
    <definedName name="BExOO1WWIZSGB0YTGKESB45TSVMZ" localSheetId="6" hidden="1">Stock!#REF!</definedName>
    <definedName name="BExOO1WWIZSGB0YTGKESB45TSVMZ" hidden="1">#REF!</definedName>
    <definedName name="BExOPINVFSIZMCVT9YGT2AODVCX3" localSheetId="7" hidden="1">'Aged debtors'!#REF!</definedName>
    <definedName name="BExOPINVFSIZMCVT9YGT2AODVCX3" localSheetId="10" hidden="1">#REF!</definedName>
    <definedName name="BExOPINVFSIZMCVT9YGT2AODVCX3" localSheetId="12" hidden="1">#REF!</definedName>
    <definedName name="BExOPINVFSIZMCVT9YGT2AODVCX3" localSheetId="9" hidden="1">'Customer data'!#REF!</definedName>
    <definedName name="BExOPINVFSIZMCVT9YGT2AODVCX3" localSheetId="8" hidden="1">'Largest debtors'!#REF!</definedName>
    <definedName name="BExOPINVFSIZMCVT9YGT2AODVCX3" localSheetId="11" hidden="1">#REF!</definedName>
    <definedName name="BExOPINVFSIZMCVT9YGT2AODVCX3" localSheetId="6" hidden="1">Stock!#REF!</definedName>
    <definedName name="BExOPINVFSIZMCVT9YGT2AODVCX3" hidden="1">#REF!</definedName>
    <definedName name="BExOQ1JN4SAC44RTMZIGHSW023WA" localSheetId="7" hidden="1">'Aged debtors'!#REF!</definedName>
    <definedName name="BExOQ1JN4SAC44RTMZIGHSW023WA" localSheetId="10" hidden="1">#REF!</definedName>
    <definedName name="BExOQ1JN4SAC44RTMZIGHSW023WA" localSheetId="12" hidden="1">#REF!</definedName>
    <definedName name="BExOQ1JN4SAC44RTMZIGHSW023WA" localSheetId="9" hidden="1">'Customer data'!#REF!</definedName>
    <definedName name="BExOQ1JN4SAC44RTMZIGHSW023WA" localSheetId="8" hidden="1">'Largest debtors'!#REF!</definedName>
    <definedName name="BExOQ1JN4SAC44RTMZIGHSW023WA" localSheetId="11" hidden="1">#REF!</definedName>
    <definedName name="BExOQ1JN4SAC44RTMZIGHSW023WA" localSheetId="6" hidden="1">Stock!#REF!</definedName>
    <definedName name="BExOQ1JN4SAC44RTMZIGHSW023WA" hidden="1">#REF!</definedName>
    <definedName name="BExOQ256YMF115DJL3KBPNKABJ90" localSheetId="7" hidden="1">'Aged debtors'!#REF!</definedName>
    <definedName name="BExOQ256YMF115DJL3KBPNKABJ90" localSheetId="10" hidden="1">#REF!</definedName>
    <definedName name="BExOQ256YMF115DJL3KBPNKABJ90" localSheetId="12" hidden="1">#REF!</definedName>
    <definedName name="BExOQ256YMF115DJL3KBPNKABJ90" localSheetId="9" hidden="1">'Customer data'!#REF!</definedName>
    <definedName name="BExOQ256YMF115DJL3KBPNKABJ90" localSheetId="8" hidden="1">'Largest debtors'!#REF!</definedName>
    <definedName name="BExOQ256YMF115DJL3KBPNKABJ90" localSheetId="11" hidden="1">#REF!</definedName>
    <definedName name="BExOQ256YMF115DJL3KBPNKABJ90" localSheetId="6" hidden="1">Stock!#REF!</definedName>
    <definedName name="BExOQ256YMF115DJL3KBPNKABJ90" hidden="1">#REF!</definedName>
    <definedName name="BExQ29C73XR33S3668YYSYZAIHTG" localSheetId="7" hidden="1">'Aged debtors'!#REF!</definedName>
    <definedName name="BExQ29C73XR33S3668YYSYZAIHTG" localSheetId="10" hidden="1">#REF!</definedName>
    <definedName name="BExQ29C73XR33S3668YYSYZAIHTG" localSheetId="12" hidden="1">#REF!</definedName>
    <definedName name="BExQ29C73XR33S3668YYSYZAIHTG" localSheetId="9" hidden="1">'Customer data'!#REF!</definedName>
    <definedName name="BExQ29C73XR33S3668YYSYZAIHTG" localSheetId="8" hidden="1">'Largest debtors'!#REF!</definedName>
    <definedName name="BExQ29C73XR33S3668YYSYZAIHTG" localSheetId="11" hidden="1">#REF!</definedName>
    <definedName name="BExQ29C73XR33S3668YYSYZAIHTG" localSheetId="6" hidden="1">Stock!#REF!</definedName>
    <definedName name="BExQ29C73XR33S3668YYSYZAIHTG" hidden="1">#REF!</definedName>
    <definedName name="BExQ2FS228IUDUP2023RA1D4AO4C" localSheetId="7" hidden="1">'Aged debtors'!#REF!</definedName>
    <definedName name="BExQ2FS228IUDUP2023RA1D4AO4C" localSheetId="10" hidden="1">#REF!</definedName>
    <definedName name="BExQ2FS228IUDUP2023RA1D4AO4C" localSheetId="12" hidden="1">#REF!</definedName>
    <definedName name="BExQ2FS228IUDUP2023RA1D4AO4C" localSheetId="9" hidden="1">'Customer data'!#REF!</definedName>
    <definedName name="BExQ2FS228IUDUP2023RA1D4AO4C" localSheetId="8" hidden="1">'Largest debtors'!#REF!</definedName>
    <definedName name="BExQ2FS228IUDUP2023RA1D4AO4C" localSheetId="11" hidden="1">#REF!</definedName>
    <definedName name="BExQ2FS228IUDUP2023RA1D4AO4C" localSheetId="6" hidden="1">Stock!#REF!</definedName>
    <definedName name="BExQ2FS228IUDUP2023RA1D4AO4C" hidden="1">#REF!</definedName>
    <definedName name="BExQ2M841F5Z1BQYR8DG5FKK0LIU" localSheetId="7" hidden="1">'Aged debtors'!#REF!</definedName>
    <definedName name="BExQ2M841F5Z1BQYR8DG5FKK0LIU" localSheetId="10" hidden="1">#REF!</definedName>
    <definedName name="BExQ2M841F5Z1BQYR8DG5FKK0LIU" localSheetId="12" hidden="1">#REF!</definedName>
    <definedName name="BExQ2M841F5Z1BQYR8DG5FKK0LIU" localSheetId="9" hidden="1">'Customer data'!#REF!</definedName>
    <definedName name="BExQ2M841F5Z1BQYR8DG5FKK0LIU" localSheetId="8" hidden="1">'Largest debtors'!#REF!</definedName>
    <definedName name="BExQ2M841F5Z1BQYR8DG5FKK0LIU" localSheetId="11" hidden="1">#REF!</definedName>
    <definedName name="BExQ2M841F5Z1BQYR8DG5FKK0LIU" localSheetId="6" hidden="1">Stock!#REF!</definedName>
    <definedName name="BExQ2M841F5Z1BQYR8DG5FKK0LIU" hidden="1">#REF!</definedName>
    <definedName name="BExQ300G8I8TK45A0MVHV15422EU" localSheetId="7" hidden="1">'Aged debtors'!#REF!</definedName>
    <definedName name="BExQ300G8I8TK45A0MVHV15422EU" localSheetId="10" hidden="1">#REF!</definedName>
    <definedName name="BExQ300G8I8TK45A0MVHV15422EU" localSheetId="12" hidden="1">#REF!</definedName>
    <definedName name="BExQ300G8I8TK45A0MVHV15422EU" localSheetId="9" hidden="1">'Customer data'!#REF!</definedName>
    <definedName name="BExQ300G8I8TK45A0MVHV15422EU" localSheetId="8" hidden="1">'Largest debtors'!#REF!</definedName>
    <definedName name="BExQ300G8I8TK45A0MVHV15422EU" localSheetId="11" hidden="1">#REF!</definedName>
    <definedName name="BExQ300G8I8TK45A0MVHV15422EU" localSheetId="6" hidden="1">Stock!#REF!</definedName>
    <definedName name="BExQ300G8I8TK45A0MVHV15422EU" hidden="1">#REF!</definedName>
    <definedName name="BExQ39R28MXSG2SEV956F0KZ20AN" localSheetId="7" hidden="1">'Aged debtors'!#REF!</definedName>
    <definedName name="BExQ39R28MXSG2SEV956F0KZ20AN" localSheetId="10" hidden="1">#REF!</definedName>
    <definedName name="BExQ39R28MXSG2SEV956F0KZ20AN" localSheetId="12" hidden="1">#REF!</definedName>
    <definedName name="BExQ39R28MXSG2SEV956F0KZ20AN" localSheetId="9" hidden="1">'Customer data'!#REF!</definedName>
    <definedName name="BExQ39R28MXSG2SEV956F0KZ20AN" localSheetId="8" hidden="1">'Largest debtors'!#REF!</definedName>
    <definedName name="BExQ39R28MXSG2SEV956F0KZ20AN" localSheetId="11" hidden="1">#REF!</definedName>
    <definedName name="BExQ39R28MXSG2SEV956F0KZ20AN" localSheetId="6" hidden="1">Stock!#REF!</definedName>
    <definedName name="BExQ39R28MXSG2SEV956F0KZ20AN" hidden="1">#REF!</definedName>
    <definedName name="BExQ3D1P3M5Z3HLMEZ17E0BLEE4U" localSheetId="7" hidden="1">'Aged debtors'!#REF!</definedName>
    <definedName name="BExQ3D1P3M5Z3HLMEZ17E0BLEE4U" localSheetId="10" hidden="1">#REF!</definedName>
    <definedName name="BExQ3D1P3M5Z3HLMEZ17E0BLEE4U" localSheetId="12" hidden="1">#REF!</definedName>
    <definedName name="BExQ3D1P3M5Z3HLMEZ17E0BLEE4U" localSheetId="9" hidden="1">'Customer data'!#REF!</definedName>
    <definedName name="BExQ3D1P3M5Z3HLMEZ17E0BLEE4U" localSheetId="8" hidden="1">'Largest debtors'!#REF!</definedName>
    <definedName name="BExQ3D1P3M5Z3HLMEZ17E0BLEE4U" localSheetId="11" hidden="1">#REF!</definedName>
    <definedName name="BExQ3D1P3M5Z3HLMEZ17E0BLEE4U" localSheetId="6" hidden="1">Stock!#REF!</definedName>
    <definedName name="BExQ3D1P3M5Z3HLMEZ17E0BLEE4U" hidden="1">#REF!</definedName>
    <definedName name="BExQ3PXOWSN8561ZR8IEY8ZASI3B" localSheetId="7" hidden="1">'Aged debtors'!#REF!</definedName>
    <definedName name="BExQ3PXOWSN8561ZR8IEY8ZASI3B" localSheetId="10" hidden="1">#REF!</definedName>
    <definedName name="BExQ3PXOWSN8561ZR8IEY8ZASI3B" localSheetId="12" hidden="1">#REF!</definedName>
    <definedName name="BExQ3PXOWSN8561ZR8IEY8ZASI3B" localSheetId="9" hidden="1">'Customer data'!#REF!</definedName>
    <definedName name="BExQ3PXOWSN8561ZR8IEY8ZASI3B" localSheetId="8" hidden="1">'Largest debtors'!#REF!</definedName>
    <definedName name="BExQ3PXOWSN8561ZR8IEY8ZASI3B" localSheetId="11" hidden="1">#REF!</definedName>
    <definedName name="BExQ3PXOWSN8561ZR8IEY8ZASI3B" localSheetId="6" hidden="1">Stock!#REF!</definedName>
    <definedName name="BExQ3PXOWSN8561ZR8IEY8ZASI3B" hidden="1">#REF!</definedName>
    <definedName name="BExQ42IU9MNDYLODP41DL6YTZMAR" localSheetId="7" hidden="1">'Aged debtors'!#REF!</definedName>
    <definedName name="BExQ42IU9MNDYLODP41DL6YTZMAR" localSheetId="10" hidden="1">#REF!</definedName>
    <definedName name="BExQ42IU9MNDYLODP41DL6YTZMAR" localSheetId="12" hidden="1">#REF!</definedName>
    <definedName name="BExQ42IU9MNDYLODP41DL6YTZMAR" localSheetId="9" hidden="1">'Customer data'!#REF!</definedName>
    <definedName name="BExQ42IU9MNDYLODP41DL6YTZMAR" localSheetId="8" hidden="1">'Largest debtors'!#REF!</definedName>
    <definedName name="BExQ42IU9MNDYLODP41DL6YTZMAR" localSheetId="11" hidden="1">#REF!</definedName>
    <definedName name="BExQ42IU9MNDYLODP41DL6YTZMAR" localSheetId="6" hidden="1">Stock!#REF!</definedName>
    <definedName name="BExQ42IU9MNDYLODP41DL6YTZMAR" hidden="1">#REF!</definedName>
    <definedName name="BExQ452HF7N1HYPXJXQ8WD6SOWUV" localSheetId="7" hidden="1">'Aged debtors'!#REF!</definedName>
    <definedName name="BExQ452HF7N1HYPXJXQ8WD6SOWUV" localSheetId="10" hidden="1">#REF!</definedName>
    <definedName name="BExQ452HF7N1HYPXJXQ8WD6SOWUV" localSheetId="12" hidden="1">#REF!</definedName>
    <definedName name="BExQ452HF7N1HYPXJXQ8WD6SOWUV" localSheetId="9" hidden="1">'Customer data'!#REF!</definedName>
    <definedName name="BExQ452HF7N1HYPXJXQ8WD6SOWUV" localSheetId="8" hidden="1">'Largest debtors'!#REF!</definedName>
    <definedName name="BExQ452HF7N1HYPXJXQ8WD6SOWUV" localSheetId="11" hidden="1">#REF!</definedName>
    <definedName name="BExQ452HF7N1HYPXJXQ8WD6SOWUV" localSheetId="6" hidden="1">Stock!#REF!</definedName>
    <definedName name="BExQ452HF7N1HYPXJXQ8WD6SOWUV" hidden="1">#REF!</definedName>
    <definedName name="BExQ4DGKF54SRKQUTUT4B1CZSS62" localSheetId="7" hidden="1">'Aged debtors'!#REF!</definedName>
    <definedName name="BExQ4DGKF54SRKQUTUT4B1CZSS62" localSheetId="10" hidden="1">#REF!</definedName>
    <definedName name="BExQ4DGKF54SRKQUTUT4B1CZSS62" localSheetId="12" hidden="1">#REF!</definedName>
    <definedName name="BExQ4DGKF54SRKQUTUT4B1CZSS62" localSheetId="9" hidden="1">'Customer data'!#REF!</definedName>
    <definedName name="BExQ4DGKF54SRKQUTUT4B1CZSS62" localSheetId="8" hidden="1">'Largest debtors'!#REF!</definedName>
    <definedName name="BExQ4DGKF54SRKQUTUT4B1CZSS62" localSheetId="11" hidden="1">#REF!</definedName>
    <definedName name="BExQ4DGKF54SRKQUTUT4B1CZSS62" localSheetId="6" hidden="1">Stock!#REF!</definedName>
    <definedName name="BExQ4DGKF54SRKQUTUT4B1CZSS62" hidden="1">#REF!</definedName>
    <definedName name="BExQ5039ZCEWBUJHU682G4S89J03" localSheetId="7" hidden="1">'Aged debtors'!#REF!</definedName>
    <definedName name="BExQ5039ZCEWBUJHU682G4S89J03" localSheetId="10" hidden="1">#REF!</definedName>
    <definedName name="BExQ5039ZCEWBUJHU682G4S89J03" localSheetId="12" hidden="1">#REF!</definedName>
    <definedName name="BExQ5039ZCEWBUJHU682G4S89J03" localSheetId="9" hidden="1">'Customer data'!#REF!</definedName>
    <definedName name="BExQ5039ZCEWBUJHU682G4S89J03" localSheetId="8" hidden="1">'Largest debtors'!#REF!</definedName>
    <definedName name="BExQ5039ZCEWBUJHU682G4S89J03" localSheetId="11" hidden="1">#REF!</definedName>
    <definedName name="BExQ5039ZCEWBUJHU682G4S89J03" localSheetId="6" hidden="1">Stock!#REF!</definedName>
    <definedName name="BExQ5039ZCEWBUJHU682G4S89J03" hidden="1">#REF!</definedName>
    <definedName name="BExQ5KX3Z668H1KUCKZ9J24HUQ1F" localSheetId="7" hidden="1">'Aged debtors'!#REF!</definedName>
    <definedName name="BExQ5KX3Z668H1KUCKZ9J24HUQ1F" localSheetId="10" hidden="1">#REF!</definedName>
    <definedName name="BExQ5KX3Z668H1KUCKZ9J24HUQ1F" localSheetId="12" hidden="1">#REF!</definedName>
    <definedName name="BExQ5KX3Z668H1KUCKZ9J24HUQ1F" localSheetId="9" hidden="1">'Customer data'!#REF!</definedName>
    <definedName name="BExQ5KX3Z668H1KUCKZ9J24HUQ1F" localSheetId="8" hidden="1">'Largest debtors'!#REF!</definedName>
    <definedName name="BExQ5KX3Z668H1KUCKZ9J24HUQ1F" localSheetId="11" hidden="1">#REF!</definedName>
    <definedName name="BExQ5KX3Z668H1KUCKZ9J24HUQ1F" localSheetId="6" hidden="1">Stock!#REF!</definedName>
    <definedName name="BExQ5KX3Z668H1KUCKZ9J24HUQ1F" hidden="1">#REF!</definedName>
    <definedName name="BExQ5SPMSOCJYLAY20NB5A6O32RE" localSheetId="7" hidden="1">'Aged debtors'!#REF!</definedName>
    <definedName name="BExQ5SPMSOCJYLAY20NB5A6O32RE" localSheetId="10" hidden="1">#REF!</definedName>
    <definedName name="BExQ5SPMSOCJYLAY20NB5A6O32RE" localSheetId="12" hidden="1">#REF!</definedName>
    <definedName name="BExQ5SPMSOCJYLAY20NB5A6O32RE" localSheetId="9" hidden="1">'Customer data'!#REF!</definedName>
    <definedName name="BExQ5SPMSOCJYLAY20NB5A6O32RE" localSheetId="8" hidden="1">'Largest debtors'!#REF!</definedName>
    <definedName name="BExQ5SPMSOCJYLAY20NB5A6O32RE" localSheetId="11" hidden="1">#REF!</definedName>
    <definedName name="BExQ5SPMSOCJYLAY20NB5A6O32RE" localSheetId="6" hidden="1">Stock!#REF!</definedName>
    <definedName name="BExQ5SPMSOCJYLAY20NB5A6O32RE" hidden="1">#REF!</definedName>
    <definedName name="BExQ5UICMGTMK790KTLK49MAGXRC" localSheetId="7" hidden="1">'Aged debtors'!#REF!</definedName>
    <definedName name="BExQ5UICMGTMK790KTLK49MAGXRC" localSheetId="10" hidden="1">#REF!</definedName>
    <definedName name="BExQ5UICMGTMK790KTLK49MAGXRC" localSheetId="12" hidden="1">#REF!</definedName>
    <definedName name="BExQ5UICMGTMK790KTLK49MAGXRC" localSheetId="9" hidden="1">'Customer data'!#REF!</definedName>
    <definedName name="BExQ5UICMGTMK790KTLK49MAGXRC" localSheetId="8" hidden="1">'Largest debtors'!#REF!</definedName>
    <definedName name="BExQ5UICMGTMK790KTLK49MAGXRC" localSheetId="11" hidden="1">#REF!</definedName>
    <definedName name="BExQ5UICMGTMK790KTLK49MAGXRC" localSheetId="6" hidden="1">Stock!#REF!</definedName>
    <definedName name="BExQ5UICMGTMK790KTLK49MAGXRC" hidden="1">#REF!</definedName>
    <definedName name="BExQ63793YQ9BH7JLCNRIATIGTRG" localSheetId="7" hidden="1">'Aged debtors'!#REF!</definedName>
    <definedName name="BExQ63793YQ9BH7JLCNRIATIGTRG" localSheetId="10" hidden="1">#REF!</definedName>
    <definedName name="BExQ63793YQ9BH7JLCNRIATIGTRG" localSheetId="12" hidden="1">#REF!</definedName>
    <definedName name="BExQ63793YQ9BH7JLCNRIATIGTRG" localSheetId="9" hidden="1">'Customer data'!#REF!</definedName>
    <definedName name="BExQ63793YQ9BH7JLCNRIATIGTRG" localSheetId="8" hidden="1">'Largest debtors'!#REF!</definedName>
    <definedName name="BExQ63793YQ9BH7JLCNRIATIGTRG" localSheetId="11" hidden="1">#REF!</definedName>
    <definedName name="BExQ63793YQ9BH7JLCNRIATIGTRG" localSheetId="6" hidden="1">Stock!#REF!</definedName>
    <definedName name="BExQ63793YQ9BH7JLCNRIATIGTRG" hidden="1">#REF!</definedName>
    <definedName name="BExQ6CN1EF2UPZ57ZYMGK8TUJQSS" localSheetId="7" hidden="1">'Aged debtors'!#REF!</definedName>
    <definedName name="BExQ6CN1EF2UPZ57ZYMGK8TUJQSS" localSheetId="10" hidden="1">#REF!</definedName>
    <definedName name="BExQ6CN1EF2UPZ57ZYMGK8TUJQSS" localSheetId="12" hidden="1">#REF!</definedName>
    <definedName name="BExQ6CN1EF2UPZ57ZYMGK8TUJQSS" localSheetId="9" hidden="1">'Customer data'!#REF!</definedName>
    <definedName name="BExQ6CN1EF2UPZ57ZYMGK8TUJQSS" localSheetId="8" hidden="1">'Largest debtors'!#REF!</definedName>
    <definedName name="BExQ6CN1EF2UPZ57ZYMGK8TUJQSS" localSheetId="11" hidden="1">#REF!</definedName>
    <definedName name="BExQ6CN1EF2UPZ57ZYMGK8TUJQSS" localSheetId="6" hidden="1">Stock!#REF!</definedName>
    <definedName name="BExQ6CN1EF2UPZ57ZYMGK8TUJQSS" hidden="1">#REF!</definedName>
    <definedName name="BExQ6M2YXJ8AMRJF3QGHC40ADAHZ" localSheetId="7" hidden="1">'Aged debtors'!#REF!</definedName>
    <definedName name="BExQ6M2YXJ8AMRJF3QGHC40ADAHZ" localSheetId="10" hidden="1">#REF!</definedName>
    <definedName name="BExQ6M2YXJ8AMRJF3QGHC40ADAHZ" localSheetId="12" hidden="1">#REF!</definedName>
    <definedName name="BExQ6M2YXJ8AMRJF3QGHC40ADAHZ" localSheetId="9" hidden="1">'Customer data'!#REF!</definedName>
    <definedName name="BExQ6M2YXJ8AMRJF3QGHC40ADAHZ" localSheetId="8" hidden="1">'Largest debtors'!#REF!</definedName>
    <definedName name="BExQ6M2YXJ8AMRJF3QGHC40ADAHZ" localSheetId="11" hidden="1">#REF!</definedName>
    <definedName name="BExQ6M2YXJ8AMRJF3QGHC40ADAHZ" localSheetId="6" hidden="1">Stock!#REF!</definedName>
    <definedName name="BExQ6M2YXJ8AMRJF3QGHC40ADAHZ" hidden="1">#REF!</definedName>
    <definedName name="BExQ6M8B0X44N9TV56ATUVHGDI00" localSheetId="7" hidden="1">'Aged debtors'!#REF!</definedName>
    <definedName name="BExQ6M8B0X44N9TV56ATUVHGDI00" localSheetId="10" hidden="1">#REF!</definedName>
    <definedName name="BExQ6M8B0X44N9TV56ATUVHGDI00" localSheetId="12" hidden="1">#REF!</definedName>
    <definedName name="BExQ6M8B0X44N9TV56ATUVHGDI00" localSheetId="9" hidden="1">'Customer data'!#REF!</definedName>
    <definedName name="BExQ6M8B0X44N9TV56ATUVHGDI00" localSheetId="8" hidden="1">'Largest debtors'!#REF!</definedName>
    <definedName name="BExQ6M8B0X44N9TV56ATUVHGDI00" localSheetId="11" hidden="1">#REF!</definedName>
    <definedName name="BExQ6M8B0X44N9TV56ATUVHGDI00" localSheetId="6" hidden="1">Stock!#REF!</definedName>
    <definedName name="BExQ6M8B0X44N9TV56ATUVHGDI00" hidden="1">#REF!</definedName>
    <definedName name="BExQ6WV9KPSMXPPLGZ3KK4WNYTHU" localSheetId="7" hidden="1">'Aged debtors'!#REF!</definedName>
    <definedName name="BExQ6WV9KPSMXPPLGZ3KK4WNYTHU" localSheetId="10" hidden="1">#REF!</definedName>
    <definedName name="BExQ6WV9KPSMXPPLGZ3KK4WNYTHU" localSheetId="12" hidden="1">#REF!</definedName>
    <definedName name="BExQ6WV9KPSMXPPLGZ3KK4WNYTHU" localSheetId="9" hidden="1">'Customer data'!#REF!</definedName>
    <definedName name="BExQ6WV9KPSMXPPLGZ3KK4WNYTHU" localSheetId="8" hidden="1">'Largest debtors'!#REF!</definedName>
    <definedName name="BExQ6WV9KPSMXPPLGZ3KK4WNYTHU" localSheetId="11" hidden="1">#REF!</definedName>
    <definedName name="BExQ6WV9KPSMXPPLGZ3KK4WNYTHU" localSheetId="6" hidden="1">Stock!#REF!</definedName>
    <definedName name="BExQ6WV9KPSMXPPLGZ3KK4WNYTHU" hidden="1">#REF!</definedName>
    <definedName name="BExQ783XTMM2A9I3UKCFWJH1PP2N" localSheetId="7" hidden="1">'Aged debtors'!#REF!</definedName>
    <definedName name="BExQ783XTMM2A9I3UKCFWJH1PP2N" localSheetId="10" hidden="1">#REF!</definedName>
    <definedName name="BExQ783XTMM2A9I3UKCFWJH1PP2N" localSheetId="12" hidden="1">#REF!</definedName>
    <definedName name="BExQ783XTMM2A9I3UKCFWJH1PP2N" localSheetId="9" hidden="1">'Customer data'!#REF!</definedName>
    <definedName name="BExQ783XTMM2A9I3UKCFWJH1PP2N" localSheetId="8" hidden="1">'Largest debtors'!#REF!</definedName>
    <definedName name="BExQ783XTMM2A9I3UKCFWJH1PP2N" localSheetId="11" hidden="1">#REF!</definedName>
    <definedName name="BExQ783XTMM2A9I3UKCFWJH1PP2N" localSheetId="6" hidden="1">Stock!#REF!</definedName>
    <definedName name="BExQ783XTMM2A9I3UKCFWJH1PP2N" hidden="1">#REF!</definedName>
    <definedName name="BExQ79LX01ZPQB8EGD1ZHR2VK2H3" localSheetId="7" hidden="1">'Aged debtors'!#REF!</definedName>
    <definedName name="BExQ79LX01ZPQB8EGD1ZHR2VK2H3" localSheetId="10" hidden="1">#REF!</definedName>
    <definedName name="BExQ79LX01ZPQB8EGD1ZHR2VK2H3" localSheetId="12" hidden="1">#REF!</definedName>
    <definedName name="BExQ79LX01ZPQB8EGD1ZHR2VK2H3" localSheetId="9" hidden="1">'Customer data'!#REF!</definedName>
    <definedName name="BExQ79LX01ZPQB8EGD1ZHR2VK2H3" localSheetId="8" hidden="1">'Largest debtors'!#REF!</definedName>
    <definedName name="BExQ79LX01ZPQB8EGD1ZHR2VK2H3" localSheetId="11" hidden="1">#REF!</definedName>
    <definedName name="BExQ79LX01ZPQB8EGD1ZHR2VK2H3" localSheetId="6" hidden="1">Stock!#REF!</definedName>
    <definedName name="BExQ79LX01ZPQB8EGD1ZHR2VK2H3" hidden="1">#REF!</definedName>
    <definedName name="BExQ7B3V9MGDK2OIJ61XXFBFLJFZ" localSheetId="7" hidden="1">'Aged debtors'!#REF!</definedName>
    <definedName name="BExQ7B3V9MGDK2OIJ61XXFBFLJFZ" localSheetId="10" hidden="1">#REF!</definedName>
    <definedName name="BExQ7B3V9MGDK2OIJ61XXFBFLJFZ" localSheetId="12" hidden="1">#REF!</definedName>
    <definedName name="BExQ7B3V9MGDK2OIJ61XXFBFLJFZ" localSheetId="9" hidden="1">'Customer data'!#REF!</definedName>
    <definedName name="BExQ7B3V9MGDK2OIJ61XXFBFLJFZ" localSheetId="8" hidden="1">'Largest debtors'!#REF!</definedName>
    <definedName name="BExQ7B3V9MGDK2OIJ61XXFBFLJFZ" localSheetId="11" hidden="1">#REF!</definedName>
    <definedName name="BExQ7B3V9MGDK2OIJ61XXFBFLJFZ" localSheetId="6" hidden="1">Stock!#REF!</definedName>
    <definedName name="BExQ7B3V9MGDK2OIJ61XXFBFLJFZ" hidden="1">#REF!</definedName>
    <definedName name="BExQ7CB046NVPF9ZXDGA7OXOLSLX" localSheetId="7" hidden="1">'Aged debtors'!#REF!</definedName>
    <definedName name="BExQ7CB046NVPF9ZXDGA7OXOLSLX" localSheetId="10" hidden="1">#REF!</definedName>
    <definedName name="BExQ7CB046NVPF9ZXDGA7OXOLSLX" localSheetId="12" hidden="1">#REF!</definedName>
    <definedName name="BExQ7CB046NVPF9ZXDGA7OXOLSLX" localSheetId="9" hidden="1">'Customer data'!#REF!</definedName>
    <definedName name="BExQ7CB046NVPF9ZXDGA7OXOLSLX" localSheetId="8" hidden="1">'Largest debtors'!#REF!</definedName>
    <definedName name="BExQ7CB046NVPF9ZXDGA7OXOLSLX" localSheetId="11" hidden="1">#REF!</definedName>
    <definedName name="BExQ7CB046NVPF9ZXDGA7OXOLSLX" localSheetId="6" hidden="1">Stock!#REF!</definedName>
    <definedName name="BExQ7CB046NVPF9ZXDGA7OXOLSLX" hidden="1">#REF!</definedName>
    <definedName name="BExQ7JNFIEGS2HKNBALH3Q2N5G7Z" localSheetId="7" hidden="1">'Aged debtors'!#REF!</definedName>
    <definedName name="BExQ7JNFIEGS2HKNBALH3Q2N5G7Z" localSheetId="10" hidden="1">#REF!</definedName>
    <definedName name="BExQ7JNFIEGS2HKNBALH3Q2N5G7Z" localSheetId="12" hidden="1">#REF!</definedName>
    <definedName name="BExQ7JNFIEGS2HKNBALH3Q2N5G7Z" localSheetId="9" hidden="1">'Customer data'!#REF!</definedName>
    <definedName name="BExQ7JNFIEGS2HKNBALH3Q2N5G7Z" localSheetId="8" hidden="1">'Largest debtors'!#REF!</definedName>
    <definedName name="BExQ7JNFIEGS2HKNBALH3Q2N5G7Z" localSheetId="11" hidden="1">#REF!</definedName>
    <definedName name="BExQ7JNFIEGS2HKNBALH3Q2N5G7Z" localSheetId="6" hidden="1">Stock!#REF!</definedName>
    <definedName name="BExQ7JNFIEGS2HKNBALH3Q2N5G7Z" hidden="1">#REF!</definedName>
    <definedName name="BExQ7MY3U2Z1IZ71U5LJUD00VVB4" localSheetId="7" hidden="1">'Aged debtors'!#REF!</definedName>
    <definedName name="BExQ7MY3U2Z1IZ71U5LJUD00VVB4" localSheetId="10" hidden="1">#REF!</definedName>
    <definedName name="BExQ7MY3U2Z1IZ71U5LJUD00VVB4" localSheetId="12" hidden="1">#REF!</definedName>
    <definedName name="BExQ7MY3U2Z1IZ71U5LJUD00VVB4" localSheetId="9" hidden="1">'Customer data'!#REF!</definedName>
    <definedName name="BExQ7MY3U2Z1IZ71U5LJUD00VVB4" localSheetId="8" hidden="1">'Largest debtors'!#REF!</definedName>
    <definedName name="BExQ7MY3U2Z1IZ71U5LJUD00VVB4" localSheetId="11" hidden="1">#REF!</definedName>
    <definedName name="BExQ7MY3U2Z1IZ71U5LJUD00VVB4" localSheetId="6" hidden="1">Stock!#REF!</definedName>
    <definedName name="BExQ7MY3U2Z1IZ71U5LJUD00VVB4" hidden="1">#REF!</definedName>
    <definedName name="BExQ7XL2Q1GVUFL1F9KK0K0EXMWG" localSheetId="7" hidden="1">'Aged debtors'!#REF!</definedName>
    <definedName name="BExQ7XL2Q1GVUFL1F9KK0K0EXMWG" localSheetId="10" hidden="1">#REF!</definedName>
    <definedName name="BExQ7XL2Q1GVUFL1F9KK0K0EXMWG" localSheetId="12" hidden="1">#REF!</definedName>
    <definedName name="BExQ7XL2Q1GVUFL1F9KK0K0EXMWG" localSheetId="9" hidden="1">'Customer data'!#REF!</definedName>
    <definedName name="BExQ7XL2Q1GVUFL1F9KK0K0EXMWG" localSheetId="8" hidden="1">'Largest debtors'!#REF!</definedName>
    <definedName name="BExQ7XL2Q1GVUFL1F9KK0K0EXMWG" localSheetId="11" hidden="1">#REF!</definedName>
    <definedName name="BExQ7XL2Q1GVUFL1F9KK0K0EXMWG" localSheetId="6" hidden="1">Stock!#REF!</definedName>
    <definedName name="BExQ7XL2Q1GVUFL1F9KK0K0EXMWG" hidden="1">#REF!</definedName>
    <definedName name="BExQ8469L3ZRZ3KYZPYMSJIDL7Y5" localSheetId="7" hidden="1">'Aged debtors'!#REF!</definedName>
    <definedName name="BExQ8469L3ZRZ3KYZPYMSJIDL7Y5" localSheetId="10" hidden="1">#REF!</definedName>
    <definedName name="BExQ8469L3ZRZ3KYZPYMSJIDL7Y5" localSheetId="12" hidden="1">#REF!</definedName>
    <definedName name="BExQ8469L3ZRZ3KYZPYMSJIDL7Y5" localSheetId="9" hidden="1">'Customer data'!#REF!</definedName>
    <definedName name="BExQ8469L3ZRZ3KYZPYMSJIDL7Y5" localSheetId="8" hidden="1">'Largest debtors'!#REF!</definedName>
    <definedName name="BExQ8469L3ZRZ3KYZPYMSJIDL7Y5" localSheetId="11" hidden="1">#REF!</definedName>
    <definedName name="BExQ8469L3ZRZ3KYZPYMSJIDL7Y5" localSheetId="6" hidden="1">Stock!#REF!</definedName>
    <definedName name="BExQ8469L3ZRZ3KYZPYMSJIDL7Y5" hidden="1">#REF!</definedName>
    <definedName name="BExQ84MJB94HL3BWRN50M4NCB6Z0" localSheetId="7" hidden="1">'Aged debtors'!#REF!</definedName>
    <definedName name="BExQ84MJB94HL3BWRN50M4NCB6Z0" localSheetId="10" hidden="1">#REF!</definedName>
    <definedName name="BExQ84MJB94HL3BWRN50M4NCB6Z0" localSheetId="12" hidden="1">#REF!</definedName>
    <definedName name="BExQ84MJB94HL3BWRN50M4NCB6Z0" localSheetId="9" hidden="1">'Customer data'!#REF!</definedName>
    <definedName name="BExQ84MJB94HL3BWRN50M4NCB6Z0" localSheetId="8" hidden="1">'Largest debtors'!#REF!</definedName>
    <definedName name="BExQ84MJB94HL3BWRN50M4NCB6Z0" localSheetId="11" hidden="1">#REF!</definedName>
    <definedName name="BExQ84MJB94HL3BWRN50M4NCB6Z0" localSheetId="6" hidden="1">Stock!#REF!</definedName>
    <definedName name="BExQ84MJB94HL3BWRN50M4NCB6Z0" hidden="1">#REF!</definedName>
    <definedName name="BExQ8583ZE00NW7T9OF11OT9IA14" localSheetId="7" hidden="1">'Aged debtors'!#REF!</definedName>
    <definedName name="BExQ8583ZE00NW7T9OF11OT9IA14" localSheetId="10" hidden="1">#REF!</definedName>
    <definedName name="BExQ8583ZE00NW7T9OF11OT9IA14" localSheetId="12" hidden="1">#REF!</definedName>
    <definedName name="BExQ8583ZE00NW7T9OF11OT9IA14" localSheetId="9" hidden="1">'Customer data'!#REF!</definedName>
    <definedName name="BExQ8583ZE00NW7T9OF11OT9IA14" localSheetId="8" hidden="1">'Largest debtors'!#REF!</definedName>
    <definedName name="BExQ8583ZE00NW7T9OF11OT9IA14" localSheetId="11" hidden="1">#REF!</definedName>
    <definedName name="BExQ8583ZE00NW7T9OF11OT9IA14" localSheetId="6" hidden="1">Stock!#REF!</definedName>
    <definedName name="BExQ8583ZE00NW7T9OF11OT9IA14" hidden="1">#REF!</definedName>
    <definedName name="BExQ8A0RPE3IMIFIZLUE7KD2N21W" localSheetId="7" hidden="1">'Aged debtors'!#REF!</definedName>
    <definedName name="BExQ8A0RPE3IMIFIZLUE7KD2N21W" localSheetId="10" hidden="1">#REF!</definedName>
    <definedName name="BExQ8A0RPE3IMIFIZLUE7KD2N21W" localSheetId="12" hidden="1">#REF!</definedName>
    <definedName name="BExQ8A0RPE3IMIFIZLUE7KD2N21W" localSheetId="9" hidden="1">'Customer data'!#REF!</definedName>
    <definedName name="BExQ8A0RPE3IMIFIZLUE7KD2N21W" localSheetId="8" hidden="1">'Largest debtors'!#REF!</definedName>
    <definedName name="BExQ8A0RPE3IMIFIZLUE7KD2N21W" localSheetId="11" hidden="1">#REF!</definedName>
    <definedName name="BExQ8A0RPE3IMIFIZLUE7KD2N21W" localSheetId="6" hidden="1">Stock!#REF!</definedName>
    <definedName name="BExQ8A0RPE3IMIFIZLUE7KD2N21W" hidden="1">#REF!</definedName>
    <definedName name="BExQ8G0K46ZORA0QVQTDI7Z8LXGF" localSheetId="7" hidden="1">'Aged debtors'!#REF!</definedName>
    <definedName name="BExQ8G0K46ZORA0QVQTDI7Z8LXGF" localSheetId="10" hidden="1">#REF!</definedName>
    <definedName name="BExQ8G0K46ZORA0QVQTDI7Z8LXGF" localSheetId="12" hidden="1">#REF!</definedName>
    <definedName name="BExQ8G0K46ZORA0QVQTDI7Z8LXGF" localSheetId="9" hidden="1">'Customer data'!#REF!</definedName>
    <definedName name="BExQ8G0K46ZORA0QVQTDI7Z8LXGF" localSheetId="8" hidden="1">'Largest debtors'!#REF!</definedName>
    <definedName name="BExQ8G0K46ZORA0QVQTDI7Z8LXGF" localSheetId="11" hidden="1">#REF!</definedName>
    <definedName name="BExQ8G0K46ZORA0QVQTDI7Z8LXGF" localSheetId="6" hidden="1">Stock!#REF!</definedName>
    <definedName name="BExQ8G0K46ZORA0QVQTDI7Z8LXGF" hidden="1">#REF!</definedName>
    <definedName name="BExQ8O3WEU8HNTTGKTW5T0QSKCLP" localSheetId="7" hidden="1">'Aged debtors'!#REF!</definedName>
    <definedName name="BExQ8O3WEU8HNTTGKTW5T0QSKCLP" localSheetId="10" hidden="1">#REF!</definedName>
    <definedName name="BExQ8O3WEU8HNTTGKTW5T0QSKCLP" localSheetId="12" hidden="1">#REF!</definedName>
    <definedName name="BExQ8O3WEU8HNTTGKTW5T0QSKCLP" localSheetId="9" hidden="1">'Customer data'!#REF!</definedName>
    <definedName name="BExQ8O3WEU8HNTTGKTW5T0QSKCLP" localSheetId="8" hidden="1">'Largest debtors'!#REF!</definedName>
    <definedName name="BExQ8O3WEU8HNTTGKTW5T0QSKCLP" localSheetId="11" hidden="1">#REF!</definedName>
    <definedName name="BExQ8O3WEU8HNTTGKTW5T0QSKCLP" localSheetId="6" hidden="1">Stock!#REF!</definedName>
    <definedName name="BExQ8O3WEU8HNTTGKTW5T0QSKCLP" hidden="1">#REF!</definedName>
    <definedName name="BExQ8ZCEDBOBJA3D9LDP5TU2WYGR" localSheetId="7" hidden="1">'Aged debtors'!#REF!</definedName>
    <definedName name="BExQ8ZCEDBOBJA3D9LDP5TU2WYGR" localSheetId="10" hidden="1">#REF!</definedName>
    <definedName name="BExQ8ZCEDBOBJA3D9LDP5TU2WYGR" localSheetId="12" hidden="1">#REF!</definedName>
    <definedName name="BExQ8ZCEDBOBJA3D9LDP5TU2WYGR" localSheetId="9" hidden="1">'Customer data'!#REF!</definedName>
    <definedName name="BExQ8ZCEDBOBJA3D9LDP5TU2WYGR" localSheetId="8" hidden="1">'Largest debtors'!#REF!</definedName>
    <definedName name="BExQ8ZCEDBOBJA3D9LDP5TU2WYGR" localSheetId="11" hidden="1">#REF!</definedName>
    <definedName name="BExQ8ZCEDBOBJA3D9LDP5TU2WYGR" localSheetId="6" hidden="1">Stock!#REF!</definedName>
    <definedName name="BExQ8ZCEDBOBJA3D9LDP5TU2WYGR" hidden="1">#REF!</definedName>
    <definedName name="BExQ94LAW6MAQBWY25WTBFV5PPZJ" localSheetId="7" hidden="1">'Aged debtors'!#REF!</definedName>
    <definedName name="BExQ94LAW6MAQBWY25WTBFV5PPZJ" localSheetId="10" hidden="1">#REF!</definedName>
    <definedName name="BExQ94LAW6MAQBWY25WTBFV5PPZJ" localSheetId="12" hidden="1">#REF!</definedName>
    <definedName name="BExQ94LAW6MAQBWY25WTBFV5PPZJ" localSheetId="9" hidden="1">'Customer data'!#REF!</definedName>
    <definedName name="BExQ94LAW6MAQBWY25WTBFV5PPZJ" localSheetId="8" hidden="1">'Largest debtors'!#REF!</definedName>
    <definedName name="BExQ94LAW6MAQBWY25WTBFV5PPZJ" localSheetId="11" hidden="1">#REF!</definedName>
    <definedName name="BExQ94LAW6MAQBWY25WTBFV5PPZJ" localSheetId="6" hidden="1">Stock!#REF!</definedName>
    <definedName name="BExQ94LAW6MAQBWY25WTBFV5PPZJ" hidden="1">#REF!</definedName>
    <definedName name="BExQ9M4E2ACZOWWWP1JJIQO8AHUM" localSheetId="7" hidden="1">'Aged debtors'!#REF!</definedName>
    <definedName name="BExQ9M4E2ACZOWWWP1JJIQO8AHUM" localSheetId="10" hidden="1">#REF!</definedName>
    <definedName name="BExQ9M4E2ACZOWWWP1JJIQO8AHUM" localSheetId="12" hidden="1">#REF!</definedName>
    <definedName name="BExQ9M4E2ACZOWWWP1JJIQO8AHUM" localSheetId="9" hidden="1">'Customer data'!#REF!</definedName>
    <definedName name="BExQ9M4E2ACZOWWWP1JJIQO8AHUM" localSheetId="8" hidden="1">'Largest debtors'!#REF!</definedName>
    <definedName name="BExQ9M4E2ACZOWWWP1JJIQO8AHUM" localSheetId="11" hidden="1">#REF!</definedName>
    <definedName name="BExQ9M4E2ACZOWWWP1JJIQO8AHUM" localSheetId="6" hidden="1">Stock!#REF!</definedName>
    <definedName name="BExQ9M4E2ACZOWWWP1JJIQO8AHUM" hidden="1">#REF!</definedName>
    <definedName name="BExQ9UTANMJCK7LJ4OQMD6F2Q01L" localSheetId="7" hidden="1">'Aged debtors'!#REF!</definedName>
    <definedName name="BExQ9UTANMJCK7LJ4OQMD6F2Q01L" localSheetId="10" hidden="1">#REF!</definedName>
    <definedName name="BExQ9UTANMJCK7LJ4OQMD6F2Q01L" localSheetId="12" hidden="1">#REF!</definedName>
    <definedName name="BExQ9UTANMJCK7LJ4OQMD6F2Q01L" localSheetId="9" hidden="1">'Customer data'!#REF!</definedName>
    <definedName name="BExQ9UTANMJCK7LJ4OQMD6F2Q01L" localSheetId="8" hidden="1">'Largest debtors'!#REF!</definedName>
    <definedName name="BExQ9UTANMJCK7LJ4OQMD6F2Q01L" localSheetId="11" hidden="1">#REF!</definedName>
    <definedName name="BExQ9UTANMJCK7LJ4OQMD6F2Q01L" localSheetId="6" hidden="1">Stock!#REF!</definedName>
    <definedName name="BExQ9UTANMJCK7LJ4OQMD6F2Q01L" hidden="1">#REF!</definedName>
    <definedName name="BExQ9ZLYHWABXAA9NJDW8ZS0UQ9P" localSheetId="7" hidden="1">'Aged debtors'!#REF!</definedName>
    <definedName name="BExQ9ZLYHWABXAA9NJDW8ZS0UQ9P" localSheetId="10" hidden="1">#REF!</definedName>
    <definedName name="BExQ9ZLYHWABXAA9NJDW8ZS0UQ9P" localSheetId="12" hidden="1">#REF!</definedName>
    <definedName name="BExQ9ZLYHWABXAA9NJDW8ZS0UQ9P" localSheetId="9" hidden="1">'Customer data'!#REF!</definedName>
    <definedName name="BExQ9ZLYHWABXAA9NJDW8ZS0UQ9P" localSheetId="8" hidden="1">'Largest debtors'!#REF!</definedName>
    <definedName name="BExQ9ZLYHWABXAA9NJDW8ZS0UQ9P" localSheetId="11" hidden="1">#REF!</definedName>
    <definedName name="BExQ9ZLYHWABXAA9NJDW8ZS0UQ9P" localSheetId="6" hidden="1">Stock!#REF!</definedName>
    <definedName name="BExQ9ZLYHWABXAA9NJDW8ZS0UQ9P" hidden="1">#REF!</definedName>
    <definedName name="BExQA55GY0STSNBWQCWN8E31ZXCS" localSheetId="7" hidden="1">'Aged debtors'!#REF!</definedName>
    <definedName name="BExQA55GY0STSNBWQCWN8E31ZXCS" localSheetId="10" hidden="1">#REF!</definedName>
    <definedName name="BExQA55GY0STSNBWQCWN8E31ZXCS" localSheetId="12" hidden="1">#REF!</definedName>
    <definedName name="BExQA55GY0STSNBWQCWN8E31ZXCS" localSheetId="9" hidden="1">'Customer data'!#REF!</definedName>
    <definedName name="BExQA55GY0STSNBWQCWN8E31ZXCS" localSheetId="8" hidden="1">'Largest debtors'!#REF!</definedName>
    <definedName name="BExQA55GY0STSNBWQCWN8E31ZXCS" localSheetId="11" hidden="1">#REF!</definedName>
    <definedName name="BExQA55GY0STSNBWQCWN8E31ZXCS" localSheetId="6" hidden="1">Stock!#REF!</definedName>
    <definedName name="BExQA55GY0STSNBWQCWN8E31ZXCS" hidden="1">#REF!</definedName>
    <definedName name="BExQAELFYH92K8CJL155181UDORO" localSheetId="7" hidden="1">'Aged debtors'!#REF!</definedName>
    <definedName name="BExQAELFYH92K8CJL155181UDORO" localSheetId="10" hidden="1">#REF!</definedName>
    <definedName name="BExQAELFYH92K8CJL155181UDORO" localSheetId="12" hidden="1">#REF!</definedName>
    <definedName name="BExQAELFYH92K8CJL155181UDORO" localSheetId="9" hidden="1">'Customer data'!#REF!</definedName>
    <definedName name="BExQAELFYH92K8CJL155181UDORO" localSheetId="8" hidden="1">'Largest debtors'!#REF!</definedName>
    <definedName name="BExQAELFYH92K8CJL155181UDORO" localSheetId="11" hidden="1">#REF!</definedName>
    <definedName name="BExQAELFYH92K8CJL155181UDORO" localSheetId="6" hidden="1">Stock!#REF!</definedName>
    <definedName name="BExQAELFYH92K8CJL155181UDORO" hidden="1">#REF!</definedName>
    <definedName name="BExQAG8PP8R5NJKNQD1U4QOSD6X5" localSheetId="7" hidden="1">'Aged debtors'!#REF!</definedName>
    <definedName name="BExQAG8PP8R5NJKNQD1U4QOSD6X5" localSheetId="10" hidden="1">#REF!</definedName>
    <definedName name="BExQAG8PP8R5NJKNQD1U4QOSD6X5" localSheetId="12" hidden="1">#REF!</definedName>
    <definedName name="BExQAG8PP8R5NJKNQD1U4QOSD6X5" localSheetId="9" hidden="1">'Customer data'!#REF!</definedName>
    <definedName name="BExQAG8PP8R5NJKNQD1U4QOSD6X5" localSheetId="8" hidden="1">'Largest debtors'!#REF!</definedName>
    <definedName name="BExQAG8PP8R5NJKNQD1U4QOSD6X5" localSheetId="11" hidden="1">#REF!</definedName>
    <definedName name="BExQAG8PP8R5NJKNQD1U4QOSD6X5" localSheetId="6" hidden="1">Stock!#REF!</definedName>
    <definedName name="BExQAG8PP8R5NJKNQD1U4QOSD6X5" hidden="1">#REF!</definedName>
    <definedName name="BExQBPSOZ47V81YAEURP0NQJNTJH" localSheetId="7" hidden="1">'Aged debtors'!#REF!</definedName>
    <definedName name="BExQBPSOZ47V81YAEURP0NQJNTJH" localSheetId="10" hidden="1">#REF!</definedName>
    <definedName name="BExQBPSOZ47V81YAEURP0NQJNTJH" localSheetId="12" hidden="1">#REF!</definedName>
    <definedName name="BExQBPSOZ47V81YAEURP0NQJNTJH" localSheetId="9" hidden="1">'Customer data'!#REF!</definedName>
    <definedName name="BExQBPSOZ47V81YAEURP0NQJNTJH" localSheetId="8" hidden="1">'Largest debtors'!#REF!</definedName>
    <definedName name="BExQBPSOZ47V81YAEURP0NQJNTJH" localSheetId="11" hidden="1">#REF!</definedName>
    <definedName name="BExQBPSOZ47V81YAEURP0NQJNTJH" localSheetId="6" hidden="1">Stock!#REF!</definedName>
    <definedName name="BExQBPSOZ47V81YAEURP0NQJNTJH" hidden="1">#REF!</definedName>
    <definedName name="BExQC94JL9F5GW4S8DQCAF4WB2DA" localSheetId="7" hidden="1">'Aged debtors'!#REF!</definedName>
    <definedName name="BExQC94JL9F5GW4S8DQCAF4WB2DA" localSheetId="10" hidden="1">#REF!</definedName>
    <definedName name="BExQC94JL9F5GW4S8DQCAF4WB2DA" localSheetId="12" hidden="1">#REF!</definedName>
    <definedName name="BExQC94JL9F5GW4S8DQCAF4WB2DA" localSheetId="9" hidden="1">'Customer data'!#REF!</definedName>
    <definedName name="BExQC94JL9F5GW4S8DQCAF4WB2DA" localSheetId="8" hidden="1">'Largest debtors'!#REF!</definedName>
    <definedName name="BExQC94JL9F5GW4S8DQCAF4WB2DA" localSheetId="11" hidden="1">#REF!</definedName>
    <definedName name="BExQC94JL9F5GW4S8DQCAF4WB2DA" localSheetId="6" hidden="1">Stock!#REF!</definedName>
    <definedName name="BExQC94JL9F5GW4S8DQCAF4WB2DA" hidden="1">#REF!</definedName>
    <definedName name="BExQCKTD8AT0824LGWREXM1B5D1X" localSheetId="7" hidden="1">'Aged debtors'!#REF!</definedName>
    <definedName name="BExQCKTD8AT0824LGWREXM1B5D1X" localSheetId="10" hidden="1">#REF!</definedName>
    <definedName name="BExQCKTD8AT0824LGWREXM1B5D1X" localSheetId="12" hidden="1">#REF!</definedName>
    <definedName name="BExQCKTD8AT0824LGWREXM1B5D1X" localSheetId="9" hidden="1">'Customer data'!#REF!</definedName>
    <definedName name="BExQCKTD8AT0824LGWREXM1B5D1X" localSheetId="8" hidden="1">'Largest debtors'!#REF!</definedName>
    <definedName name="BExQCKTD8AT0824LGWREXM1B5D1X" localSheetId="11" hidden="1">#REF!</definedName>
    <definedName name="BExQCKTD8AT0824LGWREXM1B5D1X" localSheetId="6" hidden="1">Stock!#REF!</definedName>
    <definedName name="BExQCKTD8AT0824LGWREXM1B5D1X" hidden="1">#REF!</definedName>
    <definedName name="BExQEMUA4HEFM4OVO8M8MA8PIAW1" localSheetId="7" hidden="1">'Aged debtors'!#REF!</definedName>
    <definedName name="BExQEMUA4HEFM4OVO8M8MA8PIAW1" localSheetId="10" hidden="1">#REF!</definedName>
    <definedName name="BExQEMUA4HEFM4OVO8M8MA8PIAW1" localSheetId="12" hidden="1">#REF!</definedName>
    <definedName name="BExQEMUA4HEFM4OVO8M8MA8PIAW1" localSheetId="9" hidden="1">'Customer data'!#REF!</definedName>
    <definedName name="BExQEMUA4HEFM4OVO8M8MA8PIAW1" localSheetId="8" hidden="1">'Largest debtors'!#REF!</definedName>
    <definedName name="BExQEMUA4HEFM4OVO8M8MA8PIAW1" localSheetId="11" hidden="1">#REF!</definedName>
    <definedName name="BExQEMUA4HEFM4OVO8M8MA8PIAW1" localSheetId="6" hidden="1">Stock!#REF!</definedName>
    <definedName name="BExQEMUA4HEFM4OVO8M8MA8PIAW1" hidden="1">#REF!</definedName>
    <definedName name="BExQF1OEB07CRAP6ALNNMJNJ3P2D" localSheetId="7" hidden="1">'Aged debtors'!#REF!</definedName>
    <definedName name="BExQF1OEB07CRAP6ALNNMJNJ3P2D" localSheetId="10" hidden="1">#REF!</definedName>
    <definedName name="BExQF1OEB07CRAP6ALNNMJNJ3P2D" localSheetId="12" hidden="1">#REF!</definedName>
    <definedName name="BExQF1OEB07CRAP6ALNNMJNJ3P2D" localSheetId="9" hidden="1">'Customer data'!#REF!</definedName>
    <definedName name="BExQF1OEB07CRAP6ALNNMJNJ3P2D" localSheetId="8" hidden="1">'Largest debtors'!#REF!</definedName>
    <definedName name="BExQF1OEB07CRAP6ALNNMJNJ3P2D" localSheetId="11" hidden="1">#REF!</definedName>
    <definedName name="BExQF1OEB07CRAP6ALNNMJNJ3P2D" localSheetId="6" hidden="1">Stock!#REF!</definedName>
    <definedName name="BExQF1OEB07CRAP6ALNNMJNJ3P2D" hidden="1">#REF!</definedName>
    <definedName name="BExQFC0M9KKFMQKPLPEO2RQDB7MM" localSheetId="7" hidden="1">'Aged debtors'!#REF!</definedName>
    <definedName name="BExQFC0M9KKFMQKPLPEO2RQDB7MM" localSheetId="10" hidden="1">#REF!</definedName>
    <definedName name="BExQFC0M9KKFMQKPLPEO2RQDB7MM" localSheetId="12" hidden="1">#REF!</definedName>
    <definedName name="BExQFC0M9KKFMQKPLPEO2RQDB7MM" localSheetId="9" hidden="1">'Customer data'!#REF!</definedName>
    <definedName name="BExQFC0M9KKFMQKPLPEO2RQDB7MM" localSheetId="8" hidden="1">'Largest debtors'!#REF!</definedName>
    <definedName name="BExQFC0M9KKFMQKPLPEO2RQDB7MM" localSheetId="11" hidden="1">#REF!</definedName>
    <definedName name="BExQFC0M9KKFMQKPLPEO2RQDB7MM" localSheetId="6" hidden="1">Stock!#REF!</definedName>
    <definedName name="BExQFC0M9KKFMQKPLPEO2RQDB7MM" hidden="1">#REF!</definedName>
    <definedName name="BExQFEK8NUD04X2OBRA275ADPSDL" localSheetId="7" hidden="1">'Aged debtors'!#REF!</definedName>
    <definedName name="BExQFEK8NUD04X2OBRA275ADPSDL" localSheetId="10" hidden="1">#REF!</definedName>
    <definedName name="BExQFEK8NUD04X2OBRA275ADPSDL" localSheetId="12" hidden="1">#REF!</definedName>
    <definedName name="BExQFEK8NUD04X2OBRA275ADPSDL" localSheetId="9" hidden="1">'Customer data'!#REF!</definedName>
    <definedName name="BExQFEK8NUD04X2OBRA275ADPSDL" localSheetId="8" hidden="1">'Largest debtors'!#REF!</definedName>
    <definedName name="BExQFEK8NUD04X2OBRA275ADPSDL" localSheetId="11" hidden="1">#REF!</definedName>
    <definedName name="BExQFEK8NUD04X2OBRA275ADPSDL" localSheetId="6" hidden="1">Stock!#REF!</definedName>
    <definedName name="BExQFEK8NUD04X2OBRA275ADPSDL" hidden="1">#REF!</definedName>
    <definedName name="BExQFT3L9XHSEMZVXJJB48ZM35IC" localSheetId="7" hidden="1">'Aged debtors'!#REF!</definedName>
    <definedName name="BExQFT3L9XHSEMZVXJJB48ZM35IC" localSheetId="10" hidden="1">#REF!</definedName>
    <definedName name="BExQFT3L9XHSEMZVXJJB48ZM35IC" localSheetId="12" hidden="1">#REF!</definedName>
    <definedName name="BExQFT3L9XHSEMZVXJJB48ZM35IC" localSheetId="9" hidden="1">'Customer data'!#REF!</definedName>
    <definedName name="BExQFT3L9XHSEMZVXJJB48ZM35IC" localSheetId="8" hidden="1">'Largest debtors'!#REF!</definedName>
    <definedName name="BExQFT3L9XHSEMZVXJJB48ZM35IC" localSheetId="11" hidden="1">#REF!</definedName>
    <definedName name="BExQFT3L9XHSEMZVXJJB48ZM35IC" localSheetId="6" hidden="1">Stock!#REF!</definedName>
    <definedName name="BExQFT3L9XHSEMZVXJJB48ZM35IC" hidden="1">#REF!</definedName>
    <definedName name="BExQFVSPOSCCPF1TLJPIWYWYB8A9" localSheetId="7" hidden="1">'Aged debtors'!#REF!</definedName>
    <definedName name="BExQFVSPOSCCPF1TLJPIWYWYB8A9" localSheetId="10" hidden="1">#REF!</definedName>
    <definedName name="BExQFVSPOSCCPF1TLJPIWYWYB8A9" localSheetId="12" hidden="1">#REF!</definedName>
    <definedName name="BExQFVSPOSCCPF1TLJPIWYWYB8A9" localSheetId="9" hidden="1">'Customer data'!#REF!</definedName>
    <definedName name="BExQFVSPOSCCPF1TLJPIWYWYB8A9" localSheetId="8" hidden="1">'Largest debtors'!#REF!</definedName>
    <definedName name="BExQFVSPOSCCPF1TLJPIWYWYB8A9" localSheetId="11" hidden="1">#REF!</definedName>
    <definedName name="BExQFVSPOSCCPF1TLJPIWYWYB8A9" localSheetId="6" hidden="1">Stock!#REF!</definedName>
    <definedName name="BExQFVSPOSCCPF1TLJPIWYWYB8A9" hidden="1">#REF!</definedName>
    <definedName name="BExQFWJQXNQAW6LUMOEDS6KMJMYL" localSheetId="7" hidden="1">'Aged debtors'!#REF!</definedName>
    <definedName name="BExQFWJQXNQAW6LUMOEDS6KMJMYL" localSheetId="10" hidden="1">#REF!</definedName>
    <definedName name="BExQFWJQXNQAW6LUMOEDS6KMJMYL" localSheetId="12" hidden="1">#REF!</definedName>
    <definedName name="BExQFWJQXNQAW6LUMOEDS6KMJMYL" localSheetId="9" hidden="1">'Customer data'!#REF!</definedName>
    <definedName name="BExQFWJQXNQAW6LUMOEDS6KMJMYL" localSheetId="8" hidden="1">'Largest debtors'!#REF!</definedName>
    <definedName name="BExQFWJQXNQAW6LUMOEDS6KMJMYL" localSheetId="11" hidden="1">#REF!</definedName>
    <definedName name="BExQFWJQXNQAW6LUMOEDS6KMJMYL" localSheetId="6" hidden="1">Stock!#REF!</definedName>
    <definedName name="BExQFWJQXNQAW6LUMOEDS6KMJMYL" hidden="1">#REF!</definedName>
    <definedName name="BExQG8TYRD2G42UA5ZPCRLNKUDMX" localSheetId="7" hidden="1">'Aged debtors'!#REF!</definedName>
    <definedName name="BExQG8TYRD2G42UA5ZPCRLNKUDMX" localSheetId="10" hidden="1">#REF!</definedName>
    <definedName name="BExQG8TYRD2G42UA5ZPCRLNKUDMX" localSheetId="12" hidden="1">#REF!</definedName>
    <definedName name="BExQG8TYRD2G42UA5ZPCRLNKUDMX" localSheetId="9" hidden="1">'Customer data'!#REF!</definedName>
    <definedName name="BExQG8TYRD2G42UA5ZPCRLNKUDMX" localSheetId="8" hidden="1">'Largest debtors'!#REF!</definedName>
    <definedName name="BExQG8TYRD2G42UA5ZPCRLNKUDMX" localSheetId="11" hidden="1">#REF!</definedName>
    <definedName name="BExQG8TYRD2G42UA5ZPCRLNKUDMX" localSheetId="6" hidden="1">Stock!#REF!</definedName>
    <definedName name="BExQG8TYRD2G42UA5ZPCRLNKUDMX" hidden="1">#REF!</definedName>
    <definedName name="BExQGO48J9MPCDQ96RBB9UN9AIGT" localSheetId="7" hidden="1">'Aged debtors'!#REF!</definedName>
    <definedName name="BExQGO48J9MPCDQ96RBB9UN9AIGT" localSheetId="10" hidden="1">#REF!</definedName>
    <definedName name="BExQGO48J9MPCDQ96RBB9UN9AIGT" localSheetId="12" hidden="1">#REF!</definedName>
    <definedName name="BExQGO48J9MPCDQ96RBB9UN9AIGT" localSheetId="9" hidden="1">'Customer data'!#REF!</definedName>
    <definedName name="BExQGO48J9MPCDQ96RBB9UN9AIGT" localSheetId="8" hidden="1">'Largest debtors'!#REF!</definedName>
    <definedName name="BExQGO48J9MPCDQ96RBB9UN9AIGT" localSheetId="11" hidden="1">#REF!</definedName>
    <definedName name="BExQGO48J9MPCDQ96RBB9UN9AIGT" localSheetId="6" hidden="1">Stock!#REF!</definedName>
    <definedName name="BExQGO48J9MPCDQ96RBB9UN9AIGT" hidden="1">#REF!</definedName>
    <definedName name="BExQH9P2MCXAJOVEO4GFQT6MNW22" localSheetId="7" hidden="1">'Aged debtors'!#REF!</definedName>
    <definedName name="BExQH9P2MCXAJOVEO4GFQT6MNW22" localSheetId="10" hidden="1">#REF!</definedName>
    <definedName name="BExQH9P2MCXAJOVEO4GFQT6MNW22" localSheetId="12" hidden="1">#REF!</definedName>
    <definedName name="BExQH9P2MCXAJOVEO4GFQT6MNW22" localSheetId="9" hidden="1">'Customer data'!#REF!</definedName>
    <definedName name="BExQH9P2MCXAJOVEO4GFQT6MNW22" localSheetId="8" hidden="1">'Largest debtors'!#REF!</definedName>
    <definedName name="BExQH9P2MCXAJOVEO4GFQT6MNW22" localSheetId="11" hidden="1">#REF!</definedName>
    <definedName name="BExQH9P2MCXAJOVEO4GFQT6MNW22" localSheetId="6" hidden="1">Stock!#REF!</definedName>
    <definedName name="BExQH9P2MCXAJOVEO4GFQT6MNW22" hidden="1">#REF!</definedName>
    <definedName name="BExQHCZSBYUY8OKKJXFYWKBBM6AH" localSheetId="7" hidden="1">'Aged debtors'!#REF!</definedName>
    <definedName name="BExQHCZSBYUY8OKKJXFYWKBBM6AH" localSheetId="10" hidden="1">#REF!</definedName>
    <definedName name="BExQHCZSBYUY8OKKJXFYWKBBM6AH" localSheetId="12" hidden="1">#REF!</definedName>
    <definedName name="BExQHCZSBYUY8OKKJXFYWKBBM6AH" localSheetId="9" hidden="1">'Customer data'!#REF!</definedName>
    <definedName name="BExQHCZSBYUY8OKKJXFYWKBBM6AH" localSheetId="8" hidden="1">'Largest debtors'!#REF!</definedName>
    <definedName name="BExQHCZSBYUY8OKKJXFYWKBBM6AH" localSheetId="11" hidden="1">#REF!</definedName>
    <definedName name="BExQHCZSBYUY8OKKJXFYWKBBM6AH" localSheetId="6" hidden="1">Stock!#REF!</definedName>
    <definedName name="BExQHCZSBYUY8OKKJXFYWKBBM6AH" hidden="1">#REF!</definedName>
    <definedName name="BExQHPKXZ1K33V2F90NZIQRZYIAW" localSheetId="7" hidden="1">'Aged debtors'!#REF!</definedName>
    <definedName name="BExQHPKXZ1K33V2F90NZIQRZYIAW" localSheetId="10" hidden="1">#REF!</definedName>
    <definedName name="BExQHPKXZ1K33V2F90NZIQRZYIAW" localSheetId="12" hidden="1">#REF!</definedName>
    <definedName name="BExQHPKXZ1K33V2F90NZIQRZYIAW" localSheetId="9" hidden="1">'Customer data'!#REF!</definedName>
    <definedName name="BExQHPKXZ1K33V2F90NZIQRZYIAW" localSheetId="8" hidden="1">'Largest debtors'!#REF!</definedName>
    <definedName name="BExQHPKXZ1K33V2F90NZIQRZYIAW" localSheetId="11" hidden="1">#REF!</definedName>
    <definedName name="BExQHPKXZ1K33V2F90NZIQRZYIAW" localSheetId="6" hidden="1">Stock!#REF!</definedName>
    <definedName name="BExQHPKXZ1K33V2F90NZIQRZYIAW" hidden="1">#REF!</definedName>
    <definedName name="BExQHZBHVN2L4HC7ACTR73T5OCV0" localSheetId="7" hidden="1">'Aged debtors'!#REF!</definedName>
    <definedName name="BExQHZBHVN2L4HC7ACTR73T5OCV0" localSheetId="10" hidden="1">#REF!</definedName>
    <definedName name="BExQHZBHVN2L4HC7ACTR73T5OCV0" localSheetId="12" hidden="1">#REF!</definedName>
    <definedName name="BExQHZBHVN2L4HC7ACTR73T5OCV0" localSheetId="9" hidden="1">'Customer data'!#REF!</definedName>
    <definedName name="BExQHZBHVN2L4HC7ACTR73T5OCV0" localSheetId="8" hidden="1">'Largest debtors'!#REF!</definedName>
    <definedName name="BExQHZBHVN2L4HC7ACTR73T5OCV0" localSheetId="11" hidden="1">#REF!</definedName>
    <definedName name="BExQHZBHVN2L4HC7ACTR73T5OCV0" localSheetId="6" hidden="1">Stock!#REF!</definedName>
    <definedName name="BExQHZBHVN2L4HC7ACTR73T5OCV0" hidden="1">#REF!</definedName>
    <definedName name="BExQIAPKHVEV8CU1L3TTHJW67FJ5" localSheetId="7" hidden="1">'Aged debtors'!#REF!</definedName>
    <definedName name="BExQIAPKHVEV8CU1L3TTHJW67FJ5" localSheetId="10" hidden="1">#REF!</definedName>
    <definedName name="BExQIAPKHVEV8CU1L3TTHJW67FJ5" localSheetId="12" hidden="1">#REF!</definedName>
    <definedName name="BExQIAPKHVEV8CU1L3TTHJW67FJ5" localSheetId="9" hidden="1">'Customer data'!#REF!</definedName>
    <definedName name="BExQIAPKHVEV8CU1L3TTHJW67FJ5" localSheetId="8" hidden="1">'Largest debtors'!#REF!</definedName>
    <definedName name="BExQIAPKHVEV8CU1L3TTHJW67FJ5" localSheetId="11" hidden="1">#REF!</definedName>
    <definedName name="BExQIAPKHVEV8CU1L3TTHJW67FJ5" localSheetId="6" hidden="1">Stock!#REF!</definedName>
    <definedName name="BExQIAPKHVEV8CU1L3TTHJW67FJ5" hidden="1">#REF!</definedName>
    <definedName name="BExQIBB4I3Z6AUU0HYV1DHRS13M4" localSheetId="7" hidden="1">'Aged debtors'!#REF!</definedName>
    <definedName name="BExQIBB4I3Z6AUU0HYV1DHRS13M4" localSheetId="10" hidden="1">#REF!</definedName>
    <definedName name="BExQIBB4I3Z6AUU0HYV1DHRS13M4" localSheetId="12" hidden="1">#REF!</definedName>
    <definedName name="BExQIBB4I3Z6AUU0HYV1DHRS13M4" localSheetId="9" hidden="1">'Customer data'!#REF!</definedName>
    <definedName name="BExQIBB4I3Z6AUU0HYV1DHRS13M4" localSheetId="8" hidden="1">'Largest debtors'!#REF!</definedName>
    <definedName name="BExQIBB4I3Z6AUU0HYV1DHRS13M4" localSheetId="11" hidden="1">#REF!</definedName>
    <definedName name="BExQIBB4I3Z6AUU0HYV1DHRS13M4" localSheetId="6" hidden="1">Stock!#REF!</definedName>
    <definedName name="BExQIBB4I3Z6AUU0HYV1DHRS13M4" hidden="1">#REF!</definedName>
    <definedName name="BExQJBF7LAX128WR7VTMJC88ZLPG" localSheetId="7" hidden="1">'Aged debtors'!#REF!</definedName>
    <definedName name="BExQJBF7LAX128WR7VTMJC88ZLPG" localSheetId="10" hidden="1">#REF!</definedName>
    <definedName name="BExQJBF7LAX128WR7VTMJC88ZLPG" localSheetId="12" hidden="1">#REF!</definedName>
    <definedName name="BExQJBF7LAX128WR7VTMJC88ZLPG" localSheetId="9" hidden="1">'Customer data'!#REF!</definedName>
    <definedName name="BExQJBF7LAX128WR7VTMJC88ZLPG" localSheetId="8" hidden="1">'Largest debtors'!#REF!</definedName>
    <definedName name="BExQJBF7LAX128WR7VTMJC88ZLPG" localSheetId="11" hidden="1">#REF!</definedName>
    <definedName name="BExQJBF7LAX128WR7VTMJC88ZLPG" localSheetId="6" hidden="1">Stock!#REF!</definedName>
    <definedName name="BExQJBF7LAX128WR7VTMJC88ZLPG" hidden="1">#REF!</definedName>
    <definedName name="BExQJEVCKX6KZHNCLYXY7D0MX5KN" localSheetId="7" hidden="1">'Aged debtors'!#REF!</definedName>
    <definedName name="BExQJEVCKX6KZHNCLYXY7D0MX5KN" localSheetId="10" hidden="1">#REF!</definedName>
    <definedName name="BExQJEVCKX6KZHNCLYXY7D0MX5KN" localSheetId="12" hidden="1">#REF!</definedName>
    <definedName name="BExQJEVCKX6KZHNCLYXY7D0MX5KN" localSheetId="9" hidden="1">'Customer data'!#REF!</definedName>
    <definedName name="BExQJEVCKX6KZHNCLYXY7D0MX5KN" localSheetId="8" hidden="1">'Largest debtors'!#REF!</definedName>
    <definedName name="BExQJEVCKX6KZHNCLYXY7D0MX5KN" localSheetId="11" hidden="1">#REF!</definedName>
    <definedName name="BExQJEVCKX6KZHNCLYXY7D0MX5KN" localSheetId="6" hidden="1">Stock!#REF!</definedName>
    <definedName name="BExQJEVCKX6KZHNCLYXY7D0MX5KN" hidden="1">#REF!</definedName>
    <definedName name="BExQK1HV6SQQ7CP8H8IUKI9TYXTD" localSheetId="7" hidden="1">'Aged debtors'!#REF!</definedName>
    <definedName name="BExQK1HV6SQQ7CP8H8IUKI9TYXTD" localSheetId="10" hidden="1">#REF!</definedName>
    <definedName name="BExQK1HV6SQQ7CP8H8IUKI9TYXTD" localSheetId="12" hidden="1">#REF!</definedName>
    <definedName name="BExQK1HV6SQQ7CP8H8IUKI9TYXTD" localSheetId="9" hidden="1">'Customer data'!#REF!</definedName>
    <definedName name="BExQK1HV6SQQ7CP8H8IUKI9TYXTD" localSheetId="8" hidden="1">'Largest debtors'!#REF!</definedName>
    <definedName name="BExQK1HV6SQQ7CP8H8IUKI9TYXTD" localSheetId="11" hidden="1">#REF!</definedName>
    <definedName name="BExQK1HV6SQQ7CP8H8IUKI9TYXTD" localSheetId="6" hidden="1">Stock!#REF!</definedName>
    <definedName name="BExQK1HV6SQQ7CP8H8IUKI9TYXTD" hidden="1">#REF!</definedName>
    <definedName name="BExQKG6LD6PLNDGNGO9DJXY865BR" localSheetId="7" hidden="1">'Aged debtors'!#REF!</definedName>
    <definedName name="BExQKG6LD6PLNDGNGO9DJXY865BR" localSheetId="10" hidden="1">#REF!</definedName>
    <definedName name="BExQKG6LD6PLNDGNGO9DJXY865BR" localSheetId="12" hidden="1">#REF!</definedName>
    <definedName name="BExQKG6LD6PLNDGNGO9DJXY865BR" localSheetId="9" hidden="1">'Customer data'!#REF!</definedName>
    <definedName name="BExQKG6LD6PLNDGNGO9DJXY865BR" localSheetId="8" hidden="1">'Largest debtors'!#REF!</definedName>
    <definedName name="BExQKG6LD6PLNDGNGO9DJXY865BR" localSheetId="11" hidden="1">#REF!</definedName>
    <definedName name="BExQKG6LD6PLNDGNGO9DJXY865BR" localSheetId="6" hidden="1">Stock!#REF!</definedName>
    <definedName name="BExQKG6LD6PLNDGNGO9DJXY865BR" hidden="1">#REF!</definedName>
    <definedName name="BExRYOYB4A3E5F6MTROY69LR0PMG" localSheetId="7" hidden="1">'Aged debtors'!#REF!</definedName>
    <definedName name="BExRYOYB4A3E5F6MTROY69LR0PMG" localSheetId="10" hidden="1">#REF!</definedName>
    <definedName name="BExRYOYB4A3E5F6MTROY69LR0PMG" localSheetId="12" hidden="1">#REF!</definedName>
    <definedName name="BExRYOYB4A3E5F6MTROY69LR0PMG" localSheetId="9" hidden="1">'Customer data'!#REF!</definedName>
    <definedName name="BExRYOYB4A3E5F6MTROY69LR0PMG" localSheetId="8" hidden="1">'Largest debtors'!#REF!</definedName>
    <definedName name="BExRYOYB4A3E5F6MTROY69LR0PMG" localSheetId="11" hidden="1">#REF!</definedName>
    <definedName name="BExRYOYB4A3E5F6MTROY69LR0PMG" localSheetId="6" hidden="1">Stock!#REF!</definedName>
    <definedName name="BExRYOYB4A3E5F6MTROY69LR0PMG" hidden="1">#REF!</definedName>
    <definedName name="BExRYZLA9EW71H4SXQR525S72LLP" localSheetId="7" hidden="1">'Aged debtors'!#REF!</definedName>
    <definedName name="BExRYZLA9EW71H4SXQR525S72LLP" localSheetId="10" hidden="1">#REF!</definedName>
    <definedName name="BExRYZLA9EW71H4SXQR525S72LLP" localSheetId="12" hidden="1">#REF!</definedName>
    <definedName name="BExRYZLA9EW71H4SXQR525S72LLP" localSheetId="9" hidden="1">'Customer data'!#REF!</definedName>
    <definedName name="BExRYZLA9EW71H4SXQR525S72LLP" localSheetId="8" hidden="1">'Largest debtors'!#REF!</definedName>
    <definedName name="BExRYZLA9EW71H4SXQR525S72LLP" localSheetId="11" hidden="1">#REF!</definedName>
    <definedName name="BExRYZLA9EW71H4SXQR525S72LLP" localSheetId="6" hidden="1">Stock!#REF!</definedName>
    <definedName name="BExRYZLA9EW71H4SXQR525S72LLP" hidden="1">#REF!</definedName>
    <definedName name="BExRZ8FMQQL46I8AQWU17LRNZD5T" localSheetId="7" hidden="1">'Aged debtors'!#REF!</definedName>
    <definedName name="BExRZ8FMQQL46I8AQWU17LRNZD5T" localSheetId="10" hidden="1">#REF!</definedName>
    <definedName name="BExRZ8FMQQL46I8AQWU17LRNZD5T" localSheetId="12" hidden="1">#REF!</definedName>
    <definedName name="BExRZ8FMQQL46I8AQWU17LRNZD5T" localSheetId="9" hidden="1">'Customer data'!#REF!</definedName>
    <definedName name="BExRZ8FMQQL46I8AQWU17LRNZD5T" localSheetId="8" hidden="1">'Largest debtors'!#REF!</definedName>
    <definedName name="BExRZ8FMQQL46I8AQWU17LRNZD5T" localSheetId="11" hidden="1">#REF!</definedName>
    <definedName name="BExRZ8FMQQL46I8AQWU17LRNZD5T" localSheetId="6" hidden="1">Stock!#REF!</definedName>
    <definedName name="BExRZ8FMQQL46I8AQWU17LRNZD5T" hidden="1">#REF!</definedName>
    <definedName name="BExRZIRRIXRUMZ5GOO95S7460BMP" localSheetId="7" hidden="1">'Aged debtors'!#REF!</definedName>
    <definedName name="BExRZIRRIXRUMZ5GOO95S7460BMP" localSheetId="10" hidden="1">#REF!</definedName>
    <definedName name="BExRZIRRIXRUMZ5GOO95S7460BMP" localSheetId="12" hidden="1">#REF!</definedName>
    <definedName name="BExRZIRRIXRUMZ5GOO95S7460BMP" localSheetId="9" hidden="1">'Customer data'!#REF!</definedName>
    <definedName name="BExRZIRRIXRUMZ5GOO95S7460BMP" localSheetId="8" hidden="1">'Largest debtors'!#REF!</definedName>
    <definedName name="BExRZIRRIXRUMZ5GOO95S7460BMP" localSheetId="11" hidden="1">#REF!</definedName>
    <definedName name="BExRZIRRIXRUMZ5GOO95S7460BMP" localSheetId="6" hidden="1">Stock!#REF!</definedName>
    <definedName name="BExRZIRRIXRUMZ5GOO95S7460BMP" hidden="1">#REF!</definedName>
    <definedName name="BExS0ASQBKRTPDWFK0KUDFOS9LE5" localSheetId="7" hidden="1">'Aged debtors'!#REF!</definedName>
    <definedName name="BExS0ASQBKRTPDWFK0KUDFOS9LE5" localSheetId="10" hidden="1">#REF!</definedName>
    <definedName name="BExS0ASQBKRTPDWFK0KUDFOS9LE5" localSheetId="12" hidden="1">#REF!</definedName>
    <definedName name="BExS0ASQBKRTPDWFK0KUDFOS9LE5" localSheetId="9" hidden="1">'Customer data'!#REF!</definedName>
    <definedName name="BExS0ASQBKRTPDWFK0KUDFOS9LE5" localSheetId="8" hidden="1">'Largest debtors'!#REF!</definedName>
    <definedName name="BExS0ASQBKRTPDWFK0KUDFOS9LE5" localSheetId="11" hidden="1">#REF!</definedName>
    <definedName name="BExS0ASQBKRTPDWFK0KUDFOS9LE5" localSheetId="6" hidden="1">Stock!#REF!</definedName>
    <definedName name="BExS0ASQBKRTPDWFK0KUDFOS9LE5" hidden="1">#REF!</definedName>
    <definedName name="BExS0K8IHC45I78DMZBOJ1P13KQA" localSheetId="7" hidden="1">'Aged debtors'!#REF!</definedName>
    <definedName name="BExS0K8IHC45I78DMZBOJ1P13KQA" localSheetId="10" hidden="1">#REF!</definedName>
    <definedName name="BExS0K8IHC45I78DMZBOJ1P13KQA" localSheetId="12" hidden="1">#REF!</definedName>
    <definedName name="BExS0K8IHC45I78DMZBOJ1P13KQA" localSheetId="9" hidden="1">'Customer data'!#REF!</definedName>
    <definedName name="BExS0K8IHC45I78DMZBOJ1P13KQA" localSheetId="8" hidden="1">'Largest debtors'!#REF!</definedName>
    <definedName name="BExS0K8IHC45I78DMZBOJ1P13KQA" localSheetId="11" hidden="1">#REF!</definedName>
    <definedName name="BExS0K8IHC45I78DMZBOJ1P13KQA" localSheetId="6" hidden="1">Stock!#REF!</definedName>
    <definedName name="BExS0K8IHC45I78DMZBOJ1P13KQA" hidden="1">#REF!</definedName>
    <definedName name="BExS1BNVGNSGD4EP90QL8WXYWZ66" localSheetId="7" hidden="1">'Aged debtors'!#REF!</definedName>
    <definedName name="BExS1BNVGNSGD4EP90QL8WXYWZ66" localSheetId="10" hidden="1">#REF!</definedName>
    <definedName name="BExS1BNVGNSGD4EP90QL8WXYWZ66" localSheetId="12" hidden="1">#REF!</definedName>
    <definedName name="BExS1BNVGNSGD4EP90QL8WXYWZ66" localSheetId="9" hidden="1">'Customer data'!#REF!</definedName>
    <definedName name="BExS1BNVGNSGD4EP90QL8WXYWZ66" localSheetId="8" hidden="1">'Largest debtors'!#REF!</definedName>
    <definedName name="BExS1BNVGNSGD4EP90QL8WXYWZ66" localSheetId="11" hidden="1">#REF!</definedName>
    <definedName name="BExS1BNVGNSGD4EP90QL8WXYWZ66" localSheetId="6" hidden="1">Stock!#REF!</definedName>
    <definedName name="BExS1BNVGNSGD4EP90QL8WXYWZ66" hidden="1">#REF!</definedName>
    <definedName name="BExS2DF6B4ZUF3VZLI4G6LJ3BF38" localSheetId="7" hidden="1">'Aged debtors'!#REF!</definedName>
    <definedName name="BExS2DF6B4ZUF3VZLI4G6LJ3BF38" localSheetId="10" hidden="1">#REF!</definedName>
    <definedName name="BExS2DF6B4ZUF3VZLI4G6LJ3BF38" localSheetId="12" hidden="1">#REF!</definedName>
    <definedName name="BExS2DF6B4ZUF3VZLI4G6LJ3BF38" localSheetId="9" hidden="1">'Customer data'!#REF!</definedName>
    <definedName name="BExS2DF6B4ZUF3VZLI4G6LJ3BF38" localSheetId="8" hidden="1">'Largest debtors'!#REF!</definedName>
    <definedName name="BExS2DF6B4ZUF3VZLI4G6LJ3BF38" localSheetId="11" hidden="1">#REF!</definedName>
    <definedName name="BExS2DF6B4ZUF3VZLI4G6LJ3BF38" localSheetId="6" hidden="1">Stock!#REF!</definedName>
    <definedName name="BExS2DF6B4ZUF3VZLI4G6LJ3BF38" hidden="1">#REF!</definedName>
    <definedName name="BExS2QB5FS5LYTFYO4BROTWG3OV5" localSheetId="7" hidden="1">'Aged debtors'!#REF!</definedName>
    <definedName name="BExS2QB5FS5LYTFYO4BROTWG3OV5" localSheetId="10" hidden="1">#REF!</definedName>
    <definedName name="BExS2QB5FS5LYTFYO4BROTWG3OV5" localSheetId="12" hidden="1">#REF!</definedName>
    <definedName name="BExS2QB5FS5LYTFYO4BROTWG3OV5" localSheetId="9" hidden="1">'Customer data'!#REF!</definedName>
    <definedName name="BExS2QB5FS5LYTFYO4BROTWG3OV5" localSheetId="8" hidden="1">'Largest debtors'!#REF!</definedName>
    <definedName name="BExS2QB5FS5LYTFYO4BROTWG3OV5" localSheetId="11" hidden="1">#REF!</definedName>
    <definedName name="BExS2QB5FS5LYTFYO4BROTWG3OV5" localSheetId="6" hidden="1">Stock!#REF!</definedName>
    <definedName name="BExS2QB5FS5LYTFYO4BROTWG3OV5" hidden="1">#REF!</definedName>
    <definedName name="BExS3LBS0SMTHALVM4NRI1BAV1NP" localSheetId="7" hidden="1">'Aged debtors'!#REF!</definedName>
    <definedName name="BExS3LBS0SMTHALVM4NRI1BAV1NP" localSheetId="10" hidden="1">#REF!</definedName>
    <definedName name="BExS3LBS0SMTHALVM4NRI1BAV1NP" localSheetId="12" hidden="1">#REF!</definedName>
    <definedName name="BExS3LBS0SMTHALVM4NRI1BAV1NP" localSheetId="9" hidden="1">'Customer data'!#REF!</definedName>
    <definedName name="BExS3LBS0SMTHALVM4NRI1BAV1NP" localSheetId="8" hidden="1">'Largest debtors'!#REF!</definedName>
    <definedName name="BExS3LBS0SMTHALVM4NRI1BAV1NP" localSheetId="11" hidden="1">#REF!</definedName>
    <definedName name="BExS3LBS0SMTHALVM4NRI1BAV1NP" localSheetId="6" hidden="1">Stock!#REF!</definedName>
    <definedName name="BExS3LBS0SMTHALVM4NRI1BAV1NP" hidden="1">#REF!</definedName>
    <definedName name="BExS3MTQ75VBXDGEBURP6YT8RROE" localSheetId="7" hidden="1">'Aged debtors'!#REF!</definedName>
    <definedName name="BExS3MTQ75VBXDGEBURP6YT8RROE" localSheetId="10" hidden="1">#REF!</definedName>
    <definedName name="BExS3MTQ75VBXDGEBURP6YT8RROE" localSheetId="12" hidden="1">#REF!</definedName>
    <definedName name="BExS3MTQ75VBXDGEBURP6YT8RROE" localSheetId="9" hidden="1">'Customer data'!#REF!</definedName>
    <definedName name="BExS3MTQ75VBXDGEBURP6YT8RROE" localSheetId="8" hidden="1">'Largest debtors'!#REF!</definedName>
    <definedName name="BExS3MTQ75VBXDGEBURP6YT8RROE" localSheetId="11" hidden="1">#REF!</definedName>
    <definedName name="BExS3MTQ75VBXDGEBURP6YT8RROE" localSheetId="6" hidden="1">Stock!#REF!</definedName>
    <definedName name="BExS3MTQ75VBXDGEBURP6YT8RROE" hidden="1">#REF!</definedName>
    <definedName name="BExS3OMGYO0DFN5186UFKEXZ2RX3" localSheetId="7" hidden="1">'Aged debtors'!#REF!</definedName>
    <definedName name="BExS3OMGYO0DFN5186UFKEXZ2RX3" localSheetId="10" hidden="1">#REF!</definedName>
    <definedName name="BExS3OMGYO0DFN5186UFKEXZ2RX3" localSheetId="12" hidden="1">#REF!</definedName>
    <definedName name="BExS3OMGYO0DFN5186UFKEXZ2RX3" localSheetId="9" hidden="1">'Customer data'!#REF!</definedName>
    <definedName name="BExS3OMGYO0DFN5186UFKEXZ2RX3" localSheetId="8" hidden="1">'Largest debtors'!#REF!</definedName>
    <definedName name="BExS3OMGYO0DFN5186UFKEXZ2RX3" localSheetId="11" hidden="1">#REF!</definedName>
    <definedName name="BExS3OMGYO0DFN5186UFKEXZ2RX3" localSheetId="6" hidden="1">Stock!#REF!</definedName>
    <definedName name="BExS3OMGYO0DFN5186UFKEXZ2RX3" hidden="1">#REF!</definedName>
    <definedName name="BExS412BKRGFBRTKMZNCWUENQ9AT" localSheetId="7" hidden="1">'Aged debtors'!#REF!</definedName>
    <definedName name="BExS412BKRGFBRTKMZNCWUENQ9AT" localSheetId="10" hidden="1">#REF!</definedName>
    <definedName name="BExS412BKRGFBRTKMZNCWUENQ9AT" localSheetId="12" hidden="1">#REF!</definedName>
    <definedName name="BExS412BKRGFBRTKMZNCWUENQ9AT" localSheetId="9" hidden="1">'Customer data'!#REF!</definedName>
    <definedName name="BExS412BKRGFBRTKMZNCWUENQ9AT" localSheetId="8" hidden="1">'Largest debtors'!#REF!</definedName>
    <definedName name="BExS412BKRGFBRTKMZNCWUENQ9AT" localSheetId="11" hidden="1">#REF!</definedName>
    <definedName name="BExS412BKRGFBRTKMZNCWUENQ9AT" localSheetId="6" hidden="1">Stock!#REF!</definedName>
    <definedName name="BExS412BKRGFBRTKMZNCWUENQ9AT" hidden="1">#REF!</definedName>
    <definedName name="BExS46R5WDNU5KL04FKY5LHJUCB8" localSheetId="7" hidden="1">'Aged debtors'!#REF!</definedName>
    <definedName name="BExS46R5WDNU5KL04FKY5LHJUCB8" localSheetId="10" hidden="1">#REF!</definedName>
    <definedName name="BExS46R5WDNU5KL04FKY5LHJUCB8" localSheetId="12" hidden="1">#REF!</definedName>
    <definedName name="BExS46R5WDNU5KL04FKY5LHJUCB8" localSheetId="9" hidden="1">'Customer data'!#REF!</definedName>
    <definedName name="BExS46R5WDNU5KL04FKY5LHJUCB8" localSheetId="8" hidden="1">'Largest debtors'!#REF!</definedName>
    <definedName name="BExS46R5WDNU5KL04FKY5LHJUCB8" localSheetId="11" hidden="1">#REF!</definedName>
    <definedName name="BExS46R5WDNU5KL04FKY5LHJUCB8" localSheetId="6" hidden="1">Stock!#REF!</definedName>
    <definedName name="BExS46R5WDNU5KL04FKY5LHJUCB8" hidden="1">#REF!</definedName>
    <definedName name="BExS4JN3Y6SVBKILQK0R9HS45Y52" localSheetId="7" hidden="1">'Aged debtors'!#REF!</definedName>
    <definedName name="BExS4JN3Y6SVBKILQK0R9HS45Y52" localSheetId="10" hidden="1">#REF!</definedName>
    <definedName name="BExS4JN3Y6SVBKILQK0R9HS45Y52" localSheetId="12" hidden="1">#REF!</definedName>
    <definedName name="BExS4JN3Y6SVBKILQK0R9HS45Y52" localSheetId="9" hidden="1">'Customer data'!#REF!</definedName>
    <definedName name="BExS4JN3Y6SVBKILQK0R9HS45Y52" localSheetId="8" hidden="1">'Largest debtors'!#REF!</definedName>
    <definedName name="BExS4JN3Y6SVBKILQK0R9HS45Y52" localSheetId="11" hidden="1">#REF!</definedName>
    <definedName name="BExS4JN3Y6SVBKILQK0R9HS45Y52" localSheetId="6" hidden="1">Stock!#REF!</definedName>
    <definedName name="BExS4JN3Y6SVBKILQK0R9HS45Y52" hidden="1">#REF!</definedName>
    <definedName name="BExS51H0N51UT0FZOPZRCF1GU063" localSheetId="7" hidden="1">'Aged debtors'!#REF!</definedName>
    <definedName name="BExS51H0N51UT0FZOPZRCF1GU063" localSheetId="10" hidden="1">#REF!</definedName>
    <definedName name="BExS51H0N51UT0FZOPZRCF1GU063" localSheetId="12" hidden="1">#REF!</definedName>
    <definedName name="BExS51H0N51UT0FZOPZRCF1GU063" localSheetId="9" hidden="1">'Customer data'!#REF!</definedName>
    <definedName name="BExS51H0N51UT0FZOPZRCF1GU063" localSheetId="8" hidden="1">'Largest debtors'!#REF!</definedName>
    <definedName name="BExS51H0N51UT0FZOPZRCF1GU063" localSheetId="11" hidden="1">#REF!</definedName>
    <definedName name="BExS51H0N51UT0FZOPZRCF1GU063" localSheetId="6" hidden="1">Stock!#REF!</definedName>
    <definedName name="BExS51H0N51UT0FZOPZRCF1GU063" hidden="1">#REF!</definedName>
    <definedName name="BExS54X72TJFC41FJK72MLRR2OO7" localSheetId="7" hidden="1">'Aged debtors'!#REF!</definedName>
    <definedName name="BExS54X72TJFC41FJK72MLRR2OO7" localSheetId="10" hidden="1">#REF!</definedName>
    <definedName name="BExS54X72TJFC41FJK72MLRR2OO7" localSheetId="12" hidden="1">#REF!</definedName>
    <definedName name="BExS54X72TJFC41FJK72MLRR2OO7" localSheetId="9" hidden="1">'Customer data'!#REF!</definedName>
    <definedName name="BExS54X72TJFC41FJK72MLRR2OO7" localSheetId="8" hidden="1">'Largest debtors'!#REF!</definedName>
    <definedName name="BExS54X72TJFC41FJK72MLRR2OO7" localSheetId="11" hidden="1">#REF!</definedName>
    <definedName name="BExS54X72TJFC41FJK72MLRR2OO7" localSheetId="6" hidden="1">Stock!#REF!</definedName>
    <definedName name="BExS54X72TJFC41FJK72MLRR2OO7" hidden="1">#REF!</definedName>
    <definedName name="BExS59F0PA1V2ZC7S5TN6IT41SXP" localSheetId="7" hidden="1">'Aged debtors'!#REF!</definedName>
    <definedName name="BExS59F0PA1V2ZC7S5TN6IT41SXP" localSheetId="10" hidden="1">#REF!</definedName>
    <definedName name="BExS59F0PA1V2ZC7S5TN6IT41SXP" localSheetId="12" hidden="1">#REF!</definedName>
    <definedName name="BExS59F0PA1V2ZC7S5TN6IT41SXP" localSheetId="9" hidden="1">'Customer data'!#REF!</definedName>
    <definedName name="BExS59F0PA1V2ZC7S5TN6IT41SXP" localSheetId="8" hidden="1">'Largest debtors'!#REF!</definedName>
    <definedName name="BExS59F0PA1V2ZC7S5TN6IT41SXP" localSheetId="11" hidden="1">#REF!</definedName>
    <definedName name="BExS59F0PA1V2ZC7S5TN6IT41SXP" localSheetId="6" hidden="1">Stock!#REF!</definedName>
    <definedName name="BExS59F0PA1V2ZC7S5TN6IT41SXP" hidden="1">#REF!</definedName>
    <definedName name="BExS6N0LI574IAC89EFW6CLTCQ33" localSheetId="7" hidden="1">'Aged debtors'!#REF!</definedName>
    <definedName name="BExS6N0LI574IAC89EFW6CLTCQ33" localSheetId="10" hidden="1">#REF!</definedName>
    <definedName name="BExS6N0LI574IAC89EFW6CLTCQ33" localSheetId="12" hidden="1">#REF!</definedName>
    <definedName name="BExS6N0LI574IAC89EFW6CLTCQ33" localSheetId="9" hidden="1">'Customer data'!#REF!</definedName>
    <definedName name="BExS6N0LI574IAC89EFW6CLTCQ33" localSheetId="8" hidden="1">'Largest debtors'!#REF!</definedName>
    <definedName name="BExS6N0LI574IAC89EFW6CLTCQ33" localSheetId="11" hidden="1">#REF!</definedName>
    <definedName name="BExS6N0LI574IAC89EFW6CLTCQ33" localSheetId="6" hidden="1">Stock!#REF!</definedName>
    <definedName name="BExS6N0LI574IAC89EFW6CLTCQ33" hidden="1">#REF!</definedName>
    <definedName name="BExS7TKQYLRZGM93UY3ZJZJBQNFJ" localSheetId="7" hidden="1">'Aged debtors'!#REF!</definedName>
    <definedName name="BExS7TKQYLRZGM93UY3ZJZJBQNFJ" localSheetId="10" hidden="1">#REF!</definedName>
    <definedName name="BExS7TKQYLRZGM93UY3ZJZJBQNFJ" localSheetId="12" hidden="1">#REF!</definedName>
    <definedName name="BExS7TKQYLRZGM93UY3ZJZJBQNFJ" localSheetId="9" hidden="1">'Customer data'!#REF!</definedName>
    <definedName name="BExS7TKQYLRZGM93UY3ZJZJBQNFJ" localSheetId="8" hidden="1">'Largest debtors'!#REF!</definedName>
    <definedName name="BExS7TKQYLRZGM93UY3ZJZJBQNFJ" localSheetId="11" hidden="1">#REF!</definedName>
    <definedName name="BExS7TKQYLRZGM93UY3ZJZJBQNFJ" localSheetId="6" hidden="1">Stock!#REF!</definedName>
    <definedName name="BExS7TKQYLRZGM93UY3ZJZJBQNFJ" hidden="1">#REF!</definedName>
    <definedName name="BExS7Y2LNGVHSIBKC7C3R6X4LDR6" localSheetId="7" hidden="1">'Aged debtors'!#REF!</definedName>
    <definedName name="BExS7Y2LNGVHSIBKC7C3R6X4LDR6" localSheetId="10" hidden="1">#REF!</definedName>
    <definedName name="BExS7Y2LNGVHSIBKC7C3R6X4LDR6" localSheetId="12" hidden="1">#REF!</definedName>
    <definedName name="BExS7Y2LNGVHSIBKC7C3R6X4LDR6" localSheetId="9" hidden="1">'Customer data'!#REF!</definedName>
    <definedName name="BExS7Y2LNGVHSIBKC7C3R6X4LDR6" localSheetId="8" hidden="1">'Largest debtors'!#REF!</definedName>
    <definedName name="BExS7Y2LNGVHSIBKC7C3R6X4LDR6" localSheetId="11" hidden="1">#REF!</definedName>
    <definedName name="BExS7Y2LNGVHSIBKC7C3R6X4LDR6" localSheetId="6" hidden="1">Stock!#REF!</definedName>
    <definedName name="BExS7Y2LNGVHSIBKC7C3R6X4LDR6" hidden="1">#REF!</definedName>
    <definedName name="BExS81TE0EY44Y3W2M4Z4MGNP5OM" localSheetId="7" hidden="1">'Aged debtors'!#REF!</definedName>
    <definedName name="BExS81TE0EY44Y3W2M4Z4MGNP5OM" localSheetId="10" hidden="1">#REF!</definedName>
    <definedName name="BExS81TE0EY44Y3W2M4Z4MGNP5OM" localSheetId="12" hidden="1">#REF!</definedName>
    <definedName name="BExS81TE0EY44Y3W2M4Z4MGNP5OM" localSheetId="9" hidden="1">'Customer data'!#REF!</definedName>
    <definedName name="BExS81TE0EY44Y3W2M4Z4MGNP5OM" localSheetId="8" hidden="1">'Largest debtors'!#REF!</definedName>
    <definedName name="BExS81TE0EY44Y3W2M4Z4MGNP5OM" localSheetId="11" hidden="1">#REF!</definedName>
    <definedName name="BExS81TE0EY44Y3W2M4Z4MGNP5OM" localSheetId="6" hidden="1">Stock!#REF!</definedName>
    <definedName name="BExS81TE0EY44Y3W2M4Z4MGNP5OM" hidden="1">#REF!</definedName>
    <definedName name="BExS81YPDZDVJJVS15HV2HDXAC3Y" localSheetId="7" hidden="1">'Aged debtors'!#REF!</definedName>
    <definedName name="BExS81YPDZDVJJVS15HV2HDXAC3Y" localSheetId="10" hidden="1">#REF!</definedName>
    <definedName name="BExS81YPDZDVJJVS15HV2HDXAC3Y" localSheetId="12" hidden="1">#REF!</definedName>
    <definedName name="BExS81YPDZDVJJVS15HV2HDXAC3Y" localSheetId="9" hidden="1">'Customer data'!#REF!</definedName>
    <definedName name="BExS81YPDZDVJJVS15HV2HDXAC3Y" localSheetId="8" hidden="1">'Largest debtors'!#REF!</definedName>
    <definedName name="BExS81YPDZDVJJVS15HV2HDXAC3Y" localSheetId="11" hidden="1">#REF!</definedName>
    <definedName name="BExS81YPDZDVJJVS15HV2HDXAC3Y" localSheetId="6" hidden="1">Stock!#REF!</definedName>
    <definedName name="BExS81YPDZDVJJVS15HV2HDXAC3Y" hidden="1">#REF!</definedName>
    <definedName name="BExS82PRVNUTEKQZS56YT2DVF6C2" localSheetId="7" hidden="1">'Aged debtors'!#REF!</definedName>
    <definedName name="BExS82PRVNUTEKQZS56YT2DVF6C2" localSheetId="10" hidden="1">#REF!</definedName>
    <definedName name="BExS82PRVNUTEKQZS56YT2DVF6C2" localSheetId="12" hidden="1">#REF!</definedName>
    <definedName name="BExS82PRVNUTEKQZS56YT2DVF6C2" localSheetId="9" hidden="1">'Customer data'!#REF!</definedName>
    <definedName name="BExS82PRVNUTEKQZS56YT2DVF6C2" localSheetId="8" hidden="1">'Largest debtors'!#REF!</definedName>
    <definedName name="BExS82PRVNUTEKQZS56YT2DVF6C2" localSheetId="11" hidden="1">#REF!</definedName>
    <definedName name="BExS82PRVNUTEKQZS56YT2DVF6C2" localSheetId="6" hidden="1">Stock!#REF!</definedName>
    <definedName name="BExS82PRVNUTEKQZS56YT2DVF6C2" hidden="1">#REF!</definedName>
    <definedName name="BExS83M3G4FCEUCU6IVC78CNX5C0" localSheetId="7" hidden="1">'Aged debtors'!#REF!</definedName>
    <definedName name="BExS83M3G4FCEUCU6IVC78CNX5C0" localSheetId="10" hidden="1">#REF!</definedName>
    <definedName name="BExS83M3G4FCEUCU6IVC78CNX5C0" localSheetId="12" hidden="1">#REF!</definedName>
    <definedName name="BExS83M3G4FCEUCU6IVC78CNX5C0" localSheetId="9" hidden="1">'Customer data'!#REF!</definedName>
    <definedName name="BExS83M3G4FCEUCU6IVC78CNX5C0" localSheetId="8" hidden="1">'Largest debtors'!#REF!</definedName>
    <definedName name="BExS83M3G4FCEUCU6IVC78CNX5C0" localSheetId="11" hidden="1">#REF!</definedName>
    <definedName name="BExS83M3G4FCEUCU6IVC78CNX5C0" localSheetId="6" hidden="1">Stock!#REF!</definedName>
    <definedName name="BExS83M3G4FCEUCU6IVC78CNX5C0" hidden="1">#REF!</definedName>
    <definedName name="BExS8BPG5A0GR5AO1U951NDGGR0L" localSheetId="7" hidden="1">'Aged debtors'!#REF!</definedName>
    <definedName name="BExS8BPG5A0GR5AO1U951NDGGR0L" localSheetId="10" hidden="1">#REF!</definedName>
    <definedName name="BExS8BPG5A0GR5AO1U951NDGGR0L" localSheetId="12" hidden="1">#REF!</definedName>
    <definedName name="BExS8BPG5A0GR5AO1U951NDGGR0L" localSheetId="9" hidden="1">'Customer data'!#REF!</definedName>
    <definedName name="BExS8BPG5A0GR5AO1U951NDGGR0L" localSheetId="8" hidden="1">'Largest debtors'!#REF!</definedName>
    <definedName name="BExS8BPG5A0GR5AO1U951NDGGR0L" localSheetId="11" hidden="1">#REF!</definedName>
    <definedName name="BExS8BPG5A0GR5AO1U951NDGGR0L" localSheetId="6" hidden="1">Stock!#REF!</definedName>
    <definedName name="BExS8BPG5A0GR5AO1U951NDGGR0L" hidden="1">#REF!</definedName>
    <definedName name="BExS8GSUS17UY50TEM2AWF36BR9Z" localSheetId="7" hidden="1">'Aged debtors'!#REF!</definedName>
    <definedName name="BExS8GSUS17UY50TEM2AWF36BR9Z" localSheetId="10" hidden="1">#REF!</definedName>
    <definedName name="BExS8GSUS17UY50TEM2AWF36BR9Z" localSheetId="12" hidden="1">#REF!</definedName>
    <definedName name="BExS8GSUS17UY50TEM2AWF36BR9Z" localSheetId="9" hidden="1">'Customer data'!#REF!</definedName>
    <definedName name="BExS8GSUS17UY50TEM2AWF36BR9Z" localSheetId="8" hidden="1">'Largest debtors'!#REF!</definedName>
    <definedName name="BExS8GSUS17UY50TEM2AWF36BR9Z" localSheetId="11" hidden="1">#REF!</definedName>
    <definedName name="BExS8GSUS17UY50TEM2AWF36BR9Z" localSheetId="6" hidden="1">Stock!#REF!</definedName>
    <definedName name="BExS8GSUS17UY50TEM2AWF36BR9Z" hidden="1">#REF!</definedName>
    <definedName name="BExS8HJRBVG0XI6PWA9KTMJZMQXK" localSheetId="7" hidden="1">'Aged debtors'!#REF!</definedName>
    <definedName name="BExS8HJRBVG0XI6PWA9KTMJZMQXK" localSheetId="10" hidden="1">#REF!</definedName>
    <definedName name="BExS8HJRBVG0XI6PWA9KTMJZMQXK" localSheetId="12" hidden="1">#REF!</definedName>
    <definedName name="BExS8HJRBVG0XI6PWA9KTMJZMQXK" localSheetId="9" hidden="1">'Customer data'!#REF!</definedName>
    <definedName name="BExS8HJRBVG0XI6PWA9KTMJZMQXK" localSheetId="8" hidden="1">'Largest debtors'!#REF!</definedName>
    <definedName name="BExS8HJRBVG0XI6PWA9KTMJZMQXK" localSheetId="11" hidden="1">#REF!</definedName>
    <definedName name="BExS8HJRBVG0XI6PWA9KTMJZMQXK" localSheetId="6" hidden="1">Stock!#REF!</definedName>
    <definedName name="BExS8HJRBVG0XI6PWA9KTMJZMQXK" hidden="1">#REF!</definedName>
    <definedName name="BExS8R51C8RM2FS6V6IRTYO9GA4A" localSheetId="7" hidden="1">'Aged debtors'!#REF!</definedName>
    <definedName name="BExS8R51C8RM2FS6V6IRTYO9GA4A" localSheetId="10" hidden="1">#REF!</definedName>
    <definedName name="BExS8R51C8RM2FS6V6IRTYO9GA4A" localSheetId="12" hidden="1">#REF!</definedName>
    <definedName name="BExS8R51C8RM2FS6V6IRTYO9GA4A" localSheetId="9" hidden="1">'Customer data'!#REF!</definedName>
    <definedName name="BExS8R51C8RM2FS6V6IRTYO9GA4A" localSheetId="8" hidden="1">'Largest debtors'!#REF!</definedName>
    <definedName name="BExS8R51C8RM2FS6V6IRTYO9GA4A" localSheetId="11" hidden="1">#REF!</definedName>
    <definedName name="BExS8R51C8RM2FS6V6IRTYO9GA4A" localSheetId="6" hidden="1">Stock!#REF!</definedName>
    <definedName name="BExS8R51C8RM2FS6V6IRTYO9GA4A" hidden="1">#REF!</definedName>
    <definedName name="BExS8WDX408F60MH1X9B9UZ2H4R7" localSheetId="7" hidden="1">'Aged debtors'!#REF!</definedName>
    <definedName name="BExS8WDX408F60MH1X9B9UZ2H4R7" localSheetId="10" hidden="1">#REF!</definedName>
    <definedName name="BExS8WDX408F60MH1X9B9UZ2H4R7" localSheetId="12" hidden="1">#REF!</definedName>
    <definedName name="BExS8WDX408F60MH1X9B9UZ2H4R7" localSheetId="9" hidden="1">'Customer data'!#REF!</definedName>
    <definedName name="BExS8WDX408F60MH1X9B9UZ2H4R7" localSheetId="8" hidden="1">'Largest debtors'!#REF!</definedName>
    <definedName name="BExS8WDX408F60MH1X9B9UZ2H4R7" localSheetId="11" hidden="1">#REF!</definedName>
    <definedName name="BExS8WDX408F60MH1X9B9UZ2H4R7" localSheetId="6" hidden="1">Stock!#REF!</definedName>
    <definedName name="BExS8WDX408F60MH1X9B9UZ2H4R7" hidden="1">#REF!</definedName>
    <definedName name="BExS8Z2W2QEC3MH0BZIYLDFQNUIP" localSheetId="7" hidden="1">'Aged debtors'!#REF!</definedName>
    <definedName name="BExS8Z2W2QEC3MH0BZIYLDFQNUIP" localSheetId="10" hidden="1">#REF!</definedName>
    <definedName name="BExS8Z2W2QEC3MH0BZIYLDFQNUIP" localSheetId="12" hidden="1">#REF!</definedName>
    <definedName name="BExS8Z2W2QEC3MH0BZIYLDFQNUIP" localSheetId="9" hidden="1">'Customer data'!#REF!</definedName>
    <definedName name="BExS8Z2W2QEC3MH0BZIYLDFQNUIP" localSheetId="8" hidden="1">'Largest debtors'!#REF!</definedName>
    <definedName name="BExS8Z2W2QEC3MH0BZIYLDFQNUIP" localSheetId="11" hidden="1">#REF!</definedName>
    <definedName name="BExS8Z2W2QEC3MH0BZIYLDFQNUIP" localSheetId="6" hidden="1">Stock!#REF!</definedName>
    <definedName name="BExS8Z2W2QEC3MH0BZIYLDFQNUIP" hidden="1">#REF!</definedName>
    <definedName name="BExS92DKGRFFCIA9C0IXDOLO57EP" localSheetId="7" hidden="1">'Aged debtors'!#REF!</definedName>
    <definedName name="BExS92DKGRFFCIA9C0IXDOLO57EP" localSheetId="10" hidden="1">#REF!</definedName>
    <definedName name="BExS92DKGRFFCIA9C0IXDOLO57EP" localSheetId="12" hidden="1">#REF!</definedName>
    <definedName name="BExS92DKGRFFCIA9C0IXDOLO57EP" localSheetId="9" hidden="1">'Customer data'!#REF!</definedName>
    <definedName name="BExS92DKGRFFCIA9C0IXDOLO57EP" localSheetId="8" hidden="1">'Largest debtors'!#REF!</definedName>
    <definedName name="BExS92DKGRFFCIA9C0IXDOLO57EP" localSheetId="11" hidden="1">#REF!</definedName>
    <definedName name="BExS92DKGRFFCIA9C0IXDOLO57EP" localSheetId="6" hidden="1">Stock!#REF!</definedName>
    <definedName name="BExS92DKGRFFCIA9C0IXDOLO57EP" hidden="1">#REF!</definedName>
    <definedName name="BExS9DX13CACP3J8JDREK30JB1SQ" localSheetId="7" hidden="1">'Aged debtors'!#REF!</definedName>
    <definedName name="BExS9DX13CACP3J8JDREK30JB1SQ" localSheetId="10" hidden="1">#REF!</definedName>
    <definedName name="BExS9DX13CACP3J8JDREK30JB1SQ" localSheetId="12" hidden="1">#REF!</definedName>
    <definedName name="BExS9DX13CACP3J8JDREK30JB1SQ" localSheetId="9" hidden="1">'Customer data'!#REF!</definedName>
    <definedName name="BExS9DX13CACP3J8JDREK30JB1SQ" localSheetId="8" hidden="1">'Largest debtors'!#REF!</definedName>
    <definedName name="BExS9DX13CACP3J8JDREK30JB1SQ" localSheetId="11" hidden="1">#REF!</definedName>
    <definedName name="BExS9DX13CACP3J8JDREK30JB1SQ" localSheetId="6" hidden="1">Stock!#REF!</definedName>
    <definedName name="BExS9DX13CACP3J8JDREK30JB1SQ" hidden="1">#REF!</definedName>
    <definedName name="BExSA5HP306TN9XJS0TU619DLRR7" localSheetId="7" hidden="1">'Aged debtors'!#REF!</definedName>
    <definedName name="BExSA5HP306TN9XJS0TU619DLRR7" localSheetId="10" hidden="1">#REF!</definedName>
    <definedName name="BExSA5HP306TN9XJS0TU619DLRR7" localSheetId="12" hidden="1">#REF!</definedName>
    <definedName name="BExSA5HP306TN9XJS0TU619DLRR7" localSheetId="9" hidden="1">'Customer data'!#REF!</definedName>
    <definedName name="BExSA5HP306TN9XJS0TU619DLRR7" localSheetId="8" hidden="1">'Largest debtors'!#REF!</definedName>
    <definedName name="BExSA5HP306TN9XJS0TU619DLRR7" localSheetId="11" hidden="1">#REF!</definedName>
    <definedName name="BExSA5HP306TN9XJS0TU619DLRR7" localSheetId="6" hidden="1">Stock!#REF!</definedName>
    <definedName name="BExSA5HP306TN9XJS0TU619DLRR7" hidden="1">#REF!</definedName>
    <definedName name="BExSAH6ID8OHX379UXVNGFO8J6KQ" localSheetId="7" hidden="1">'Aged debtors'!#REF!</definedName>
    <definedName name="BExSAH6ID8OHX379UXVNGFO8J6KQ" localSheetId="10" hidden="1">#REF!</definedName>
    <definedName name="BExSAH6ID8OHX379UXVNGFO8J6KQ" localSheetId="12" hidden="1">#REF!</definedName>
    <definedName name="BExSAH6ID8OHX379UXVNGFO8J6KQ" localSheetId="9" hidden="1">'Customer data'!#REF!</definedName>
    <definedName name="BExSAH6ID8OHX379UXVNGFO8J6KQ" localSheetId="8" hidden="1">'Largest debtors'!#REF!</definedName>
    <definedName name="BExSAH6ID8OHX379UXVNGFO8J6KQ" localSheetId="11" hidden="1">#REF!</definedName>
    <definedName name="BExSAH6ID8OHX379UXVNGFO8J6KQ" localSheetId="6" hidden="1">Stock!#REF!</definedName>
    <definedName name="BExSAH6ID8OHX379UXVNGFO8J6KQ" hidden="1">#REF!</definedName>
    <definedName name="BExSAQBHIXGQRNIRGCJMBXUPCZQA" localSheetId="7" hidden="1">'Aged debtors'!#REF!</definedName>
    <definedName name="BExSAQBHIXGQRNIRGCJMBXUPCZQA" localSheetId="10" hidden="1">#REF!</definedName>
    <definedName name="BExSAQBHIXGQRNIRGCJMBXUPCZQA" localSheetId="12" hidden="1">#REF!</definedName>
    <definedName name="BExSAQBHIXGQRNIRGCJMBXUPCZQA" localSheetId="9" hidden="1">'Customer data'!#REF!</definedName>
    <definedName name="BExSAQBHIXGQRNIRGCJMBXUPCZQA" localSheetId="8" hidden="1">'Largest debtors'!#REF!</definedName>
    <definedName name="BExSAQBHIXGQRNIRGCJMBXUPCZQA" localSheetId="11" hidden="1">#REF!</definedName>
    <definedName name="BExSAQBHIXGQRNIRGCJMBXUPCZQA" localSheetId="6" hidden="1">Stock!#REF!</definedName>
    <definedName name="BExSAQBHIXGQRNIRGCJMBXUPCZQA" hidden="1">#REF!</definedName>
    <definedName name="BExSAUTCT4P7JP57NOR9MTX33QJZ" localSheetId="7" hidden="1">'Aged debtors'!#REF!</definedName>
    <definedName name="BExSAUTCT4P7JP57NOR9MTX33QJZ" localSheetId="10" hidden="1">#REF!</definedName>
    <definedName name="BExSAUTCT4P7JP57NOR9MTX33QJZ" localSheetId="12" hidden="1">#REF!</definedName>
    <definedName name="BExSAUTCT4P7JP57NOR9MTX33QJZ" localSheetId="9" hidden="1">'Customer data'!#REF!</definedName>
    <definedName name="BExSAUTCT4P7JP57NOR9MTX33QJZ" localSheetId="8" hidden="1">'Largest debtors'!#REF!</definedName>
    <definedName name="BExSAUTCT4P7JP57NOR9MTX33QJZ" localSheetId="11" hidden="1">#REF!</definedName>
    <definedName name="BExSAUTCT4P7JP57NOR9MTX33QJZ" localSheetId="6" hidden="1">Stock!#REF!</definedName>
    <definedName name="BExSAUTCT4P7JP57NOR9MTX33QJZ" hidden="1">#REF!</definedName>
    <definedName name="BExSAY9CA9TFXQ9M9FBJRGJO9T9E" localSheetId="7" hidden="1">'Aged debtors'!#REF!</definedName>
    <definedName name="BExSAY9CA9TFXQ9M9FBJRGJO9T9E" localSheetId="10" hidden="1">#REF!</definedName>
    <definedName name="BExSAY9CA9TFXQ9M9FBJRGJO9T9E" localSheetId="12" hidden="1">#REF!</definedName>
    <definedName name="BExSAY9CA9TFXQ9M9FBJRGJO9T9E" localSheetId="9" hidden="1">'Customer data'!#REF!</definedName>
    <definedName name="BExSAY9CA9TFXQ9M9FBJRGJO9T9E" localSheetId="8" hidden="1">'Largest debtors'!#REF!</definedName>
    <definedName name="BExSAY9CA9TFXQ9M9FBJRGJO9T9E" localSheetId="11" hidden="1">#REF!</definedName>
    <definedName name="BExSAY9CA9TFXQ9M9FBJRGJO9T9E" localSheetId="6" hidden="1">Stock!#REF!</definedName>
    <definedName name="BExSAY9CA9TFXQ9M9FBJRGJO9T9E" hidden="1">#REF!</definedName>
    <definedName name="BExSB4JYKQ3MINI7RAYK5M8BLJDC" localSheetId="7" hidden="1">'Aged debtors'!#REF!</definedName>
    <definedName name="BExSB4JYKQ3MINI7RAYK5M8BLJDC" localSheetId="10" hidden="1">#REF!</definedName>
    <definedName name="BExSB4JYKQ3MINI7RAYK5M8BLJDC" localSheetId="12" hidden="1">#REF!</definedName>
    <definedName name="BExSB4JYKQ3MINI7RAYK5M8BLJDC" localSheetId="9" hidden="1">'Customer data'!#REF!</definedName>
    <definedName name="BExSB4JYKQ3MINI7RAYK5M8BLJDC" localSheetId="8" hidden="1">'Largest debtors'!#REF!</definedName>
    <definedName name="BExSB4JYKQ3MINI7RAYK5M8BLJDC" localSheetId="11" hidden="1">#REF!</definedName>
    <definedName name="BExSB4JYKQ3MINI7RAYK5M8BLJDC" localSheetId="6" hidden="1">Stock!#REF!</definedName>
    <definedName name="BExSB4JYKQ3MINI7RAYK5M8BLJDC" hidden="1">#REF!</definedName>
    <definedName name="BExSBRBXXQMBU1TYDW1BXTEVEPRU" localSheetId="7" hidden="1">'Aged debtors'!#REF!</definedName>
    <definedName name="BExSBRBXXQMBU1TYDW1BXTEVEPRU" localSheetId="10" hidden="1">#REF!</definedName>
    <definedName name="BExSBRBXXQMBU1TYDW1BXTEVEPRU" localSheetId="12" hidden="1">#REF!</definedName>
    <definedName name="BExSBRBXXQMBU1TYDW1BXTEVEPRU" localSheetId="9" hidden="1">'Customer data'!#REF!</definedName>
    <definedName name="BExSBRBXXQMBU1TYDW1BXTEVEPRU" localSheetId="8" hidden="1">'Largest debtors'!#REF!</definedName>
    <definedName name="BExSBRBXXQMBU1TYDW1BXTEVEPRU" localSheetId="11" hidden="1">#REF!</definedName>
    <definedName name="BExSBRBXXQMBU1TYDW1BXTEVEPRU" localSheetId="6" hidden="1">Stock!#REF!</definedName>
    <definedName name="BExSBRBXXQMBU1TYDW1BXTEVEPRU" hidden="1">#REF!</definedName>
    <definedName name="BExSC60N7WR9PJSNC9B7ORCX9NGY" localSheetId="7" hidden="1">'Aged debtors'!#REF!</definedName>
    <definedName name="BExSC60N7WR9PJSNC9B7ORCX9NGY" localSheetId="10" hidden="1">#REF!</definedName>
    <definedName name="BExSC60N7WR9PJSNC9B7ORCX9NGY" localSheetId="12" hidden="1">#REF!</definedName>
    <definedName name="BExSC60N7WR9PJSNC9B7ORCX9NGY" localSheetId="9" hidden="1">'Customer data'!#REF!</definedName>
    <definedName name="BExSC60N7WR9PJSNC9B7ORCX9NGY" localSheetId="8" hidden="1">'Largest debtors'!#REF!</definedName>
    <definedName name="BExSC60N7WR9PJSNC9B7ORCX9NGY" localSheetId="11" hidden="1">#REF!</definedName>
    <definedName name="BExSC60N7WR9PJSNC9B7ORCX9NGY" localSheetId="6" hidden="1">Stock!#REF!</definedName>
    <definedName name="BExSC60N7WR9PJSNC9B7ORCX9NGY" hidden="1">#REF!</definedName>
    <definedName name="BExSCE99EZTILTTCE4NJJF96OYYM" localSheetId="7" hidden="1">'Aged debtors'!#REF!</definedName>
    <definedName name="BExSCE99EZTILTTCE4NJJF96OYYM" localSheetId="10" hidden="1">#REF!</definedName>
    <definedName name="BExSCE99EZTILTTCE4NJJF96OYYM" localSheetId="12" hidden="1">#REF!</definedName>
    <definedName name="BExSCE99EZTILTTCE4NJJF96OYYM" localSheetId="9" hidden="1">'Customer data'!#REF!</definedName>
    <definedName name="BExSCE99EZTILTTCE4NJJF96OYYM" localSheetId="8" hidden="1">'Largest debtors'!#REF!</definedName>
    <definedName name="BExSCE99EZTILTTCE4NJJF96OYYM" localSheetId="11" hidden="1">#REF!</definedName>
    <definedName name="BExSCE99EZTILTTCE4NJJF96OYYM" localSheetId="6" hidden="1">Stock!#REF!</definedName>
    <definedName name="BExSCE99EZTILTTCE4NJJF96OYYM" hidden="1">#REF!</definedName>
    <definedName name="BExSD233CH4MU9ZMGNRF97ZV7KWU" localSheetId="7" hidden="1">'Aged debtors'!#REF!</definedName>
    <definedName name="BExSD233CH4MU9ZMGNRF97ZV7KWU" localSheetId="10" hidden="1">#REF!</definedName>
    <definedName name="BExSD233CH4MU9ZMGNRF97ZV7KWU" localSheetId="12" hidden="1">#REF!</definedName>
    <definedName name="BExSD233CH4MU9ZMGNRF97ZV7KWU" localSheetId="9" hidden="1">'Customer data'!#REF!</definedName>
    <definedName name="BExSD233CH4MU9ZMGNRF97ZV7KWU" localSheetId="8" hidden="1">'Largest debtors'!#REF!</definedName>
    <definedName name="BExSD233CH4MU9ZMGNRF97ZV7KWU" localSheetId="11" hidden="1">#REF!</definedName>
    <definedName name="BExSD233CH4MU9ZMGNRF97ZV7KWU" localSheetId="6" hidden="1">Stock!#REF!</definedName>
    <definedName name="BExSD233CH4MU9ZMGNRF97ZV7KWU" hidden="1">#REF!</definedName>
    <definedName name="BExSD9VH6PF6RQ135VOEE08YXPAW" localSheetId="7" hidden="1">'Aged debtors'!#REF!</definedName>
    <definedName name="BExSD9VH6PF6RQ135VOEE08YXPAW" localSheetId="10" hidden="1">#REF!</definedName>
    <definedName name="BExSD9VH6PF6RQ135VOEE08YXPAW" localSheetId="12" hidden="1">#REF!</definedName>
    <definedName name="BExSD9VH6PF6RQ135VOEE08YXPAW" localSheetId="9" hidden="1">'Customer data'!#REF!</definedName>
    <definedName name="BExSD9VH6PF6RQ135VOEE08YXPAW" localSheetId="8" hidden="1">'Largest debtors'!#REF!</definedName>
    <definedName name="BExSD9VH6PF6RQ135VOEE08YXPAW" localSheetId="11" hidden="1">#REF!</definedName>
    <definedName name="BExSD9VH6PF6RQ135VOEE08YXPAW" localSheetId="6" hidden="1">Stock!#REF!</definedName>
    <definedName name="BExSD9VH6PF6RQ135VOEE08YXPAW" hidden="1">#REF!</definedName>
    <definedName name="BExSDSGM203BJTNS9MKCBX453HMD" localSheetId="7" hidden="1">'Aged debtors'!#REF!</definedName>
    <definedName name="BExSDSGM203BJTNS9MKCBX453HMD" localSheetId="10" hidden="1">#REF!</definedName>
    <definedName name="BExSDSGM203BJTNS9MKCBX453HMD" localSheetId="12" hidden="1">#REF!</definedName>
    <definedName name="BExSDSGM203BJTNS9MKCBX453HMD" localSheetId="9" hidden="1">'Customer data'!#REF!</definedName>
    <definedName name="BExSDSGM203BJTNS9MKCBX453HMD" localSheetId="8" hidden="1">'Largest debtors'!#REF!</definedName>
    <definedName name="BExSDSGM203BJTNS9MKCBX453HMD" localSheetId="11" hidden="1">#REF!</definedName>
    <definedName name="BExSDSGM203BJTNS9MKCBX453HMD" localSheetId="6" hidden="1">Stock!#REF!</definedName>
    <definedName name="BExSDSGM203BJTNS9MKCBX453HMD" hidden="1">#REF!</definedName>
    <definedName name="BExSEEHK1VLWD7JBV9SVVVIKQZ3I" localSheetId="7" hidden="1">'Aged debtors'!#REF!</definedName>
    <definedName name="BExSEEHK1VLWD7JBV9SVVVIKQZ3I" localSheetId="10" hidden="1">#REF!</definedName>
    <definedName name="BExSEEHK1VLWD7JBV9SVVVIKQZ3I" localSheetId="12" hidden="1">#REF!</definedName>
    <definedName name="BExSEEHK1VLWD7JBV9SVVVIKQZ3I" localSheetId="9" hidden="1">'Customer data'!#REF!</definedName>
    <definedName name="BExSEEHK1VLWD7JBV9SVVVIKQZ3I" localSheetId="8" hidden="1">'Largest debtors'!#REF!</definedName>
    <definedName name="BExSEEHK1VLWD7JBV9SVVVIKQZ3I" localSheetId="11" hidden="1">#REF!</definedName>
    <definedName name="BExSEEHK1VLWD7JBV9SVVVIKQZ3I" localSheetId="6" hidden="1">Stock!#REF!</definedName>
    <definedName name="BExSEEHK1VLWD7JBV9SVVVIKQZ3I" hidden="1">#REF!</definedName>
    <definedName name="BExSF07QFLZCO4P6K6QF05XG7PH1" localSheetId="7" hidden="1">'Aged debtors'!#REF!</definedName>
    <definedName name="BExSF07QFLZCO4P6K6QF05XG7PH1" localSheetId="10" hidden="1">#REF!</definedName>
    <definedName name="BExSF07QFLZCO4P6K6QF05XG7PH1" localSheetId="12" hidden="1">#REF!</definedName>
    <definedName name="BExSF07QFLZCO4P6K6QF05XG7PH1" localSheetId="9" hidden="1">'Customer data'!#REF!</definedName>
    <definedName name="BExSF07QFLZCO4P6K6QF05XG7PH1" localSheetId="8" hidden="1">'Largest debtors'!#REF!</definedName>
    <definedName name="BExSF07QFLZCO4P6K6QF05XG7PH1" localSheetId="11" hidden="1">#REF!</definedName>
    <definedName name="BExSF07QFLZCO4P6K6QF05XG7PH1" localSheetId="6" hidden="1">Stock!#REF!</definedName>
    <definedName name="BExSF07QFLZCO4P6K6QF05XG7PH1" hidden="1">#REF!</definedName>
    <definedName name="BExSFKQRST2S9KXWWLCXYLKSF4G1" localSheetId="7" hidden="1">'Aged debtors'!#REF!</definedName>
    <definedName name="BExSFKQRST2S9KXWWLCXYLKSF4G1" localSheetId="10" hidden="1">#REF!</definedName>
    <definedName name="BExSFKQRST2S9KXWWLCXYLKSF4G1" localSheetId="12" hidden="1">#REF!</definedName>
    <definedName name="BExSFKQRST2S9KXWWLCXYLKSF4G1" localSheetId="9" hidden="1">'Customer data'!#REF!</definedName>
    <definedName name="BExSFKQRST2S9KXWWLCXYLKSF4G1" localSheetId="8" hidden="1">'Largest debtors'!#REF!</definedName>
    <definedName name="BExSFKQRST2S9KXWWLCXYLKSF4G1" localSheetId="11" hidden="1">#REF!</definedName>
    <definedName name="BExSFKQRST2S9KXWWLCXYLKSF4G1" localSheetId="6" hidden="1">Stock!#REF!</definedName>
    <definedName name="BExSFKQRST2S9KXWWLCXYLKSF4G1" hidden="1">#REF!</definedName>
    <definedName name="BExSG90Q4ZUU2IPGDYOM169NJV9S" localSheetId="7" hidden="1">'Aged debtors'!#REF!</definedName>
    <definedName name="BExSG90Q4ZUU2IPGDYOM169NJV9S" localSheetId="10" hidden="1">#REF!</definedName>
    <definedName name="BExSG90Q4ZUU2IPGDYOM169NJV9S" localSheetId="12" hidden="1">#REF!</definedName>
    <definedName name="BExSG90Q4ZUU2IPGDYOM169NJV9S" localSheetId="9" hidden="1">'Customer data'!#REF!</definedName>
    <definedName name="BExSG90Q4ZUU2IPGDYOM169NJV9S" localSheetId="8" hidden="1">'Largest debtors'!#REF!</definedName>
    <definedName name="BExSG90Q4ZUU2IPGDYOM169NJV9S" localSheetId="11" hidden="1">#REF!</definedName>
    <definedName name="BExSG90Q4ZUU2IPGDYOM169NJV9S" localSheetId="6" hidden="1">Stock!#REF!</definedName>
    <definedName name="BExSG90Q4ZUU2IPGDYOM169NJV9S" hidden="1">#REF!</definedName>
    <definedName name="BExSGE45J27MDUUNXW7Z8Q33UAON" localSheetId="7" hidden="1">'Aged debtors'!#REF!</definedName>
    <definedName name="BExSGE45J27MDUUNXW7Z8Q33UAON" localSheetId="10" hidden="1">#REF!</definedName>
    <definedName name="BExSGE45J27MDUUNXW7Z8Q33UAON" localSheetId="12" hidden="1">#REF!</definedName>
    <definedName name="BExSGE45J27MDUUNXW7Z8Q33UAON" localSheetId="9" hidden="1">'Customer data'!#REF!</definedName>
    <definedName name="BExSGE45J27MDUUNXW7Z8Q33UAON" localSheetId="8" hidden="1">'Largest debtors'!#REF!</definedName>
    <definedName name="BExSGE45J27MDUUNXW7Z8Q33UAON" localSheetId="11" hidden="1">#REF!</definedName>
    <definedName name="BExSGE45J27MDUUNXW7Z8Q33UAON" localSheetId="6" hidden="1">Stock!#REF!</definedName>
    <definedName name="BExSGE45J27MDUUNXW7Z8Q33UAON" hidden="1">#REF!</definedName>
    <definedName name="BExSGLB2URTLBCKBB4Y885W925F2" localSheetId="7" hidden="1">'Aged debtors'!#REF!</definedName>
    <definedName name="BExSGLB2URTLBCKBB4Y885W925F2" localSheetId="10" hidden="1">#REF!</definedName>
    <definedName name="BExSGLB2URTLBCKBB4Y885W925F2" localSheetId="12" hidden="1">#REF!</definedName>
    <definedName name="BExSGLB2URTLBCKBB4Y885W925F2" localSheetId="9" hidden="1">'Customer data'!#REF!</definedName>
    <definedName name="BExSGLB2URTLBCKBB4Y885W925F2" localSheetId="8" hidden="1">'Largest debtors'!#REF!</definedName>
    <definedName name="BExSGLB2URTLBCKBB4Y885W925F2" localSheetId="11" hidden="1">#REF!</definedName>
    <definedName name="BExSGLB2URTLBCKBB4Y885W925F2" localSheetId="6" hidden="1">Stock!#REF!</definedName>
    <definedName name="BExSGLB2URTLBCKBB4Y885W925F2" hidden="1">#REF!</definedName>
    <definedName name="BExSGOWJHRW7FWKLO2EHUOOGHNAF" localSheetId="7" hidden="1">'Aged debtors'!#REF!</definedName>
    <definedName name="BExSGOWJHRW7FWKLO2EHUOOGHNAF" localSheetId="10" hidden="1">#REF!</definedName>
    <definedName name="BExSGOWJHRW7FWKLO2EHUOOGHNAF" localSheetId="12" hidden="1">#REF!</definedName>
    <definedName name="BExSGOWJHRW7FWKLO2EHUOOGHNAF" localSheetId="9" hidden="1">'Customer data'!#REF!</definedName>
    <definedName name="BExSGOWJHRW7FWKLO2EHUOOGHNAF" localSheetId="8" hidden="1">'Largest debtors'!#REF!</definedName>
    <definedName name="BExSGOWJHRW7FWKLO2EHUOOGHNAF" localSheetId="11" hidden="1">#REF!</definedName>
    <definedName name="BExSGOWJHRW7FWKLO2EHUOOGHNAF" localSheetId="6" hidden="1">Stock!#REF!</definedName>
    <definedName name="BExSGOWJHRW7FWKLO2EHUOOGHNAF" hidden="1">#REF!</definedName>
    <definedName name="BExSGOWJTAP41ZV5Q23H7MI9C76W" localSheetId="7" hidden="1">'Aged debtors'!#REF!</definedName>
    <definedName name="BExSGOWJTAP41ZV5Q23H7MI9C76W" localSheetId="10" hidden="1">#REF!</definedName>
    <definedName name="BExSGOWJTAP41ZV5Q23H7MI9C76W" localSheetId="12" hidden="1">#REF!</definedName>
    <definedName name="BExSGOWJTAP41ZV5Q23H7MI9C76W" localSheetId="9" hidden="1">'Customer data'!#REF!</definedName>
    <definedName name="BExSGOWJTAP41ZV5Q23H7MI9C76W" localSheetId="8" hidden="1">'Largest debtors'!#REF!</definedName>
    <definedName name="BExSGOWJTAP41ZV5Q23H7MI9C76W" localSheetId="11" hidden="1">#REF!</definedName>
    <definedName name="BExSGOWJTAP41ZV5Q23H7MI9C76W" localSheetId="6" hidden="1">Stock!#REF!</definedName>
    <definedName name="BExSGOWJTAP41ZV5Q23H7MI9C76W" hidden="1">#REF!</definedName>
    <definedName name="BExSGVHX69GJZHD99DKE4RZ042B1" localSheetId="7" hidden="1">'Aged debtors'!#REF!</definedName>
    <definedName name="BExSGVHX69GJZHD99DKE4RZ042B1" localSheetId="10" hidden="1">#REF!</definedName>
    <definedName name="BExSGVHX69GJZHD99DKE4RZ042B1" localSheetId="12" hidden="1">#REF!</definedName>
    <definedName name="BExSGVHX69GJZHD99DKE4RZ042B1" localSheetId="9" hidden="1">'Customer data'!#REF!</definedName>
    <definedName name="BExSGVHX69GJZHD99DKE4RZ042B1" localSheetId="8" hidden="1">'Largest debtors'!#REF!</definedName>
    <definedName name="BExSGVHX69GJZHD99DKE4RZ042B1" localSheetId="11" hidden="1">#REF!</definedName>
    <definedName name="BExSGVHX69GJZHD99DKE4RZ042B1" localSheetId="6" hidden="1">Stock!#REF!</definedName>
    <definedName name="BExSGVHX69GJZHD99DKE4RZ042B1" hidden="1">#REF!</definedName>
    <definedName name="BExSHGH88QZWW4RNAX4YKAZ5JEBL" localSheetId="7" hidden="1">'Aged debtors'!#REF!</definedName>
    <definedName name="BExSHGH88QZWW4RNAX4YKAZ5JEBL" localSheetId="10" hidden="1">#REF!</definedName>
    <definedName name="BExSHGH88QZWW4RNAX4YKAZ5JEBL" localSheetId="12" hidden="1">#REF!</definedName>
    <definedName name="BExSHGH88QZWW4RNAX4YKAZ5JEBL" localSheetId="9" hidden="1">'Customer data'!#REF!</definedName>
    <definedName name="BExSHGH88QZWW4RNAX4YKAZ5JEBL" localSheetId="8" hidden="1">'Largest debtors'!#REF!</definedName>
    <definedName name="BExSHGH88QZWW4RNAX4YKAZ5JEBL" localSheetId="11" hidden="1">#REF!</definedName>
    <definedName name="BExSHGH88QZWW4RNAX4YKAZ5JEBL" localSheetId="6" hidden="1">Stock!#REF!</definedName>
    <definedName name="BExSHGH88QZWW4RNAX4YKAZ5JEBL" hidden="1">#REF!</definedName>
    <definedName name="BExSHOKK1OO3CX9Z28C58E5J1D9W" localSheetId="7" hidden="1">'Aged debtors'!#REF!</definedName>
    <definedName name="BExSHOKK1OO3CX9Z28C58E5J1D9W" localSheetId="10" hidden="1">#REF!</definedName>
    <definedName name="BExSHOKK1OO3CX9Z28C58E5J1D9W" localSheetId="12" hidden="1">#REF!</definedName>
    <definedName name="BExSHOKK1OO3CX9Z28C58E5J1D9W" localSheetId="9" hidden="1">'Customer data'!#REF!</definedName>
    <definedName name="BExSHOKK1OO3CX9Z28C58E5J1D9W" localSheetId="8" hidden="1">'Largest debtors'!#REF!</definedName>
    <definedName name="BExSHOKK1OO3CX9Z28C58E5J1D9W" localSheetId="11" hidden="1">#REF!</definedName>
    <definedName name="BExSHOKK1OO3CX9Z28C58E5J1D9W" localSheetId="6" hidden="1">Stock!#REF!</definedName>
    <definedName name="BExSHOKK1OO3CX9Z28C58E5J1D9W" hidden="1">#REF!</definedName>
    <definedName name="BExSHQD8KYLTQGDXIRKCHQQ7MKIH" localSheetId="7" hidden="1">'Aged debtors'!#REF!</definedName>
    <definedName name="BExSHQD8KYLTQGDXIRKCHQQ7MKIH" localSheetId="10" hidden="1">#REF!</definedName>
    <definedName name="BExSHQD8KYLTQGDXIRKCHQQ7MKIH" localSheetId="12" hidden="1">#REF!</definedName>
    <definedName name="BExSHQD8KYLTQGDXIRKCHQQ7MKIH" localSheetId="9" hidden="1">'Customer data'!#REF!</definedName>
    <definedName name="BExSHQD8KYLTQGDXIRKCHQQ7MKIH" localSheetId="8" hidden="1">'Largest debtors'!#REF!</definedName>
    <definedName name="BExSHQD8KYLTQGDXIRKCHQQ7MKIH" localSheetId="11" hidden="1">#REF!</definedName>
    <definedName name="BExSHQD8KYLTQGDXIRKCHQQ7MKIH" localSheetId="6" hidden="1">Stock!#REF!</definedName>
    <definedName name="BExSHQD8KYLTQGDXIRKCHQQ7MKIH" hidden="1">#REF!</definedName>
    <definedName name="BExSHVGPIAHXI97UBLI9G4I4M29F" localSheetId="7" hidden="1">'Aged debtors'!#REF!</definedName>
    <definedName name="BExSHVGPIAHXI97UBLI9G4I4M29F" localSheetId="10" hidden="1">#REF!</definedName>
    <definedName name="BExSHVGPIAHXI97UBLI9G4I4M29F" localSheetId="12" hidden="1">#REF!</definedName>
    <definedName name="BExSHVGPIAHXI97UBLI9G4I4M29F" localSheetId="9" hidden="1">'Customer data'!#REF!</definedName>
    <definedName name="BExSHVGPIAHXI97UBLI9G4I4M29F" localSheetId="8" hidden="1">'Largest debtors'!#REF!</definedName>
    <definedName name="BExSHVGPIAHXI97UBLI9G4I4M29F" localSheetId="11" hidden="1">#REF!</definedName>
    <definedName name="BExSHVGPIAHXI97UBLI9G4I4M29F" localSheetId="6" hidden="1">Stock!#REF!</definedName>
    <definedName name="BExSHVGPIAHXI97UBLI9G4I4M29F" hidden="1">#REF!</definedName>
    <definedName name="BExSI0K2YL3HTCQAD8A7TR4QCUR6" localSheetId="7" hidden="1">'Aged debtors'!#REF!</definedName>
    <definedName name="BExSI0K2YL3HTCQAD8A7TR4QCUR6" localSheetId="10" hidden="1">#REF!</definedName>
    <definedName name="BExSI0K2YL3HTCQAD8A7TR4QCUR6" localSheetId="12" hidden="1">#REF!</definedName>
    <definedName name="BExSI0K2YL3HTCQAD8A7TR4QCUR6" localSheetId="9" hidden="1">'Customer data'!#REF!</definedName>
    <definedName name="BExSI0K2YL3HTCQAD8A7TR4QCUR6" localSheetId="8" hidden="1">'Largest debtors'!#REF!</definedName>
    <definedName name="BExSI0K2YL3HTCQAD8A7TR4QCUR6" localSheetId="11" hidden="1">#REF!</definedName>
    <definedName name="BExSI0K2YL3HTCQAD8A7TR4QCUR6" localSheetId="6" hidden="1">Stock!#REF!</definedName>
    <definedName name="BExSI0K2YL3HTCQAD8A7TR4QCUR6" hidden="1">#REF!</definedName>
    <definedName name="BExSIFUDNRWXWIWNGCCFOOD8WIAZ" localSheetId="7" hidden="1">'Aged debtors'!#REF!</definedName>
    <definedName name="BExSIFUDNRWXWIWNGCCFOOD8WIAZ" localSheetId="10" hidden="1">#REF!</definedName>
    <definedName name="BExSIFUDNRWXWIWNGCCFOOD8WIAZ" localSheetId="12" hidden="1">#REF!</definedName>
    <definedName name="BExSIFUDNRWXWIWNGCCFOOD8WIAZ" localSheetId="9" hidden="1">'Customer data'!#REF!</definedName>
    <definedName name="BExSIFUDNRWXWIWNGCCFOOD8WIAZ" localSheetId="8" hidden="1">'Largest debtors'!#REF!</definedName>
    <definedName name="BExSIFUDNRWXWIWNGCCFOOD8WIAZ" localSheetId="11" hidden="1">#REF!</definedName>
    <definedName name="BExSIFUDNRWXWIWNGCCFOOD8WIAZ" localSheetId="6" hidden="1">Stock!#REF!</definedName>
    <definedName name="BExSIFUDNRWXWIWNGCCFOOD8WIAZ" hidden="1">#REF!</definedName>
    <definedName name="BExTTZNS2PBCR93C9IUW49UZ4I6T" localSheetId="7" hidden="1">'Aged debtors'!#REF!</definedName>
    <definedName name="BExTTZNS2PBCR93C9IUW49UZ4I6T" localSheetId="10" hidden="1">#REF!</definedName>
    <definedName name="BExTTZNS2PBCR93C9IUW49UZ4I6T" localSheetId="12" hidden="1">#REF!</definedName>
    <definedName name="BExTTZNS2PBCR93C9IUW49UZ4I6T" localSheetId="9" hidden="1">'Customer data'!#REF!</definedName>
    <definedName name="BExTTZNS2PBCR93C9IUW49UZ4I6T" localSheetId="8" hidden="1">'Largest debtors'!#REF!</definedName>
    <definedName name="BExTTZNS2PBCR93C9IUW49UZ4I6T" localSheetId="11" hidden="1">#REF!</definedName>
    <definedName name="BExTTZNS2PBCR93C9IUW49UZ4I6T" localSheetId="6" hidden="1">Stock!#REF!</definedName>
    <definedName name="BExTTZNS2PBCR93C9IUW49UZ4I6T" hidden="1">#REF!</definedName>
    <definedName name="BExTU2YFQ25JQ6MEMRHHN66VLTPJ" localSheetId="7" hidden="1">'Aged debtors'!#REF!</definedName>
    <definedName name="BExTU2YFQ25JQ6MEMRHHN66VLTPJ" localSheetId="10" hidden="1">#REF!</definedName>
    <definedName name="BExTU2YFQ25JQ6MEMRHHN66VLTPJ" localSheetId="12" hidden="1">#REF!</definedName>
    <definedName name="BExTU2YFQ25JQ6MEMRHHN66VLTPJ" localSheetId="9" hidden="1">'Customer data'!#REF!</definedName>
    <definedName name="BExTU2YFQ25JQ6MEMRHHN66VLTPJ" localSheetId="8" hidden="1">'Largest debtors'!#REF!</definedName>
    <definedName name="BExTU2YFQ25JQ6MEMRHHN66VLTPJ" localSheetId="11" hidden="1">#REF!</definedName>
    <definedName name="BExTU2YFQ25JQ6MEMRHHN66VLTPJ" localSheetId="6" hidden="1">Stock!#REF!</definedName>
    <definedName name="BExTU2YFQ25JQ6MEMRHHN66VLTPJ" hidden="1">#REF!</definedName>
    <definedName name="BExTU75IOII1V5O0C9X2VAYYVJUG" localSheetId="7" hidden="1">'Aged debtors'!#REF!</definedName>
    <definedName name="BExTU75IOII1V5O0C9X2VAYYVJUG" localSheetId="10" hidden="1">#REF!</definedName>
    <definedName name="BExTU75IOII1V5O0C9X2VAYYVJUG" localSheetId="12" hidden="1">#REF!</definedName>
    <definedName name="BExTU75IOII1V5O0C9X2VAYYVJUG" localSheetId="9" hidden="1">'Customer data'!#REF!</definedName>
    <definedName name="BExTU75IOII1V5O0C9X2VAYYVJUG" localSheetId="8" hidden="1">'Largest debtors'!#REF!</definedName>
    <definedName name="BExTU75IOII1V5O0C9X2VAYYVJUG" localSheetId="11" hidden="1">#REF!</definedName>
    <definedName name="BExTU75IOII1V5O0C9X2VAYYVJUG" localSheetId="6" hidden="1">Stock!#REF!</definedName>
    <definedName name="BExTU75IOII1V5O0C9X2VAYYVJUG" hidden="1">#REF!</definedName>
    <definedName name="BExTUA5F7V4LUIIAM17J3A8XF3JE" localSheetId="7" hidden="1">'Aged debtors'!#REF!</definedName>
    <definedName name="BExTUA5F7V4LUIIAM17J3A8XF3JE" localSheetId="10" hidden="1">#REF!</definedName>
    <definedName name="BExTUA5F7V4LUIIAM17J3A8XF3JE" localSheetId="12" hidden="1">#REF!</definedName>
    <definedName name="BExTUA5F7V4LUIIAM17J3A8XF3JE" localSheetId="9" hidden="1">'Customer data'!#REF!</definedName>
    <definedName name="BExTUA5F7V4LUIIAM17J3A8XF3JE" localSheetId="8" hidden="1">'Largest debtors'!#REF!</definedName>
    <definedName name="BExTUA5F7V4LUIIAM17J3A8XF3JE" localSheetId="11" hidden="1">#REF!</definedName>
    <definedName name="BExTUA5F7V4LUIIAM17J3A8XF3JE" localSheetId="6" hidden="1">Stock!#REF!</definedName>
    <definedName name="BExTUA5F7V4LUIIAM17J3A8XF3JE" hidden="1">#REF!</definedName>
    <definedName name="BExTUJ53ANGZ3H1KDK4CR4Q0OD6P" localSheetId="7" hidden="1">'Aged debtors'!#REF!</definedName>
    <definedName name="BExTUJ53ANGZ3H1KDK4CR4Q0OD6P" localSheetId="10" hidden="1">#REF!</definedName>
    <definedName name="BExTUJ53ANGZ3H1KDK4CR4Q0OD6P" localSheetId="12" hidden="1">#REF!</definedName>
    <definedName name="BExTUJ53ANGZ3H1KDK4CR4Q0OD6P" localSheetId="9" hidden="1">'Customer data'!#REF!</definedName>
    <definedName name="BExTUJ53ANGZ3H1KDK4CR4Q0OD6P" localSheetId="8" hidden="1">'Largest debtors'!#REF!</definedName>
    <definedName name="BExTUJ53ANGZ3H1KDK4CR4Q0OD6P" localSheetId="11" hidden="1">#REF!</definedName>
    <definedName name="BExTUJ53ANGZ3H1KDK4CR4Q0OD6P" localSheetId="6" hidden="1">Stock!#REF!</definedName>
    <definedName name="BExTUJ53ANGZ3H1KDK4CR4Q0OD6P" hidden="1">#REF!</definedName>
    <definedName name="BExTUKXSZBM7C57G6NGLWGU4WOHY" localSheetId="7" hidden="1">'Aged debtors'!#REF!</definedName>
    <definedName name="BExTUKXSZBM7C57G6NGLWGU4WOHY" localSheetId="10" hidden="1">#REF!</definedName>
    <definedName name="BExTUKXSZBM7C57G6NGLWGU4WOHY" localSheetId="12" hidden="1">#REF!</definedName>
    <definedName name="BExTUKXSZBM7C57G6NGLWGU4WOHY" localSheetId="9" hidden="1">'Customer data'!#REF!</definedName>
    <definedName name="BExTUKXSZBM7C57G6NGLWGU4WOHY" localSheetId="8" hidden="1">'Largest debtors'!#REF!</definedName>
    <definedName name="BExTUKXSZBM7C57G6NGLWGU4WOHY" localSheetId="11" hidden="1">#REF!</definedName>
    <definedName name="BExTUKXSZBM7C57G6NGLWGU4WOHY" localSheetId="6" hidden="1">Stock!#REF!</definedName>
    <definedName name="BExTUKXSZBM7C57G6NGLWGU4WOHY" hidden="1">#REF!</definedName>
    <definedName name="BExTUSQCFFYZCDNHWHADBC2E1ZP1" localSheetId="7" hidden="1">'Aged debtors'!#REF!</definedName>
    <definedName name="BExTUSQCFFYZCDNHWHADBC2E1ZP1" localSheetId="10" hidden="1">#REF!</definedName>
    <definedName name="BExTUSQCFFYZCDNHWHADBC2E1ZP1" localSheetId="12" hidden="1">#REF!</definedName>
    <definedName name="BExTUSQCFFYZCDNHWHADBC2E1ZP1" localSheetId="9" hidden="1">'Customer data'!#REF!</definedName>
    <definedName name="BExTUSQCFFYZCDNHWHADBC2E1ZP1" localSheetId="8" hidden="1">'Largest debtors'!#REF!</definedName>
    <definedName name="BExTUSQCFFYZCDNHWHADBC2E1ZP1" localSheetId="11" hidden="1">#REF!</definedName>
    <definedName name="BExTUSQCFFYZCDNHWHADBC2E1ZP1" localSheetId="6" hidden="1">Stock!#REF!</definedName>
    <definedName name="BExTUSQCFFYZCDNHWHADBC2E1ZP1" hidden="1">#REF!</definedName>
    <definedName name="BExTUW10U40QCYGHM5NJ3YR1O5SP" localSheetId="7" hidden="1">'Aged debtors'!#REF!</definedName>
    <definedName name="BExTUW10U40QCYGHM5NJ3YR1O5SP" localSheetId="10" hidden="1">#REF!</definedName>
    <definedName name="BExTUW10U40QCYGHM5NJ3YR1O5SP" localSheetId="12" hidden="1">#REF!</definedName>
    <definedName name="BExTUW10U40QCYGHM5NJ3YR1O5SP" localSheetId="9" hidden="1">'Customer data'!#REF!</definedName>
    <definedName name="BExTUW10U40QCYGHM5NJ3YR1O5SP" localSheetId="8" hidden="1">'Largest debtors'!#REF!</definedName>
    <definedName name="BExTUW10U40QCYGHM5NJ3YR1O5SP" localSheetId="11" hidden="1">#REF!</definedName>
    <definedName name="BExTUW10U40QCYGHM5NJ3YR1O5SP" localSheetId="6" hidden="1">Stock!#REF!</definedName>
    <definedName name="BExTUW10U40QCYGHM5NJ3YR1O5SP" hidden="1">#REF!</definedName>
    <definedName name="BExTUY9WNSJ91GV8CP0SKJTEIV82" localSheetId="7" hidden="1">'Aged debtors'!#REF!</definedName>
    <definedName name="BExTUY9WNSJ91GV8CP0SKJTEIV82" localSheetId="10" hidden="1">#REF!</definedName>
    <definedName name="BExTUY9WNSJ91GV8CP0SKJTEIV82" localSheetId="12" hidden="1">#REF!</definedName>
    <definedName name="BExTUY9WNSJ91GV8CP0SKJTEIV82" localSheetId="9" hidden="1">'Customer data'!#REF!</definedName>
    <definedName name="BExTUY9WNSJ91GV8CP0SKJTEIV82" localSheetId="8" hidden="1">'Largest debtors'!#REF!</definedName>
    <definedName name="BExTUY9WNSJ91GV8CP0SKJTEIV82" localSheetId="11" hidden="1">#REF!</definedName>
    <definedName name="BExTUY9WNSJ91GV8CP0SKJTEIV82" localSheetId="6" hidden="1">Stock!#REF!</definedName>
    <definedName name="BExTUY9WNSJ91GV8CP0SKJTEIV82" hidden="1">#REF!</definedName>
    <definedName name="BExTV67VIM8PV6KO253M4DUBJQLC" localSheetId="7" hidden="1">'Aged debtors'!#REF!</definedName>
    <definedName name="BExTV67VIM8PV6KO253M4DUBJQLC" localSheetId="10" hidden="1">#REF!</definedName>
    <definedName name="BExTV67VIM8PV6KO253M4DUBJQLC" localSheetId="12" hidden="1">#REF!</definedName>
    <definedName name="BExTV67VIM8PV6KO253M4DUBJQLC" localSheetId="9" hidden="1">'Customer data'!#REF!</definedName>
    <definedName name="BExTV67VIM8PV6KO253M4DUBJQLC" localSheetId="8" hidden="1">'Largest debtors'!#REF!</definedName>
    <definedName name="BExTV67VIM8PV6KO253M4DUBJQLC" localSheetId="11" hidden="1">#REF!</definedName>
    <definedName name="BExTV67VIM8PV6KO253M4DUBJQLC" localSheetId="6" hidden="1">Stock!#REF!</definedName>
    <definedName name="BExTV67VIM8PV6KO253M4DUBJQLC" hidden="1">#REF!</definedName>
    <definedName name="BExTVELZCF2YA5L6F23BYZZR6WHF" localSheetId="7" hidden="1">'Aged debtors'!#REF!</definedName>
    <definedName name="BExTVELZCF2YA5L6F23BYZZR6WHF" localSheetId="10" hidden="1">#REF!</definedName>
    <definedName name="BExTVELZCF2YA5L6F23BYZZR6WHF" localSheetId="12" hidden="1">#REF!</definedName>
    <definedName name="BExTVELZCF2YA5L6F23BYZZR6WHF" localSheetId="9" hidden="1">'Customer data'!#REF!</definedName>
    <definedName name="BExTVELZCF2YA5L6F23BYZZR6WHF" localSheetId="8" hidden="1">'Largest debtors'!#REF!</definedName>
    <definedName name="BExTVELZCF2YA5L6F23BYZZR6WHF" localSheetId="11" hidden="1">#REF!</definedName>
    <definedName name="BExTVELZCF2YA5L6F23BYZZR6WHF" localSheetId="6" hidden="1">Stock!#REF!</definedName>
    <definedName name="BExTVELZCF2YA5L6F23BYZZR6WHF" hidden="1">#REF!</definedName>
    <definedName name="BExTVGPIQZ99YFXUC8OONUX5BD42" localSheetId="7" hidden="1">'Aged debtors'!#REF!</definedName>
    <definedName name="BExTVGPIQZ99YFXUC8OONUX5BD42" localSheetId="10" hidden="1">#REF!</definedName>
    <definedName name="BExTVGPIQZ99YFXUC8OONUX5BD42" localSheetId="12" hidden="1">#REF!</definedName>
    <definedName name="BExTVGPIQZ99YFXUC8OONUX5BD42" localSheetId="9" hidden="1">'Customer data'!#REF!</definedName>
    <definedName name="BExTVGPIQZ99YFXUC8OONUX5BD42" localSheetId="8" hidden="1">'Largest debtors'!#REF!</definedName>
    <definedName name="BExTVGPIQZ99YFXUC8OONUX5BD42" localSheetId="11" hidden="1">#REF!</definedName>
    <definedName name="BExTVGPIQZ99YFXUC8OONUX5BD42" localSheetId="6" hidden="1">Stock!#REF!</definedName>
    <definedName name="BExTVGPIQZ99YFXUC8OONUX5BD42" hidden="1">#REF!</definedName>
    <definedName name="BExTWI0Q8AWXUA3ZN7I5V3QK2KM1" localSheetId="7" hidden="1">'Aged debtors'!#REF!</definedName>
    <definedName name="BExTWI0Q8AWXUA3ZN7I5V3QK2KM1" localSheetId="10" hidden="1">#REF!</definedName>
    <definedName name="BExTWI0Q8AWXUA3ZN7I5V3QK2KM1" localSheetId="12" hidden="1">#REF!</definedName>
    <definedName name="BExTWI0Q8AWXUA3ZN7I5V3QK2KM1" localSheetId="9" hidden="1">'Customer data'!#REF!</definedName>
    <definedName name="BExTWI0Q8AWXUA3ZN7I5V3QK2KM1" localSheetId="8" hidden="1">'Largest debtors'!#REF!</definedName>
    <definedName name="BExTWI0Q8AWXUA3ZN7I5V3QK2KM1" localSheetId="11" hidden="1">#REF!</definedName>
    <definedName name="BExTWI0Q8AWXUA3ZN7I5V3QK2KM1" localSheetId="6" hidden="1">Stock!#REF!</definedName>
    <definedName name="BExTWI0Q8AWXUA3ZN7I5V3QK2KM1" hidden="1">#REF!</definedName>
    <definedName name="BExTWJTIA3WUW1PUWXAOP9O8NKLZ" localSheetId="7" hidden="1">'Aged debtors'!#REF!</definedName>
    <definedName name="BExTWJTIA3WUW1PUWXAOP9O8NKLZ" localSheetId="10" hidden="1">#REF!</definedName>
    <definedName name="BExTWJTIA3WUW1PUWXAOP9O8NKLZ" localSheetId="12" hidden="1">#REF!</definedName>
    <definedName name="BExTWJTIA3WUW1PUWXAOP9O8NKLZ" localSheetId="9" hidden="1">'Customer data'!#REF!</definedName>
    <definedName name="BExTWJTIA3WUW1PUWXAOP9O8NKLZ" localSheetId="8" hidden="1">'Largest debtors'!#REF!</definedName>
    <definedName name="BExTWJTIA3WUW1PUWXAOP9O8NKLZ" localSheetId="11" hidden="1">#REF!</definedName>
    <definedName name="BExTWJTIA3WUW1PUWXAOP9O8NKLZ" localSheetId="6" hidden="1">Stock!#REF!</definedName>
    <definedName name="BExTWJTIA3WUW1PUWXAOP9O8NKLZ" hidden="1">#REF!</definedName>
    <definedName name="BExTWW95OX07FNA01WF5MSSSFQLX" localSheetId="7" hidden="1">'Aged debtors'!#REF!</definedName>
    <definedName name="BExTWW95OX07FNA01WF5MSSSFQLX" localSheetId="10" hidden="1">#REF!</definedName>
    <definedName name="BExTWW95OX07FNA01WF5MSSSFQLX" localSheetId="12" hidden="1">#REF!</definedName>
    <definedName name="BExTWW95OX07FNA01WF5MSSSFQLX" localSheetId="9" hidden="1">'Customer data'!#REF!</definedName>
    <definedName name="BExTWW95OX07FNA01WF5MSSSFQLX" localSheetId="8" hidden="1">'Largest debtors'!#REF!</definedName>
    <definedName name="BExTWW95OX07FNA01WF5MSSSFQLX" localSheetId="11" hidden="1">#REF!</definedName>
    <definedName name="BExTWW95OX07FNA01WF5MSSSFQLX" localSheetId="6" hidden="1">Stock!#REF!</definedName>
    <definedName name="BExTWW95OX07FNA01WF5MSSSFQLX" hidden="1">#REF!</definedName>
    <definedName name="BExTX476KI0RNB71XI5TYMANSGBG" localSheetId="7" hidden="1">'Aged debtors'!#REF!</definedName>
    <definedName name="BExTX476KI0RNB71XI5TYMANSGBG" localSheetId="10" hidden="1">#REF!</definedName>
    <definedName name="BExTX476KI0RNB71XI5TYMANSGBG" localSheetId="12" hidden="1">#REF!</definedName>
    <definedName name="BExTX476KI0RNB71XI5TYMANSGBG" localSheetId="9" hidden="1">'Customer data'!#REF!</definedName>
    <definedName name="BExTX476KI0RNB71XI5TYMANSGBG" localSheetId="8" hidden="1">'Largest debtors'!#REF!</definedName>
    <definedName name="BExTX476KI0RNB71XI5TYMANSGBG" localSheetId="11" hidden="1">#REF!</definedName>
    <definedName name="BExTX476KI0RNB71XI5TYMANSGBG" localSheetId="6" hidden="1">Stock!#REF!</definedName>
    <definedName name="BExTX476KI0RNB71XI5TYMANSGBG" hidden="1">#REF!</definedName>
    <definedName name="BExTXJ6HBAIXMMWKZTJNFDYVZCAY" localSheetId="7" hidden="1">'Aged debtors'!#REF!</definedName>
    <definedName name="BExTXJ6HBAIXMMWKZTJNFDYVZCAY" localSheetId="10" hidden="1">#REF!</definedName>
    <definedName name="BExTXJ6HBAIXMMWKZTJNFDYVZCAY" localSheetId="12" hidden="1">#REF!</definedName>
    <definedName name="BExTXJ6HBAIXMMWKZTJNFDYVZCAY" localSheetId="9" hidden="1">'Customer data'!#REF!</definedName>
    <definedName name="BExTXJ6HBAIXMMWKZTJNFDYVZCAY" localSheetId="8" hidden="1">'Largest debtors'!#REF!</definedName>
    <definedName name="BExTXJ6HBAIXMMWKZTJNFDYVZCAY" localSheetId="11" hidden="1">#REF!</definedName>
    <definedName name="BExTXJ6HBAIXMMWKZTJNFDYVZCAY" localSheetId="6" hidden="1">Stock!#REF!</definedName>
    <definedName name="BExTXJ6HBAIXMMWKZTJNFDYVZCAY" hidden="1">#REF!</definedName>
    <definedName name="BExTXT812NQT8GAEGH738U29BI0D" localSheetId="7" hidden="1">'Aged debtors'!#REF!</definedName>
    <definedName name="BExTXT812NQT8GAEGH738U29BI0D" localSheetId="10" hidden="1">#REF!</definedName>
    <definedName name="BExTXT812NQT8GAEGH738U29BI0D" localSheetId="12" hidden="1">#REF!</definedName>
    <definedName name="BExTXT812NQT8GAEGH738U29BI0D" localSheetId="9" hidden="1">'Customer data'!#REF!</definedName>
    <definedName name="BExTXT812NQT8GAEGH738U29BI0D" localSheetId="8" hidden="1">'Largest debtors'!#REF!</definedName>
    <definedName name="BExTXT812NQT8GAEGH738U29BI0D" localSheetId="11" hidden="1">#REF!</definedName>
    <definedName name="BExTXT812NQT8GAEGH738U29BI0D" localSheetId="6" hidden="1">Stock!#REF!</definedName>
    <definedName name="BExTXT812NQT8GAEGH738U29BI0D" hidden="1">#REF!</definedName>
    <definedName name="BExTXWIP2TFPTQ76NHFOB72NICRZ" localSheetId="7" hidden="1">'Aged debtors'!#REF!</definedName>
    <definedName name="BExTXWIP2TFPTQ76NHFOB72NICRZ" localSheetId="10" hidden="1">#REF!</definedName>
    <definedName name="BExTXWIP2TFPTQ76NHFOB72NICRZ" localSheetId="12" hidden="1">#REF!</definedName>
    <definedName name="BExTXWIP2TFPTQ76NHFOB72NICRZ" localSheetId="9" hidden="1">'Customer data'!#REF!</definedName>
    <definedName name="BExTXWIP2TFPTQ76NHFOB72NICRZ" localSheetId="8" hidden="1">'Largest debtors'!#REF!</definedName>
    <definedName name="BExTXWIP2TFPTQ76NHFOB72NICRZ" localSheetId="11" hidden="1">#REF!</definedName>
    <definedName name="BExTXWIP2TFPTQ76NHFOB72NICRZ" localSheetId="6" hidden="1">Stock!#REF!</definedName>
    <definedName name="BExTXWIP2TFPTQ76NHFOB72NICRZ" hidden="1">#REF!</definedName>
    <definedName name="BExTY5T62H651VC86QM4X7E28JVA" localSheetId="7" hidden="1">'Aged debtors'!#REF!</definedName>
    <definedName name="BExTY5T62H651VC86QM4X7E28JVA" localSheetId="10" hidden="1">#REF!</definedName>
    <definedName name="BExTY5T62H651VC86QM4X7E28JVA" localSheetId="12" hidden="1">#REF!</definedName>
    <definedName name="BExTY5T62H651VC86QM4X7E28JVA" localSheetId="9" hidden="1">'Customer data'!#REF!</definedName>
    <definedName name="BExTY5T62H651VC86QM4X7E28JVA" localSheetId="8" hidden="1">'Largest debtors'!#REF!</definedName>
    <definedName name="BExTY5T62H651VC86QM4X7E28JVA" localSheetId="11" hidden="1">#REF!</definedName>
    <definedName name="BExTY5T62H651VC86QM4X7E28JVA" localSheetId="6" hidden="1">Stock!#REF!</definedName>
    <definedName name="BExTY5T62H651VC86QM4X7E28JVA" hidden="1">#REF!</definedName>
    <definedName name="BExTYKCEFJ83LZM95M1V7CSFQVEA" localSheetId="7" hidden="1">'Aged debtors'!#REF!</definedName>
    <definedName name="BExTYKCEFJ83LZM95M1V7CSFQVEA" localSheetId="10" hidden="1">#REF!</definedName>
    <definedName name="BExTYKCEFJ83LZM95M1V7CSFQVEA" localSheetId="12" hidden="1">#REF!</definedName>
    <definedName name="BExTYKCEFJ83LZM95M1V7CSFQVEA" localSheetId="9" hidden="1">'Customer data'!#REF!</definedName>
    <definedName name="BExTYKCEFJ83LZM95M1V7CSFQVEA" localSheetId="8" hidden="1">'Largest debtors'!#REF!</definedName>
    <definedName name="BExTYKCEFJ83LZM95M1V7CSFQVEA" localSheetId="11" hidden="1">#REF!</definedName>
    <definedName name="BExTYKCEFJ83LZM95M1V7CSFQVEA" localSheetId="6" hidden="1">Stock!#REF!</definedName>
    <definedName name="BExTYKCEFJ83LZM95M1V7CSFQVEA" hidden="1">#REF!</definedName>
    <definedName name="BExTYPLA9N640MFRJJQPKXT7P88M" localSheetId="7" hidden="1">'Aged debtors'!#REF!</definedName>
    <definedName name="BExTYPLA9N640MFRJJQPKXT7P88M" localSheetId="10" hidden="1">#REF!</definedName>
    <definedName name="BExTYPLA9N640MFRJJQPKXT7P88M" localSheetId="12" hidden="1">#REF!</definedName>
    <definedName name="BExTYPLA9N640MFRJJQPKXT7P88M" localSheetId="9" hidden="1">'Customer data'!#REF!</definedName>
    <definedName name="BExTYPLA9N640MFRJJQPKXT7P88M" localSheetId="8" hidden="1">'Largest debtors'!#REF!</definedName>
    <definedName name="BExTYPLA9N640MFRJJQPKXT7P88M" localSheetId="11" hidden="1">#REF!</definedName>
    <definedName name="BExTYPLA9N640MFRJJQPKXT7P88M" localSheetId="6" hidden="1">Stock!#REF!</definedName>
    <definedName name="BExTYPLA9N640MFRJJQPKXT7P88M" hidden="1">#REF!</definedName>
    <definedName name="BExTZ7F71SNTOX4LLZCK5R9VUMIJ" localSheetId="7" hidden="1">'Aged debtors'!#REF!</definedName>
    <definedName name="BExTZ7F71SNTOX4LLZCK5R9VUMIJ" localSheetId="10" hidden="1">#REF!</definedName>
    <definedName name="BExTZ7F71SNTOX4LLZCK5R9VUMIJ" localSheetId="12" hidden="1">#REF!</definedName>
    <definedName name="BExTZ7F71SNTOX4LLZCK5R9VUMIJ" localSheetId="9" hidden="1">'Customer data'!#REF!</definedName>
    <definedName name="BExTZ7F71SNTOX4LLZCK5R9VUMIJ" localSheetId="8" hidden="1">'Largest debtors'!#REF!</definedName>
    <definedName name="BExTZ7F71SNTOX4LLZCK5R9VUMIJ" localSheetId="11" hidden="1">#REF!</definedName>
    <definedName name="BExTZ7F71SNTOX4LLZCK5R9VUMIJ" localSheetId="6" hidden="1">Stock!#REF!</definedName>
    <definedName name="BExTZ7F71SNTOX4LLZCK5R9VUMIJ" hidden="1">#REF!</definedName>
    <definedName name="BExTZ8X5G9S3PA4FPSNK7T69W7QT" localSheetId="7" hidden="1">'Aged debtors'!#REF!</definedName>
    <definedName name="BExTZ8X5G9S3PA4FPSNK7T69W7QT" localSheetId="10" hidden="1">#REF!</definedName>
    <definedName name="BExTZ8X5G9S3PA4FPSNK7T69W7QT" localSheetId="12" hidden="1">#REF!</definedName>
    <definedName name="BExTZ8X5G9S3PA4FPSNK7T69W7QT" localSheetId="9" hidden="1">'Customer data'!#REF!</definedName>
    <definedName name="BExTZ8X5G9S3PA4FPSNK7T69W7QT" localSheetId="8" hidden="1">'Largest debtors'!#REF!</definedName>
    <definedName name="BExTZ8X5G9S3PA4FPSNK7T69W7QT" localSheetId="11" hidden="1">#REF!</definedName>
    <definedName name="BExTZ8X5G9S3PA4FPSNK7T69W7QT" localSheetId="6" hidden="1">Stock!#REF!</definedName>
    <definedName name="BExTZ8X5G9S3PA4FPSNK7T69W7QT" hidden="1">#REF!</definedName>
    <definedName name="BExTZ97Y0RMR8V5BI9F2H4MFB77O" localSheetId="7" hidden="1">'Aged debtors'!#REF!</definedName>
    <definedName name="BExTZ97Y0RMR8V5BI9F2H4MFB77O" localSheetId="10" hidden="1">#REF!</definedName>
    <definedName name="BExTZ97Y0RMR8V5BI9F2H4MFB77O" localSheetId="12" hidden="1">#REF!</definedName>
    <definedName name="BExTZ97Y0RMR8V5BI9F2H4MFB77O" localSheetId="9" hidden="1">'Customer data'!#REF!</definedName>
    <definedName name="BExTZ97Y0RMR8V5BI9F2H4MFB77O" localSheetId="8" hidden="1">'Largest debtors'!#REF!</definedName>
    <definedName name="BExTZ97Y0RMR8V5BI9F2H4MFB77O" localSheetId="11" hidden="1">#REF!</definedName>
    <definedName name="BExTZ97Y0RMR8V5BI9F2H4MFB77O" localSheetId="6" hidden="1">Stock!#REF!</definedName>
    <definedName name="BExTZ97Y0RMR8V5BI9F2H4MFB77O" hidden="1">#REF!</definedName>
    <definedName name="BExTZK5PMCAXJL4DUIGL6H9Y8U4C" localSheetId="7" hidden="1">'Aged debtors'!#REF!</definedName>
    <definedName name="BExTZK5PMCAXJL4DUIGL6H9Y8U4C" localSheetId="10" hidden="1">#REF!</definedName>
    <definedName name="BExTZK5PMCAXJL4DUIGL6H9Y8U4C" localSheetId="12" hidden="1">#REF!</definedName>
    <definedName name="BExTZK5PMCAXJL4DUIGL6H9Y8U4C" localSheetId="9" hidden="1">'Customer data'!#REF!</definedName>
    <definedName name="BExTZK5PMCAXJL4DUIGL6H9Y8U4C" localSheetId="8" hidden="1">'Largest debtors'!#REF!</definedName>
    <definedName name="BExTZK5PMCAXJL4DUIGL6H9Y8U4C" localSheetId="11" hidden="1">#REF!</definedName>
    <definedName name="BExTZK5PMCAXJL4DUIGL6H9Y8U4C" localSheetId="6" hidden="1">Stock!#REF!</definedName>
    <definedName name="BExTZK5PMCAXJL4DUIGL6H9Y8U4C" hidden="1">#REF!</definedName>
    <definedName name="BExTZKB6L5SXV5UN71YVTCBEIGWY" localSheetId="7" hidden="1">'Aged debtors'!#REF!</definedName>
    <definedName name="BExTZKB6L5SXV5UN71YVTCBEIGWY" localSheetId="10" hidden="1">#REF!</definedName>
    <definedName name="BExTZKB6L5SXV5UN71YVTCBEIGWY" localSheetId="12" hidden="1">#REF!</definedName>
    <definedName name="BExTZKB6L5SXV5UN71YVTCBEIGWY" localSheetId="9" hidden="1">'Customer data'!#REF!</definedName>
    <definedName name="BExTZKB6L5SXV5UN71YVTCBEIGWY" localSheetId="8" hidden="1">'Largest debtors'!#REF!</definedName>
    <definedName name="BExTZKB6L5SXV5UN71YVTCBEIGWY" localSheetId="11" hidden="1">#REF!</definedName>
    <definedName name="BExTZKB6L5SXV5UN71YVTCBEIGWY" localSheetId="6" hidden="1">Stock!#REF!</definedName>
    <definedName name="BExTZKB6L5SXV5UN71YVTCBEIGWY" hidden="1">#REF!</definedName>
    <definedName name="BExTZLICVKK4NBJFEGL270GJ2VQO" localSheetId="7" hidden="1">'Aged debtors'!#REF!</definedName>
    <definedName name="BExTZLICVKK4NBJFEGL270GJ2VQO" localSheetId="10" hidden="1">#REF!</definedName>
    <definedName name="BExTZLICVKK4NBJFEGL270GJ2VQO" localSheetId="12" hidden="1">#REF!</definedName>
    <definedName name="BExTZLICVKK4NBJFEGL270GJ2VQO" localSheetId="9" hidden="1">'Customer data'!#REF!</definedName>
    <definedName name="BExTZLICVKK4NBJFEGL270GJ2VQO" localSheetId="8" hidden="1">'Largest debtors'!#REF!</definedName>
    <definedName name="BExTZLICVKK4NBJFEGL270GJ2VQO" localSheetId="11" hidden="1">#REF!</definedName>
    <definedName name="BExTZLICVKK4NBJFEGL270GJ2VQO" localSheetId="6" hidden="1">Stock!#REF!</definedName>
    <definedName name="BExTZLICVKK4NBJFEGL270GJ2VQO" hidden="1">#REF!</definedName>
    <definedName name="BExTZO2596CBZKPI7YNA1QQNPAIJ" localSheetId="7" hidden="1">'Aged debtors'!#REF!</definedName>
    <definedName name="BExTZO2596CBZKPI7YNA1QQNPAIJ" localSheetId="10" hidden="1">#REF!</definedName>
    <definedName name="BExTZO2596CBZKPI7YNA1QQNPAIJ" localSheetId="12" hidden="1">#REF!</definedName>
    <definedName name="BExTZO2596CBZKPI7YNA1QQNPAIJ" localSheetId="9" hidden="1">'Customer data'!#REF!</definedName>
    <definedName name="BExTZO2596CBZKPI7YNA1QQNPAIJ" localSheetId="8" hidden="1">'Largest debtors'!#REF!</definedName>
    <definedName name="BExTZO2596CBZKPI7YNA1QQNPAIJ" localSheetId="11" hidden="1">#REF!</definedName>
    <definedName name="BExTZO2596CBZKPI7YNA1QQNPAIJ" localSheetId="6" hidden="1">Stock!#REF!</definedName>
    <definedName name="BExTZO2596CBZKPI7YNA1QQNPAIJ" hidden="1">#REF!</definedName>
    <definedName name="BExU02QNT4LT7H9JPUC4FXTLVGZT" localSheetId="7" hidden="1">'Aged debtors'!#REF!</definedName>
    <definedName name="BExU02QNT4LT7H9JPUC4FXTLVGZT" localSheetId="10" hidden="1">#REF!</definedName>
    <definedName name="BExU02QNT4LT7H9JPUC4FXTLVGZT" localSheetId="12" hidden="1">#REF!</definedName>
    <definedName name="BExU02QNT4LT7H9JPUC4FXTLVGZT" localSheetId="9" hidden="1">'Customer data'!#REF!</definedName>
    <definedName name="BExU02QNT4LT7H9JPUC4FXTLVGZT" localSheetId="8" hidden="1">'Largest debtors'!#REF!</definedName>
    <definedName name="BExU02QNT4LT7H9JPUC4FXTLVGZT" localSheetId="11" hidden="1">#REF!</definedName>
    <definedName name="BExU02QNT4LT7H9JPUC4FXTLVGZT" localSheetId="6" hidden="1">Stock!#REF!</definedName>
    <definedName name="BExU02QNT4LT7H9JPUC4FXTLVGZT" hidden="1">#REF!</definedName>
    <definedName name="BExU0BFJJQO1HJZKI14QGOQ6JROO" localSheetId="7" hidden="1">'Aged debtors'!#REF!</definedName>
    <definedName name="BExU0BFJJQO1HJZKI14QGOQ6JROO" localSheetId="10" hidden="1">#REF!</definedName>
    <definedName name="BExU0BFJJQO1HJZKI14QGOQ6JROO" localSheetId="12" hidden="1">#REF!</definedName>
    <definedName name="BExU0BFJJQO1HJZKI14QGOQ6JROO" localSheetId="9" hidden="1">'Customer data'!#REF!</definedName>
    <definedName name="BExU0BFJJQO1HJZKI14QGOQ6JROO" localSheetId="8" hidden="1">'Largest debtors'!#REF!</definedName>
    <definedName name="BExU0BFJJQO1HJZKI14QGOQ6JROO" localSheetId="11" hidden="1">#REF!</definedName>
    <definedName name="BExU0BFJJQO1HJZKI14QGOQ6JROO" localSheetId="6" hidden="1">Stock!#REF!</definedName>
    <definedName name="BExU0BFJJQO1HJZKI14QGOQ6JROO" hidden="1">#REF!</definedName>
    <definedName name="BExU0FH5WTGW8MRFUFMDDSMJ6YQ5" localSheetId="7" hidden="1">'Aged debtors'!#REF!</definedName>
    <definedName name="BExU0FH5WTGW8MRFUFMDDSMJ6YQ5" localSheetId="10" hidden="1">#REF!</definedName>
    <definedName name="BExU0FH5WTGW8MRFUFMDDSMJ6YQ5" localSheetId="12" hidden="1">#REF!</definedName>
    <definedName name="BExU0FH5WTGW8MRFUFMDDSMJ6YQ5" localSheetId="9" hidden="1">'Customer data'!#REF!</definedName>
    <definedName name="BExU0FH5WTGW8MRFUFMDDSMJ6YQ5" localSheetId="8" hidden="1">'Largest debtors'!#REF!</definedName>
    <definedName name="BExU0FH5WTGW8MRFUFMDDSMJ6YQ5" localSheetId="11" hidden="1">#REF!</definedName>
    <definedName name="BExU0FH5WTGW8MRFUFMDDSMJ6YQ5" localSheetId="6" hidden="1">Stock!#REF!</definedName>
    <definedName name="BExU0FH5WTGW8MRFUFMDDSMJ6YQ5" hidden="1">#REF!</definedName>
    <definedName name="BExU0GDOIL9U33QGU9ZU3YX3V1I4" localSheetId="7" hidden="1">'Aged debtors'!#REF!</definedName>
    <definedName name="BExU0GDOIL9U33QGU9ZU3YX3V1I4" localSheetId="10" hidden="1">#REF!</definedName>
    <definedName name="BExU0GDOIL9U33QGU9ZU3YX3V1I4" localSheetId="12" hidden="1">#REF!</definedName>
    <definedName name="BExU0GDOIL9U33QGU9ZU3YX3V1I4" localSheetId="9" hidden="1">'Customer data'!#REF!</definedName>
    <definedName name="BExU0GDOIL9U33QGU9ZU3YX3V1I4" localSheetId="8" hidden="1">'Largest debtors'!#REF!</definedName>
    <definedName name="BExU0GDOIL9U33QGU9ZU3YX3V1I4" localSheetId="11" hidden="1">#REF!</definedName>
    <definedName name="BExU0GDOIL9U33QGU9ZU3YX3V1I4" localSheetId="6" hidden="1">Stock!#REF!</definedName>
    <definedName name="BExU0GDOIL9U33QGU9ZU3YX3V1I4" hidden="1">#REF!</definedName>
    <definedName name="BExU0HKTO8WJDQDWRTUK5TETM3HS" localSheetId="7" hidden="1">'Aged debtors'!#REF!</definedName>
    <definedName name="BExU0HKTO8WJDQDWRTUK5TETM3HS" localSheetId="10" hidden="1">#REF!</definedName>
    <definedName name="BExU0HKTO8WJDQDWRTUK5TETM3HS" localSheetId="12" hidden="1">#REF!</definedName>
    <definedName name="BExU0HKTO8WJDQDWRTUK5TETM3HS" localSheetId="9" hidden="1">'Customer data'!#REF!</definedName>
    <definedName name="BExU0HKTO8WJDQDWRTUK5TETM3HS" localSheetId="8" hidden="1">'Largest debtors'!#REF!</definedName>
    <definedName name="BExU0HKTO8WJDQDWRTUK5TETM3HS" localSheetId="11" hidden="1">#REF!</definedName>
    <definedName name="BExU0HKTO8WJDQDWRTUK5TETM3HS" localSheetId="6" hidden="1">Stock!#REF!</definedName>
    <definedName name="BExU0HKTO8WJDQDWRTUK5TETM3HS" hidden="1">#REF!</definedName>
    <definedName name="BExU147D6RPG6ZVTSXRKFSVRHSBG" localSheetId="7" hidden="1">'Aged debtors'!#REF!</definedName>
    <definedName name="BExU147D6RPG6ZVTSXRKFSVRHSBG" localSheetId="10" hidden="1">#REF!</definedName>
    <definedName name="BExU147D6RPG6ZVTSXRKFSVRHSBG" localSheetId="12" hidden="1">#REF!</definedName>
    <definedName name="BExU147D6RPG6ZVTSXRKFSVRHSBG" localSheetId="9" hidden="1">'Customer data'!#REF!</definedName>
    <definedName name="BExU147D6RPG6ZVTSXRKFSVRHSBG" localSheetId="8" hidden="1">'Largest debtors'!#REF!</definedName>
    <definedName name="BExU147D6RPG6ZVTSXRKFSVRHSBG" localSheetId="11" hidden="1">#REF!</definedName>
    <definedName name="BExU147D6RPG6ZVTSXRKFSVRHSBG" localSheetId="6" hidden="1">Stock!#REF!</definedName>
    <definedName name="BExU147D6RPG6ZVTSXRKFSVRHSBG" hidden="1">#REF!</definedName>
    <definedName name="BExU16R10W1SOAPNG4CDJ01T7JRE" localSheetId="7" hidden="1">'Aged debtors'!#REF!</definedName>
    <definedName name="BExU16R10W1SOAPNG4CDJ01T7JRE" localSheetId="10" hidden="1">#REF!</definedName>
    <definedName name="BExU16R10W1SOAPNG4CDJ01T7JRE" localSheetId="12" hidden="1">#REF!</definedName>
    <definedName name="BExU16R10W1SOAPNG4CDJ01T7JRE" localSheetId="9" hidden="1">'Customer data'!#REF!</definedName>
    <definedName name="BExU16R10W1SOAPNG4CDJ01T7JRE" localSheetId="8" hidden="1">'Largest debtors'!#REF!</definedName>
    <definedName name="BExU16R10W1SOAPNG4CDJ01T7JRE" localSheetId="11" hidden="1">#REF!</definedName>
    <definedName name="BExU16R10W1SOAPNG4CDJ01T7JRE" localSheetId="6" hidden="1">Stock!#REF!</definedName>
    <definedName name="BExU16R10W1SOAPNG4CDJ01T7JRE" hidden="1">#REF!</definedName>
    <definedName name="BExU17CKOR3GNIHDNVLH9L1IOJS9" localSheetId="7" hidden="1">'Aged debtors'!#REF!</definedName>
    <definedName name="BExU17CKOR3GNIHDNVLH9L1IOJS9" localSheetId="10" hidden="1">#REF!</definedName>
    <definedName name="BExU17CKOR3GNIHDNVLH9L1IOJS9" localSheetId="12" hidden="1">#REF!</definedName>
    <definedName name="BExU17CKOR3GNIHDNVLH9L1IOJS9" localSheetId="9" hidden="1">'Customer data'!#REF!</definedName>
    <definedName name="BExU17CKOR3GNIHDNVLH9L1IOJS9" localSheetId="8" hidden="1">'Largest debtors'!#REF!</definedName>
    <definedName name="BExU17CKOR3GNIHDNVLH9L1IOJS9" localSheetId="11" hidden="1">#REF!</definedName>
    <definedName name="BExU17CKOR3GNIHDNVLH9L1IOJS9" localSheetId="6" hidden="1">Stock!#REF!</definedName>
    <definedName name="BExU17CKOR3GNIHDNVLH9L1IOJS9" hidden="1">#REF!</definedName>
    <definedName name="BExU1GXUTLRPJN4MRINLAPHSZQFG" localSheetId="7" hidden="1">'Aged debtors'!#REF!</definedName>
    <definedName name="BExU1GXUTLRPJN4MRINLAPHSZQFG" localSheetId="10" hidden="1">#REF!</definedName>
    <definedName name="BExU1GXUTLRPJN4MRINLAPHSZQFG" localSheetId="12" hidden="1">#REF!</definedName>
    <definedName name="BExU1GXUTLRPJN4MRINLAPHSZQFG" localSheetId="9" hidden="1">'Customer data'!#REF!</definedName>
    <definedName name="BExU1GXUTLRPJN4MRINLAPHSZQFG" localSheetId="8" hidden="1">'Largest debtors'!#REF!</definedName>
    <definedName name="BExU1GXUTLRPJN4MRINLAPHSZQFG" localSheetId="11" hidden="1">#REF!</definedName>
    <definedName name="BExU1GXUTLRPJN4MRINLAPHSZQFG" localSheetId="6" hidden="1">Stock!#REF!</definedName>
    <definedName name="BExU1GXUTLRPJN4MRINLAPHSZQFG" hidden="1">#REF!</definedName>
    <definedName name="BExU1PH9MOEX1JZVZ3D5M9DXB191" localSheetId="7" hidden="1">'Aged debtors'!#REF!</definedName>
    <definedName name="BExU1PH9MOEX1JZVZ3D5M9DXB191" localSheetId="10" hidden="1">#REF!</definedName>
    <definedName name="BExU1PH9MOEX1JZVZ3D5M9DXB191" localSheetId="12" hidden="1">#REF!</definedName>
    <definedName name="BExU1PH9MOEX1JZVZ3D5M9DXB191" localSheetId="9" hidden="1">'Customer data'!#REF!</definedName>
    <definedName name="BExU1PH9MOEX1JZVZ3D5M9DXB191" localSheetId="8" hidden="1">'Largest debtors'!#REF!</definedName>
    <definedName name="BExU1PH9MOEX1JZVZ3D5M9DXB191" localSheetId="11" hidden="1">#REF!</definedName>
    <definedName name="BExU1PH9MOEX1JZVZ3D5M9DXB191" localSheetId="6" hidden="1">Stock!#REF!</definedName>
    <definedName name="BExU1PH9MOEX1JZVZ3D5M9DXB191" hidden="1">#REF!</definedName>
    <definedName name="BExU1QZEEKJA35IMEOLOJ3ODX0ZA" localSheetId="7" hidden="1">'Aged debtors'!#REF!</definedName>
    <definedName name="BExU1QZEEKJA35IMEOLOJ3ODX0ZA" localSheetId="10" hidden="1">#REF!</definedName>
    <definedName name="BExU1QZEEKJA35IMEOLOJ3ODX0ZA" localSheetId="12" hidden="1">#REF!</definedName>
    <definedName name="BExU1QZEEKJA35IMEOLOJ3ODX0ZA" localSheetId="9" hidden="1">'Customer data'!#REF!</definedName>
    <definedName name="BExU1QZEEKJA35IMEOLOJ3ODX0ZA" localSheetId="8" hidden="1">'Largest debtors'!#REF!</definedName>
    <definedName name="BExU1QZEEKJA35IMEOLOJ3ODX0ZA" localSheetId="11" hidden="1">#REF!</definedName>
    <definedName name="BExU1QZEEKJA35IMEOLOJ3ODX0ZA" localSheetId="6" hidden="1">Stock!#REF!</definedName>
    <definedName name="BExU1QZEEKJA35IMEOLOJ3ODX0ZA" hidden="1">#REF!</definedName>
    <definedName name="BExU1VRURIWWVJ95O40WA23LMTJD" localSheetId="7" hidden="1">'Aged debtors'!#REF!</definedName>
    <definedName name="BExU1VRURIWWVJ95O40WA23LMTJD" localSheetId="10" hidden="1">#REF!</definedName>
    <definedName name="BExU1VRURIWWVJ95O40WA23LMTJD" localSheetId="12" hidden="1">#REF!</definedName>
    <definedName name="BExU1VRURIWWVJ95O40WA23LMTJD" localSheetId="9" hidden="1">'Customer data'!#REF!</definedName>
    <definedName name="BExU1VRURIWWVJ95O40WA23LMTJD" localSheetId="8" hidden="1">'Largest debtors'!#REF!</definedName>
    <definedName name="BExU1VRURIWWVJ95O40WA23LMTJD" localSheetId="11" hidden="1">#REF!</definedName>
    <definedName name="BExU1VRURIWWVJ95O40WA23LMTJD" localSheetId="6" hidden="1">Stock!#REF!</definedName>
    <definedName name="BExU1VRURIWWVJ95O40WA23LMTJD" hidden="1">#REF!</definedName>
    <definedName name="BExU2M5CK6XK55UIHDVYRXJJJRI4" localSheetId="7" hidden="1">'Aged debtors'!#REF!</definedName>
    <definedName name="BExU2M5CK6XK55UIHDVYRXJJJRI4" localSheetId="10" hidden="1">#REF!</definedName>
    <definedName name="BExU2M5CK6XK55UIHDVYRXJJJRI4" localSheetId="12" hidden="1">#REF!</definedName>
    <definedName name="BExU2M5CK6XK55UIHDVYRXJJJRI4" localSheetId="9" hidden="1">'Customer data'!#REF!</definedName>
    <definedName name="BExU2M5CK6XK55UIHDVYRXJJJRI4" localSheetId="8" hidden="1">'Largest debtors'!#REF!</definedName>
    <definedName name="BExU2M5CK6XK55UIHDVYRXJJJRI4" localSheetId="11" hidden="1">#REF!</definedName>
    <definedName name="BExU2M5CK6XK55UIHDVYRXJJJRI4" localSheetId="6" hidden="1">Stock!#REF!</definedName>
    <definedName name="BExU2M5CK6XK55UIHDVYRXJJJRI4" hidden="1">#REF!</definedName>
    <definedName name="BExU2XZLYIU19G7358W5T9E87AFR" localSheetId="7" hidden="1">'Aged debtors'!#REF!</definedName>
    <definedName name="BExU2XZLYIU19G7358W5T9E87AFR" localSheetId="10" hidden="1">#REF!</definedName>
    <definedName name="BExU2XZLYIU19G7358W5T9E87AFR" localSheetId="12" hidden="1">#REF!</definedName>
    <definedName name="BExU2XZLYIU19G7358W5T9E87AFR" localSheetId="9" hidden="1">'Customer data'!#REF!</definedName>
    <definedName name="BExU2XZLYIU19G7358W5T9E87AFR" localSheetId="8" hidden="1">'Largest debtors'!#REF!</definedName>
    <definedName name="BExU2XZLYIU19G7358W5T9E87AFR" localSheetId="11" hidden="1">#REF!</definedName>
    <definedName name="BExU2XZLYIU19G7358W5T9E87AFR" localSheetId="6" hidden="1">Stock!#REF!</definedName>
    <definedName name="BExU2XZLYIU19G7358W5T9E87AFR" hidden="1">#REF!</definedName>
    <definedName name="BExU3B66MCKJFSKT3HL8B5EJGVX0" localSheetId="7" hidden="1">'Aged debtors'!#REF!</definedName>
    <definedName name="BExU3B66MCKJFSKT3HL8B5EJGVX0" localSheetId="10" hidden="1">#REF!</definedName>
    <definedName name="BExU3B66MCKJFSKT3HL8B5EJGVX0" localSheetId="12" hidden="1">#REF!</definedName>
    <definedName name="BExU3B66MCKJFSKT3HL8B5EJGVX0" localSheetId="9" hidden="1">'Customer data'!#REF!</definedName>
    <definedName name="BExU3B66MCKJFSKT3HL8B5EJGVX0" localSheetId="8" hidden="1">'Largest debtors'!#REF!</definedName>
    <definedName name="BExU3B66MCKJFSKT3HL8B5EJGVX0" localSheetId="11" hidden="1">#REF!</definedName>
    <definedName name="BExU3B66MCKJFSKT3HL8B5EJGVX0" localSheetId="6" hidden="1">Stock!#REF!</definedName>
    <definedName name="BExU3B66MCKJFSKT3HL8B5EJGVX0" hidden="1">#REF!</definedName>
    <definedName name="BExU401R18N6XKZKL7CNFOZQCM14" localSheetId="7" hidden="1">'Aged debtors'!#REF!</definedName>
    <definedName name="BExU401R18N6XKZKL7CNFOZQCM14" localSheetId="10" hidden="1">#REF!</definedName>
    <definedName name="BExU401R18N6XKZKL7CNFOZQCM14" localSheetId="12" hidden="1">#REF!</definedName>
    <definedName name="BExU401R18N6XKZKL7CNFOZQCM14" localSheetId="9" hidden="1">'Customer data'!#REF!</definedName>
    <definedName name="BExU401R18N6XKZKL7CNFOZQCM14" localSheetId="8" hidden="1">'Largest debtors'!#REF!</definedName>
    <definedName name="BExU401R18N6XKZKL7CNFOZQCM14" localSheetId="11" hidden="1">#REF!</definedName>
    <definedName name="BExU401R18N6XKZKL7CNFOZQCM14" localSheetId="6" hidden="1">Stock!#REF!</definedName>
    <definedName name="BExU401R18N6XKZKL7CNFOZQCM14" hidden="1">#REF!</definedName>
    <definedName name="BExU47OZMS6TCWMEHHF0UCSFLLPI" localSheetId="7" hidden="1">'Aged debtors'!#REF!</definedName>
    <definedName name="BExU47OZMS6TCWMEHHF0UCSFLLPI" localSheetId="10" hidden="1">#REF!</definedName>
    <definedName name="BExU47OZMS6TCWMEHHF0UCSFLLPI" localSheetId="12" hidden="1">#REF!</definedName>
    <definedName name="BExU47OZMS6TCWMEHHF0UCSFLLPI" localSheetId="9" hidden="1">'Customer data'!#REF!</definedName>
    <definedName name="BExU47OZMS6TCWMEHHF0UCSFLLPI" localSheetId="8" hidden="1">'Largest debtors'!#REF!</definedName>
    <definedName name="BExU47OZMS6TCWMEHHF0UCSFLLPI" localSheetId="11" hidden="1">#REF!</definedName>
    <definedName name="BExU47OZMS6TCWMEHHF0UCSFLLPI" localSheetId="6" hidden="1">Stock!#REF!</definedName>
    <definedName name="BExU47OZMS6TCWMEHHF0UCSFLLPI" hidden="1">#REF!</definedName>
    <definedName name="BExU4I148DA7PRCCISLWQ6ABXFK6" localSheetId="7" hidden="1">'Aged debtors'!#REF!</definedName>
    <definedName name="BExU4I148DA7PRCCISLWQ6ABXFK6" localSheetId="10" hidden="1">#REF!</definedName>
    <definedName name="BExU4I148DA7PRCCISLWQ6ABXFK6" localSheetId="12" hidden="1">#REF!</definedName>
    <definedName name="BExU4I148DA7PRCCISLWQ6ABXFK6" localSheetId="9" hidden="1">'Customer data'!#REF!</definedName>
    <definedName name="BExU4I148DA7PRCCISLWQ6ABXFK6" localSheetId="8" hidden="1">'Largest debtors'!#REF!</definedName>
    <definedName name="BExU4I148DA7PRCCISLWQ6ABXFK6" localSheetId="11" hidden="1">#REF!</definedName>
    <definedName name="BExU4I148DA7PRCCISLWQ6ABXFK6" localSheetId="6" hidden="1">Stock!#REF!</definedName>
    <definedName name="BExU4I148DA7PRCCISLWQ6ABXFK6" hidden="1">#REF!</definedName>
    <definedName name="BExU4L101H2KQHVKCKQ4PBAWZV6K" localSheetId="7" hidden="1">'Aged debtors'!#REF!</definedName>
    <definedName name="BExU4L101H2KQHVKCKQ4PBAWZV6K" localSheetId="10" hidden="1">#REF!</definedName>
    <definedName name="BExU4L101H2KQHVKCKQ4PBAWZV6K" localSheetId="12" hidden="1">#REF!</definedName>
    <definedName name="BExU4L101H2KQHVKCKQ4PBAWZV6K" localSheetId="9" hidden="1">'Customer data'!#REF!</definedName>
    <definedName name="BExU4L101H2KQHVKCKQ4PBAWZV6K" localSheetId="8" hidden="1">'Largest debtors'!#REF!</definedName>
    <definedName name="BExU4L101H2KQHVKCKQ4PBAWZV6K" localSheetId="11" hidden="1">#REF!</definedName>
    <definedName name="BExU4L101H2KQHVKCKQ4PBAWZV6K" localSheetId="6" hidden="1">Stock!#REF!</definedName>
    <definedName name="BExU4L101H2KQHVKCKQ4PBAWZV6K" hidden="1">#REF!</definedName>
    <definedName name="BExU529I6YHVOG83TJHWSILIQU1S" localSheetId="7" hidden="1">'Aged debtors'!#REF!</definedName>
    <definedName name="BExU529I6YHVOG83TJHWSILIQU1S" localSheetId="10" hidden="1">#REF!</definedName>
    <definedName name="BExU529I6YHVOG83TJHWSILIQU1S" localSheetId="12" hidden="1">#REF!</definedName>
    <definedName name="BExU529I6YHVOG83TJHWSILIQU1S" localSheetId="9" hidden="1">'Customer data'!#REF!</definedName>
    <definedName name="BExU529I6YHVOG83TJHWSILIQU1S" localSheetId="8" hidden="1">'Largest debtors'!#REF!</definedName>
    <definedName name="BExU529I6YHVOG83TJHWSILIQU1S" localSheetId="11" hidden="1">#REF!</definedName>
    <definedName name="BExU529I6YHVOG83TJHWSILIQU1S" localSheetId="6" hidden="1">Stock!#REF!</definedName>
    <definedName name="BExU529I6YHVOG83TJHWSILIQU1S" hidden="1">#REF!</definedName>
    <definedName name="BExU57YCIKPRD8QWL6EU0YR3NG3J" localSheetId="7" hidden="1">'Aged debtors'!#REF!</definedName>
    <definedName name="BExU57YCIKPRD8QWL6EU0YR3NG3J" localSheetId="10" hidden="1">#REF!</definedName>
    <definedName name="BExU57YCIKPRD8QWL6EU0YR3NG3J" localSheetId="12" hidden="1">#REF!</definedName>
    <definedName name="BExU57YCIKPRD8QWL6EU0YR3NG3J" localSheetId="9" hidden="1">'Customer data'!#REF!</definedName>
    <definedName name="BExU57YCIKPRD8QWL6EU0YR3NG3J" localSheetId="8" hidden="1">'Largest debtors'!#REF!</definedName>
    <definedName name="BExU57YCIKPRD8QWL6EU0YR3NG3J" localSheetId="11" hidden="1">#REF!</definedName>
    <definedName name="BExU57YCIKPRD8QWL6EU0YR3NG3J" localSheetId="6" hidden="1">Stock!#REF!</definedName>
    <definedName name="BExU57YCIKPRD8QWL6EU0YR3NG3J" hidden="1">#REF!</definedName>
    <definedName name="BExU5DSTBWXLN6E59B757KRWRI6E" localSheetId="7" hidden="1">'Aged debtors'!#REF!</definedName>
    <definedName name="BExU5DSTBWXLN6E59B757KRWRI6E" localSheetId="10" hidden="1">#REF!</definedName>
    <definedName name="BExU5DSTBWXLN6E59B757KRWRI6E" localSheetId="12" hidden="1">#REF!</definedName>
    <definedName name="BExU5DSTBWXLN6E59B757KRWRI6E" localSheetId="9" hidden="1">'Customer data'!#REF!</definedName>
    <definedName name="BExU5DSTBWXLN6E59B757KRWRI6E" localSheetId="8" hidden="1">'Largest debtors'!#REF!</definedName>
    <definedName name="BExU5DSTBWXLN6E59B757KRWRI6E" localSheetId="11" hidden="1">#REF!</definedName>
    <definedName name="BExU5DSTBWXLN6E59B757KRWRI6E" localSheetId="6" hidden="1">Stock!#REF!</definedName>
    <definedName name="BExU5DSTBWXLN6E59B757KRWRI6E" hidden="1">#REF!</definedName>
    <definedName name="BExU5X4OX1V1XHS6WSSORVQPP6Z3" localSheetId="7" hidden="1">'Aged debtors'!#REF!</definedName>
    <definedName name="BExU5X4OX1V1XHS6WSSORVQPP6Z3" localSheetId="10" hidden="1">#REF!</definedName>
    <definedName name="BExU5X4OX1V1XHS6WSSORVQPP6Z3" localSheetId="12" hidden="1">#REF!</definedName>
    <definedName name="BExU5X4OX1V1XHS6WSSORVQPP6Z3" localSheetId="9" hidden="1">'Customer data'!#REF!</definedName>
    <definedName name="BExU5X4OX1V1XHS6WSSORVQPP6Z3" localSheetId="8" hidden="1">'Largest debtors'!#REF!</definedName>
    <definedName name="BExU5X4OX1V1XHS6WSSORVQPP6Z3" localSheetId="11" hidden="1">#REF!</definedName>
    <definedName name="BExU5X4OX1V1XHS6WSSORVQPP6Z3" localSheetId="6" hidden="1">Stock!#REF!</definedName>
    <definedName name="BExU5X4OX1V1XHS6WSSORVQPP6Z3" hidden="1">#REF!</definedName>
    <definedName name="BExU66KMFBAP8JCVG9VM1RD1TNFF" localSheetId="7" hidden="1">'Aged debtors'!#REF!</definedName>
    <definedName name="BExU66KMFBAP8JCVG9VM1RD1TNFF" localSheetId="10" hidden="1">#REF!</definedName>
    <definedName name="BExU66KMFBAP8JCVG9VM1RD1TNFF" localSheetId="12" hidden="1">#REF!</definedName>
    <definedName name="BExU66KMFBAP8JCVG9VM1RD1TNFF" localSheetId="9" hidden="1">'Customer data'!#REF!</definedName>
    <definedName name="BExU66KMFBAP8JCVG9VM1RD1TNFF" localSheetId="8" hidden="1">'Largest debtors'!#REF!</definedName>
    <definedName name="BExU66KMFBAP8JCVG9VM1RD1TNFF" localSheetId="11" hidden="1">#REF!</definedName>
    <definedName name="BExU66KMFBAP8JCVG9VM1RD1TNFF" localSheetId="6" hidden="1">Stock!#REF!</definedName>
    <definedName name="BExU66KMFBAP8JCVG9VM1RD1TNFF" hidden="1">#REF!</definedName>
    <definedName name="BExU68IOM3CB3TACNAE9565TW7SH" localSheetId="7" hidden="1">'Aged debtors'!#REF!</definedName>
    <definedName name="BExU68IOM3CB3TACNAE9565TW7SH" localSheetId="10" hidden="1">#REF!</definedName>
    <definedName name="BExU68IOM3CB3TACNAE9565TW7SH" localSheetId="12" hidden="1">#REF!</definedName>
    <definedName name="BExU68IOM3CB3TACNAE9565TW7SH" localSheetId="9" hidden="1">'Customer data'!#REF!</definedName>
    <definedName name="BExU68IOM3CB3TACNAE9565TW7SH" localSheetId="8" hidden="1">'Largest debtors'!#REF!</definedName>
    <definedName name="BExU68IOM3CB3TACNAE9565TW7SH" localSheetId="11" hidden="1">#REF!</definedName>
    <definedName name="BExU68IOM3CB3TACNAE9565TW7SH" localSheetId="6" hidden="1">Stock!#REF!</definedName>
    <definedName name="BExU68IOM3CB3TACNAE9565TW7SH" hidden="1">#REF!</definedName>
    <definedName name="BExU6FEU1MRHU98R9YOJC5OKUJ6L" localSheetId="7" hidden="1">'Aged debtors'!#REF!</definedName>
    <definedName name="BExU6FEU1MRHU98R9YOJC5OKUJ6L" localSheetId="10" hidden="1">#REF!</definedName>
    <definedName name="BExU6FEU1MRHU98R9YOJC5OKUJ6L" localSheetId="12" hidden="1">#REF!</definedName>
    <definedName name="BExU6FEU1MRHU98R9YOJC5OKUJ6L" localSheetId="9" hidden="1">'Customer data'!#REF!</definedName>
    <definedName name="BExU6FEU1MRHU98R9YOJC5OKUJ6L" localSheetId="8" hidden="1">'Largest debtors'!#REF!</definedName>
    <definedName name="BExU6FEU1MRHU98R9YOJC5OKUJ6L" localSheetId="11" hidden="1">#REF!</definedName>
    <definedName name="BExU6FEU1MRHU98R9YOJC5OKUJ6L" localSheetId="6" hidden="1">Stock!#REF!</definedName>
    <definedName name="BExU6FEU1MRHU98R9YOJC5OKUJ6L" hidden="1">#REF!</definedName>
    <definedName name="BExU6KIAJ663Y8W8QMU4HCF183DF" localSheetId="7" hidden="1">'Aged debtors'!#REF!</definedName>
    <definedName name="BExU6KIAJ663Y8W8QMU4HCF183DF" localSheetId="10" hidden="1">#REF!</definedName>
    <definedName name="BExU6KIAJ663Y8W8QMU4HCF183DF" localSheetId="12" hidden="1">#REF!</definedName>
    <definedName name="BExU6KIAJ663Y8W8QMU4HCF183DF" localSheetId="9" hidden="1">'Customer data'!#REF!</definedName>
    <definedName name="BExU6KIAJ663Y8W8QMU4HCF183DF" localSheetId="8" hidden="1">'Largest debtors'!#REF!</definedName>
    <definedName name="BExU6KIAJ663Y8W8QMU4HCF183DF" localSheetId="11" hidden="1">#REF!</definedName>
    <definedName name="BExU6KIAJ663Y8W8QMU4HCF183DF" localSheetId="6" hidden="1">Stock!#REF!</definedName>
    <definedName name="BExU6KIAJ663Y8W8QMU4HCF183DF" hidden="1">#REF!</definedName>
    <definedName name="BExU6PAVKIOAIMQ9XQIHHF1SUAGO" localSheetId="7" hidden="1">'Aged debtors'!#REF!</definedName>
    <definedName name="BExU6PAVKIOAIMQ9XQIHHF1SUAGO" localSheetId="10" hidden="1">#REF!</definedName>
    <definedName name="BExU6PAVKIOAIMQ9XQIHHF1SUAGO" localSheetId="12" hidden="1">#REF!</definedName>
    <definedName name="BExU6PAVKIOAIMQ9XQIHHF1SUAGO" localSheetId="9" hidden="1">'Customer data'!#REF!</definedName>
    <definedName name="BExU6PAVKIOAIMQ9XQIHHF1SUAGO" localSheetId="8" hidden="1">'Largest debtors'!#REF!</definedName>
    <definedName name="BExU6PAVKIOAIMQ9XQIHHF1SUAGO" localSheetId="11" hidden="1">#REF!</definedName>
    <definedName name="BExU6PAVKIOAIMQ9XQIHHF1SUAGO" localSheetId="6" hidden="1">Stock!#REF!</definedName>
    <definedName name="BExU6PAVKIOAIMQ9XQIHHF1SUAGO" hidden="1">#REF!</definedName>
    <definedName name="BExU6WXXC7SSQDMHSLUN5C2V4IYX" localSheetId="7" hidden="1">'Aged debtors'!#REF!</definedName>
    <definedName name="BExU6WXXC7SSQDMHSLUN5C2V4IYX" localSheetId="10" hidden="1">#REF!</definedName>
    <definedName name="BExU6WXXC7SSQDMHSLUN5C2V4IYX" localSheetId="12" hidden="1">#REF!</definedName>
    <definedName name="BExU6WXXC7SSQDMHSLUN5C2V4IYX" localSheetId="9" hidden="1">'Customer data'!#REF!</definedName>
    <definedName name="BExU6WXXC7SSQDMHSLUN5C2V4IYX" localSheetId="8" hidden="1">'Largest debtors'!#REF!</definedName>
    <definedName name="BExU6WXXC7SSQDMHSLUN5C2V4IYX" localSheetId="11" hidden="1">#REF!</definedName>
    <definedName name="BExU6WXXC7SSQDMHSLUN5C2V4IYX" localSheetId="6" hidden="1">Stock!#REF!</definedName>
    <definedName name="BExU6WXXC7SSQDMHSLUN5C2V4IYX" hidden="1">#REF!</definedName>
    <definedName name="BExU73387E74XE8A9UKZLZNJYY65" localSheetId="7" hidden="1">'Aged debtors'!#REF!</definedName>
    <definedName name="BExU73387E74XE8A9UKZLZNJYY65" localSheetId="10" hidden="1">#REF!</definedName>
    <definedName name="BExU73387E74XE8A9UKZLZNJYY65" localSheetId="12" hidden="1">#REF!</definedName>
    <definedName name="BExU73387E74XE8A9UKZLZNJYY65" localSheetId="9" hidden="1">'Customer data'!#REF!</definedName>
    <definedName name="BExU73387E74XE8A9UKZLZNJYY65" localSheetId="8" hidden="1">'Largest debtors'!#REF!</definedName>
    <definedName name="BExU73387E74XE8A9UKZLZNJYY65" localSheetId="11" hidden="1">#REF!</definedName>
    <definedName name="BExU73387E74XE8A9UKZLZNJYY65" localSheetId="6" hidden="1">Stock!#REF!</definedName>
    <definedName name="BExU73387E74XE8A9UKZLZNJYY65" hidden="1">#REF!</definedName>
    <definedName name="BExU76ZHCJM8I7VSICCMSTC33O6U" localSheetId="7" hidden="1">'Aged debtors'!#REF!</definedName>
    <definedName name="BExU76ZHCJM8I7VSICCMSTC33O6U" localSheetId="10" hidden="1">#REF!</definedName>
    <definedName name="BExU76ZHCJM8I7VSICCMSTC33O6U" localSheetId="12" hidden="1">#REF!</definedName>
    <definedName name="BExU76ZHCJM8I7VSICCMSTC33O6U" localSheetId="9" hidden="1">'Customer data'!#REF!</definedName>
    <definedName name="BExU76ZHCJM8I7VSICCMSTC33O6U" localSheetId="8" hidden="1">'Largest debtors'!#REF!</definedName>
    <definedName name="BExU76ZHCJM8I7VSICCMSTC33O6U" localSheetId="11" hidden="1">#REF!</definedName>
    <definedName name="BExU76ZHCJM8I7VSICCMSTC33O6U" localSheetId="6" hidden="1">Stock!#REF!</definedName>
    <definedName name="BExU76ZHCJM8I7VSICCMSTC33O6U" hidden="1">#REF!</definedName>
    <definedName name="BExU7BBTUF8BQ42DSGM94X5TG5GF" localSheetId="7" hidden="1">'Aged debtors'!#REF!</definedName>
    <definedName name="BExU7BBTUF8BQ42DSGM94X5TG5GF" localSheetId="10" hidden="1">#REF!</definedName>
    <definedName name="BExU7BBTUF8BQ42DSGM94X5TG5GF" localSheetId="12" hidden="1">#REF!</definedName>
    <definedName name="BExU7BBTUF8BQ42DSGM94X5TG5GF" localSheetId="9" hidden="1">'Customer data'!#REF!</definedName>
    <definedName name="BExU7BBTUF8BQ42DSGM94X5TG5GF" localSheetId="8" hidden="1">'Largest debtors'!#REF!</definedName>
    <definedName name="BExU7BBTUF8BQ42DSGM94X5TG5GF" localSheetId="11" hidden="1">#REF!</definedName>
    <definedName name="BExU7BBTUF8BQ42DSGM94X5TG5GF" localSheetId="6" hidden="1">Stock!#REF!</definedName>
    <definedName name="BExU7BBTUF8BQ42DSGM94X5TG5GF" hidden="1">#REF!</definedName>
    <definedName name="BExU7HH4EAHFQHT4AXKGWAWZP3I0" localSheetId="7" hidden="1">'Aged debtors'!#REF!</definedName>
    <definedName name="BExU7HH4EAHFQHT4AXKGWAWZP3I0" localSheetId="10" hidden="1">#REF!</definedName>
    <definedName name="BExU7HH4EAHFQHT4AXKGWAWZP3I0" localSheetId="12" hidden="1">#REF!</definedName>
    <definedName name="BExU7HH4EAHFQHT4AXKGWAWZP3I0" localSheetId="9" hidden="1">'Customer data'!#REF!</definedName>
    <definedName name="BExU7HH4EAHFQHT4AXKGWAWZP3I0" localSheetId="8" hidden="1">'Largest debtors'!#REF!</definedName>
    <definedName name="BExU7HH4EAHFQHT4AXKGWAWZP3I0" localSheetId="11" hidden="1">#REF!</definedName>
    <definedName name="BExU7HH4EAHFQHT4AXKGWAWZP3I0" localSheetId="6" hidden="1">Stock!#REF!</definedName>
    <definedName name="BExU7HH4EAHFQHT4AXKGWAWZP3I0" hidden="1">#REF!</definedName>
    <definedName name="BExU80I6AE5OU7P7F5V7HWIZBJ4P" localSheetId="7" hidden="1">'Aged debtors'!#REF!</definedName>
    <definedName name="BExU80I6AE5OU7P7F5V7HWIZBJ4P" localSheetId="10" hidden="1">#REF!</definedName>
    <definedName name="BExU80I6AE5OU7P7F5V7HWIZBJ4P" localSheetId="12" hidden="1">#REF!</definedName>
    <definedName name="BExU80I6AE5OU7P7F5V7HWIZBJ4P" localSheetId="9" hidden="1">'Customer data'!#REF!</definedName>
    <definedName name="BExU80I6AE5OU7P7F5V7HWIZBJ4P" localSheetId="8" hidden="1">'Largest debtors'!#REF!</definedName>
    <definedName name="BExU80I6AE5OU7P7F5V7HWIZBJ4P" localSheetId="11" hidden="1">#REF!</definedName>
    <definedName name="BExU80I6AE5OU7P7F5V7HWIZBJ4P" localSheetId="6" hidden="1">Stock!#REF!</definedName>
    <definedName name="BExU80I6AE5OU7P7F5V7HWIZBJ4P" hidden="1">#REF!</definedName>
    <definedName name="BExU8KFLAN778MBN93NYZB0FV30G" localSheetId="7" hidden="1">'Aged debtors'!#REF!</definedName>
    <definedName name="BExU8KFLAN778MBN93NYZB0FV30G" localSheetId="10" hidden="1">#REF!</definedName>
    <definedName name="BExU8KFLAN778MBN93NYZB0FV30G" localSheetId="12" hidden="1">#REF!</definedName>
    <definedName name="BExU8KFLAN778MBN93NYZB0FV30G" localSheetId="9" hidden="1">'Customer data'!#REF!</definedName>
    <definedName name="BExU8KFLAN778MBN93NYZB0FV30G" localSheetId="8" hidden="1">'Largest debtors'!#REF!</definedName>
    <definedName name="BExU8KFLAN778MBN93NYZB0FV30G" localSheetId="11" hidden="1">#REF!</definedName>
    <definedName name="BExU8KFLAN778MBN93NYZB0FV30G" localSheetId="6" hidden="1">Stock!#REF!</definedName>
    <definedName name="BExU8KFLAN778MBN93NYZB0FV30G" hidden="1">#REF!</definedName>
    <definedName name="BExU8UX9JX3XLB47YZ8GFXE0V7R2" localSheetId="7" hidden="1">'Aged debtors'!#REF!</definedName>
    <definedName name="BExU8UX9JX3XLB47YZ8GFXE0V7R2" localSheetId="10" hidden="1">#REF!</definedName>
    <definedName name="BExU8UX9JX3XLB47YZ8GFXE0V7R2" localSheetId="12" hidden="1">#REF!</definedName>
    <definedName name="BExU8UX9JX3XLB47YZ8GFXE0V7R2" localSheetId="9" hidden="1">'Customer data'!#REF!</definedName>
    <definedName name="BExU8UX9JX3XLB47YZ8GFXE0V7R2" localSheetId="8" hidden="1">'Largest debtors'!#REF!</definedName>
    <definedName name="BExU8UX9JX3XLB47YZ8GFXE0V7R2" localSheetId="11" hidden="1">#REF!</definedName>
    <definedName name="BExU8UX9JX3XLB47YZ8GFXE0V7R2" localSheetId="6" hidden="1">Stock!#REF!</definedName>
    <definedName name="BExU8UX9JX3XLB47YZ8GFXE0V7R2" hidden="1">#REF!</definedName>
    <definedName name="BExU96M1J7P9DZQ3S9H0C12KGYTW" localSheetId="7" hidden="1">'Aged debtors'!#REF!</definedName>
    <definedName name="BExU96M1J7P9DZQ3S9H0C12KGYTW" localSheetId="10" hidden="1">#REF!</definedName>
    <definedName name="BExU96M1J7P9DZQ3S9H0C12KGYTW" localSheetId="12" hidden="1">#REF!</definedName>
    <definedName name="BExU96M1J7P9DZQ3S9H0C12KGYTW" localSheetId="9" hidden="1">'Customer data'!#REF!</definedName>
    <definedName name="BExU96M1J7P9DZQ3S9H0C12KGYTW" localSheetId="8" hidden="1">'Largest debtors'!#REF!</definedName>
    <definedName name="BExU96M1J7P9DZQ3S9H0C12KGYTW" localSheetId="11" hidden="1">#REF!</definedName>
    <definedName name="BExU96M1J7P9DZQ3S9H0C12KGYTW" localSheetId="6" hidden="1">Stock!#REF!</definedName>
    <definedName name="BExU96M1J7P9DZQ3S9H0C12KGYTW" hidden="1">#REF!</definedName>
    <definedName name="BExU9F05OR1GZ3057R6UL3WPEIYI" localSheetId="7" hidden="1">'Aged debtors'!#REF!</definedName>
    <definedName name="BExU9F05OR1GZ3057R6UL3WPEIYI" localSheetId="10" hidden="1">#REF!</definedName>
    <definedName name="BExU9F05OR1GZ3057R6UL3WPEIYI" localSheetId="12" hidden="1">#REF!</definedName>
    <definedName name="BExU9F05OR1GZ3057R6UL3WPEIYI" localSheetId="9" hidden="1">'Customer data'!#REF!</definedName>
    <definedName name="BExU9F05OR1GZ3057R6UL3WPEIYI" localSheetId="8" hidden="1">'Largest debtors'!#REF!</definedName>
    <definedName name="BExU9F05OR1GZ3057R6UL3WPEIYI" localSheetId="11" hidden="1">#REF!</definedName>
    <definedName name="BExU9F05OR1GZ3057R6UL3WPEIYI" localSheetId="6" hidden="1">Stock!#REF!</definedName>
    <definedName name="BExU9F05OR1GZ3057R6UL3WPEIYI" hidden="1">#REF!</definedName>
    <definedName name="BExU9KJOZLO15N11MJVN782NFGJ0" localSheetId="7" hidden="1">'Aged debtors'!#REF!</definedName>
    <definedName name="BExU9KJOZLO15N11MJVN782NFGJ0" localSheetId="10" hidden="1">#REF!</definedName>
    <definedName name="BExU9KJOZLO15N11MJVN782NFGJ0" localSheetId="12" hidden="1">#REF!</definedName>
    <definedName name="BExU9KJOZLO15N11MJVN782NFGJ0" localSheetId="9" hidden="1">'Customer data'!#REF!</definedName>
    <definedName name="BExU9KJOZLO15N11MJVN782NFGJ0" localSheetId="8" hidden="1">'Largest debtors'!#REF!</definedName>
    <definedName name="BExU9KJOZLO15N11MJVN782NFGJ0" localSheetId="11" hidden="1">#REF!</definedName>
    <definedName name="BExU9KJOZLO15N11MJVN782NFGJ0" localSheetId="6" hidden="1">Stock!#REF!</definedName>
    <definedName name="BExU9KJOZLO15N11MJVN782NFGJ0" hidden="1">#REF!</definedName>
    <definedName name="BExU9LG29XU2K1GNKRO4438JYQZE" localSheetId="7" hidden="1">'Aged debtors'!#REF!</definedName>
    <definedName name="BExU9LG29XU2K1GNKRO4438JYQZE" localSheetId="10" hidden="1">#REF!</definedName>
    <definedName name="BExU9LG29XU2K1GNKRO4438JYQZE" localSheetId="12" hidden="1">#REF!</definedName>
    <definedName name="BExU9LG29XU2K1GNKRO4438JYQZE" localSheetId="9" hidden="1">'Customer data'!#REF!</definedName>
    <definedName name="BExU9LG29XU2K1GNKRO4438JYQZE" localSheetId="8" hidden="1">'Largest debtors'!#REF!</definedName>
    <definedName name="BExU9LG29XU2K1GNKRO4438JYQZE" localSheetId="11" hidden="1">#REF!</definedName>
    <definedName name="BExU9LG29XU2K1GNKRO4438JYQZE" localSheetId="6" hidden="1">Stock!#REF!</definedName>
    <definedName name="BExU9LG29XU2K1GNKRO4438JYQZE" hidden="1">#REF!</definedName>
    <definedName name="BExUA28AO7OWDG3H23Q0CL4B7BHW" localSheetId="7" hidden="1">'Aged debtors'!#REF!</definedName>
    <definedName name="BExUA28AO7OWDG3H23Q0CL4B7BHW" localSheetId="10" hidden="1">#REF!</definedName>
    <definedName name="BExUA28AO7OWDG3H23Q0CL4B7BHW" localSheetId="12" hidden="1">#REF!</definedName>
    <definedName name="BExUA28AO7OWDG3H23Q0CL4B7BHW" localSheetId="9" hidden="1">'Customer data'!#REF!</definedName>
    <definedName name="BExUA28AO7OWDG3H23Q0CL4B7BHW" localSheetId="8" hidden="1">'Largest debtors'!#REF!</definedName>
    <definedName name="BExUA28AO7OWDG3H23Q0CL4B7BHW" localSheetId="11" hidden="1">#REF!</definedName>
    <definedName name="BExUA28AO7OWDG3H23Q0CL4B7BHW" localSheetId="6" hidden="1">Stock!#REF!</definedName>
    <definedName name="BExUA28AO7OWDG3H23Q0CL4B7BHW" hidden="1">#REF!</definedName>
    <definedName name="BExUA6Q4K25VH452AQ3ZIRBCMS61" localSheetId="7" hidden="1">'Aged debtors'!#REF!</definedName>
    <definedName name="BExUA6Q4K25VH452AQ3ZIRBCMS61" localSheetId="10" hidden="1">#REF!</definedName>
    <definedName name="BExUA6Q4K25VH452AQ3ZIRBCMS61" localSheetId="12" hidden="1">#REF!</definedName>
    <definedName name="BExUA6Q4K25VH452AQ3ZIRBCMS61" localSheetId="9" hidden="1">'Customer data'!#REF!</definedName>
    <definedName name="BExUA6Q4K25VH452AQ3ZIRBCMS61" localSheetId="8" hidden="1">'Largest debtors'!#REF!</definedName>
    <definedName name="BExUA6Q4K25VH452AQ3ZIRBCMS61" localSheetId="11" hidden="1">#REF!</definedName>
    <definedName name="BExUA6Q4K25VH452AQ3ZIRBCMS61" localSheetId="6" hidden="1">Stock!#REF!</definedName>
    <definedName name="BExUA6Q4K25VH452AQ3ZIRBCMS61" hidden="1">#REF!</definedName>
    <definedName name="BExUAMWQODKBXMRH1QCMJLJBF8M7" localSheetId="7" hidden="1">'Aged debtors'!#REF!</definedName>
    <definedName name="BExUAMWQODKBXMRH1QCMJLJBF8M7" localSheetId="10" hidden="1">#REF!</definedName>
    <definedName name="BExUAMWQODKBXMRH1QCMJLJBF8M7" localSheetId="12" hidden="1">#REF!</definedName>
    <definedName name="BExUAMWQODKBXMRH1QCMJLJBF8M7" localSheetId="9" hidden="1">'Customer data'!#REF!</definedName>
    <definedName name="BExUAMWQODKBXMRH1QCMJLJBF8M7" localSheetId="8" hidden="1">'Largest debtors'!#REF!</definedName>
    <definedName name="BExUAMWQODKBXMRH1QCMJLJBF8M7" localSheetId="11" hidden="1">#REF!</definedName>
    <definedName name="BExUAMWQODKBXMRH1QCMJLJBF8M7" localSheetId="6" hidden="1">Stock!#REF!</definedName>
    <definedName name="BExUAMWQODKBXMRH1QCMJLJBF8M7" hidden="1">#REF!</definedName>
    <definedName name="BExUAX8WS5OPVLCDXRGKTU2QMTFO" localSheetId="7" hidden="1">'Aged debtors'!#REF!</definedName>
    <definedName name="BExUAX8WS5OPVLCDXRGKTU2QMTFO" localSheetId="10" hidden="1">#REF!</definedName>
    <definedName name="BExUAX8WS5OPVLCDXRGKTU2QMTFO" localSheetId="12" hidden="1">#REF!</definedName>
    <definedName name="BExUAX8WS5OPVLCDXRGKTU2QMTFO" localSheetId="9" hidden="1">'Customer data'!#REF!</definedName>
    <definedName name="BExUAX8WS5OPVLCDXRGKTU2QMTFO" localSheetId="8" hidden="1">'Largest debtors'!#REF!</definedName>
    <definedName name="BExUAX8WS5OPVLCDXRGKTU2QMTFO" localSheetId="11" hidden="1">#REF!</definedName>
    <definedName name="BExUAX8WS5OPVLCDXRGKTU2QMTFO" localSheetId="6" hidden="1">Stock!#REF!</definedName>
    <definedName name="BExUAX8WS5OPVLCDXRGKTU2QMTFO" hidden="1">#REF!</definedName>
    <definedName name="BExUC623BDYEODBN0N4DO6PJQ7NU" localSheetId="7" hidden="1">'Aged debtors'!#REF!</definedName>
    <definedName name="BExUC623BDYEODBN0N4DO6PJQ7NU" localSheetId="10" hidden="1">#REF!</definedName>
    <definedName name="BExUC623BDYEODBN0N4DO6PJQ7NU" localSheetId="12" hidden="1">#REF!</definedName>
    <definedName name="BExUC623BDYEODBN0N4DO6PJQ7NU" localSheetId="9" hidden="1">'Customer data'!#REF!</definedName>
    <definedName name="BExUC623BDYEODBN0N4DO6PJQ7NU" localSheetId="8" hidden="1">'Largest debtors'!#REF!</definedName>
    <definedName name="BExUC623BDYEODBN0N4DO6PJQ7NU" localSheetId="11" hidden="1">#REF!</definedName>
    <definedName name="BExUC623BDYEODBN0N4DO6PJQ7NU" localSheetId="6" hidden="1">Stock!#REF!</definedName>
    <definedName name="BExUC623BDYEODBN0N4DO6PJQ7NU" hidden="1">#REF!</definedName>
    <definedName name="BExUCFCDK6SPH86I6STXX8X3WMC4" localSheetId="7" hidden="1">'Aged debtors'!#REF!</definedName>
    <definedName name="BExUCFCDK6SPH86I6STXX8X3WMC4" localSheetId="10" hidden="1">#REF!</definedName>
    <definedName name="BExUCFCDK6SPH86I6STXX8X3WMC4" localSheetId="12" hidden="1">#REF!</definedName>
    <definedName name="BExUCFCDK6SPH86I6STXX8X3WMC4" localSheetId="9" hidden="1">'Customer data'!#REF!</definedName>
    <definedName name="BExUCFCDK6SPH86I6STXX8X3WMC4" localSheetId="8" hidden="1">'Largest debtors'!#REF!</definedName>
    <definedName name="BExUCFCDK6SPH86I6STXX8X3WMC4" localSheetId="11" hidden="1">#REF!</definedName>
    <definedName name="BExUCFCDK6SPH86I6STXX8X3WMC4" localSheetId="6" hidden="1">Stock!#REF!</definedName>
    <definedName name="BExUCFCDK6SPH86I6STXX8X3WMC4" hidden="1">#REF!</definedName>
    <definedName name="BExUD9WX9BWK72UWVSLYZJLAY5VY" localSheetId="7" hidden="1">'Aged debtors'!#REF!</definedName>
    <definedName name="BExUD9WX9BWK72UWVSLYZJLAY5VY" localSheetId="10" hidden="1">#REF!</definedName>
    <definedName name="BExUD9WX9BWK72UWVSLYZJLAY5VY" localSheetId="12" hidden="1">#REF!</definedName>
    <definedName name="BExUD9WX9BWK72UWVSLYZJLAY5VY" localSheetId="9" hidden="1">'Customer data'!#REF!</definedName>
    <definedName name="BExUD9WX9BWK72UWVSLYZJLAY5VY" localSheetId="8" hidden="1">'Largest debtors'!#REF!</definedName>
    <definedName name="BExUD9WX9BWK72UWVSLYZJLAY5VY" localSheetId="11" hidden="1">#REF!</definedName>
    <definedName name="BExUD9WX9BWK72UWVSLYZJLAY5VY" localSheetId="6" hidden="1">Stock!#REF!</definedName>
    <definedName name="BExUD9WX9BWK72UWVSLYZJLAY5VY" hidden="1">#REF!</definedName>
    <definedName name="BExUDEV0CYVO7Y5IQQBEJ6FUY9S6" localSheetId="7" hidden="1">'Aged debtors'!#REF!</definedName>
    <definedName name="BExUDEV0CYVO7Y5IQQBEJ6FUY9S6" localSheetId="10" hidden="1">#REF!</definedName>
    <definedName name="BExUDEV0CYVO7Y5IQQBEJ6FUY9S6" localSheetId="12" hidden="1">#REF!</definedName>
    <definedName name="BExUDEV0CYVO7Y5IQQBEJ6FUY9S6" localSheetId="9" hidden="1">'Customer data'!#REF!</definedName>
    <definedName name="BExUDEV0CYVO7Y5IQQBEJ6FUY9S6" localSheetId="8" hidden="1">'Largest debtors'!#REF!</definedName>
    <definedName name="BExUDEV0CYVO7Y5IQQBEJ6FUY9S6" localSheetId="11" hidden="1">#REF!</definedName>
    <definedName name="BExUDEV0CYVO7Y5IQQBEJ6FUY9S6" localSheetId="6" hidden="1">Stock!#REF!</definedName>
    <definedName name="BExUDEV0CYVO7Y5IQQBEJ6FUY9S6" hidden="1">#REF!</definedName>
    <definedName name="BExUDWOXQGIZW0EAIIYLQUPXF8YV" localSheetId="7" hidden="1">'Aged debtors'!#REF!</definedName>
    <definedName name="BExUDWOXQGIZW0EAIIYLQUPXF8YV" localSheetId="10" hidden="1">#REF!</definedName>
    <definedName name="BExUDWOXQGIZW0EAIIYLQUPXF8YV" localSheetId="12" hidden="1">#REF!</definedName>
    <definedName name="BExUDWOXQGIZW0EAIIYLQUPXF8YV" localSheetId="9" hidden="1">'Customer data'!#REF!</definedName>
    <definedName name="BExUDWOXQGIZW0EAIIYLQUPXF8YV" localSheetId="8" hidden="1">'Largest debtors'!#REF!</definedName>
    <definedName name="BExUDWOXQGIZW0EAIIYLQUPXF8YV" localSheetId="11" hidden="1">#REF!</definedName>
    <definedName name="BExUDWOXQGIZW0EAIIYLQUPXF8YV" localSheetId="6" hidden="1">Stock!#REF!</definedName>
    <definedName name="BExUDWOXQGIZW0EAIIYLQUPXF8YV" hidden="1">#REF!</definedName>
    <definedName name="BExUEYR71COFS2X8PDNU21IPMQEU" localSheetId="7" hidden="1">'Aged debtors'!#REF!</definedName>
    <definedName name="BExUEYR71COFS2X8PDNU21IPMQEU" localSheetId="10" hidden="1">#REF!</definedName>
    <definedName name="BExUEYR71COFS2X8PDNU21IPMQEU" localSheetId="12" hidden="1">#REF!</definedName>
    <definedName name="BExUEYR71COFS2X8PDNU21IPMQEU" localSheetId="9" hidden="1">'Customer data'!#REF!</definedName>
    <definedName name="BExUEYR71COFS2X8PDNU21IPMQEU" localSheetId="8" hidden="1">'Largest debtors'!#REF!</definedName>
    <definedName name="BExUEYR71COFS2X8PDNU21IPMQEU" localSheetId="11" hidden="1">#REF!</definedName>
    <definedName name="BExUEYR71COFS2X8PDNU21IPMQEU" localSheetId="6" hidden="1">Stock!#REF!</definedName>
    <definedName name="BExUEYR71COFS2X8PDNU21IPMQEU" hidden="1">#REF!</definedName>
    <definedName name="BExVPRLJ9I6RX45EDVFSQGCPJSOK" localSheetId="7" hidden="1">'Aged debtors'!#REF!</definedName>
    <definedName name="BExVPRLJ9I6RX45EDVFSQGCPJSOK" localSheetId="10" hidden="1">#REF!</definedName>
    <definedName name="BExVPRLJ9I6RX45EDVFSQGCPJSOK" localSheetId="12" hidden="1">#REF!</definedName>
    <definedName name="BExVPRLJ9I6RX45EDVFSQGCPJSOK" localSheetId="9" hidden="1">'Customer data'!#REF!</definedName>
    <definedName name="BExVPRLJ9I6RX45EDVFSQGCPJSOK" localSheetId="8" hidden="1">'Largest debtors'!#REF!</definedName>
    <definedName name="BExVPRLJ9I6RX45EDVFSQGCPJSOK" localSheetId="11" hidden="1">#REF!</definedName>
    <definedName name="BExVPRLJ9I6RX45EDVFSQGCPJSOK" localSheetId="6" hidden="1">Stock!#REF!</definedName>
    <definedName name="BExVPRLJ9I6RX45EDVFSQGCPJSOK" hidden="1">#REF!</definedName>
    <definedName name="BExVSL787C8E4HFQZ2NVLT35I2XV" localSheetId="7" hidden="1">'Aged debtors'!#REF!</definedName>
    <definedName name="BExVSL787C8E4HFQZ2NVLT35I2XV" localSheetId="10" hidden="1">#REF!</definedName>
    <definedName name="BExVSL787C8E4HFQZ2NVLT35I2XV" localSheetId="12" hidden="1">#REF!</definedName>
    <definedName name="BExVSL787C8E4HFQZ2NVLT35I2XV" localSheetId="9" hidden="1">'Customer data'!#REF!</definedName>
    <definedName name="BExVSL787C8E4HFQZ2NVLT35I2XV" localSheetId="8" hidden="1">'Largest debtors'!#REF!</definedName>
    <definedName name="BExVSL787C8E4HFQZ2NVLT35I2XV" localSheetId="11" hidden="1">#REF!</definedName>
    <definedName name="BExVSL787C8E4HFQZ2NVLT35I2XV" localSheetId="6" hidden="1">Stock!#REF!</definedName>
    <definedName name="BExVSL787C8E4HFQZ2NVLT35I2XV" hidden="1">#REF!</definedName>
    <definedName name="BExVSTFTVV14SFGHQUOJL5SQ5TX9" localSheetId="7" hidden="1">'Aged debtors'!#REF!</definedName>
    <definedName name="BExVSTFTVV14SFGHQUOJL5SQ5TX9" localSheetId="10" hidden="1">#REF!</definedName>
    <definedName name="BExVSTFTVV14SFGHQUOJL5SQ5TX9" localSheetId="12" hidden="1">#REF!</definedName>
    <definedName name="BExVSTFTVV14SFGHQUOJL5SQ5TX9" localSheetId="9" hidden="1">'Customer data'!#REF!</definedName>
    <definedName name="BExVSTFTVV14SFGHQUOJL5SQ5TX9" localSheetId="8" hidden="1">'Largest debtors'!#REF!</definedName>
    <definedName name="BExVSTFTVV14SFGHQUOJL5SQ5TX9" localSheetId="11" hidden="1">#REF!</definedName>
    <definedName name="BExVSTFTVV14SFGHQUOJL5SQ5TX9" localSheetId="6" hidden="1">Stock!#REF!</definedName>
    <definedName name="BExVSTFTVV14SFGHQUOJL5SQ5TX9" hidden="1">#REF!</definedName>
    <definedName name="BExVT7TRK3NZHPME2TFBXOF1WBR9" localSheetId="7" hidden="1">'Aged debtors'!#REF!</definedName>
    <definedName name="BExVT7TRK3NZHPME2TFBXOF1WBR9" localSheetId="10" hidden="1">#REF!</definedName>
    <definedName name="BExVT7TRK3NZHPME2TFBXOF1WBR9" localSheetId="12" hidden="1">#REF!</definedName>
    <definedName name="BExVT7TRK3NZHPME2TFBXOF1WBR9" localSheetId="9" hidden="1">'Customer data'!#REF!</definedName>
    <definedName name="BExVT7TRK3NZHPME2TFBXOF1WBR9" localSheetId="8" hidden="1">'Largest debtors'!#REF!</definedName>
    <definedName name="BExVT7TRK3NZHPME2TFBXOF1WBR9" localSheetId="11" hidden="1">#REF!</definedName>
    <definedName name="BExVT7TRK3NZHPME2TFBXOF1WBR9" localSheetId="6" hidden="1">Stock!#REF!</definedName>
    <definedName name="BExVT7TRK3NZHPME2TFBXOF1WBR9" hidden="1">#REF!</definedName>
    <definedName name="BExVTCMDDEDGLUIMUU6BSFHEWTOP" localSheetId="7" hidden="1">'Aged debtors'!#REF!</definedName>
    <definedName name="BExVTCMDDEDGLUIMUU6BSFHEWTOP" localSheetId="10" hidden="1">#REF!</definedName>
    <definedName name="BExVTCMDDEDGLUIMUU6BSFHEWTOP" localSheetId="12" hidden="1">#REF!</definedName>
    <definedName name="BExVTCMDDEDGLUIMUU6BSFHEWTOP" localSheetId="9" hidden="1">'Customer data'!#REF!</definedName>
    <definedName name="BExVTCMDDEDGLUIMUU6BSFHEWTOP" localSheetId="8" hidden="1">'Largest debtors'!#REF!</definedName>
    <definedName name="BExVTCMDDEDGLUIMUU6BSFHEWTOP" localSheetId="11" hidden="1">#REF!</definedName>
    <definedName name="BExVTCMDDEDGLUIMUU6BSFHEWTOP" localSheetId="6" hidden="1">Stock!#REF!</definedName>
    <definedName name="BExVTCMDDEDGLUIMUU6BSFHEWTOP" hidden="1">#REF!</definedName>
    <definedName name="BExVTCRV8FQ5U9OYWWL44N6KFNHU" localSheetId="7" hidden="1">'Aged debtors'!#REF!</definedName>
    <definedName name="BExVTCRV8FQ5U9OYWWL44N6KFNHU" localSheetId="10" hidden="1">#REF!</definedName>
    <definedName name="BExVTCRV8FQ5U9OYWWL44N6KFNHU" localSheetId="12" hidden="1">#REF!</definedName>
    <definedName name="BExVTCRV8FQ5U9OYWWL44N6KFNHU" localSheetId="9" hidden="1">'Customer data'!#REF!</definedName>
    <definedName name="BExVTCRV8FQ5U9OYWWL44N6KFNHU" localSheetId="8" hidden="1">'Largest debtors'!#REF!</definedName>
    <definedName name="BExVTCRV8FQ5U9OYWWL44N6KFNHU" localSheetId="11" hidden="1">#REF!</definedName>
    <definedName name="BExVTCRV8FQ5U9OYWWL44N6KFNHU" localSheetId="6" hidden="1">Stock!#REF!</definedName>
    <definedName name="BExVTCRV8FQ5U9OYWWL44N6KFNHU" hidden="1">#REF!</definedName>
    <definedName name="BExVTTJVTNRSBHBTUZ78WG2JM5MK" localSheetId="7" hidden="1">'Aged debtors'!#REF!</definedName>
    <definedName name="BExVTTJVTNRSBHBTUZ78WG2JM5MK" localSheetId="10" hidden="1">#REF!</definedName>
    <definedName name="BExVTTJVTNRSBHBTUZ78WG2JM5MK" localSheetId="12" hidden="1">#REF!</definedName>
    <definedName name="BExVTTJVTNRSBHBTUZ78WG2JM5MK" localSheetId="9" hidden="1">'Customer data'!#REF!</definedName>
    <definedName name="BExVTTJVTNRSBHBTUZ78WG2JM5MK" localSheetId="8" hidden="1">'Largest debtors'!#REF!</definedName>
    <definedName name="BExVTTJVTNRSBHBTUZ78WG2JM5MK" localSheetId="11" hidden="1">#REF!</definedName>
    <definedName name="BExVTTJVTNRSBHBTUZ78WG2JM5MK" localSheetId="6" hidden="1">Stock!#REF!</definedName>
    <definedName name="BExVTTJVTNRSBHBTUZ78WG2JM5MK" hidden="1">#REF!</definedName>
    <definedName name="BExVTXLMYR87BC04D1ERALPUFVPG" localSheetId="7" hidden="1">'Aged debtors'!#REF!</definedName>
    <definedName name="BExVTXLMYR87BC04D1ERALPUFVPG" localSheetId="10" hidden="1">#REF!</definedName>
    <definedName name="BExVTXLMYR87BC04D1ERALPUFVPG" localSheetId="12" hidden="1">#REF!</definedName>
    <definedName name="BExVTXLMYR87BC04D1ERALPUFVPG" localSheetId="9" hidden="1">'Customer data'!#REF!</definedName>
    <definedName name="BExVTXLMYR87BC04D1ERALPUFVPG" localSheetId="8" hidden="1">'Largest debtors'!#REF!</definedName>
    <definedName name="BExVTXLMYR87BC04D1ERALPUFVPG" localSheetId="11" hidden="1">#REF!</definedName>
    <definedName name="BExVTXLMYR87BC04D1ERALPUFVPG" localSheetId="6" hidden="1">Stock!#REF!</definedName>
    <definedName name="BExVTXLMYR87BC04D1ERALPUFVPG" hidden="1">#REF!</definedName>
    <definedName name="BExVUL9V3H8ZF6Y72LQBBN639YAA" localSheetId="7" hidden="1">'Aged debtors'!#REF!</definedName>
    <definedName name="BExVUL9V3H8ZF6Y72LQBBN639YAA" localSheetId="10" hidden="1">#REF!</definedName>
    <definedName name="BExVUL9V3H8ZF6Y72LQBBN639YAA" localSheetId="12" hidden="1">#REF!</definedName>
    <definedName name="BExVUL9V3H8ZF6Y72LQBBN639YAA" localSheetId="9" hidden="1">'Customer data'!#REF!</definedName>
    <definedName name="BExVUL9V3H8ZF6Y72LQBBN639YAA" localSheetId="8" hidden="1">'Largest debtors'!#REF!</definedName>
    <definedName name="BExVUL9V3H8ZF6Y72LQBBN639YAA" localSheetId="11" hidden="1">#REF!</definedName>
    <definedName name="BExVUL9V3H8ZF6Y72LQBBN639YAA" localSheetId="6" hidden="1">Stock!#REF!</definedName>
    <definedName name="BExVUL9V3H8ZF6Y72LQBBN639YAA" hidden="1">#REF!</definedName>
    <definedName name="BExVV5T14N2HZIK7HQ4P2KG09U0J" localSheetId="7" hidden="1">'Aged debtors'!#REF!</definedName>
    <definedName name="BExVV5T14N2HZIK7HQ4P2KG09U0J" localSheetId="10" hidden="1">#REF!</definedName>
    <definedName name="BExVV5T14N2HZIK7HQ4P2KG09U0J" localSheetId="12" hidden="1">#REF!</definedName>
    <definedName name="BExVV5T14N2HZIK7HQ4P2KG09U0J" localSheetId="9" hidden="1">'Customer data'!#REF!</definedName>
    <definedName name="BExVV5T14N2HZIK7HQ4P2KG09U0J" localSheetId="8" hidden="1">'Largest debtors'!#REF!</definedName>
    <definedName name="BExVV5T14N2HZIK7HQ4P2KG09U0J" localSheetId="11" hidden="1">#REF!</definedName>
    <definedName name="BExVV5T14N2HZIK7HQ4P2KG09U0J" localSheetId="6" hidden="1">Stock!#REF!</definedName>
    <definedName name="BExVV5T14N2HZIK7HQ4P2KG09U0J" hidden="1">#REF!</definedName>
    <definedName name="BExVVCEED4JEKF59OV0G3T4XFMFO" localSheetId="7" hidden="1">'Aged debtors'!#REF!</definedName>
    <definedName name="BExVVCEED4JEKF59OV0G3T4XFMFO" localSheetId="10" hidden="1">#REF!</definedName>
    <definedName name="BExVVCEED4JEKF59OV0G3T4XFMFO" localSheetId="12" hidden="1">#REF!</definedName>
    <definedName name="BExVVCEED4JEKF59OV0G3T4XFMFO" localSheetId="9" hidden="1">'Customer data'!#REF!</definedName>
    <definedName name="BExVVCEED4JEKF59OV0G3T4XFMFO" localSheetId="8" hidden="1">'Largest debtors'!#REF!</definedName>
    <definedName name="BExVVCEED4JEKF59OV0G3T4XFMFO" localSheetId="11" hidden="1">#REF!</definedName>
    <definedName name="BExVVCEED4JEKF59OV0G3T4XFMFO" localSheetId="6" hidden="1">Stock!#REF!</definedName>
    <definedName name="BExVVCEED4JEKF59OV0G3T4XFMFO" hidden="1">#REF!</definedName>
    <definedName name="BExVVPFO2J7FMSRPD36909HN4BZJ" localSheetId="7" hidden="1">'Aged debtors'!#REF!</definedName>
    <definedName name="BExVVPFO2J7FMSRPD36909HN4BZJ" localSheetId="10" hidden="1">#REF!</definedName>
    <definedName name="BExVVPFO2J7FMSRPD36909HN4BZJ" localSheetId="12" hidden="1">#REF!</definedName>
    <definedName name="BExVVPFO2J7FMSRPD36909HN4BZJ" localSheetId="9" hidden="1">'Customer data'!#REF!</definedName>
    <definedName name="BExVVPFO2J7FMSRPD36909HN4BZJ" localSheetId="8" hidden="1">'Largest debtors'!#REF!</definedName>
    <definedName name="BExVVPFO2J7FMSRPD36909HN4BZJ" localSheetId="11" hidden="1">#REF!</definedName>
    <definedName name="BExVVPFO2J7FMSRPD36909HN4BZJ" localSheetId="6" hidden="1">Stock!#REF!</definedName>
    <definedName name="BExVVPFO2J7FMSRPD36909HN4BZJ" hidden="1">#REF!</definedName>
    <definedName name="BExVVQ19AQ3VCARJOC38SF7OYE9Y" localSheetId="7" hidden="1">'Aged debtors'!#REF!</definedName>
    <definedName name="BExVVQ19AQ3VCARJOC38SF7OYE9Y" localSheetId="10" hidden="1">#REF!</definedName>
    <definedName name="BExVVQ19AQ3VCARJOC38SF7OYE9Y" localSheetId="12" hidden="1">#REF!</definedName>
    <definedName name="BExVVQ19AQ3VCARJOC38SF7OYE9Y" localSheetId="9" hidden="1">'Customer data'!#REF!</definedName>
    <definedName name="BExVVQ19AQ3VCARJOC38SF7OYE9Y" localSheetId="8" hidden="1">'Largest debtors'!#REF!</definedName>
    <definedName name="BExVVQ19AQ3VCARJOC38SF7OYE9Y" localSheetId="11" hidden="1">#REF!</definedName>
    <definedName name="BExVVQ19AQ3VCARJOC38SF7OYE9Y" localSheetId="6" hidden="1">Stock!#REF!</definedName>
    <definedName name="BExVVQ19AQ3VCARJOC38SF7OYE9Y" hidden="1">#REF!</definedName>
    <definedName name="BExVVQ19TAECID45CS4HXT1RD3AQ" localSheetId="7" hidden="1">'Aged debtors'!#REF!</definedName>
    <definedName name="BExVVQ19TAECID45CS4HXT1RD3AQ" localSheetId="10" hidden="1">#REF!</definedName>
    <definedName name="BExVVQ19TAECID45CS4HXT1RD3AQ" localSheetId="12" hidden="1">#REF!</definedName>
    <definedName name="BExVVQ19TAECID45CS4HXT1RD3AQ" localSheetId="9" hidden="1">'Customer data'!#REF!</definedName>
    <definedName name="BExVVQ19TAECID45CS4HXT1RD3AQ" localSheetId="8" hidden="1">'Largest debtors'!#REF!</definedName>
    <definedName name="BExVVQ19TAECID45CS4HXT1RD3AQ" localSheetId="11" hidden="1">#REF!</definedName>
    <definedName name="BExVVQ19TAECID45CS4HXT1RD3AQ" localSheetId="6" hidden="1">Stock!#REF!</definedName>
    <definedName name="BExVVQ19TAECID45CS4HXT1RD3AQ" hidden="1">#REF!</definedName>
    <definedName name="BExVVVQ98G2LES4ELUJ9W66671DM" localSheetId="7" hidden="1">'Aged debtors'!#REF!</definedName>
    <definedName name="BExVVVQ98G2LES4ELUJ9W66671DM" localSheetId="10" hidden="1">#REF!</definedName>
    <definedName name="BExVVVQ98G2LES4ELUJ9W66671DM" localSheetId="12" hidden="1">#REF!</definedName>
    <definedName name="BExVVVQ98G2LES4ELUJ9W66671DM" localSheetId="9" hidden="1">'Customer data'!#REF!</definedName>
    <definedName name="BExVVVQ98G2LES4ELUJ9W66671DM" localSheetId="8" hidden="1">'Largest debtors'!#REF!</definedName>
    <definedName name="BExVVVQ98G2LES4ELUJ9W66671DM" localSheetId="11" hidden="1">#REF!</definedName>
    <definedName name="BExVVVQ98G2LES4ELUJ9W66671DM" localSheetId="6" hidden="1">Stock!#REF!</definedName>
    <definedName name="BExVVVQ98G2LES4ELUJ9W66671DM" hidden="1">#REF!</definedName>
    <definedName name="BExVW3YV5XGIVJ97UUPDJGJ2P15B" localSheetId="7" hidden="1">'Aged debtors'!#REF!</definedName>
    <definedName name="BExVW3YV5XGIVJ97UUPDJGJ2P15B" localSheetId="10" hidden="1">#REF!</definedName>
    <definedName name="BExVW3YV5XGIVJ97UUPDJGJ2P15B" localSheetId="12" hidden="1">#REF!</definedName>
    <definedName name="BExVW3YV5XGIVJ97UUPDJGJ2P15B" localSheetId="9" hidden="1">'Customer data'!#REF!</definedName>
    <definedName name="BExVW3YV5XGIVJ97UUPDJGJ2P15B" localSheetId="8" hidden="1">'Largest debtors'!#REF!</definedName>
    <definedName name="BExVW3YV5XGIVJ97UUPDJGJ2P15B" localSheetId="11" hidden="1">#REF!</definedName>
    <definedName name="BExVW3YV5XGIVJ97UUPDJGJ2P15B" localSheetId="6" hidden="1">Stock!#REF!</definedName>
    <definedName name="BExVW3YV5XGIVJ97UUPDJGJ2P15B" hidden="1">#REF!</definedName>
    <definedName name="BExVW6YTKA098AF57M4PHNQ54XMH" localSheetId="7" hidden="1">'Aged debtors'!#REF!</definedName>
    <definedName name="BExVW6YTKA098AF57M4PHNQ54XMH" localSheetId="10" hidden="1">#REF!</definedName>
    <definedName name="BExVW6YTKA098AF57M4PHNQ54XMH" localSheetId="12" hidden="1">#REF!</definedName>
    <definedName name="BExVW6YTKA098AF57M4PHNQ54XMH" localSheetId="9" hidden="1">'Customer data'!#REF!</definedName>
    <definedName name="BExVW6YTKA098AF57M4PHNQ54XMH" localSheetId="8" hidden="1">'Largest debtors'!#REF!</definedName>
    <definedName name="BExVW6YTKA098AF57M4PHNQ54XMH" localSheetId="11" hidden="1">#REF!</definedName>
    <definedName name="BExVW6YTKA098AF57M4PHNQ54XMH" localSheetId="6" hidden="1">Stock!#REF!</definedName>
    <definedName name="BExVW6YTKA098AF57M4PHNQ54XMH" hidden="1">#REF!</definedName>
    <definedName name="BExVX3XN2DRJKL8EDBIG58RYQ36R" localSheetId="7" hidden="1">'Aged debtors'!#REF!</definedName>
    <definedName name="BExVX3XN2DRJKL8EDBIG58RYQ36R" localSheetId="10" hidden="1">#REF!</definedName>
    <definedName name="BExVX3XN2DRJKL8EDBIG58RYQ36R" localSheetId="12" hidden="1">#REF!</definedName>
    <definedName name="BExVX3XN2DRJKL8EDBIG58RYQ36R" localSheetId="9" hidden="1">'Customer data'!#REF!</definedName>
    <definedName name="BExVX3XN2DRJKL8EDBIG58RYQ36R" localSheetId="8" hidden="1">'Largest debtors'!#REF!</definedName>
    <definedName name="BExVX3XN2DRJKL8EDBIG58RYQ36R" localSheetId="11" hidden="1">#REF!</definedName>
    <definedName name="BExVX3XN2DRJKL8EDBIG58RYQ36R" localSheetId="6" hidden="1">Stock!#REF!</definedName>
    <definedName name="BExVX3XN2DRJKL8EDBIG58RYQ36R" hidden="1">#REF!</definedName>
    <definedName name="BExVXHKI6LFYMGWISMPACMO247HL" localSheetId="7" hidden="1">'Aged debtors'!#REF!</definedName>
    <definedName name="BExVXHKI6LFYMGWISMPACMO247HL" localSheetId="10" hidden="1">#REF!</definedName>
    <definedName name="BExVXHKI6LFYMGWISMPACMO247HL" localSheetId="12" hidden="1">#REF!</definedName>
    <definedName name="BExVXHKI6LFYMGWISMPACMO247HL" localSheetId="9" hidden="1">'Customer data'!#REF!</definedName>
    <definedName name="BExVXHKI6LFYMGWISMPACMO247HL" localSheetId="8" hidden="1">'Largest debtors'!#REF!</definedName>
    <definedName name="BExVXHKI6LFYMGWISMPACMO247HL" localSheetId="11" hidden="1">#REF!</definedName>
    <definedName name="BExVXHKI6LFYMGWISMPACMO247HL" localSheetId="6" hidden="1">Stock!#REF!</definedName>
    <definedName name="BExVXHKI6LFYMGWISMPACMO247HL" hidden="1">#REF!</definedName>
    <definedName name="BExVY11V7U1SAY4QKYE0PBSPD7LW" localSheetId="7" hidden="1">'Aged debtors'!#REF!</definedName>
    <definedName name="BExVY11V7U1SAY4QKYE0PBSPD7LW" localSheetId="10" hidden="1">#REF!</definedName>
    <definedName name="BExVY11V7U1SAY4QKYE0PBSPD7LW" localSheetId="12" hidden="1">#REF!</definedName>
    <definedName name="BExVY11V7U1SAY4QKYE0PBSPD7LW" localSheetId="9" hidden="1">'Customer data'!#REF!</definedName>
    <definedName name="BExVY11V7U1SAY4QKYE0PBSPD7LW" localSheetId="8" hidden="1">'Largest debtors'!#REF!</definedName>
    <definedName name="BExVY11V7U1SAY4QKYE0PBSPD7LW" localSheetId="11" hidden="1">#REF!</definedName>
    <definedName name="BExVY11V7U1SAY4QKYE0PBSPD7LW" localSheetId="6" hidden="1">Stock!#REF!</definedName>
    <definedName name="BExVY11V7U1SAY4QKYE0PBSPD7LW" hidden="1">#REF!</definedName>
    <definedName name="BExVY1SV37DL5YU59HS4IG3VBCP4" localSheetId="7" hidden="1">'Aged debtors'!#REF!</definedName>
    <definedName name="BExVY1SV37DL5YU59HS4IG3VBCP4" localSheetId="10" hidden="1">#REF!</definedName>
    <definedName name="BExVY1SV37DL5YU59HS4IG3VBCP4" localSheetId="12" hidden="1">#REF!</definedName>
    <definedName name="BExVY1SV37DL5YU59HS4IG3VBCP4" localSheetId="9" hidden="1">'Customer data'!#REF!</definedName>
    <definedName name="BExVY1SV37DL5YU59HS4IG3VBCP4" localSheetId="8" hidden="1">'Largest debtors'!#REF!</definedName>
    <definedName name="BExVY1SV37DL5YU59HS4IG3VBCP4" localSheetId="11" hidden="1">#REF!</definedName>
    <definedName name="BExVY1SV37DL5YU59HS4IG3VBCP4" localSheetId="6" hidden="1">Stock!#REF!</definedName>
    <definedName name="BExVY1SV37DL5YU59HS4IG3VBCP4" hidden="1">#REF!</definedName>
    <definedName name="BExVY3WFGJKSQA08UF9NCMST928Y" localSheetId="7" hidden="1">'Aged debtors'!#REF!</definedName>
    <definedName name="BExVY3WFGJKSQA08UF9NCMST928Y" localSheetId="10" hidden="1">#REF!</definedName>
    <definedName name="BExVY3WFGJKSQA08UF9NCMST928Y" localSheetId="12" hidden="1">#REF!</definedName>
    <definedName name="BExVY3WFGJKSQA08UF9NCMST928Y" localSheetId="9" hidden="1">'Customer data'!#REF!</definedName>
    <definedName name="BExVY3WFGJKSQA08UF9NCMST928Y" localSheetId="8" hidden="1">'Largest debtors'!#REF!</definedName>
    <definedName name="BExVY3WFGJKSQA08UF9NCMST928Y" localSheetId="11" hidden="1">#REF!</definedName>
    <definedName name="BExVY3WFGJKSQA08UF9NCMST928Y" localSheetId="6" hidden="1">Stock!#REF!</definedName>
    <definedName name="BExVY3WFGJKSQA08UF9NCMST928Y" hidden="1">#REF!</definedName>
    <definedName name="BExVY954UOEVQEIC5OFO4NEWVKAQ" localSheetId="7" hidden="1">'Aged debtors'!#REF!</definedName>
    <definedName name="BExVY954UOEVQEIC5OFO4NEWVKAQ" localSheetId="10" hidden="1">#REF!</definedName>
    <definedName name="BExVY954UOEVQEIC5OFO4NEWVKAQ" localSheetId="12" hidden="1">#REF!</definedName>
    <definedName name="BExVY954UOEVQEIC5OFO4NEWVKAQ" localSheetId="9" hidden="1">'Customer data'!#REF!</definedName>
    <definedName name="BExVY954UOEVQEIC5OFO4NEWVKAQ" localSheetId="8" hidden="1">'Largest debtors'!#REF!</definedName>
    <definedName name="BExVY954UOEVQEIC5OFO4NEWVKAQ" localSheetId="11" hidden="1">#REF!</definedName>
    <definedName name="BExVY954UOEVQEIC5OFO4NEWVKAQ" localSheetId="6" hidden="1">Stock!#REF!</definedName>
    <definedName name="BExVY954UOEVQEIC5OFO4NEWVKAQ" hidden="1">#REF!</definedName>
    <definedName name="BExVYHDYIV5397LC02V4FEP8VD6W" localSheetId="7" hidden="1">'Aged debtors'!#REF!</definedName>
    <definedName name="BExVYHDYIV5397LC02V4FEP8VD6W" localSheetId="10" hidden="1">#REF!</definedName>
    <definedName name="BExVYHDYIV5397LC02V4FEP8VD6W" localSheetId="12" hidden="1">#REF!</definedName>
    <definedName name="BExVYHDYIV5397LC02V4FEP8VD6W" localSheetId="9" hidden="1">'Customer data'!#REF!</definedName>
    <definedName name="BExVYHDYIV5397LC02V4FEP8VD6W" localSheetId="8" hidden="1">'Largest debtors'!#REF!</definedName>
    <definedName name="BExVYHDYIV5397LC02V4FEP8VD6W" localSheetId="11" hidden="1">#REF!</definedName>
    <definedName name="BExVYHDYIV5397LC02V4FEP8VD6W" localSheetId="6" hidden="1">Stock!#REF!</definedName>
    <definedName name="BExVYHDYIV5397LC02V4FEP8VD6W" hidden="1">#REF!</definedName>
    <definedName name="BExVYOVIZDA18YIQ0A30Q052PCAK" localSheetId="7" hidden="1">'Aged debtors'!#REF!</definedName>
    <definedName name="BExVYOVIZDA18YIQ0A30Q052PCAK" localSheetId="10" hidden="1">#REF!</definedName>
    <definedName name="BExVYOVIZDA18YIQ0A30Q052PCAK" localSheetId="12" hidden="1">#REF!</definedName>
    <definedName name="BExVYOVIZDA18YIQ0A30Q052PCAK" localSheetId="9" hidden="1">'Customer data'!#REF!</definedName>
    <definedName name="BExVYOVIZDA18YIQ0A30Q052PCAK" localSheetId="8" hidden="1">'Largest debtors'!#REF!</definedName>
    <definedName name="BExVYOVIZDA18YIQ0A30Q052PCAK" localSheetId="11" hidden="1">#REF!</definedName>
    <definedName name="BExVYOVIZDA18YIQ0A30Q052PCAK" localSheetId="6" hidden="1">Stock!#REF!</definedName>
    <definedName name="BExVYOVIZDA18YIQ0A30Q052PCAK" hidden="1">#REF!</definedName>
    <definedName name="BExVYVGWN7SONLVDH9WJ2F1JS264" localSheetId="7" hidden="1">'Aged debtors'!#REF!</definedName>
    <definedName name="BExVYVGWN7SONLVDH9WJ2F1JS264" localSheetId="10" hidden="1">#REF!</definedName>
    <definedName name="BExVYVGWN7SONLVDH9WJ2F1JS264" localSheetId="12" hidden="1">#REF!</definedName>
    <definedName name="BExVYVGWN7SONLVDH9WJ2F1JS264" localSheetId="9" hidden="1">'Customer data'!#REF!</definedName>
    <definedName name="BExVYVGWN7SONLVDH9WJ2F1JS264" localSheetId="8" hidden="1">'Largest debtors'!#REF!</definedName>
    <definedName name="BExVYVGWN7SONLVDH9WJ2F1JS264" localSheetId="11" hidden="1">#REF!</definedName>
    <definedName name="BExVYVGWN7SONLVDH9WJ2F1JS264" localSheetId="6" hidden="1">Stock!#REF!</definedName>
    <definedName name="BExVYVGWN7SONLVDH9WJ2F1JS264" hidden="1">#REF!</definedName>
    <definedName name="BExVZB1Y5J4UL2LKK0363EU7GIJ1" localSheetId="7" hidden="1">'Aged debtors'!#REF!</definedName>
    <definedName name="BExVZB1Y5J4UL2LKK0363EU7GIJ1" localSheetId="10" hidden="1">#REF!</definedName>
    <definedName name="BExVZB1Y5J4UL2LKK0363EU7GIJ1" localSheetId="12" hidden="1">#REF!</definedName>
    <definedName name="BExVZB1Y5J4UL2LKK0363EU7GIJ1" localSheetId="9" hidden="1">'Customer data'!#REF!</definedName>
    <definedName name="BExVZB1Y5J4UL2LKK0363EU7GIJ1" localSheetId="8" hidden="1">'Largest debtors'!#REF!</definedName>
    <definedName name="BExVZB1Y5J4UL2LKK0363EU7GIJ1" localSheetId="11" hidden="1">#REF!</definedName>
    <definedName name="BExVZB1Y5J4UL2LKK0363EU7GIJ1" localSheetId="6" hidden="1">Stock!#REF!</definedName>
    <definedName name="BExVZB1Y5J4UL2LKK0363EU7GIJ1" hidden="1">#REF!</definedName>
    <definedName name="BExVZNXWS91RD7NXV5NE2R3C8WW7" localSheetId="7" hidden="1">'Aged debtors'!#REF!</definedName>
    <definedName name="BExVZNXWS91RD7NXV5NE2R3C8WW7" localSheetId="10" hidden="1">#REF!</definedName>
    <definedName name="BExVZNXWS91RD7NXV5NE2R3C8WW7" localSheetId="12" hidden="1">#REF!</definedName>
    <definedName name="BExVZNXWS91RD7NXV5NE2R3C8WW7" localSheetId="9" hidden="1">'Customer data'!#REF!</definedName>
    <definedName name="BExVZNXWS91RD7NXV5NE2R3C8WW7" localSheetId="8" hidden="1">'Largest debtors'!#REF!</definedName>
    <definedName name="BExVZNXWS91RD7NXV5NE2R3C8WW7" localSheetId="11" hidden="1">#REF!</definedName>
    <definedName name="BExVZNXWS91RD7NXV5NE2R3C8WW7" localSheetId="6" hidden="1">Stock!#REF!</definedName>
    <definedName name="BExVZNXWS91RD7NXV5NE2R3C8WW7" hidden="1">#REF!</definedName>
    <definedName name="BExW0FYP4WXY71CYUG40SUBG9UWU" localSheetId="7" hidden="1">'Aged debtors'!#REF!</definedName>
    <definedName name="BExW0FYP4WXY71CYUG40SUBG9UWU" localSheetId="10" hidden="1">#REF!</definedName>
    <definedName name="BExW0FYP4WXY71CYUG40SUBG9UWU" localSheetId="12" hidden="1">#REF!</definedName>
    <definedName name="BExW0FYP4WXY71CYUG40SUBG9UWU" localSheetId="9" hidden="1">'Customer data'!#REF!</definedName>
    <definedName name="BExW0FYP4WXY71CYUG40SUBG9UWU" localSheetId="8" hidden="1">'Largest debtors'!#REF!</definedName>
    <definedName name="BExW0FYP4WXY71CYUG40SUBG9UWU" localSheetId="11" hidden="1">#REF!</definedName>
    <definedName name="BExW0FYP4WXY71CYUG40SUBG9UWU" localSheetId="6" hidden="1">Stock!#REF!</definedName>
    <definedName name="BExW0FYP4WXY71CYUG40SUBG9UWU" hidden="1">#REF!</definedName>
    <definedName name="BExW0RI61B4VV0ARXTFVBAWRA1C5" localSheetId="7" hidden="1">'Aged debtors'!#REF!</definedName>
    <definedName name="BExW0RI61B4VV0ARXTFVBAWRA1C5" localSheetId="10" hidden="1">#REF!</definedName>
    <definedName name="BExW0RI61B4VV0ARXTFVBAWRA1C5" localSheetId="12" hidden="1">#REF!</definedName>
    <definedName name="BExW0RI61B4VV0ARXTFVBAWRA1C5" localSheetId="9" hidden="1">'Customer data'!#REF!</definedName>
    <definedName name="BExW0RI61B4VV0ARXTFVBAWRA1C5" localSheetId="8" hidden="1">'Largest debtors'!#REF!</definedName>
    <definedName name="BExW0RI61B4VV0ARXTFVBAWRA1C5" localSheetId="11" hidden="1">#REF!</definedName>
    <definedName name="BExW0RI61B4VV0ARXTFVBAWRA1C5" localSheetId="6" hidden="1">Stock!#REF!</definedName>
    <definedName name="BExW0RI61B4VV0ARXTFVBAWRA1C5" hidden="1">#REF!</definedName>
    <definedName name="BExW1U0JLKQ094DW5MMOI8UHO09V" localSheetId="7" hidden="1">'Aged debtors'!#REF!</definedName>
    <definedName name="BExW1U0JLKQ094DW5MMOI8UHO09V" localSheetId="10" hidden="1">#REF!</definedName>
    <definedName name="BExW1U0JLKQ094DW5MMOI8UHO09V" localSheetId="12" hidden="1">#REF!</definedName>
    <definedName name="BExW1U0JLKQ094DW5MMOI8UHO09V" localSheetId="9" hidden="1">'Customer data'!#REF!</definedName>
    <definedName name="BExW1U0JLKQ094DW5MMOI8UHO09V" localSheetId="8" hidden="1">'Largest debtors'!#REF!</definedName>
    <definedName name="BExW1U0JLKQ094DW5MMOI8UHO09V" localSheetId="11" hidden="1">#REF!</definedName>
    <definedName name="BExW1U0JLKQ094DW5MMOI8UHO09V" localSheetId="6" hidden="1">Stock!#REF!</definedName>
    <definedName name="BExW1U0JLKQ094DW5MMOI8UHO09V" hidden="1">#REF!</definedName>
    <definedName name="BExW2H3C8WJSBW5FGTFKVDVJC4CL" localSheetId="7" hidden="1">'Aged debtors'!#REF!</definedName>
    <definedName name="BExW2H3C8WJSBW5FGTFKVDVJC4CL" localSheetId="10" hidden="1">#REF!</definedName>
    <definedName name="BExW2H3C8WJSBW5FGTFKVDVJC4CL" localSheetId="12" hidden="1">#REF!</definedName>
    <definedName name="BExW2H3C8WJSBW5FGTFKVDVJC4CL" localSheetId="9" hidden="1">'Customer data'!#REF!</definedName>
    <definedName name="BExW2H3C8WJSBW5FGTFKVDVJC4CL" localSheetId="8" hidden="1">'Largest debtors'!#REF!</definedName>
    <definedName name="BExW2H3C8WJSBW5FGTFKVDVJC4CL" localSheetId="11" hidden="1">#REF!</definedName>
    <definedName name="BExW2H3C8WJSBW5FGTFKVDVJC4CL" localSheetId="6" hidden="1">Stock!#REF!</definedName>
    <definedName name="BExW2H3C8WJSBW5FGTFKVDVJC4CL" hidden="1">#REF!</definedName>
    <definedName name="BExW2SMO90FU9W8DVVES6Q4E6BZR" localSheetId="7" hidden="1">'Aged debtors'!#REF!</definedName>
    <definedName name="BExW2SMO90FU9W8DVVES6Q4E6BZR" localSheetId="10" hidden="1">#REF!</definedName>
    <definedName name="BExW2SMO90FU9W8DVVES6Q4E6BZR" localSheetId="12" hidden="1">#REF!</definedName>
    <definedName name="BExW2SMO90FU9W8DVVES6Q4E6BZR" localSheetId="9" hidden="1">'Customer data'!#REF!</definedName>
    <definedName name="BExW2SMO90FU9W8DVVES6Q4E6BZR" localSheetId="8" hidden="1">'Largest debtors'!#REF!</definedName>
    <definedName name="BExW2SMO90FU9W8DVVES6Q4E6BZR" localSheetId="11" hidden="1">#REF!</definedName>
    <definedName name="BExW2SMO90FU9W8DVVES6Q4E6BZR" localSheetId="6" hidden="1">Stock!#REF!</definedName>
    <definedName name="BExW2SMO90FU9W8DVVES6Q4E6BZR" hidden="1">#REF!</definedName>
    <definedName name="BExW3T1K638HT5E0Y8MMK108P5JT" localSheetId="7" hidden="1">'Aged debtors'!#REF!</definedName>
    <definedName name="BExW3T1K638HT5E0Y8MMK108P5JT" localSheetId="10" hidden="1">#REF!</definedName>
    <definedName name="BExW3T1K638HT5E0Y8MMK108P5JT" localSheetId="12" hidden="1">#REF!</definedName>
    <definedName name="BExW3T1K638HT5E0Y8MMK108P5JT" localSheetId="9" hidden="1">'Customer data'!#REF!</definedName>
    <definedName name="BExW3T1K638HT5E0Y8MMK108P5JT" localSheetId="8" hidden="1">'Largest debtors'!#REF!</definedName>
    <definedName name="BExW3T1K638HT5E0Y8MMK108P5JT" localSheetId="11" hidden="1">#REF!</definedName>
    <definedName name="BExW3T1K638HT5E0Y8MMK108P5JT" localSheetId="6" hidden="1">Stock!#REF!</definedName>
    <definedName name="BExW3T1K638HT5E0Y8MMK108P5JT" hidden="1">#REF!</definedName>
    <definedName name="BExW4QR9FV9MP5K610THBSM51RYO" localSheetId="7" hidden="1">'Aged debtors'!#REF!</definedName>
    <definedName name="BExW4QR9FV9MP5K610THBSM51RYO" localSheetId="10" hidden="1">#REF!</definedName>
    <definedName name="BExW4QR9FV9MP5K610THBSM51RYO" localSheetId="12" hidden="1">#REF!</definedName>
    <definedName name="BExW4QR9FV9MP5K610THBSM51RYO" localSheetId="9" hidden="1">'Customer data'!#REF!</definedName>
    <definedName name="BExW4QR9FV9MP5K610THBSM51RYO" localSheetId="8" hidden="1">'Largest debtors'!#REF!</definedName>
    <definedName name="BExW4QR9FV9MP5K610THBSM51RYO" localSheetId="11" hidden="1">#REF!</definedName>
    <definedName name="BExW4QR9FV9MP5K610THBSM51RYO" localSheetId="6" hidden="1">Stock!#REF!</definedName>
    <definedName name="BExW4QR9FV9MP5K610THBSM51RYO" hidden="1">#REF!</definedName>
    <definedName name="BExW5AZNT6IAZGNF2C879ODHY1B8" localSheetId="7" hidden="1">'Aged debtors'!#REF!</definedName>
    <definedName name="BExW5AZNT6IAZGNF2C879ODHY1B8" localSheetId="10" hidden="1">#REF!</definedName>
    <definedName name="BExW5AZNT6IAZGNF2C879ODHY1B8" localSheetId="12" hidden="1">#REF!</definedName>
    <definedName name="BExW5AZNT6IAZGNF2C879ODHY1B8" localSheetId="9" hidden="1">'Customer data'!#REF!</definedName>
    <definedName name="BExW5AZNT6IAZGNF2C879ODHY1B8" localSheetId="8" hidden="1">'Largest debtors'!#REF!</definedName>
    <definedName name="BExW5AZNT6IAZGNF2C879ODHY1B8" localSheetId="11" hidden="1">#REF!</definedName>
    <definedName name="BExW5AZNT6IAZGNF2C879ODHY1B8" localSheetId="6" hidden="1">Stock!#REF!</definedName>
    <definedName name="BExW5AZNT6IAZGNF2C879ODHY1B8" hidden="1">#REF!</definedName>
    <definedName name="BExW5MZ3GOO4KVBBGCLE3HYOVCDE" localSheetId="7" hidden="1">'Aged debtors'!#REF!</definedName>
    <definedName name="BExW5MZ3GOO4KVBBGCLE3HYOVCDE" localSheetId="10" hidden="1">#REF!</definedName>
    <definedName name="BExW5MZ3GOO4KVBBGCLE3HYOVCDE" localSheetId="12" hidden="1">#REF!</definedName>
    <definedName name="BExW5MZ3GOO4KVBBGCLE3HYOVCDE" localSheetId="9" hidden="1">'Customer data'!#REF!</definedName>
    <definedName name="BExW5MZ3GOO4KVBBGCLE3HYOVCDE" localSheetId="8" hidden="1">'Largest debtors'!#REF!</definedName>
    <definedName name="BExW5MZ3GOO4KVBBGCLE3HYOVCDE" localSheetId="11" hidden="1">#REF!</definedName>
    <definedName name="BExW5MZ3GOO4KVBBGCLE3HYOVCDE" localSheetId="6" hidden="1">Stock!#REF!</definedName>
    <definedName name="BExW5MZ3GOO4KVBBGCLE3HYOVCDE" hidden="1">#REF!</definedName>
    <definedName name="BExW5WPU27WD4NWZOT0ZEJIDLX5J" localSheetId="7" hidden="1">'Aged debtors'!#REF!</definedName>
    <definedName name="BExW5WPU27WD4NWZOT0ZEJIDLX5J" localSheetId="10" hidden="1">#REF!</definedName>
    <definedName name="BExW5WPU27WD4NWZOT0ZEJIDLX5J" localSheetId="12" hidden="1">#REF!</definedName>
    <definedName name="BExW5WPU27WD4NWZOT0ZEJIDLX5J" localSheetId="9" hidden="1">'Customer data'!#REF!</definedName>
    <definedName name="BExW5WPU27WD4NWZOT0ZEJIDLX5J" localSheetId="8" hidden="1">'Largest debtors'!#REF!</definedName>
    <definedName name="BExW5WPU27WD4NWZOT0ZEJIDLX5J" localSheetId="11" hidden="1">#REF!</definedName>
    <definedName name="BExW5WPU27WD4NWZOT0ZEJIDLX5J" localSheetId="6" hidden="1">Stock!#REF!</definedName>
    <definedName name="BExW5WPU27WD4NWZOT0ZEJIDLX5J" hidden="1">#REF!</definedName>
    <definedName name="BExW66LVVZK656PQY1257QMHP2AY" localSheetId="7" hidden="1">'Aged debtors'!#REF!</definedName>
    <definedName name="BExW66LVVZK656PQY1257QMHP2AY" localSheetId="10" hidden="1">#REF!</definedName>
    <definedName name="BExW66LVVZK656PQY1257QMHP2AY" localSheetId="12" hidden="1">#REF!</definedName>
    <definedName name="BExW66LVVZK656PQY1257QMHP2AY" localSheetId="9" hidden="1">'Customer data'!#REF!</definedName>
    <definedName name="BExW66LVVZK656PQY1257QMHP2AY" localSheetId="8" hidden="1">'Largest debtors'!#REF!</definedName>
    <definedName name="BExW66LVVZK656PQY1257QMHP2AY" localSheetId="11" hidden="1">#REF!</definedName>
    <definedName name="BExW66LVVZK656PQY1257QMHP2AY" localSheetId="6" hidden="1">Stock!#REF!</definedName>
    <definedName name="BExW66LVVZK656PQY1257QMHP2AY" hidden="1">#REF!</definedName>
    <definedName name="BExW6EJPHAP1TWT380AZLXNHR22P" localSheetId="7" hidden="1">'Aged debtors'!#REF!</definedName>
    <definedName name="BExW6EJPHAP1TWT380AZLXNHR22P" localSheetId="10" hidden="1">#REF!</definedName>
    <definedName name="BExW6EJPHAP1TWT380AZLXNHR22P" localSheetId="12" hidden="1">#REF!</definedName>
    <definedName name="BExW6EJPHAP1TWT380AZLXNHR22P" localSheetId="9" hidden="1">'Customer data'!#REF!</definedName>
    <definedName name="BExW6EJPHAP1TWT380AZLXNHR22P" localSheetId="8" hidden="1">'Largest debtors'!#REF!</definedName>
    <definedName name="BExW6EJPHAP1TWT380AZLXNHR22P" localSheetId="11" hidden="1">#REF!</definedName>
    <definedName name="BExW6EJPHAP1TWT380AZLXNHR22P" localSheetId="6" hidden="1">Stock!#REF!</definedName>
    <definedName name="BExW6EJPHAP1TWT380AZLXNHR22P" hidden="1">#REF!</definedName>
    <definedName name="BExW794A74Z5F2K8LVQLD6VSKXUE" localSheetId="7" hidden="1">'Aged debtors'!#REF!</definedName>
    <definedName name="BExW794A74Z5F2K8LVQLD6VSKXUE" localSheetId="10" hidden="1">#REF!</definedName>
    <definedName name="BExW794A74Z5F2K8LVQLD6VSKXUE" localSheetId="12" hidden="1">#REF!</definedName>
    <definedName name="BExW794A74Z5F2K8LVQLD6VSKXUE" localSheetId="9" hidden="1">'Customer data'!#REF!</definedName>
    <definedName name="BExW794A74Z5F2K8LVQLD6VSKXUE" localSheetId="8" hidden="1">'Largest debtors'!#REF!</definedName>
    <definedName name="BExW794A74Z5F2K8LVQLD6VSKXUE" localSheetId="11" hidden="1">#REF!</definedName>
    <definedName name="BExW794A74Z5F2K8LVQLD6VSKXUE" localSheetId="6" hidden="1">Stock!#REF!</definedName>
    <definedName name="BExW794A74Z5F2K8LVQLD6VSKXUE" hidden="1">#REF!</definedName>
    <definedName name="BExW8K0SSIPSKBVP06IJ71600HJZ" localSheetId="7" hidden="1">'Aged debtors'!#REF!</definedName>
    <definedName name="BExW8K0SSIPSKBVP06IJ71600HJZ" localSheetId="10" hidden="1">#REF!</definedName>
    <definedName name="BExW8K0SSIPSKBVP06IJ71600HJZ" localSheetId="12" hidden="1">#REF!</definedName>
    <definedName name="BExW8K0SSIPSKBVP06IJ71600HJZ" localSheetId="9" hidden="1">'Customer data'!#REF!</definedName>
    <definedName name="BExW8K0SSIPSKBVP06IJ71600HJZ" localSheetId="8" hidden="1">'Largest debtors'!#REF!</definedName>
    <definedName name="BExW8K0SSIPSKBVP06IJ71600HJZ" localSheetId="11" hidden="1">#REF!</definedName>
    <definedName name="BExW8K0SSIPSKBVP06IJ71600HJZ" localSheetId="6" hidden="1">Stock!#REF!</definedName>
    <definedName name="BExW8K0SSIPSKBVP06IJ71600HJZ" hidden="1">#REF!</definedName>
    <definedName name="BExW8T0GVY3ZYO4ACSBLHS8SH895" localSheetId="7" hidden="1">'Aged debtors'!#REF!</definedName>
    <definedName name="BExW8T0GVY3ZYO4ACSBLHS8SH895" localSheetId="10" hidden="1">#REF!</definedName>
    <definedName name="BExW8T0GVY3ZYO4ACSBLHS8SH895" localSheetId="12" hidden="1">#REF!</definedName>
    <definedName name="BExW8T0GVY3ZYO4ACSBLHS8SH895" localSheetId="9" hidden="1">'Customer data'!#REF!</definedName>
    <definedName name="BExW8T0GVY3ZYO4ACSBLHS8SH895" localSheetId="8" hidden="1">'Largest debtors'!#REF!</definedName>
    <definedName name="BExW8T0GVY3ZYO4ACSBLHS8SH895" localSheetId="11" hidden="1">#REF!</definedName>
    <definedName name="BExW8T0GVY3ZYO4ACSBLHS8SH895" localSheetId="6" hidden="1">Stock!#REF!</definedName>
    <definedName name="BExW8T0GVY3ZYO4ACSBLHS8SH895" hidden="1">#REF!</definedName>
    <definedName name="BExW8YEP73JMMU9HZ08PM4WHJQZ4" localSheetId="7" hidden="1">'Aged debtors'!#REF!</definedName>
    <definedName name="BExW8YEP73JMMU9HZ08PM4WHJQZ4" localSheetId="10" hidden="1">#REF!</definedName>
    <definedName name="BExW8YEP73JMMU9HZ08PM4WHJQZ4" localSheetId="12" hidden="1">#REF!</definedName>
    <definedName name="BExW8YEP73JMMU9HZ08PM4WHJQZ4" localSheetId="9" hidden="1">'Customer data'!#REF!</definedName>
    <definedName name="BExW8YEP73JMMU9HZ08PM4WHJQZ4" localSheetId="8" hidden="1">'Largest debtors'!#REF!</definedName>
    <definedName name="BExW8YEP73JMMU9HZ08PM4WHJQZ4" localSheetId="11" hidden="1">#REF!</definedName>
    <definedName name="BExW8YEP73JMMU9HZ08PM4WHJQZ4" localSheetId="6" hidden="1">Stock!#REF!</definedName>
    <definedName name="BExW8YEP73JMMU9HZ08PM4WHJQZ4" hidden="1">#REF!</definedName>
    <definedName name="BExW937AT53OZQRHNWQZ5BVH24IE" localSheetId="7" hidden="1">'Aged debtors'!#REF!</definedName>
    <definedName name="BExW937AT53OZQRHNWQZ5BVH24IE" localSheetId="10" hidden="1">#REF!</definedName>
    <definedName name="BExW937AT53OZQRHNWQZ5BVH24IE" localSheetId="12" hidden="1">#REF!</definedName>
    <definedName name="BExW937AT53OZQRHNWQZ5BVH24IE" localSheetId="9" hidden="1">'Customer data'!#REF!</definedName>
    <definedName name="BExW937AT53OZQRHNWQZ5BVH24IE" localSheetId="8" hidden="1">'Largest debtors'!#REF!</definedName>
    <definedName name="BExW937AT53OZQRHNWQZ5BVH24IE" localSheetId="11" hidden="1">#REF!</definedName>
    <definedName name="BExW937AT53OZQRHNWQZ5BVH24IE" localSheetId="6" hidden="1">Stock!#REF!</definedName>
    <definedName name="BExW937AT53OZQRHNWQZ5BVH24IE" hidden="1">#REF!</definedName>
    <definedName name="BExXLDE6PN4ESWT3LXJNQCY94NE4" localSheetId="7" hidden="1">'Aged debtors'!#REF!</definedName>
    <definedName name="BExXLDE6PN4ESWT3LXJNQCY94NE4" localSheetId="10" hidden="1">#REF!</definedName>
    <definedName name="BExXLDE6PN4ESWT3LXJNQCY94NE4" localSheetId="12" hidden="1">#REF!</definedName>
    <definedName name="BExXLDE6PN4ESWT3LXJNQCY94NE4" localSheetId="9" hidden="1">'Customer data'!#REF!</definedName>
    <definedName name="BExXLDE6PN4ESWT3LXJNQCY94NE4" localSheetId="8" hidden="1">'Largest debtors'!#REF!</definedName>
    <definedName name="BExXLDE6PN4ESWT3LXJNQCY94NE4" localSheetId="11" hidden="1">#REF!</definedName>
    <definedName name="BExXLDE6PN4ESWT3LXJNQCY94NE4" localSheetId="6" hidden="1">Stock!#REF!</definedName>
    <definedName name="BExXLDE6PN4ESWT3LXJNQCY94NE4" hidden="1">#REF!</definedName>
    <definedName name="BExXLQVPK2H3IF0NDDA5CT612EUK" localSheetId="7" hidden="1">'Aged debtors'!#REF!</definedName>
    <definedName name="BExXLQVPK2H3IF0NDDA5CT612EUK" localSheetId="10" hidden="1">#REF!</definedName>
    <definedName name="BExXLQVPK2H3IF0NDDA5CT612EUK" localSheetId="12" hidden="1">#REF!</definedName>
    <definedName name="BExXLQVPK2H3IF0NDDA5CT612EUK" localSheetId="9" hidden="1">'Customer data'!#REF!</definedName>
    <definedName name="BExXLQVPK2H3IF0NDDA5CT612EUK" localSheetId="8" hidden="1">'Largest debtors'!#REF!</definedName>
    <definedName name="BExXLQVPK2H3IF0NDDA5CT612EUK" localSheetId="11" hidden="1">#REF!</definedName>
    <definedName name="BExXLQVPK2H3IF0NDDA5CT612EUK" localSheetId="6" hidden="1">Stock!#REF!</definedName>
    <definedName name="BExXLQVPK2H3IF0NDDA5CT612EUK" hidden="1">#REF!</definedName>
    <definedName name="BExXLR6IO70TYTACKQH9M5PGV24J" localSheetId="7" hidden="1">'Aged debtors'!#REF!</definedName>
    <definedName name="BExXLR6IO70TYTACKQH9M5PGV24J" localSheetId="10" hidden="1">#REF!</definedName>
    <definedName name="BExXLR6IO70TYTACKQH9M5PGV24J" localSheetId="12" hidden="1">#REF!</definedName>
    <definedName name="BExXLR6IO70TYTACKQH9M5PGV24J" localSheetId="9" hidden="1">'Customer data'!#REF!</definedName>
    <definedName name="BExXLR6IO70TYTACKQH9M5PGV24J" localSheetId="8" hidden="1">'Largest debtors'!#REF!</definedName>
    <definedName name="BExXLR6IO70TYTACKQH9M5PGV24J" localSheetId="11" hidden="1">#REF!</definedName>
    <definedName name="BExXLR6IO70TYTACKQH9M5PGV24J" localSheetId="6" hidden="1">Stock!#REF!</definedName>
    <definedName name="BExXLR6IO70TYTACKQH9M5PGV24J" hidden="1">#REF!</definedName>
    <definedName name="BExXM065WOLYRYHGHOJE0OOFXA4M" localSheetId="7" hidden="1">'Aged debtors'!#REF!</definedName>
    <definedName name="BExXM065WOLYRYHGHOJE0OOFXA4M" localSheetId="10" hidden="1">#REF!</definedName>
    <definedName name="BExXM065WOLYRYHGHOJE0OOFXA4M" localSheetId="12" hidden="1">#REF!</definedName>
    <definedName name="BExXM065WOLYRYHGHOJE0OOFXA4M" localSheetId="9" hidden="1">'Customer data'!#REF!</definedName>
    <definedName name="BExXM065WOLYRYHGHOJE0OOFXA4M" localSheetId="8" hidden="1">'Largest debtors'!#REF!</definedName>
    <definedName name="BExXM065WOLYRYHGHOJE0OOFXA4M" localSheetId="11" hidden="1">#REF!</definedName>
    <definedName name="BExXM065WOLYRYHGHOJE0OOFXA4M" localSheetId="6" hidden="1">Stock!#REF!</definedName>
    <definedName name="BExXM065WOLYRYHGHOJE0OOFXA4M" hidden="1">#REF!</definedName>
    <definedName name="BExXM3GUNXVDM82KUR17NNUMQCNI" localSheetId="7" hidden="1">'Aged debtors'!#REF!</definedName>
    <definedName name="BExXM3GUNXVDM82KUR17NNUMQCNI" localSheetId="10" hidden="1">#REF!</definedName>
    <definedName name="BExXM3GUNXVDM82KUR17NNUMQCNI" localSheetId="12" hidden="1">#REF!</definedName>
    <definedName name="BExXM3GUNXVDM82KUR17NNUMQCNI" localSheetId="9" hidden="1">'Customer data'!#REF!</definedName>
    <definedName name="BExXM3GUNXVDM82KUR17NNUMQCNI" localSheetId="8" hidden="1">'Largest debtors'!#REF!</definedName>
    <definedName name="BExXM3GUNXVDM82KUR17NNUMQCNI" localSheetId="11" hidden="1">#REF!</definedName>
    <definedName name="BExXM3GUNXVDM82KUR17NNUMQCNI" localSheetId="6" hidden="1">Stock!#REF!</definedName>
    <definedName name="BExXM3GUNXVDM82KUR17NNUMQCNI" hidden="1">#REF!</definedName>
    <definedName name="BExXMA28M8SH7MKIGETSDA72WUIZ" localSheetId="7" hidden="1">'Aged debtors'!#REF!</definedName>
    <definedName name="BExXMA28M8SH7MKIGETSDA72WUIZ" localSheetId="10" hidden="1">#REF!</definedName>
    <definedName name="BExXMA28M8SH7MKIGETSDA72WUIZ" localSheetId="12" hidden="1">#REF!</definedName>
    <definedName name="BExXMA28M8SH7MKIGETSDA72WUIZ" localSheetId="9" hidden="1">'Customer data'!#REF!</definedName>
    <definedName name="BExXMA28M8SH7MKIGETSDA72WUIZ" localSheetId="8" hidden="1">'Largest debtors'!#REF!</definedName>
    <definedName name="BExXMA28M8SH7MKIGETSDA72WUIZ" localSheetId="11" hidden="1">#REF!</definedName>
    <definedName name="BExXMA28M8SH7MKIGETSDA72WUIZ" localSheetId="6" hidden="1">Stock!#REF!</definedName>
    <definedName name="BExXMA28M8SH7MKIGETSDA72WUIZ" hidden="1">#REF!</definedName>
    <definedName name="BExXMT8T5Z3M2JBQN65X2LKH0YQI" localSheetId="7" hidden="1">'Aged debtors'!#REF!</definedName>
    <definedName name="BExXMT8T5Z3M2JBQN65X2LKH0YQI" localSheetId="10" hidden="1">#REF!</definedName>
    <definedName name="BExXMT8T5Z3M2JBQN65X2LKH0YQI" localSheetId="12" hidden="1">#REF!</definedName>
    <definedName name="BExXMT8T5Z3M2JBQN65X2LKH0YQI" localSheetId="9" hidden="1">'Customer data'!#REF!</definedName>
    <definedName name="BExXMT8T5Z3M2JBQN65X2LKH0YQI" localSheetId="8" hidden="1">'Largest debtors'!#REF!</definedName>
    <definedName name="BExXMT8T5Z3M2JBQN65X2LKH0YQI" localSheetId="11" hidden="1">#REF!</definedName>
    <definedName name="BExXMT8T5Z3M2JBQN65X2LKH0YQI" localSheetId="6" hidden="1">Stock!#REF!</definedName>
    <definedName name="BExXMT8T5Z3M2JBQN65X2LKH0YQI" hidden="1">#REF!</definedName>
    <definedName name="BExXN1XNO7H60M9X1E7EVWFJDM5N" localSheetId="7" hidden="1">'Aged debtors'!#REF!</definedName>
    <definedName name="BExXN1XNO7H60M9X1E7EVWFJDM5N" localSheetId="10" hidden="1">#REF!</definedName>
    <definedName name="BExXN1XNO7H60M9X1E7EVWFJDM5N" localSheetId="12" hidden="1">#REF!</definedName>
    <definedName name="BExXN1XNO7H60M9X1E7EVWFJDM5N" localSheetId="9" hidden="1">'Customer data'!#REF!</definedName>
    <definedName name="BExXN1XNO7H60M9X1E7EVWFJDM5N" localSheetId="8" hidden="1">'Largest debtors'!#REF!</definedName>
    <definedName name="BExXN1XNO7H60M9X1E7EVWFJDM5N" localSheetId="11" hidden="1">#REF!</definedName>
    <definedName name="BExXN1XNO7H60M9X1E7EVWFJDM5N" localSheetId="6" hidden="1">Stock!#REF!</definedName>
    <definedName name="BExXN1XNO7H60M9X1E7EVWFJDM5N" hidden="1">#REF!</definedName>
    <definedName name="BExXN22ZOTIW49GPLWFYKVM90FNZ" localSheetId="7" hidden="1">'Aged debtors'!#REF!</definedName>
    <definedName name="BExXN22ZOTIW49GPLWFYKVM90FNZ" localSheetId="10" hidden="1">#REF!</definedName>
    <definedName name="BExXN22ZOTIW49GPLWFYKVM90FNZ" localSheetId="12" hidden="1">#REF!</definedName>
    <definedName name="BExXN22ZOTIW49GPLWFYKVM90FNZ" localSheetId="9" hidden="1">'Customer data'!#REF!</definedName>
    <definedName name="BExXN22ZOTIW49GPLWFYKVM90FNZ" localSheetId="8" hidden="1">'Largest debtors'!#REF!</definedName>
    <definedName name="BExXN22ZOTIW49GPLWFYKVM90FNZ" localSheetId="11" hidden="1">#REF!</definedName>
    <definedName name="BExXN22ZOTIW49GPLWFYKVM90FNZ" localSheetId="6" hidden="1">Stock!#REF!</definedName>
    <definedName name="BExXN22ZOTIW49GPLWFYKVM90FNZ" hidden="1">#REF!</definedName>
    <definedName name="BExXN6QAP8UJQVN4R4BQKPP4QK35" localSheetId="7" hidden="1">'Aged debtors'!#REF!</definedName>
    <definedName name="BExXN6QAP8UJQVN4R4BQKPP4QK35" localSheetId="10" hidden="1">#REF!</definedName>
    <definedName name="BExXN6QAP8UJQVN4R4BQKPP4QK35" localSheetId="12" hidden="1">#REF!</definedName>
    <definedName name="BExXN6QAP8UJQVN4R4BQKPP4QK35" localSheetId="9" hidden="1">'Customer data'!#REF!</definedName>
    <definedName name="BExXN6QAP8UJQVN4R4BQKPP4QK35" localSheetId="8" hidden="1">'Largest debtors'!#REF!</definedName>
    <definedName name="BExXN6QAP8UJQVN4R4BQKPP4QK35" localSheetId="11" hidden="1">#REF!</definedName>
    <definedName name="BExXN6QAP8UJQVN4R4BQKPP4QK35" localSheetId="6" hidden="1">Stock!#REF!</definedName>
    <definedName name="BExXN6QAP8UJQVN4R4BQKPP4QK35" hidden="1">#REF!</definedName>
    <definedName name="BExXNBOA39T2X6Y5Y5GZ5DDNA1AX" localSheetId="7" hidden="1">'Aged debtors'!#REF!</definedName>
    <definedName name="BExXNBOA39T2X6Y5Y5GZ5DDNA1AX" localSheetId="10" hidden="1">#REF!</definedName>
    <definedName name="BExXNBOA39T2X6Y5Y5GZ5DDNA1AX" localSheetId="12" hidden="1">#REF!</definedName>
    <definedName name="BExXNBOA39T2X6Y5Y5GZ5DDNA1AX" localSheetId="9" hidden="1">'Customer data'!#REF!</definedName>
    <definedName name="BExXNBOA39T2X6Y5Y5GZ5DDNA1AX" localSheetId="8" hidden="1">'Largest debtors'!#REF!</definedName>
    <definedName name="BExXNBOA39T2X6Y5Y5GZ5DDNA1AX" localSheetId="11" hidden="1">#REF!</definedName>
    <definedName name="BExXNBOA39T2X6Y5Y5GZ5DDNA1AX" localSheetId="6" hidden="1">Stock!#REF!</definedName>
    <definedName name="BExXNBOA39T2X6Y5Y5GZ5DDNA1AX" hidden="1">#REF!</definedName>
    <definedName name="BExXNPM24UN2PGVL9D1TUBFRIKR4" localSheetId="7" hidden="1">'Aged debtors'!#REF!</definedName>
    <definedName name="BExXNPM24UN2PGVL9D1TUBFRIKR4" localSheetId="10" hidden="1">#REF!</definedName>
    <definedName name="BExXNPM24UN2PGVL9D1TUBFRIKR4" localSheetId="12" hidden="1">#REF!</definedName>
    <definedName name="BExXNPM24UN2PGVL9D1TUBFRIKR4" localSheetId="9" hidden="1">'Customer data'!#REF!</definedName>
    <definedName name="BExXNPM24UN2PGVL9D1TUBFRIKR4" localSheetId="8" hidden="1">'Largest debtors'!#REF!</definedName>
    <definedName name="BExXNPM24UN2PGVL9D1TUBFRIKR4" localSheetId="11" hidden="1">#REF!</definedName>
    <definedName name="BExXNPM24UN2PGVL9D1TUBFRIKR4" localSheetId="6" hidden="1">Stock!#REF!</definedName>
    <definedName name="BExXNPM24UN2PGVL9D1TUBFRIKR4" hidden="1">#REF!</definedName>
    <definedName name="BExXNWYB165VO9MHARCL5WLCHWS0" localSheetId="7" hidden="1">'Aged debtors'!#REF!</definedName>
    <definedName name="BExXNWYB165VO9MHARCL5WLCHWS0" localSheetId="10" hidden="1">#REF!</definedName>
    <definedName name="BExXNWYB165VO9MHARCL5WLCHWS0" localSheetId="12" hidden="1">#REF!</definedName>
    <definedName name="BExXNWYB165VO9MHARCL5WLCHWS0" localSheetId="9" hidden="1">'Customer data'!#REF!</definedName>
    <definedName name="BExXNWYB165VO9MHARCL5WLCHWS0" localSheetId="8" hidden="1">'Largest debtors'!#REF!</definedName>
    <definedName name="BExXNWYB165VO9MHARCL5WLCHWS0" localSheetId="11" hidden="1">#REF!</definedName>
    <definedName name="BExXNWYB165VO9MHARCL5WLCHWS0" localSheetId="6" hidden="1">Stock!#REF!</definedName>
    <definedName name="BExXNWYB165VO9MHARCL5WLCHWS0" hidden="1">#REF!</definedName>
    <definedName name="BExXO278QHQN8JDK5425EJ615ECC" localSheetId="7" hidden="1">'Aged debtors'!#REF!</definedName>
    <definedName name="BExXO278QHQN8JDK5425EJ615ECC" localSheetId="10" hidden="1">#REF!</definedName>
    <definedName name="BExXO278QHQN8JDK5425EJ615ECC" localSheetId="12" hidden="1">#REF!</definedName>
    <definedName name="BExXO278QHQN8JDK5425EJ615ECC" localSheetId="9" hidden="1">'Customer data'!#REF!</definedName>
    <definedName name="BExXO278QHQN8JDK5425EJ615ECC" localSheetId="8" hidden="1">'Largest debtors'!#REF!</definedName>
    <definedName name="BExXO278QHQN8JDK5425EJ615ECC" localSheetId="11" hidden="1">#REF!</definedName>
    <definedName name="BExXO278QHQN8JDK5425EJ615ECC" localSheetId="6" hidden="1">Stock!#REF!</definedName>
    <definedName name="BExXO278QHQN8JDK5425EJ615ECC" hidden="1">#REF!</definedName>
    <definedName name="BExXOHSAD2NSHOLLMZ2JWA4I3I1R" localSheetId="7" hidden="1">'Aged debtors'!#REF!</definedName>
    <definedName name="BExXOHSAD2NSHOLLMZ2JWA4I3I1R" localSheetId="10" hidden="1">#REF!</definedName>
    <definedName name="BExXOHSAD2NSHOLLMZ2JWA4I3I1R" localSheetId="12" hidden="1">#REF!</definedName>
    <definedName name="BExXOHSAD2NSHOLLMZ2JWA4I3I1R" localSheetId="9" hidden="1">'Customer data'!#REF!</definedName>
    <definedName name="BExXOHSAD2NSHOLLMZ2JWA4I3I1R" localSheetId="8" hidden="1">'Largest debtors'!#REF!</definedName>
    <definedName name="BExXOHSAD2NSHOLLMZ2JWA4I3I1R" localSheetId="11" hidden="1">#REF!</definedName>
    <definedName name="BExXOHSAD2NSHOLLMZ2JWA4I3I1R" localSheetId="6" hidden="1">Stock!#REF!</definedName>
    <definedName name="BExXOHSAD2NSHOLLMZ2JWA4I3I1R" hidden="1">#REF!</definedName>
    <definedName name="BExXP80B5FGA00JCM7UXKPI3PB7Y" localSheetId="7" hidden="1">'Aged debtors'!#REF!</definedName>
    <definedName name="BExXP80B5FGA00JCM7UXKPI3PB7Y" localSheetId="10" hidden="1">#REF!</definedName>
    <definedName name="BExXP80B5FGA00JCM7UXKPI3PB7Y" localSheetId="12" hidden="1">#REF!</definedName>
    <definedName name="BExXP80B5FGA00JCM7UXKPI3PB7Y" localSheetId="9" hidden="1">'Customer data'!#REF!</definedName>
    <definedName name="BExXP80B5FGA00JCM7UXKPI3PB7Y" localSheetId="8" hidden="1">'Largest debtors'!#REF!</definedName>
    <definedName name="BExXP80B5FGA00JCM7UXKPI3PB7Y" localSheetId="11" hidden="1">#REF!</definedName>
    <definedName name="BExXP80B5FGA00JCM7UXKPI3PB7Y" localSheetId="6" hidden="1">Stock!#REF!</definedName>
    <definedName name="BExXP80B5FGA00JCM7UXKPI3PB7Y" hidden="1">#REF!</definedName>
    <definedName name="BExXP85M4WXYVN1UVHUTOEKEG5XS" localSheetId="7" hidden="1">'Aged debtors'!#REF!</definedName>
    <definedName name="BExXP85M4WXYVN1UVHUTOEKEG5XS" localSheetId="10" hidden="1">#REF!</definedName>
    <definedName name="BExXP85M4WXYVN1UVHUTOEKEG5XS" localSheetId="12" hidden="1">#REF!</definedName>
    <definedName name="BExXP85M4WXYVN1UVHUTOEKEG5XS" localSheetId="9" hidden="1">'Customer data'!#REF!</definedName>
    <definedName name="BExXP85M4WXYVN1UVHUTOEKEG5XS" localSheetId="8" hidden="1">'Largest debtors'!#REF!</definedName>
    <definedName name="BExXP85M4WXYVN1UVHUTOEKEG5XS" localSheetId="11" hidden="1">#REF!</definedName>
    <definedName name="BExXP85M4WXYVN1UVHUTOEKEG5XS" localSheetId="6" hidden="1">Stock!#REF!</definedName>
    <definedName name="BExXP85M4WXYVN1UVHUTOEKEG5XS" hidden="1">#REF!</definedName>
    <definedName name="BExXPELOTHOAG0OWILLAH94OZV5J" localSheetId="7" hidden="1">'Aged debtors'!#REF!</definedName>
    <definedName name="BExXPELOTHOAG0OWILLAH94OZV5J" localSheetId="10" hidden="1">#REF!</definedName>
    <definedName name="BExXPELOTHOAG0OWILLAH94OZV5J" localSheetId="12" hidden="1">#REF!</definedName>
    <definedName name="BExXPELOTHOAG0OWILLAH94OZV5J" localSheetId="9" hidden="1">'Customer data'!#REF!</definedName>
    <definedName name="BExXPELOTHOAG0OWILLAH94OZV5J" localSheetId="8" hidden="1">'Largest debtors'!#REF!</definedName>
    <definedName name="BExXPELOTHOAG0OWILLAH94OZV5J" localSheetId="11" hidden="1">#REF!</definedName>
    <definedName name="BExXPELOTHOAG0OWILLAH94OZV5J" localSheetId="6" hidden="1">Stock!#REF!</definedName>
    <definedName name="BExXPELOTHOAG0OWILLAH94OZV5J" hidden="1">#REF!</definedName>
    <definedName name="BExXPS31W1VD2NMIE4E37LHVDF0L" localSheetId="7" hidden="1">'Aged debtors'!#REF!</definedName>
    <definedName name="BExXPS31W1VD2NMIE4E37LHVDF0L" localSheetId="10" hidden="1">#REF!</definedName>
    <definedName name="BExXPS31W1VD2NMIE4E37LHVDF0L" localSheetId="12" hidden="1">#REF!</definedName>
    <definedName name="BExXPS31W1VD2NMIE4E37LHVDF0L" localSheetId="9" hidden="1">'Customer data'!#REF!</definedName>
    <definedName name="BExXPS31W1VD2NMIE4E37LHVDF0L" localSheetId="8" hidden="1">'Largest debtors'!#REF!</definedName>
    <definedName name="BExXPS31W1VD2NMIE4E37LHVDF0L" localSheetId="11" hidden="1">#REF!</definedName>
    <definedName name="BExXPS31W1VD2NMIE4E37LHVDF0L" localSheetId="6" hidden="1">Stock!#REF!</definedName>
    <definedName name="BExXPS31W1VD2NMIE4E37LHVDF0L" hidden="1">#REF!</definedName>
    <definedName name="BExXPZKYEMVF5JOC14HYOOYQK6JK" localSheetId="7" hidden="1">'Aged debtors'!#REF!</definedName>
    <definedName name="BExXPZKYEMVF5JOC14HYOOYQK6JK" localSheetId="10" hidden="1">#REF!</definedName>
    <definedName name="BExXPZKYEMVF5JOC14HYOOYQK6JK" localSheetId="12" hidden="1">#REF!</definedName>
    <definedName name="BExXPZKYEMVF5JOC14HYOOYQK6JK" localSheetId="9" hidden="1">'Customer data'!#REF!</definedName>
    <definedName name="BExXPZKYEMVF5JOC14HYOOYQK6JK" localSheetId="8" hidden="1">'Largest debtors'!#REF!</definedName>
    <definedName name="BExXPZKYEMVF5JOC14HYOOYQK6JK" localSheetId="11" hidden="1">#REF!</definedName>
    <definedName name="BExXPZKYEMVF5JOC14HYOOYQK6JK" localSheetId="6" hidden="1">Stock!#REF!</definedName>
    <definedName name="BExXPZKYEMVF5JOC14HYOOYQK6JK" hidden="1">#REF!</definedName>
    <definedName name="BExXQ89PA10X79WBWOEP1AJX1OQM" localSheetId="7" hidden="1">'Aged debtors'!#REF!</definedName>
    <definedName name="BExXQ89PA10X79WBWOEP1AJX1OQM" localSheetId="10" hidden="1">#REF!</definedName>
    <definedName name="BExXQ89PA10X79WBWOEP1AJX1OQM" localSheetId="12" hidden="1">#REF!</definedName>
    <definedName name="BExXQ89PA10X79WBWOEP1AJX1OQM" localSheetId="9" hidden="1">'Customer data'!#REF!</definedName>
    <definedName name="BExXQ89PA10X79WBWOEP1AJX1OQM" localSheetId="8" hidden="1">'Largest debtors'!#REF!</definedName>
    <definedName name="BExXQ89PA10X79WBWOEP1AJX1OQM" localSheetId="11" hidden="1">#REF!</definedName>
    <definedName name="BExXQ89PA10X79WBWOEP1AJX1OQM" localSheetId="6" hidden="1">Stock!#REF!</definedName>
    <definedName name="BExXQ89PA10X79WBWOEP1AJX1OQM" hidden="1">#REF!</definedName>
    <definedName name="BExXQCGQGGYSI0LTRVR73MUO50AW" localSheetId="7" hidden="1">'Aged debtors'!#REF!</definedName>
    <definedName name="BExXQCGQGGYSI0LTRVR73MUO50AW" localSheetId="10" hidden="1">#REF!</definedName>
    <definedName name="BExXQCGQGGYSI0LTRVR73MUO50AW" localSheetId="12" hidden="1">#REF!</definedName>
    <definedName name="BExXQCGQGGYSI0LTRVR73MUO50AW" localSheetId="9" hidden="1">'Customer data'!#REF!</definedName>
    <definedName name="BExXQCGQGGYSI0LTRVR73MUO50AW" localSheetId="8" hidden="1">'Largest debtors'!#REF!</definedName>
    <definedName name="BExXQCGQGGYSI0LTRVR73MUO50AW" localSheetId="11" hidden="1">#REF!</definedName>
    <definedName name="BExXQCGQGGYSI0LTRVR73MUO50AW" localSheetId="6" hidden="1">Stock!#REF!</definedName>
    <definedName name="BExXQCGQGGYSI0LTRVR73MUO50AW" hidden="1">#REF!</definedName>
    <definedName name="BExXQH41O5HZAH8BO6HCFY8YC3TU" localSheetId="7" hidden="1">'Aged debtors'!#REF!</definedName>
    <definedName name="BExXQH41O5HZAH8BO6HCFY8YC3TU" localSheetId="10" hidden="1">#REF!</definedName>
    <definedName name="BExXQH41O5HZAH8BO6HCFY8YC3TU" localSheetId="12" hidden="1">#REF!</definedName>
    <definedName name="BExXQH41O5HZAH8BO6HCFY8YC3TU" localSheetId="9" hidden="1">'Customer data'!#REF!</definedName>
    <definedName name="BExXQH41O5HZAH8BO6HCFY8YC3TU" localSheetId="8" hidden="1">'Largest debtors'!#REF!</definedName>
    <definedName name="BExXQH41O5HZAH8BO6HCFY8YC3TU" localSheetId="11" hidden="1">#REF!</definedName>
    <definedName name="BExXQH41O5HZAH8BO6HCFY8YC3TU" localSheetId="6" hidden="1">Stock!#REF!</definedName>
    <definedName name="BExXQH41O5HZAH8BO6HCFY8YC3TU" hidden="1">#REF!</definedName>
    <definedName name="BExXQJIEF5R3QQ6D8HO3NGPU0IQC" localSheetId="7" hidden="1">'Aged debtors'!#REF!</definedName>
    <definedName name="BExXQJIEF5R3QQ6D8HO3NGPU0IQC" localSheetId="10" hidden="1">#REF!</definedName>
    <definedName name="BExXQJIEF5R3QQ6D8HO3NGPU0IQC" localSheetId="12" hidden="1">#REF!</definedName>
    <definedName name="BExXQJIEF5R3QQ6D8HO3NGPU0IQC" localSheetId="9" hidden="1">'Customer data'!#REF!</definedName>
    <definedName name="BExXQJIEF5R3QQ6D8HO3NGPU0IQC" localSheetId="8" hidden="1">'Largest debtors'!#REF!</definedName>
    <definedName name="BExXQJIEF5R3QQ6D8HO3NGPU0IQC" localSheetId="11" hidden="1">#REF!</definedName>
    <definedName name="BExXQJIEF5R3QQ6D8HO3NGPU0IQC" localSheetId="6" hidden="1">Stock!#REF!</definedName>
    <definedName name="BExXQJIEF5R3QQ6D8HO3NGPU0IQC" hidden="1">#REF!</definedName>
    <definedName name="BExXQU00K9ER4I1WM7T9J0W1E7ZC" localSheetId="7" hidden="1">'Aged debtors'!#REF!</definedName>
    <definedName name="BExXQU00K9ER4I1WM7T9J0W1E7ZC" localSheetId="10" hidden="1">#REF!</definedName>
    <definedName name="BExXQU00K9ER4I1WM7T9J0W1E7ZC" localSheetId="12" hidden="1">#REF!</definedName>
    <definedName name="BExXQU00K9ER4I1WM7T9J0W1E7ZC" localSheetId="9" hidden="1">'Customer data'!#REF!</definedName>
    <definedName name="BExXQU00K9ER4I1WM7T9J0W1E7ZC" localSheetId="8" hidden="1">'Largest debtors'!#REF!</definedName>
    <definedName name="BExXQU00K9ER4I1WM7T9J0W1E7ZC" localSheetId="11" hidden="1">#REF!</definedName>
    <definedName name="BExXQU00K9ER4I1WM7T9J0W1E7ZC" localSheetId="6" hidden="1">Stock!#REF!</definedName>
    <definedName name="BExXQU00K9ER4I1WM7T9J0W1E7ZC" hidden="1">#REF!</definedName>
    <definedName name="BExXQXG18PS8HGBOS03OSTQ0KEYC" localSheetId="7" hidden="1">'Aged debtors'!#REF!</definedName>
    <definedName name="BExXQXG18PS8HGBOS03OSTQ0KEYC" localSheetId="10" hidden="1">#REF!</definedName>
    <definedName name="BExXQXG18PS8HGBOS03OSTQ0KEYC" localSheetId="12" hidden="1">#REF!</definedName>
    <definedName name="BExXQXG18PS8HGBOS03OSTQ0KEYC" localSheetId="9" hidden="1">'Customer data'!#REF!</definedName>
    <definedName name="BExXQXG18PS8HGBOS03OSTQ0KEYC" localSheetId="8" hidden="1">'Largest debtors'!#REF!</definedName>
    <definedName name="BExXQXG18PS8HGBOS03OSTQ0KEYC" localSheetId="11" hidden="1">#REF!</definedName>
    <definedName name="BExXQXG18PS8HGBOS03OSTQ0KEYC" localSheetId="6" hidden="1">Stock!#REF!</definedName>
    <definedName name="BExXQXG18PS8HGBOS03OSTQ0KEYC" hidden="1">#REF!</definedName>
    <definedName name="BExXR3W3FKYQBLR299HO9RZ70C43" localSheetId="7" hidden="1">'Aged debtors'!#REF!</definedName>
    <definedName name="BExXR3W3FKYQBLR299HO9RZ70C43" localSheetId="10" hidden="1">#REF!</definedName>
    <definedName name="BExXR3W3FKYQBLR299HO9RZ70C43" localSheetId="12" hidden="1">#REF!</definedName>
    <definedName name="BExXR3W3FKYQBLR299HO9RZ70C43" localSheetId="9" hidden="1">'Customer data'!#REF!</definedName>
    <definedName name="BExXR3W3FKYQBLR299HO9RZ70C43" localSheetId="8" hidden="1">'Largest debtors'!#REF!</definedName>
    <definedName name="BExXR3W3FKYQBLR299HO9RZ70C43" localSheetId="11" hidden="1">#REF!</definedName>
    <definedName name="BExXR3W3FKYQBLR299HO9RZ70C43" localSheetId="6" hidden="1">Stock!#REF!</definedName>
    <definedName name="BExXR3W3FKYQBLR299HO9RZ70C43" hidden="1">#REF!</definedName>
    <definedName name="BExXRA6N6XCLQM6XDV724ZIH6G93" localSheetId="7" hidden="1">'Aged debtors'!#REF!</definedName>
    <definedName name="BExXRA6N6XCLQM6XDV724ZIH6G93" localSheetId="10" hidden="1">#REF!</definedName>
    <definedName name="BExXRA6N6XCLQM6XDV724ZIH6G93" localSheetId="12" hidden="1">#REF!</definedName>
    <definedName name="BExXRA6N6XCLQM6XDV724ZIH6G93" localSheetId="9" hidden="1">'Customer data'!#REF!</definedName>
    <definedName name="BExXRA6N6XCLQM6XDV724ZIH6G93" localSheetId="8" hidden="1">'Largest debtors'!#REF!</definedName>
    <definedName name="BExXRA6N6XCLQM6XDV724ZIH6G93" localSheetId="11" hidden="1">#REF!</definedName>
    <definedName name="BExXRA6N6XCLQM6XDV724ZIH6G93" localSheetId="6" hidden="1">Stock!#REF!</definedName>
    <definedName name="BExXRA6N6XCLQM6XDV724ZIH6G93" hidden="1">#REF!</definedName>
    <definedName name="BExXRABZ1CNKCG6K1MR6OUFHF7J9" localSheetId="7" hidden="1">'Aged debtors'!#REF!</definedName>
    <definedName name="BExXRABZ1CNKCG6K1MR6OUFHF7J9" localSheetId="10" hidden="1">#REF!</definedName>
    <definedName name="BExXRABZ1CNKCG6K1MR6OUFHF7J9" localSheetId="12" hidden="1">#REF!</definedName>
    <definedName name="BExXRABZ1CNKCG6K1MR6OUFHF7J9" localSheetId="9" hidden="1">'Customer data'!#REF!</definedName>
    <definedName name="BExXRABZ1CNKCG6K1MR6OUFHF7J9" localSheetId="8" hidden="1">'Largest debtors'!#REF!</definedName>
    <definedName name="BExXRABZ1CNKCG6K1MR6OUFHF7J9" localSheetId="11" hidden="1">#REF!</definedName>
    <definedName name="BExXRABZ1CNKCG6K1MR6OUFHF7J9" localSheetId="6" hidden="1">Stock!#REF!</definedName>
    <definedName name="BExXRABZ1CNKCG6K1MR6OUFHF7J9" hidden="1">#REF!</definedName>
    <definedName name="BExXRBOFETC0OTJ6WY3VPMFH03VB" localSheetId="7" hidden="1">'Aged debtors'!#REF!</definedName>
    <definedName name="BExXRBOFETC0OTJ6WY3VPMFH03VB" localSheetId="10" hidden="1">#REF!</definedName>
    <definedName name="BExXRBOFETC0OTJ6WY3VPMFH03VB" localSheetId="12" hidden="1">#REF!</definedName>
    <definedName name="BExXRBOFETC0OTJ6WY3VPMFH03VB" localSheetId="9" hidden="1">'Customer data'!#REF!</definedName>
    <definedName name="BExXRBOFETC0OTJ6WY3VPMFH03VB" localSheetId="8" hidden="1">'Largest debtors'!#REF!</definedName>
    <definedName name="BExXRBOFETC0OTJ6WY3VPMFH03VB" localSheetId="11" hidden="1">#REF!</definedName>
    <definedName name="BExXRBOFETC0OTJ6WY3VPMFH03VB" localSheetId="6" hidden="1">Stock!#REF!</definedName>
    <definedName name="BExXRBOFETC0OTJ6WY3VPMFH03VB" hidden="1">#REF!</definedName>
    <definedName name="BExXRD13K1S9Y3JGR7CXSONT7RJZ" localSheetId="7" hidden="1">'Aged debtors'!#REF!</definedName>
    <definedName name="BExXRD13K1S9Y3JGR7CXSONT7RJZ" localSheetId="10" hidden="1">#REF!</definedName>
    <definedName name="BExXRD13K1S9Y3JGR7CXSONT7RJZ" localSheetId="12" hidden="1">#REF!</definedName>
    <definedName name="BExXRD13K1S9Y3JGR7CXSONT7RJZ" localSheetId="9" hidden="1">'Customer data'!#REF!</definedName>
    <definedName name="BExXRD13K1S9Y3JGR7CXSONT7RJZ" localSheetId="8" hidden="1">'Largest debtors'!#REF!</definedName>
    <definedName name="BExXRD13K1S9Y3JGR7CXSONT7RJZ" localSheetId="11" hidden="1">#REF!</definedName>
    <definedName name="BExXRD13K1S9Y3JGR7CXSONT7RJZ" localSheetId="6" hidden="1">Stock!#REF!</definedName>
    <definedName name="BExXRD13K1S9Y3JGR7CXSONT7RJZ" hidden="1">#REF!</definedName>
    <definedName name="BExXRIFB4QQ87QIGA9AG0NXP577K" localSheetId="7" hidden="1">'Aged debtors'!#REF!</definedName>
    <definedName name="BExXRIFB4QQ87QIGA9AG0NXP577K" localSheetId="10" hidden="1">#REF!</definedName>
    <definedName name="BExXRIFB4QQ87QIGA9AG0NXP577K" localSheetId="12" hidden="1">#REF!</definedName>
    <definedName name="BExXRIFB4QQ87QIGA9AG0NXP577K" localSheetId="9" hidden="1">'Customer data'!#REF!</definedName>
    <definedName name="BExXRIFB4QQ87QIGA9AG0NXP577K" localSheetId="8" hidden="1">'Largest debtors'!#REF!</definedName>
    <definedName name="BExXRIFB4QQ87QIGA9AG0NXP577K" localSheetId="11" hidden="1">#REF!</definedName>
    <definedName name="BExXRIFB4QQ87QIGA9AG0NXP577K" localSheetId="6" hidden="1">Stock!#REF!</definedName>
    <definedName name="BExXRIFB4QQ87QIGA9AG0NXP577K" hidden="1">#REF!</definedName>
    <definedName name="BExXRIQ2JF2CVTRDQX2D9SPH7FTN" localSheetId="7" hidden="1">'Aged debtors'!#REF!</definedName>
    <definedName name="BExXRIQ2JF2CVTRDQX2D9SPH7FTN" localSheetId="10" hidden="1">#REF!</definedName>
    <definedName name="BExXRIQ2JF2CVTRDQX2D9SPH7FTN" localSheetId="12" hidden="1">#REF!</definedName>
    <definedName name="BExXRIQ2JF2CVTRDQX2D9SPH7FTN" localSheetId="9" hidden="1">'Customer data'!#REF!</definedName>
    <definedName name="BExXRIQ2JF2CVTRDQX2D9SPH7FTN" localSheetId="8" hidden="1">'Largest debtors'!#REF!</definedName>
    <definedName name="BExXRIQ2JF2CVTRDQX2D9SPH7FTN" localSheetId="11" hidden="1">#REF!</definedName>
    <definedName name="BExXRIQ2JF2CVTRDQX2D9SPH7FTN" localSheetId="6" hidden="1">Stock!#REF!</definedName>
    <definedName name="BExXRIQ2JF2CVTRDQX2D9SPH7FTN" hidden="1">#REF!</definedName>
    <definedName name="BExXRO4A6VUH1F4XV8N1BRJ4896W" localSheetId="7" hidden="1">'Aged debtors'!#REF!</definedName>
    <definedName name="BExXRO4A6VUH1F4XV8N1BRJ4896W" localSheetId="10" hidden="1">#REF!</definedName>
    <definedName name="BExXRO4A6VUH1F4XV8N1BRJ4896W" localSheetId="12" hidden="1">#REF!</definedName>
    <definedName name="BExXRO4A6VUH1F4XV8N1BRJ4896W" localSheetId="9" hidden="1">'Customer data'!#REF!</definedName>
    <definedName name="BExXRO4A6VUH1F4XV8N1BRJ4896W" localSheetId="8" hidden="1">'Largest debtors'!#REF!</definedName>
    <definedName name="BExXRO4A6VUH1F4XV8N1BRJ4896W" localSheetId="11" hidden="1">#REF!</definedName>
    <definedName name="BExXRO4A6VUH1F4XV8N1BRJ4896W" localSheetId="6" hidden="1">Stock!#REF!</definedName>
    <definedName name="BExXRO4A6VUH1F4XV8N1BRJ4896W" hidden="1">#REF!</definedName>
    <definedName name="BExXRV5QP3Z0KAQ1EQT9JYT2FV0L" localSheetId="7" hidden="1">'Aged debtors'!#REF!</definedName>
    <definedName name="BExXRV5QP3Z0KAQ1EQT9JYT2FV0L" localSheetId="10" hidden="1">#REF!</definedName>
    <definedName name="BExXRV5QP3Z0KAQ1EQT9JYT2FV0L" localSheetId="12" hidden="1">#REF!</definedName>
    <definedName name="BExXRV5QP3Z0KAQ1EQT9JYT2FV0L" localSheetId="9" hidden="1">'Customer data'!#REF!</definedName>
    <definedName name="BExXRV5QP3Z0KAQ1EQT9JYT2FV0L" localSheetId="8" hidden="1">'Largest debtors'!#REF!</definedName>
    <definedName name="BExXRV5QP3Z0KAQ1EQT9JYT2FV0L" localSheetId="11" hidden="1">#REF!</definedName>
    <definedName name="BExXRV5QP3Z0KAQ1EQT9JYT2FV0L" localSheetId="6" hidden="1">Stock!#REF!</definedName>
    <definedName name="BExXRV5QP3Z0KAQ1EQT9JYT2FV0L" hidden="1">#REF!</definedName>
    <definedName name="BExXRZ20LZZCW8LVGDK0XETOTSAI" localSheetId="7" hidden="1">'Aged debtors'!#REF!</definedName>
    <definedName name="BExXRZ20LZZCW8LVGDK0XETOTSAI" localSheetId="10" hidden="1">#REF!</definedName>
    <definedName name="BExXRZ20LZZCW8LVGDK0XETOTSAI" localSheetId="12" hidden="1">#REF!</definedName>
    <definedName name="BExXRZ20LZZCW8LVGDK0XETOTSAI" localSheetId="9" hidden="1">'Customer data'!#REF!</definedName>
    <definedName name="BExXRZ20LZZCW8LVGDK0XETOTSAI" localSheetId="8" hidden="1">'Largest debtors'!#REF!</definedName>
    <definedName name="BExXRZ20LZZCW8LVGDK0XETOTSAI" localSheetId="11" hidden="1">#REF!</definedName>
    <definedName name="BExXRZ20LZZCW8LVGDK0XETOTSAI" localSheetId="6" hidden="1">Stock!#REF!</definedName>
    <definedName name="BExXRZ20LZZCW8LVGDK0XETOTSAI" hidden="1">#REF!</definedName>
    <definedName name="BExXS63O4OMWMNXXAODZQFSDG33N" localSheetId="7" hidden="1">'Aged debtors'!#REF!</definedName>
    <definedName name="BExXS63O4OMWMNXXAODZQFSDG33N" localSheetId="10" hidden="1">#REF!</definedName>
    <definedName name="BExXS63O4OMWMNXXAODZQFSDG33N" localSheetId="12" hidden="1">#REF!</definedName>
    <definedName name="BExXS63O4OMWMNXXAODZQFSDG33N" localSheetId="9" hidden="1">'Customer data'!#REF!</definedName>
    <definedName name="BExXS63O4OMWMNXXAODZQFSDG33N" localSheetId="8" hidden="1">'Largest debtors'!#REF!</definedName>
    <definedName name="BExXS63O4OMWMNXXAODZQFSDG33N" localSheetId="11" hidden="1">#REF!</definedName>
    <definedName name="BExXS63O4OMWMNXXAODZQFSDG33N" localSheetId="6" hidden="1">Stock!#REF!</definedName>
    <definedName name="BExXS63O4OMWMNXXAODZQFSDG33N" hidden="1">#REF!</definedName>
    <definedName name="BExXSC8RFK5D68FJD2HI4K66SA6I" localSheetId="7" hidden="1">'Aged debtors'!#REF!</definedName>
    <definedName name="BExXSC8RFK5D68FJD2HI4K66SA6I" localSheetId="10" hidden="1">#REF!</definedName>
    <definedName name="BExXSC8RFK5D68FJD2HI4K66SA6I" localSheetId="12" hidden="1">#REF!</definedName>
    <definedName name="BExXSC8RFK5D68FJD2HI4K66SA6I" localSheetId="9" hidden="1">'Customer data'!#REF!</definedName>
    <definedName name="BExXSC8RFK5D68FJD2HI4K66SA6I" localSheetId="8" hidden="1">'Largest debtors'!#REF!</definedName>
    <definedName name="BExXSC8RFK5D68FJD2HI4K66SA6I" localSheetId="11" hidden="1">#REF!</definedName>
    <definedName name="BExXSC8RFK5D68FJD2HI4K66SA6I" localSheetId="6" hidden="1">Stock!#REF!</definedName>
    <definedName name="BExXSC8RFK5D68FJD2HI4K66SA6I" hidden="1">#REF!</definedName>
    <definedName name="BExXSVQ2WOJJ73YEO8Q2FK60V4G8" localSheetId="7" hidden="1">'Aged debtors'!#REF!</definedName>
    <definedName name="BExXSVQ2WOJJ73YEO8Q2FK60V4G8" localSheetId="10" hidden="1">#REF!</definedName>
    <definedName name="BExXSVQ2WOJJ73YEO8Q2FK60V4G8" localSheetId="12" hidden="1">#REF!</definedName>
    <definedName name="BExXSVQ2WOJJ73YEO8Q2FK60V4G8" localSheetId="9" hidden="1">'Customer data'!#REF!</definedName>
    <definedName name="BExXSVQ2WOJJ73YEO8Q2FK60V4G8" localSheetId="8" hidden="1">'Largest debtors'!#REF!</definedName>
    <definedName name="BExXSVQ2WOJJ73YEO8Q2FK60V4G8" localSheetId="11" hidden="1">#REF!</definedName>
    <definedName name="BExXSVQ2WOJJ73YEO8Q2FK60V4G8" localSheetId="6" hidden="1">Stock!#REF!</definedName>
    <definedName name="BExXSVQ2WOJJ73YEO8Q2FK60V4G8" hidden="1">#REF!</definedName>
    <definedName name="BExXTHLRNL82GN7KZY3TOLO508N7" localSheetId="7" hidden="1">'Aged debtors'!#REF!</definedName>
    <definedName name="BExXTHLRNL82GN7KZY3TOLO508N7" localSheetId="10" hidden="1">#REF!</definedName>
    <definedName name="BExXTHLRNL82GN7KZY3TOLO508N7" localSheetId="12" hidden="1">#REF!</definedName>
    <definedName name="BExXTHLRNL82GN7KZY3TOLO508N7" localSheetId="9" hidden="1">'Customer data'!#REF!</definedName>
    <definedName name="BExXTHLRNL82GN7KZY3TOLO508N7" localSheetId="8" hidden="1">'Largest debtors'!#REF!</definedName>
    <definedName name="BExXTHLRNL82GN7KZY3TOLO508N7" localSheetId="11" hidden="1">#REF!</definedName>
    <definedName name="BExXTHLRNL82GN7KZY3TOLO508N7" localSheetId="6" hidden="1">Stock!#REF!</definedName>
    <definedName name="BExXTHLRNL82GN7KZY3TOLO508N7" hidden="1">#REF!</definedName>
    <definedName name="BExXTL72MKEQSQH9L2OTFLU8DM2B" localSheetId="7" hidden="1">'Aged debtors'!#REF!</definedName>
    <definedName name="BExXTL72MKEQSQH9L2OTFLU8DM2B" localSheetId="10" hidden="1">#REF!</definedName>
    <definedName name="BExXTL72MKEQSQH9L2OTFLU8DM2B" localSheetId="12" hidden="1">#REF!</definedName>
    <definedName name="BExXTL72MKEQSQH9L2OTFLU8DM2B" localSheetId="9" hidden="1">'Customer data'!#REF!</definedName>
    <definedName name="BExXTL72MKEQSQH9L2OTFLU8DM2B" localSheetId="8" hidden="1">'Largest debtors'!#REF!</definedName>
    <definedName name="BExXTL72MKEQSQH9L2OTFLU8DM2B" localSheetId="11" hidden="1">#REF!</definedName>
    <definedName name="BExXTL72MKEQSQH9L2OTFLU8DM2B" localSheetId="6" hidden="1">Stock!#REF!</definedName>
    <definedName name="BExXTL72MKEQSQH9L2OTFLU8DM2B" hidden="1">#REF!</definedName>
    <definedName name="BExXTM3M4RTCRSX7VGAXGQNPP668" localSheetId="7" hidden="1">'Aged debtors'!#REF!</definedName>
    <definedName name="BExXTM3M4RTCRSX7VGAXGQNPP668" localSheetId="10" hidden="1">#REF!</definedName>
    <definedName name="BExXTM3M4RTCRSX7VGAXGQNPP668" localSheetId="12" hidden="1">#REF!</definedName>
    <definedName name="BExXTM3M4RTCRSX7VGAXGQNPP668" localSheetId="9" hidden="1">'Customer data'!#REF!</definedName>
    <definedName name="BExXTM3M4RTCRSX7VGAXGQNPP668" localSheetId="8" hidden="1">'Largest debtors'!#REF!</definedName>
    <definedName name="BExXTM3M4RTCRSX7VGAXGQNPP668" localSheetId="11" hidden="1">#REF!</definedName>
    <definedName name="BExXTM3M4RTCRSX7VGAXGQNPP668" localSheetId="6" hidden="1">Stock!#REF!</definedName>
    <definedName name="BExXTM3M4RTCRSX7VGAXGQNPP668" hidden="1">#REF!</definedName>
    <definedName name="BExXTP3GYO6Z9RTKKT10XA0UTV3T" localSheetId="7" hidden="1">'Aged debtors'!#REF!</definedName>
    <definedName name="BExXTP3GYO6Z9RTKKT10XA0UTV3T" localSheetId="10" hidden="1">#REF!</definedName>
    <definedName name="BExXTP3GYO6Z9RTKKT10XA0UTV3T" localSheetId="12" hidden="1">#REF!</definedName>
    <definedName name="BExXTP3GYO6Z9RTKKT10XA0UTV3T" localSheetId="9" hidden="1">'Customer data'!#REF!</definedName>
    <definedName name="BExXTP3GYO6Z9RTKKT10XA0UTV3T" localSheetId="8" hidden="1">'Largest debtors'!#REF!</definedName>
    <definedName name="BExXTP3GYO6Z9RTKKT10XA0UTV3T" localSheetId="11" hidden="1">#REF!</definedName>
    <definedName name="BExXTP3GYO6Z9RTKKT10XA0UTV3T" localSheetId="6" hidden="1">Stock!#REF!</definedName>
    <definedName name="BExXTP3GYO6Z9RTKKT10XA0UTV3T" hidden="1">#REF!</definedName>
    <definedName name="BExXTZKZ4CG92ZQLIRKEXXH9BFIR" localSheetId="7" hidden="1">'Aged debtors'!#REF!</definedName>
    <definedName name="BExXTZKZ4CG92ZQLIRKEXXH9BFIR" localSheetId="10" hidden="1">#REF!</definedName>
    <definedName name="BExXTZKZ4CG92ZQLIRKEXXH9BFIR" localSheetId="12" hidden="1">#REF!</definedName>
    <definedName name="BExXTZKZ4CG92ZQLIRKEXXH9BFIR" localSheetId="9" hidden="1">'Customer data'!#REF!</definedName>
    <definedName name="BExXTZKZ4CG92ZQLIRKEXXH9BFIR" localSheetId="8" hidden="1">'Largest debtors'!#REF!</definedName>
    <definedName name="BExXTZKZ4CG92ZQLIRKEXXH9BFIR" localSheetId="11" hidden="1">#REF!</definedName>
    <definedName name="BExXTZKZ4CG92ZQLIRKEXXH9BFIR" localSheetId="6" hidden="1">Stock!#REF!</definedName>
    <definedName name="BExXTZKZ4CG92ZQLIRKEXXH9BFIR" hidden="1">#REF!</definedName>
    <definedName name="BExXU6XDTT7RM93KILIDEYPA9XKF" localSheetId="7" hidden="1">'Aged debtors'!#REF!</definedName>
    <definedName name="BExXU6XDTT7RM93KILIDEYPA9XKF" localSheetId="10" hidden="1">#REF!</definedName>
    <definedName name="BExXU6XDTT7RM93KILIDEYPA9XKF" localSheetId="12" hidden="1">#REF!</definedName>
    <definedName name="BExXU6XDTT7RM93KILIDEYPA9XKF" localSheetId="9" hidden="1">'Customer data'!#REF!</definedName>
    <definedName name="BExXU6XDTT7RM93KILIDEYPA9XKF" localSheetId="8" hidden="1">'Largest debtors'!#REF!</definedName>
    <definedName name="BExXU6XDTT7RM93KILIDEYPA9XKF" localSheetId="11" hidden="1">#REF!</definedName>
    <definedName name="BExXU6XDTT7RM93KILIDEYPA9XKF" localSheetId="6" hidden="1">Stock!#REF!</definedName>
    <definedName name="BExXU6XDTT7RM93KILIDEYPA9XKF" hidden="1">#REF!</definedName>
    <definedName name="BExXU8VLZA7WLPZ3RAQZGNERUD26" localSheetId="7" hidden="1">'Aged debtors'!#REF!</definedName>
    <definedName name="BExXU8VLZA7WLPZ3RAQZGNERUD26" localSheetId="10" hidden="1">#REF!</definedName>
    <definedName name="BExXU8VLZA7WLPZ3RAQZGNERUD26" localSheetId="12" hidden="1">#REF!</definedName>
    <definedName name="BExXU8VLZA7WLPZ3RAQZGNERUD26" localSheetId="9" hidden="1">'Customer data'!#REF!</definedName>
    <definedName name="BExXU8VLZA7WLPZ3RAQZGNERUD26" localSheetId="8" hidden="1">'Largest debtors'!#REF!</definedName>
    <definedName name="BExXU8VLZA7WLPZ3RAQZGNERUD26" localSheetId="11" hidden="1">#REF!</definedName>
    <definedName name="BExXU8VLZA7WLPZ3RAQZGNERUD26" localSheetId="6" hidden="1">Stock!#REF!</definedName>
    <definedName name="BExXU8VLZA7WLPZ3RAQZGNERUD26" hidden="1">#REF!</definedName>
    <definedName name="BExXUB9RSLSCNN5ETLXY72DAPZZM" localSheetId="7" hidden="1">'Aged debtors'!#REF!</definedName>
    <definedName name="BExXUB9RSLSCNN5ETLXY72DAPZZM" localSheetId="10" hidden="1">#REF!</definedName>
    <definedName name="BExXUB9RSLSCNN5ETLXY72DAPZZM" localSheetId="12" hidden="1">#REF!</definedName>
    <definedName name="BExXUB9RSLSCNN5ETLXY72DAPZZM" localSheetId="9" hidden="1">'Customer data'!#REF!</definedName>
    <definedName name="BExXUB9RSLSCNN5ETLXY72DAPZZM" localSheetId="8" hidden="1">'Largest debtors'!#REF!</definedName>
    <definedName name="BExXUB9RSLSCNN5ETLXY72DAPZZM" localSheetId="11" hidden="1">#REF!</definedName>
    <definedName name="BExXUB9RSLSCNN5ETLXY72DAPZZM" localSheetId="6" hidden="1">Stock!#REF!</definedName>
    <definedName name="BExXUB9RSLSCNN5ETLXY72DAPZZM" hidden="1">#REF!</definedName>
    <definedName name="BExXUFRM82XQIN2T8KGLDQL1IBQW" localSheetId="7" hidden="1">'Aged debtors'!#REF!</definedName>
    <definedName name="BExXUFRM82XQIN2T8KGLDQL1IBQW" localSheetId="10" hidden="1">#REF!</definedName>
    <definedName name="BExXUFRM82XQIN2T8KGLDQL1IBQW" localSheetId="12" hidden="1">#REF!</definedName>
    <definedName name="BExXUFRM82XQIN2T8KGLDQL1IBQW" localSheetId="9" hidden="1">'Customer data'!#REF!</definedName>
    <definedName name="BExXUFRM82XQIN2T8KGLDQL1IBQW" localSheetId="8" hidden="1">'Largest debtors'!#REF!</definedName>
    <definedName name="BExXUFRM82XQIN2T8KGLDQL1IBQW" localSheetId="11" hidden="1">#REF!</definedName>
    <definedName name="BExXUFRM82XQIN2T8KGLDQL1IBQW" localSheetId="6" hidden="1">Stock!#REF!</definedName>
    <definedName name="BExXUFRM82XQIN2T8KGLDQL1IBQW" hidden="1">#REF!</definedName>
    <definedName name="BExXUYND6EJO7CJ5KRICV4O1JNWK" localSheetId="7" hidden="1">'Aged debtors'!#REF!</definedName>
    <definedName name="BExXUYND6EJO7CJ5KRICV4O1JNWK" localSheetId="10" hidden="1">#REF!</definedName>
    <definedName name="BExXUYND6EJO7CJ5KRICV4O1JNWK" localSheetId="12" hidden="1">#REF!</definedName>
    <definedName name="BExXUYND6EJO7CJ5KRICV4O1JNWK" localSheetId="9" hidden="1">'Customer data'!#REF!</definedName>
    <definedName name="BExXUYND6EJO7CJ5KRICV4O1JNWK" localSheetId="8" hidden="1">'Largest debtors'!#REF!</definedName>
    <definedName name="BExXUYND6EJO7CJ5KRICV4O1JNWK" localSheetId="11" hidden="1">#REF!</definedName>
    <definedName name="BExXUYND6EJO7CJ5KRICV4O1JNWK" localSheetId="6" hidden="1">Stock!#REF!</definedName>
    <definedName name="BExXUYND6EJO7CJ5KRICV4O1JNWK" hidden="1">#REF!</definedName>
    <definedName name="BExXVK87BMMO6LHKV0CFDNIQVIBS" localSheetId="7" hidden="1">'Aged debtors'!#REF!</definedName>
    <definedName name="BExXVK87BMMO6LHKV0CFDNIQVIBS" localSheetId="10" hidden="1">#REF!</definedName>
    <definedName name="BExXVK87BMMO6LHKV0CFDNIQVIBS" localSheetId="12" hidden="1">#REF!</definedName>
    <definedName name="BExXVK87BMMO6LHKV0CFDNIQVIBS" localSheetId="9" hidden="1">'Customer data'!#REF!</definedName>
    <definedName name="BExXVK87BMMO6LHKV0CFDNIQVIBS" localSheetId="8" hidden="1">'Largest debtors'!#REF!</definedName>
    <definedName name="BExXVK87BMMO6LHKV0CFDNIQVIBS" localSheetId="11" hidden="1">#REF!</definedName>
    <definedName name="BExXVK87BMMO6LHKV0CFDNIQVIBS" localSheetId="6" hidden="1">Stock!#REF!</definedName>
    <definedName name="BExXVK87BMMO6LHKV0CFDNIQVIBS" hidden="1">#REF!</definedName>
    <definedName name="BExXVKZ9WXPGL6IVY6T61IDD771I" localSheetId="7" hidden="1">'Aged debtors'!#REF!</definedName>
    <definedName name="BExXVKZ9WXPGL6IVY6T61IDD771I" localSheetId="10" hidden="1">#REF!</definedName>
    <definedName name="BExXVKZ9WXPGL6IVY6T61IDD771I" localSheetId="12" hidden="1">#REF!</definedName>
    <definedName name="BExXVKZ9WXPGL6IVY6T61IDD771I" localSheetId="9" hidden="1">'Customer data'!#REF!</definedName>
    <definedName name="BExXVKZ9WXPGL6IVY6T61IDD771I" localSheetId="8" hidden="1">'Largest debtors'!#REF!</definedName>
    <definedName name="BExXVKZ9WXPGL6IVY6T61IDD771I" localSheetId="11" hidden="1">#REF!</definedName>
    <definedName name="BExXVKZ9WXPGL6IVY6T61IDD771I" localSheetId="6" hidden="1">Stock!#REF!</definedName>
    <definedName name="BExXVKZ9WXPGL6IVY6T61IDD771I" hidden="1">#REF!</definedName>
    <definedName name="BExXW27MMXHXUXX78SDTBE1JYTHT" localSheetId="7" hidden="1">'Aged debtors'!#REF!</definedName>
    <definedName name="BExXW27MMXHXUXX78SDTBE1JYTHT" localSheetId="10" hidden="1">#REF!</definedName>
    <definedName name="BExXW27MMXHXUXX78SDTBE1JYTHT" localSheetId="12" hidden="1">#REF!</definedName>
    <definedName name="BExXW27MMXHXUXX78SDTBE1JYTHT" localSheetId="9" hidden="1">'Customer data'!#REF!</definedName>
    <definedName name="BExXW27MMXHXUXX78SDTBE1JYTHT" localSheetId="8" hidden="1">'Largest debtors'!#REF!</definedName>
    <definedName name="BExXW27MMXHXUXX78SDTBE1JYTHT" localSheetId="11" hidden="1">#REF!</definedName>
    <definedName name="BExXW27MMXHXUXX78SDTBE1JYTHT" localSheetId="6" hidden="1">Stock!#REF!</definedName>
    <definedName name="BExXW27MMXHXUXX78SDTBE1JYTHT" hidden="1">#REF!</definedName>
    <definedName name="BExXW2YIM2MYBSHRIX0RP9D4PRMN" localSheetId="7" hidden="1">'Aged debtors'!#REF!</definedName>
    <definedName name="BExXW2YIM2MYBSHRIX0RP9D4PRMN" localSheetId="10" hidden="1">#REF!</definedName>
    <definedName name="BExXW2YIM2MYBSHRIX0RP9D4PRMN" localSheetId="12" hidden="1">#REF!</definedName>
    <definedName name="BExXW2YIM2MYBSHRIX0RP9D4PRMN" localSheetId="9" hidden="1">'Customer data'!#REF!</definedName>
    <definedName name="BExXW2YIM2MYBSHRIX0RP9D4PRMN" localSheetId="8" hidden="1">'Largest debtors'!#REF!</definedName>
    <definedName name="BExXW2YIM2MYBSHRIX0RP9D4PRMN" localSheetId="11" hidden="1">#REF!</definedName>
    <definedName name="BExXW2YIM2MYBSHRIX0RP9D4PRMN" localSheetId="6" hidden="1">Stock!#REF!</definedName>
    <definedName name="BExXW2YIM2MYBSHRIX0RP9D4PRMN" hidden="1">#REF!</definedName>
    <definedName name="BExXWWXHBZHA9J3N8K47F84X0M0L" localSheetId="7" hidden="1">'Aged debtors'!#REF!</definedName>
    <definedName name="BExXWWXHBZHA9J3N8K47F84X0M0L" localSheetId="10" hidden="1">#REF!</definedName>
    <definedName name="BExXWWXHBZHA9J3N8K47F84X0M0L" localSheetId="12" hidden="1">#REF!</definedName>
    <definedName name="BExXWWXHBZHA9J3N8K47F84X0M0L" localSheetId="9" hidden="1">'Customer data'!#REF!</definedName>
    <definedName name="BExXWWXHBZHA9J3N8K47F84X0M0L" localSheetId="8" hidden="1">'Largest debtors'!#REF!</definedName>
    <definedName name="BExXWWXHBZHA9J3N8K47F84X0M0L" localSheetId="11" hidden="1">#REF!</definedName>
    <definedName name="BExXWWXHBZHA9J3N8K47F84X0M0L" localSheetId="6" hidden="1">Stock!#REF!</definedName>
    <definedName name="BExXWWXHBZHA9J3N8K47F84X0M0L" hidden="1">#REF!</definedName>
    <definedName name="BExXXBM521DL8R4ZX7NZ3DBCUOR5" localSheetId="7" hidden="1">'Aged debtors'!#REF!</definedName>
    <definedName name="BExXXBM521DL8R4ZX7NZ3DBCUOR5" localSheetId="10" hidden="1">#REF!</definedName>
    <definedName name="BExXXBM521DL8R4ZX7NZ3DBCUOR5" localSheetId="12" hidden="1">#REF!</definedName>
    <definedName name="BExXXBM521DL8R4ZX7NZ3DBCUOR5" localSheetId="9" hidden="1">'Customer data'!#REF!</definedName>
    <definedName name="BExXXBM521DL8R4ZX7NZ3DBCUOR5" localSheetId="8" hidden="1">'Largest debtors'!#REF!</definedName>
    <definedName name="BExXXBM521DL8R4ZX7NZ3DBCUOR5" localSheetId="11" hidden="1">#REF!</definedName>
    <definedName name="BExXXBM521DL8R4ZX7NZ3DBCUOR5" localSheetId="6" hidden="1">Stock!#REF!</definedName>
    <definedName name="BExXXBM521DL8R4ZX7NZ3DBCUOR5" hidden="1">#REF!</definedName>
    <definedName name="BExXXC7OZI33XZ03NRMEP7VRLQK4" localSheetId="7" hidden="1">'Aged debtors'!#REF!</definedName>
    <definedName name="BExXXC7OZI33XZ03NRMEP7VRLQK4" localSheetId="10" hidden="1">#REF!</definedName>
    <definedName name="BExXXC7OZI33XZ03NRMEP7VRLQK4" localSheetId="12" hidden="1">#REF!</definedName>
    <definedName name="BExXXC7OZI33XZ03NRMEP7VRLQK4" localSheetId="9" hidden="1">'Customer data'!#REF!</definedName>
    <definedName name="BExXXC7OZI33XZ03NRMEP7VRLQK4" localSheetId="8" hidden="1">'Largest debtors'!#REF!</definedName>
    <definedName name="BExXXC7OZI33XZ03NRMEP7VRLQK4" localSheetId="11" hidden="1">#REF!</definedName>
    <definedName name="BExXXC7OZI33XZ03NRMEP7VRLQK4" localSheetId="6" hidden="1">Stock!#REF!</definedName>
    <definedName name="BExXXC7OZI33XZ03NRMEP7VRLQK4" hidden="1">#REF!</definedName>
    <definedName name="BExXXH5N3NKBQ7BCJPJTBF8CYM2Q" localSheetId="7" hidden="1">'Aged debtors'!#REF!</definedName>
    <definedName name="BExXXH5N3NKBQ7BCJPJTBF8CYM2Q" localSheetId="10" hidden="1">#REF!</definedName>
    <definedName name="BExXXH5N3NKBQ7BCJPJTBF8CYM2Q" localSheetId="12" hidden="1">#REF!</definedName>
    <definedName name="BExXXH5N3NKBQ7BCJPJTBF8CYM2Q" localSheetId="9" hidden="1">'Customer data'!#REF!</definedName>
    <definedName name="BExXXH5N3NKBQ7BCJPJTBF8CYM2Q" localSheetId="8" hidden="1">'Largest debtors'!#REF!</definedName>
    <definedName name="BExXXH5N3NKBQ7BCJPJTBF8CYM2Q" localSheetId="11" hidden="1">#REF!</definedName>
    <definedName name="BExXXH5N3NKBQ7BCJPJTBF8CYM2Q" localSheetId="6" hidden="1">Stock!#REF!</definedName>
    <definedName name="BExXXH5N3NKBQ7BCJPJTBF8CYM2Q" hidden="1">#REF!</definedName>
    <definedName name="BExXXKWLM4D541BH6O8GOJMHFHMW" localSheetId="7" hidden="1">'Aged debtors'!#REF!</definedName>
    <definedName name="BExXXKWLM4D541BH6O8GOJMHFHMW" localSheetId="10" hidden="1">#REF!</definedName>
    <definedName name="BExXXKWLM4D541BH6O8GOJMHFHMW" localSheetId="12" hidden="1">#REF!</definedName>
    <definedName name="BExXXKWLM4D541BH6O8GOJMHFHMW" localSheetId="9" hidden="1">'Customer data'!#REF!</definedName>
    <definedName name="BExXXKWLM4D541BH6O8GOJMHFHMW" localSheetId="8" hidden="1">'Largest debtors'!#REF!</definedName>
    <definedName name="BExXXKWLM4D541BH6O8GOJMHFHMW" localSheetId="11" hidden="1">#REF!</definedName>
    <definedName name="BExXXKWLM4D541BH6O8GOJMHFHMW" localSheetId="6" hidden="1">Stock!#REF!</definedName>
    <definedName name="BExXXKWLM4D541BH6O8GOJMHFHMW" hidden="1">#REF!</definedName>
    <definedName name="BExXXPPA1Q87XPI97X0OXCPBPDON" localSheetId="7" hidden="1">'Aged debtors'!#REF!</definedName>
    <definedName name="BExXXPPA1Q87XPI97X0OXCPBPDON" localSheetId="10" hidden="1">#REF!</definedName>
    <definedName name="BExXXPPA1Q87XPI97X0OXCPBPDON" localSheetId="12" hidden="1">#REF!</definedName>
    <definedName name="BExXXPPA1Q87XPI97X0OXCPBPDON" localSheetId="9" hidden="1">'Customer data'!#REF!</definedName>
    <definedName name="BExXXPPA1Q87XPI97X0OXCPBPDON" localSheetId="8" hidden="1">'Largest debtors'!#REF!</definedName>
    <definedName name="BExXXPPA1Q87XPI97X0OXCPBPDON" localSheetId="11" hidden="1">#REF!</definedName>
    <definedName name="BExXXPPA1Q87XPI97X0OXCPBPDON" localSheetId="6" hidden="1">Stock!#REF!</definedName>
    <definedName name="BExXXPPA1Q87XPI97X0OXCPBPDON" hidden="1">#REF!</definedName>
    <definedName name="BExXXZQNZY6IZI45DJXJK0MQZWA7" localSheetId="7" hidden="1">'Aged debtors'!#REF!</definedName>
    <definedName name="BExXXZQNZY6IZI45DJXJK0MQZWA7" localSheetId="10" hidden="1">#REF!</definedName>
    <definedName name="BExXXZQNZY6IZI45DJXJK0MQZWA7" localSheetId="12" hidden="1">#REF!</definedName>
    <definedName name="BExXXZQNZY6IZI45DJXJK0MQZWA7" localSheetId="9" hidden="1">'Customer data'!#REF!</definedName>
    <definedName name="BExXXZQNZY6IZI45DJXJK0MQZWA7" localSheetId="8" hidden="1">'Largest debtors'!#REF!</definedName>
    <definedName name="BExXXZQNZY6IZI45DJXJK0MQZWA7" localSheetId="11" hidden="1">#REF!</definedName>
    <definedName name="BExXXZQNZY6IZI45DJXJK0MQZWA7" localSheetId="6" hidden="1">Stock!#REF!</definedName>
    <definedName name="BExXXZQNZY6IZI45DJXJK0MQZWA7" hidden="1">#REF!</definedName>
    <definedName name="BExXY5QFG6QP94SFT3935OBM8Y4K" localSheetId="7" hidden="1">'Aged debtors'!#REF!</definedName>
    <definedName name="BExXY5QFG6QP94SFT3935OBM8Y4K" localSheetId="10" hidden="1">#REF!</definedName>
    <definedName name="BExXY5QFG6QP94SFT3935OBM8Y4K" localSheetId="12" hidden="1">#REF!</definedName>
    <definedName name="BExXY5QFG6QP94SFT3935OBM8Y4K" localSheetId="9" hidden="1">'Customer data'!#REF!</definedName>
    <definedName name="BExXY5QFG6QP94SFT3935OBM8Y4K" localSheetId="8" hidden="1">'Largest debtors'!#REF!</definedName>
    <definedName name="BExXY5QFG6QP94SFT3935OBM8Y4K" localSheetId="11" hidden="1">#REF!</definedName>
    <definedName name="BExXY5QFG6QP94SFT3935OBM8Y4K" localSheetId="6" hidden="1">Stock!#REF!</definedName>
    <definedName name="BExXY5QFG6QP94SFT3935OBM8Y4K" hidden="1">#REF!</definedName>
    <definedName name="BExXY7TYEBFXRYUYIFHTN65RJ8EW" localSheetId="7" hidden="1">'Aged debtors'!#REF!</definedName>
    <definedName name="BExXY7TYEBFXRYUYIFHTN65RJ8EW" localSheetId="10" hidden="1">#REF!</definedName>
    <definedName name="BExXY7TYEBFXRYUYIFHTN65RJ8EW" localSheetId="12" hidden="1">#REF!</definedName>
    <definedName name="BExXY7TYEBFXRYUYIFHTN65RJ8EW" localSheetId="9" hidden="1">'Customer data'!#REF!</definedName>
    <definedName name="BExXY7TYEBFXRYUYIFHTN65RJ8EW" localSheetId="8" hidden="1">'Largest debtors'!#REF!</definedName>
    <definedName name="BExXY7TYEBFXRYUYIFHTN65RJ8EW" localSheetId="11" hidden="1">#REF!</definedName>
    <definedName name="BExXY7TYEBFXRYUYIFHTN65RJ8EW" localSheetId="6" hidden="1">Stock!#REF!</definedName>
    <definedName name="BExXY7TYEBFXRYUYIFHTN65RJ8EW" hidden="1">#REF!</definedName>
    <definedName name="BExXYMNYAYH3WA2ZCFAYKZID9ZCI" localSheetId="7" hidden="1">'Aged debtors'!#REF!</definedName>
    <definedName name="BExXYMNYAYH3WA2ZCFAYKZID9ZCI" localSheetId="10" hidden="1">#REF!</definedName>
    <definedName name="BExXYMNYAYH3WA2ZCFAYKZID9ZCI" localSheetId="12" hidden="1">#REF!</definedName>
    <definedName name="BExXYMNYAYH3WA2ZCFAYKZID9ZCI" localSheetId="9" hidden="1">'Customer data'!#REF!</definedName>
    <definedName name="BExXYMNYAYH3WA2ZCFAYKZID9ZCI" localSheetId="8" hidden="1">'Largest debtors'!#REF!</definedName>
    <definedName name="BExXYMNYAYH3WA2ZCFAYKZID9ZCI" localSheetId="11" hidden="1">#REF!</definedName>
    <definedName name="BExXYMNYAYH3WA2ZCFAYKZID9ZCI" localSheetId="6" hidden="1">Stock!#REF!</definedName>
    <definedName name="BExXYMNYAYH3WA2ZCFAYKZID9ZCI" hidden="1">#REF!</definedName>
    <definedName name="BExXYNKBQ7AQKGKTMLFPY13WPU0M" localSheetId="7" hidden="1">'Aged debtors'!#REF!</definedName>
    <definedName name="BExXYNKBQ7AQKGKTMLFPY13WPU0M" localSheetId="10" hidden="1">#REF!</definedName>
    <definedName name="BExXYNKBQ7AQKGKTMLFPY13WPU0M" localSheetId="12" hidden="1">#REF!</definedName>
    <definedName name="BExXYNKBQ7AQKGKTMLFPY13WPU0M" localSheetId="9" hidden="1">'Customer data'!#REF!</definedName>
    <definedName name="BExXYNKBQ7AQKGKTMLFPY13WPU0M" localSheetId="8" hidden="1">'Largest debtors'!#REF!</definedName>
    <definedName name="BExXYNKBQ7AQKGKTMLFPY13WPU0M" localSheetId="11" hidden="1">#REF!</definedName>
    <definedName name="BExXYNKBQ7AQKGKTMLFPY13WPU0M" localSheetId="6" hidden="1">Stock!#REF!</definedName>
    <definedName name="BExXYNKBQ7AQKGKTMLFPY13WPU0M" hidden="1">#REF!</definedName>
    <definedName name="BExXYYT12SVN2VDMLVNV4P3ISD8T" localSheetId="7" hidden="1">'Aged debtors'!#REF!</definedName>
    <definedName name="BExXYYT12SVN2VDMLVNV4P3ISD8T" localSheetId="10" hidden="1">#REF!</definedName>
    <definedName name="BExXYYT12SVN2VDMLVNV4P3ISD8T" localSheetId="12" hidden="1">#REF!</definedName>
    <definedName name="BExXYYT12SVN2VDMLVNV4P3ISD8T" localSheetId="9" hidden="1">'Customer data'!#REF!</definedName>
    <definedName name="BExXYYT12SVN2VDMLVNV4P3ISD8T" localSheetId="8" hidden="1">'Largest debtors'!#REF!</definedName>
    <definedName name="BExXYYT12SVN2VDMLVNV4P3ISD8T" localSheetId="11" hidden="1">#REF!</definedName>
    <definedName name="BExXYYT12SVN2VDMLVNV4P3ISD8T" localSheetId="6" hidden="1">Stock!#REF!</definedName>
    <definedName name="BExXYYT12SVN2VDMLVNV4P3ISD8T" hidden="1">#REF!</definedName>
    <definedName name="BExXZFVV4YB42AZ3H1I40YG3JAPU" localSheetId="7" hidden="1">'Aged debtors'!#REF!</definedName>
    <definedName name="BExXZFVV4YB42AZ3H1I40YG3JAPU" localSheetId="10" hidden="1">#REF!</definedName>
    <definedName name="BExXZFVV4YB42AZ3H1I40YG3JAPU" localSheetId="12" hidden="1">#REF!</definedName>
    <definedName name="BExXZFVV4YB42AZ3H1I40YG3JAPU" localSheetId="9" hidden="1">'Customer data'!#REF!</definedName>
    <definedName name="BExXZFVV4YB42AZ3H1I40YG3JAPU" localSheetId="8" hidden="1">'Largest debtors'!#REF!</definedName>
    <definedName name="BExXZFVV4YB42AZ3H1I40YG3JAPU" localSheetId="11" hidden="1">#REF!</definedName>
    <definedName name="BExXZFVV4YB42AZ3H1I40YG3JAPU" localSheetId="6" hidden="1">Stock!#REF!</definedName>
    <definedName name="BExXZFVV4YB42AZ3H1I40YG3JAPU" hidden="1">#REF!</definedName>
    <definedName name="BExXZHJ9T2JELF12CHHGD54J1B0C" localSheetId="7" hidden="1">'Aged debtors'!#REF!</definedName>
    <definedName name="BExXZHJ9T2JELF12CHHGD54J1B0C" localSheetId="10" hidden="1">#REF!</definedName>
    <definedName name="BExXZHJ9T2JELF12CHHGD54J1B0C" localSheetId="12" hidden="1">#REF!</definedName>
    <definedName name="BExXZHJ9T2JELF12CHHGD54J1B0C" localSheetId="9" hidden="1">'Customer data'!#REF!</definedName>
    <definedName name="BExXZHJ9T2JELF12CHHGD54J1B0C" localSheetId="8" hidden="1">'Largest debtors'!#REF!</definedName>
    <definedName name="BExXZHJ9T2JELF12CHHGD54J1B0C" localSheetId="11" hidden="1">#REF!</definedName>
    <definedName name="BExXZHJ9T2JELF12CHHGD54J1B0C" localSheetId="6" hidden="1">Stock!#REF!</definedName>
    <definedName name="BExXZHJ9T2JELF12CHHGD54J1B0C" hidden="1">#REF!</definedName>
    <definedName name="BExXZXKH7NBARQQAZM69Z57IH1MM" localSheetId="7" hidden="1">'Aged debtors'!#REF!</definedName>
    <definedName name="BExXZXKH7NBARQQAZM69Z57IH1MM" localSheetId="10" hidden="1">#REF!</definedName>
    <definedName name="BExXZXKH7NBARQQAZM69Z57IH1MM" localSheetId="12" hidden="1">#REF!</definedName>
    <definedName name="BExXZXKH7NBARQQAZM69Z57IH1MM" localSheetId="9" hidden="1">'Customer data'!#REF!</definedName>
    <definedName name="BExXZXKH7NBARQQAZM69Z57IH1MM" localSheetId="8" hidden="1">'Largest debtors'!#REF!</definedName>
    <definedName name="BExXZXKH7NBARQQAZM69Z57IH1MM" localSheetId="11" hidden="1">#REF!</definedName>
    <definedName name="BExXZXKH7NBARQQAZM69Z57IH1MM" localSheetId="6" hidden="1">Stock!#REF!</definedName>
    <definedName name="BExXZXKH7NBARQQAZM69Z57IH1MM" hidden="1">#REF!</definedName>
    <definedName name="BExY0C3UBVC4M59JIRXVQ8OWAJC1" localSheetId="7" hidden="1">'Aged debtors'!#REF!</definedName>
    <definedName name="BExY0C3UBVC4M59JIRXVQ8OWAJC1" localSheetId="10" hidden="1">#REF!</definedName>
    <definedName name="BExY0C3UBVC4M59JIRXVQ8OWAJC1" localSheetId="12" hidden="1">#REF!</definedName>
    <definedName name="BExY0C3UBVC4M59JIRXVQ8OWAJC1" localSheetId="9" hidden="1">'Customer data'!#REF!</definedName>
    <definedName name="BExY0C3UBVC4M59JIRXVQ8OWAJC1" localSheetId="8" hidden="1">'Largest debtors'!#REF!</definedName>
    <definedName name="BExY0C3UBVC4M59JIRXVQ8OWAJC1" localSheetId="11" hidden="1">#REF!</definedName>
    <definedName name="BExY0C3UBVC4M59JIRXVQ8OWAJC1" localSheetId="6" hidden="1">Stock!#REF!</definedName>
    <definedName name="BExY0C3UBVC4M59JIRXVQ8OWAJC1" hidden="1">#REF!</definedName>
    <definedName name="BExY0OJHW85S0VKBA8T4HTYPYBOS" localSheetId="7" hidden="1">'Aged debtors'!#REF!</definedName>
    <definedName name="BExY0OJHW85S0VKBA8T4HTYPYBOS" localSheetId="10" hidden="1">#REF!</definedName>
    <definedName name="BExY0OJHW85S0VKBA8T4HTYPYBOS" localSheetId="12" hidden="1">#REF!</definedName>
    <definedName name="BExY0OJHW85S0VKBA8T4HTYPYBOS" localSheetId="9" hidden="1">'Customer data'!#REF!</definedName>
    <definedName name="BExY0OJHW85S0VKBA8T4HTYPYBOS" localSheetId="8" hidden="1">'Largest debtors'!#REF!</definedName>
    <definedName name="BExY0OJHW85S0VKBA8T4HTYPYBOS" localSheetId="11" hidden="1">#REF!</definedName>
    <definedName name="BExY0OJHW85S0VKBA8T4HTYPYBOS" localSheetId="6" hidden="1">Stock!#REF!</definedName>
    <definedName name="BExY0OJHW85S0VKBA8T4HTYPYBOS" hidden="1">#REF!</definedName>
    <definedName name="BExY0T1E034D7XAXNC6F7540LLIE" localSheetId="7" hidden="1">'Aged debtors'!#REF!</definedName>
    <definedName name="BExY0T1E034D7XAXNC6F7540LLIE" localSheetId="10" hidden="1">#REF!</definedName>
    <definedName name="BExY0T1E034D7XAXNC6F7540LLIE" localSheetId="12" hidden="1">#REF!</definedName>
    <definedName name="BExY0T1E034D7XAXNC6F7540LLIE" localSheetId="9" hidden="1">'Customer data'!#REF!</definedName>
    <definedName name="BExY0T1E034D7XAXNC6F7540LLIE" localSheetId="8" hidden="1">'Largest debtors'!#REF!</definedName>
    <definedName name="BExY0T1E034D7XAXNC6F7540LLIE" localSheetId="11" hidden="1">#REF!</definedName>
    <definedName name="BExY0T1E034D7XAXNC6F7540LLIE" localSheetId="6" hidden="1">Stock!#REF!</definedName>
    <definedName name="BExY0T1E034D7XAXNC6F7540LLIE" hidden="1">#REF!</definedName>
    <definedName name="BExY0XTZLHN49J2JH94BYTKBJLT3" localSheetId="7" hidden="1">'Aged debtors'!#REF!</definedName>
    <definedName name="BExY0XTZLHN49J2JH94BYTKBJLT3" localSheetId="10" hidden="1">#REF!</definedName>
    <definedName name="BExY0XTZLHN49J2JH94BYTKBJLT3" localSheetId="12" hidden="1">#REF!</definedName>
    <definedName name="BExY0XTZLHN49J2JH94BYTKBJLT3" localSheetId="9" hidden="1">'Customer data'!#REF!</definedName>
    <definedName name="BExY0XTZLHN49J2JH94BYTKBJLT3" localSheetId="8" hidden="1">'Largest debtors'!#REF!</definedName>
    <definedName name="BExY0XTZLHN49J2JH94BYTKBJLT3" localSheetId="11" hidden="1">#REF!</definedName>
    <definedName name="BExY0XTZLHN49J2JH94BYTKBJLT3" localSheetId="6" hidden="1">Stock!#REF!</definedName>
    <definedName name="BExY0XTZLHN49J2JH94BYTKBJLT3" hidden="1">#REF!</definedName>
    <definedName name="BExY180UKNW5NIAWD6ZUYTFEH8QS" localSheetId="7" hidden="1">'Aged debtors'!#REF!</definedName>
    <definedName name="BExY180UKNW5NIAWD6ZUYTFEH8QS" localSheetId="10" hidden="1">#REF!</definedName>
    <definedName name="BExY180UKNW5NIAWD6ZUYTFEH8QS" localSheetId="12" hidden="1">#REF!</definedName>
    <definedName name="BExY180UKNW5NIAWD6ZUYTFEH8QS" localSheetId="9" hidden="1">'Customer data'!#REF!</definedName>
    <definedName name="BExY180UKNW5NIAWD6ZUYTFEH8QS" localSheetId="8" hidden="1">'Largest debtors'!#REF!</definedName>
    <definedName name="BExY180UKNW5NIAWD6ZUYTFEH8QS" localSheetId="11" hidden="1">#REF!</definedName>
    <definedName name="BExY180UKNW5NIAWD6ZUYTFEH8QS" localSheetId="6" hidden="1">Stock!#REF!</definedName>
    <definedName name="BExY180UKNW5NIAWD6ZUYTFEH8QS" hidden="1">#REF!</definedName>
    <definedName name="BExY1GK9ELBEKDD7O6HR6DUO8YGO" localSheetId="7" hidden="1">'Aged debtors'!#REF!</definedName>
    <definedName name="BExY1GK9ELBEKDD7O6HR6DUO8YGO" localSheetId="10" hidden="1">#REF!</definedName>
    <definedName name="BExY1GK9ELBEKDD7O6HR6DUO8YGO" localSheetId="12" hidden="1">#REF!</definedName>
    <definedName name="BExY1GK9ELBEKDD7O6HR6DUO8YGO" localSheetId="9" hidden="1">'Customer data'!#REF!</definedName>
    <definedName name="BExY1GK9ELBEKDD7O6HR6DUO8YGO" localSheetId="8" hidden="1">'Largest debtors'!#REF!</definedName>
    <definedName name="BExY1GK9ELBEKDD7O6HR6DUO8YGO" localSheetId="11" hidden="1">#REF!</definedName>
    <definedName name="BExY1GK9ELBEKDD7O6HR6DUO8YGO" localSheetId="6" hidden="1">Stock!#REF!</definedName>
    <definedName name="BExY1GK9ELBEKDD7O6HR6DUO8YGO" hidden="1">#REF!</definedName>
    <definedName name="BExY1NWOXXFV9GGZ3PX444LZ8TVX" localSheetId="7" hidden="1">'Aged debtors'!#REF!</definedName>
    <definedName name="BExY1NWOXXFV9GGZ3PX444LZ8TVX" localSheetId="10" hidden="1">#REF!</definedName>
    <definedName name="BExY1NWOXXFV9GGZ3PX444LZ8TVX" localSheetId="12" hidden="1">#REF!</definedName>
    <definedName name="BExY1NWOXXFV9GGZ3PX444LZ8TVX" localSheetId="9" hidden="1">'Customer data'!#REF!</definedName>
    <definedName name="BExY1NWOXXFV9GGZ3PX444LZ8TVX" localSheetId="8" hidden="1">'Largest debtors'!#REF!</definedName>
    <definedName name="BExY1NWOXXFV9GGZ3PX444LZ8TVX" localSheetId="11" hidden="1">#REF!</definedName>
    <definedName name="BExY1NWOXXFV9GGZ3PX444LZ8TVX" localSheetId="6" hidden="1">Stock!#REF!</definedName>
    <definedName name="BExY1NWOXXFV9GGZ3PX444LZ8TVX" hidden="1">#REF!</definedName>
    <definedName name="BExY1YEBOSLMID7LURP8QB46AI91" localSheetId="7" hidden="1">'Aged debtors'!#REF!</definedName>
    <definedName name="BExY1YEBOSLMID7LURP8QB46AI91" localSheetId="10" hidden="1">#REF!</definedName>
    <definedName name="BExY1YEBOSLMID7LURP8QB46AI91" localSheetId="12" hidden="1">#REF!</definedName>
    <definedName name="BExY1YEBOSLMID7LURP8QB46AI91" localSheetId="9" hidden="1">'Customer data'!#REF!</definedName>
    <definedName name="BExY1YEBOSLMID7LURP8QB46AI91" localSheetId="8" hidden="1">'Largest debtors'!#REF!</definedName>
    <definedName name="BExY1YEBOSLMID7LURP8QB46AI91" localSheetId="11" hidden="1">#REF!</definedName>
    <definedName name="BExY1YEBOSLMID7LURP8QB46AI91" localSheetId="6" hidden="1">Stock!#REF!</definedName>
    <definedName name="BExY1YEBOSLMID7LURP8QB46AI91" hidden="1">#REF!</definedName>
    <definedName name="BExY2DJ5WVGFG4O033SMQ3C48L4R" localSheetId="7" hidden="1">'Aged debtors'!#REF!</definedName>
    <definedName name="BExY2DJ5WVGFG4O033SMQ3C48L4R" localSheetId="10" hidden="1">#REF!</definedName>
    <definedName name="BExY2DJ5WVGFG4O033SMQ3C48L4R" localSheetId="12" hidden="1">#REF!</definedName>
    <definedName name="BExY2DJ5WVGFG4O033SMQ3C48L4R" localSheetId="9" hidden="1">'Customer data'!#REF!</definedName>
    <definedName name="BExY2DJ5WVGFG4O033SMQ3C48L4R" localSheetId="8" hidden="1">'Largest debtors'!#REF!</definedName>
    <definedName name="BExY2DJ5WVGFG4O033SMQ3C48L4R" localSheetId="11" hidden="1">#REF!</definedName>
    <definedName name="BExY2DJ5WVGFG4O033SMQ3C48L4R" localSheetId="6" hidden="1">Stock!#REF!</definedName>
    <definedName name="BExY2DJ5WVGFG4O033SMQ3C48L4R" hidden="1">#REF!</definedName>
    <definedName name="BExY2FS4LFX9OHOTQT7SJ2PXAC25" localSheetId="7" hidden="1">'Aged debtors'!#REF!</definedName>
    <definedName name="BExY2FS4LFX9OHOTQT7SJ2PXAC25" localSheetId="10" hidden="1">#REF!</definedName>
    <definedName name="BExY2FS4LFX9OHOTQT7SJ2PXAC25" localSheetId="12" hidden="1">#REF!</definedName>
    <definedName name="BExY2FS4LFX9OHOTQT7SJ2PXAC25" localSheetId="9" hidden="1">'Customer data'!#REF!</definedName>
    <definedName name="BExY2FS4LFX9OHOTQT7SJ2PXAC25" localSheetId="8" hidden="1">'Largest debtors'!#REF!</definedName>
    <definedName name="BExY2FS4LFX9OHOTQT7SJ2PXAC25" localSheetId="11" hidden="1">#REF!</definedName>
    <definedName name="BExY2FS4LFX9OHOTQT7SJ2PXAC25" localSheetId="6" hidden="1">Stock!#REF!</definedName>
    <definedName name="BExY2FS4LFX9OHOTQT7SJ2PXAC25" hidden="1">#REF!</definedName>
    <definedName name="BExY2GDPCZPVU0IQ6IJIB1YQQRQ6" localSheetId="7" hidden="1">'Aged debtors'!#REF!</definedName>
    <definedName name="BExY2GDPCZPVU0IQ6IJIB1YQQRQ6" localSheetId="10" hidden="1">#REF!</definedName>
    <definedName name="BExY2GDPCZPVU0IQ6IJIB1YQQRQ6" localSheetId="12" hidden="1">#REF!</definedName>
    <definedName name="BExY2GDPCZPVU0IQ6IJIB1YQQRQ6" localSheetId="9" hidden="1">'Customer data'!#REF!</definedName>
    <definedName name="BExY2GDPCZPVU0IQ6IJIB1YQQRQ6" localSheetId="8" hidden="1">'Largest debtors'!#REF!</definedName>
    <definedName name="BExY2GDPCZPVU0IQ6IJIB1YQQRQ6" localSheetId="11" hidden="1">#REF!</definedName>
    <definedName name="BExY2GDPCZPVU0IQ6IJIB1YQQRQ6" localSheetId="6" hidden="1">Stock!#REF!</definedName>
    <definedName name="BExY2GDPCZPVU0IQ6IJIB1YQQRQ6" hidden="1">#REF!</definedName>
    <definedName name="BExY2GTSZ3VA9TXLY7KW1LIAKJ61" localSheetId="7" hidden="1">'Aged debtors'!#REF!</definedName>
    <definedName name="BExY2GTSZ3VA9TXLY7KW1LIAKJ61" localSheetId="10" hidden="1">#REF!</definedName>
    <definedName name="BExY2GTSZ3VA9TXLY7KW1LIAKJ61" localSheetId="12" hidden="1">#REF!</definedName>
    <definedName name="BExY2GTSZ3VA9TXLY7KW1LIAKJ61" localSheetId="9" hidden="1">'Customer data'!#REF!</definedName>
    <definedName name="BExY2GTSZ3VA9TXLY7KW1LIAKJ61" localSheetId="8" hidden="1">'Largest debtors'!#REF!</definedName>
    <definedName name="BExY2GTSZ3VA9TXLY7KW1LIAKJ61" localSheetId="11" hidden="1">#REF!</definedName>
    <definedName name="BExY2GTSZ3VA9TXLY7KW1LIAKJ61" localSheetId="6" hidden="1">Stock!#REF!</definedName>
    <definedName name="BExY2GTSZ3VA9TXLY7KW1LIAKJ61" hidden="1">#REF!</definedName>
    <definedName name="BExY2IXBR1SGYZH08T7QHKEFS8HA" localSheetId="7" hidden="1">'Aged debtors'!#REF!</definedName>
    <definedName name="BExY2IXBR1SGYZH08T7QHKEFS8HA" localSheetId="10" hidden="1">#REF!</definedName>
    <definedName name="BExY2IXBR1SGYZH08T7QHKEFS8HA" localSheetId="12" hidden="1">#REF!</definedName>
    <definedName name="BExY2IXBR1SGYZH08T7QHKEFS8HA" localSheetId="9" hidden="1">'Customer data'!#REF!</definedName>
    <definedName name="BExY2IXBR1SGYZH08T7QHKEFS8HA" localSheetId="8" hidden="1">'Largest debtors'!#REF!</definedName>
    <definedName name="BExY2IXBR1SGYZH08T7QHKEFS8HA" localSheetId="11" hidden="1">#REF!</definedName>
    <definedName name="BExY2IXBR1SGYZH08T7QHKEFS8HA" localSheetId="6" hidden="1">Stock!#REF!</definedName>
    <definedName name="BExY2IXBR1SGYZH08T7QHKEFS8HA" hidden="1">#REF!</definedName>
    <definedName name="BExY3ZTN41B82O0HVAMZAS46G18T" localSheetId="7" hidden="1">'Aged debtors'!#REF!</definedName>
    <definedName name="BExY3ZTN41B82O0HVAMZAS46G18T" localSheetId="10" hidden="1">#REF!</definedName>
    <definedName name="BExY3ZTN41B82O0HVAMZAS46G18T" localSheetId="12" hidden="1">#REF!</definedName>
    <definedName name="BExY3ZTN41B82O0HVAMZAS46G18T" localSheetId="9" hidden="1">'Customer data'!#REF!</definedName>
    <definedName name="BExY3ZTN41B82O0HVAMZAS46G18T" localSheetId="8" hidden="1">'Largest debtors'!#REF!</definedName>
    <definedName name="BExY3ZTN41B82O0HVAMZAS46G18T" localSheetId="11" hidden="1">#REF!</definedName>
    <definedName name="BExY3ZTN41B82O0HVAMZAS46G18T" localSheetId="6" hidden="1">Stock!#REF!</definedName>
    <definedName name="BExY3ZTN41B82O0HVAMZAS46G18T" hidden="1">#REF!</definedName>
    <definedName name="BExY4N1QO2TB3ANUA3D7B9W6EMQY" localSheetId="7" hidden="1">'Aged debtors'!#REF!</definedName>
    <definedName name="BExY4N1QO2TB3ANUA3D7B9W6EMQY" localSheetId="10" hidden="1">#REF!</definedName>
    <definedName name="BExY4N1QO2TB3ANUA3D7B9W6EMQY" localSheetId="12" hidden="1">#REF!</definedName>
    <definedName name="BExY4N1QO2TB3ANUA3D7B9W6EMQY" localSheetId="9" hidden="1">'Customer data'!#REF!</definedName>
    <definedName name="BExY4N1QO2TB3ANUA3D7B9W6EMQY" localSheetId="8" hidden="1">'Largest debtors'!#REF!</definedName>
    <definedName name="BExY4N1QO2TB3ANUA3D7B9W6EMQY" localSheetId="11" hidden="1">#REF!</definedName>
    <definedName name="BExY4N1QO2TB3ANUA3D7B9W6EMQY" localSheetId="6" hidden="1">Stock!#REF!</definedName>
    <definedName name="BExY4N1QO2TB3ANUA3D7B9W6EMQY" hidden="1">#REF!</definedName>
    <definedName name="BExY4PWCSFB8P3J3TBQB2MD67263" localSheetId="7" hidden="1">'Aged debtors'!#REF!</definedName>
    <definedName name="BExY4PWCSFB8P3J3TBQB2MD67263" localSheetId="10" hidden="1">#REF!</definedName>
    <definedName name="BExY4PWCSFB8P3J3TBQB2MD67263" localSheetId="12" hidden="1">#REF!</definedName>
    <definedName name="BExY4PWCSFB8P3J3TBQB2MD67263" localSheetId="9" hidden="1">'Customer data'!#REF!</definedName>
    <definedName name="BExY4PWCSFB8P3J3TBQB2MD67263" localSheetId="8" hidden="1">'Largest debtors'!#REF!</definedName>
    <definedName name="BExY4PWCSFB8P3J3TBQB2MD67263" localSheetId="11" hidden="1">#REF!</definedName>
    <definedName name="BExY4PWCSFB8P3J3TBQB2MD67263" localSheetId="6" hidden="1">Stock!#REF!</definedName>
    <definedName name="BExY4PWCSFB8P3J3TBQB2MD67263" hidden="1">#REF!</definedName>
    <definedName name="BExY50JAF5CG01GTHAUS7I4ZLUDC" localSheetId="7" hidden="1">'Aged debtors'!#REF!</definedName>
    <definedName name="BExY50JAF5CG01GTHAUS7I4ZLUDC" localSheetId="10" hidden="1">#REF!</definedName>
    <definedName name="BExY50JAF5CG01GTHAUS7I4ZLUDC" localSheetId="12" hidden="1">#REF!</definedName>
    <definedName name="BExY50JAF5CG01GTHAUS7I4ZLUDC" localSheetId="9" hidden="1">'Customer data'!#REF!</definedName>
    <definedName name="BExY50JAF5CG01GTHAUS7I4ZLUDC" localSheetId="8" hidden="1">'Largest debtors'!#REF!</definedName>
    <definedName name="BExY50JAF5CG01GTHAUS7I4ZLUDC" localSheetId="11" hidden="1">#REF!</definedName>
    <definedName name="BExY50JAF5CG01GTHAUS7I4ZLUDC" localSheetId="6" hidden="1">Stock!#REF!</definedName>
    <definedName name="BExY50JAF5CG01GTHAUS7I4ZLUDC" hidden="1">#REF!</definedName>
    <definedName name="BExY53J7EXFEOFTRNAHLK7IH3ACB" localSheetId="7" hidden="1">'Aged debtors'!#REF!</definedName>
    <definedName name="BExY53J7EXFEOFTRNAHLK7IH3ACB" localSheetId="10" hidden="1">#REF!</definedName>
    <definedName name="BExY53J7EXFEOFTRNAHLK7IH3ACB" localSheetId="12" hidden="1">#REF!</definedName>
    <definedName name="BExY53J7EXFEOFTRNAHLK7IH3ACB" localSheetId="9" hidden="1">'Customer data'!#REF!</definedName>
    <definedName name="BExY53J7EXFEOFTRNAHLK7IH3ACB" localSheetId="8" hidden="1">'Largest debtors'!#REF!</definedName>
    <definedName name="BExY53J7EXFEOFTRNAHLK7IH3ACB" localSheetId="11" hidden="1">#REF!</definedName>
    <definedName name="BExY53J7EXFEOFTRNAHLK7IH3ACB" localSheetId="6" hidden="1">Stock!#REF!</definedName>
    <definedName name="BExY53J7EXFEOFTRNAHLK7IH3ACB" hidden="1">#REF!</definedName>
    <definedName name="BExY5515SJTJS3VM80M3YYR0WF37" localSheetId="7" hidden="1">'Aged debtors'!#REF!</definedName>
    <definedName name="BExY5515SJTJS3VM80M3YYR0WF37" localSheetId="10" hidden="1">#REF!</definedName>
    <definedName name="BExY5515SJTJS3VM80M3YYR0WF37" localSheetId="12" hidden="1">#REF!</definedName>
    <definedName name="BExY5515SJTJS3VM80M3YYR0WF37" localSheetId="9" hidden="1">'Customer data'!#REF!</definedName>
    <definedName name="BExY5515SJTJS3VM80M3YYR0WF37" localSheetId="8" hidden="1">'Largest debtors'!#REF!</definedName>
    <definedName name="BExY5515SJTJS3VM80M3YYR0WF37" localSheetId="11" hidden="1">#REF!</definedName>
    <definedName name="BExY5515SJTJS3VM80M3YYR0WF37" localSheetId="6" hidden="1">Stock!#REF!</definedName>
    <definedName name="BExY5515SJTJS3VM80M3YYR0WF37" hidden="1">#REF!</definedName>
    <definedName name="BExY5515WE39FQ3EG5QHG67V9C0O" localSheetId="7" hidden="1">'Aged debtors'!#REF!</definedName>
    <definedName name="BExY5515WE39FQ3EG5QHG67V9C0O" localSheetId="10" hidden="1">#REF!</definedName>
    <definedName name="BExY5515WE39FQ3EG5QHG67V9C0O" localSheetId="12" hidden="1">#REF!</definedName>
    <definedName name="BExY5515WE39FQ3EG5QHG67V9C0O" localSheetId="9" hidden="1">'Customer data'!#REF!</definedName>
    <definedName name="BExY5515WE39FQ3EG5QHG67V9C0O" localSheetId="8" hidden="1">'Largest debtors'!#REF!</definedName>
    <definedName name="BExY5515WE39FQ3EG5QHG67V9C0O" localSheetId="11" hidden="1">#REF!</definedName>
    <definedName name="BExY5515WE39FQ3EG5QHG67V9C0O" localSheetId="6" hidden="1">Stock!#REF!</definedName>
    <definedName name="BExY5515WE39FQ3EG5QHG67V9C0O" hidden="1">#REF!</definedName>
    <definedName name="BExY5ERVGL3UM2MGT8LJ0XPKTZEK" localSheetId="7" hidden="1">'Aged debtors'!#REF!</definedName>
    <definedName name="BExY5ERVGL3UM2MGT8LJ0XPKTZEK" localSheetId="10" hidden="1">#REF!</definedName>
    <definedName name="BExY5ERVGL3UM2MGT8LJ0XPKTZEK" localSheetId="12" hidden="1">#REF!</definedName>
    <definedName name="BExY5ERVGL3UM2MGT8LJ0XPKTZEK" localSheetId="9" hidden="1">'Customer data'!#REF!</definedName>
    <definedName name="BExY5ERVGL3UM2MGT8LJ0XPKTZEK" localSheetId="8" hidden="1">'Largest debtors'!#REF!</definedName>
    <definedName name="BExY5ERVGL3UM2MGT8LJ0XPKTZEK" localSheetId="11" hidden="1">#REF!</definedName>
    <definedName name="BExY5ERVGL3UM2MGT8LJ0XPKTZEK" localSheetId="6" hidden="1">Stock!#REF!</definedName>
    <definedName name="BExY5ERVGL3UM2MGT8LJ0XPKTZEK" hidden="1">#REF!</definedName>
    <definedName name="BExY5X21S9L4HBT5Q2OIE1W6PIM4" localSheetId="7" hidden="1">'Aged debtors'!#REF!</definedName>
    <definedName name="BExY5X21S9L4HBT5Q2OIE1W6PIM4" localSheetId="10" hidden="1">#REF!</definedName>
    <definedName name="BExY5X21S9L4HBT5Q2OIE1W6PIM4" localSheetId="12" hidden="1">#REF!</definedName>
    <definedName name="BExY5X21S9L4HBT5Q2OIE1W6PIM4" localSheetId="9" hidden="1">'Customer data'!#REF!</definedName>
    <definedName name="BExY5X21S9L4HBT5Q2OIE1W6PIM4" localSheetId="8" hidden="1">'Largest debtors'!#REF!</definedName>
    <definedName name="BExY5X21S9L4HBT5Q2OIE1W6PIM4" localSheetId="11" hidden="1">#REF!</definedName>
    <definedName name="BExY5X21S9L4HBT5Q2OIE1W6PIM4" localSheetId="6" hidden="1">Stock!#REF!</definedName>
    <definedName name="BExY5X21S9L4HBT5Q2OIE1W6PIM4" hidden="1">#REF!</definedName>
    <definedName name="BExY6KVS1MMZ2R34PGEFR2BMTU9W" localSheetId="7" hidden="1">'Aged debtors'!#REF!</definedName>
    <definedName name="BExY6KVS1MMZ2R34PGEFR2BMTU9W" localSheetId="10" hidden="1">#REF!</definedName>
    <definedName name="BExY6KVS1MMZ2R34PGEFR2BMTU9W" localSheetId="12" hidden="1">#REF!</definedName>
    <definedName name="BExY6KVS1MMZ2R34PGEFR2BMTU9W" localSheetId="9" hidden="1">'Customer data'!#REF!</definedName>
    <definedName name="BExY6KVS1MMZ2R34PGEFR2BMTU9W" localSheetId="8" hidden="1">'Largest debtors'!#REF!</definedName>
    <definedName name="BExY6KVS1MMZ2R34PGEFR2BMTU9W" localSheetId="11" hidden="1">#REF!</definedName>
    <definedName name="BExY6KVS1MMZ2R34PGEFR2BMTU9W" localSheetId="6" hidden="1">Stock!#REF!</definedName>
    <definedName name="BExY6KVS1MMZ2R34PGEFR2BMTU9W" hidden="1">#REF!</definedName>
    <definedName name="BExY6Q9YY7LW745GP7CYOGGSPHGE" localSheetId="7" hidden="1">'Aged debtors'!#REF!</definedName>
    <definedName name="BExY6Q9YY7LW745GP7CYOGGSPHGE" localSheetId="10" hidden="1">#REF!</definedName>
    <definedName name="BExY6Q9YY7LW745GP7CYOGGSPHGE" localSheetId="12" hidden="1">#REF!</definedName>
    <definedName name="BExY6Q9YY7LW745GP7CYOGGSPHGE" localSheetId="9" hidden="1">'Customer data'!#REF!</definedName>
    <definedName name="BExY6Q9YY7LW745GP7CYOGGSPHGE" localSheetId="8" hidden="1">'Largest debtors'!#REF!</definedName>
    <definedName name="BExY6Q9YY7LW745GP7CYOGGSPHGE" localSheetId="11" hidden="1">#REF!</definedName>
    <definedName name="BExY6Q9YY7LW745GP7CYOGGSPHGE" localSheetId="6" hidden="1">Stock!#REF!</definedName>
    <definedName name="BExY6Q9YY7LW745GP7CYOGGSPHGE" hidden="1">#REF!</definedName>
    <definedName name="BExZIYO22G5UXOB42GDLYGVRJ6U7" localSheetId="7" hidden="1">'Aged debtors'!#REF!</definedName>
    <definedName name="BExZIYO22G5UXOB42GDLYGVRJ6U7" localSheetId="10" hidden="1">#REF!</definedName>
    <definedName name="BExZIYO22G5UXOB42GDLYGVRJ6U7" localSheetId="12" hidden="1">#REF!</definedName>
    <definedName name="BExZIYO22G5UXOB42GDLYGVRJ6U7" localSheetId="9" hidden="1">'Customer data'!#REF!</definedName>
    <definedName name="BExZIYO22G5UXOB42GDLYGVRJ6U7" localSheetId="8" hidden="1">'Largest debtors'!#REF!</definedName>
    <definedName name="BExZIYO22G5UXOB42GDLYGVRJ6U7" localSheetId="11" hidden="1">#REF!</definedName>
    <definedName name="BExZIYO22G5UXOB42GDLYGVRJ6U7" localSheetId="6" hidden="1">Stock!#REF!</definedName>
    <definedName name="BExZIYO22G5UXOB42GDLYGVRJ6U7" hidden="1">#REF!</definedName>
    <definedName name="BExZJ7I9T8XU4MZRKJ1VVU76V2LZ" localSheetId="7" hidden="1">'Aged debtors'!#REF!</definedName>
    <definedName name="BExZJ7I9T8XU4MZRKJ1VVU76V2LZ" localSheetId="10" hidden="1">#REF!</definedName>
    <definedName name="BExZJ7I9T8XU4MZRKJ1VVU76V2LZ" localSheetId="12" hidden="1">#REF!</definedName>
    <definedName name="BExZJ7I9T8XU4MZRKJ1VVU76V2LZ" localSheetId="9" hidden="1">'Customer data'!#REF!</definedName>
    <definedName name="BExZJ7I9T8XU4MZRKJ1VVU76V2LZ" localSheetId="8" hidden="1">'Largest debtors'!#REF!</definedName>
    <definedName name="BExZJ7I9T8XU4MZRKJ1VVU76V2LZ" localSheetId="11" hidden="1">#REF!</definedName>
    <definedName name="BExZJ7I9T8XU4MZRKJ1VVU76V2LZ" localSheetId="6" hidden="1">Stock!#REF!</definedName>
    <definedName name="BExZJ7I9T8XU4MZRKJ1VVU76V2LZ" hidden="1">#REF!</definedName>
    <definedName name="BExZJS6RG34ODDY9HMZ0O34MEMSB" localSheetId="7" hidden="1">'Aged debtors'!#REF!</definedName>
    <definedName name="BExZJS6RG34ODDY9HMZ0O34MEMSB" localSheetId="10" hidden="1">#REF!</definedName>
    <definedName name="BExZJS6RG34ODDY9HMZ0O34MEMSB" localSheetId="12" hidden="1">#REF!</definedName>
    <definedName name="BExZJS6RG34ODDY9HMZ0O34MEMSB" localSheetId="9" hidden="1">'Customer data'!#REF!</definedName>
    <definedName name="BExZJS6RG34ODDY9HMZ0O34MEMSB" localSheetId="8" hidden="1">'Largest debtors'!#REF!</definedName>
    <definedName name="BExZJS6RG34ODDY9HMZ0O34MEMSB" localSheetId="11" hidden="1">#REF!</definedName>
    <definedName name="BExZJS6RG34ODDY9HMZ0O34MEMSB" localSheetId="6" hidden="1">Stock!#REF!</definedName>
    <definedName name="BExZJS6RG34ODDY9HMZ0O34MEMSB" hidden="1">#REF!</definedName>
    <definedName name="BExZK34NR4BAD7HJAP7SQ926UQP3" localSheetId="7" hidden="1">'Aged debtors'!#REF!</definedName>
    <definedName name="BExZK34NR4BAD7HJAP7SQ926UQP3" localSheetId="10" hidden="1">#REF!</definedName>
    <definedName name="BExZK34NR4BAD7HJAP7SQ926UQP3" localSheetId="12" hidden="1">#REF!</definedName>
    <definedName name="BExZK34NR4BAD7HJAP7SQ926UQP3" localSheetId="9" hidden="1">'Customer data'!#REF!</definedName>
    <definedName name="BExZK34NR4BAD7HJAP7SQ926UQP3" localSheetId="8" hidden="1">'Largest debtors'!#REF!</definedName>
    <definedName name="BExZK34NR4BAD7HJAP7SQ926UQP3" localSheetId="11" hidden="1">#REF!</definedName>
    <definedName name="BExZK34NR4BAD7HJAP7SQ926UQP3" localSheetId="6" hidden="1">Stock!#REF!</definedName>
    <definedName name="BExZK34NR4BAD7HJAP7SQ926UQP3" hidden="1">#REF!</definedName>
    <definedName name="BExZK3FGPHH5H771U7D5XY7XBS6E" localSheetId="7" hidden="1">'Aged debtors'!#REF!</definedName>
    <definedName name="BExZK3FGPHH5H771U7D5XY7XBS6E" localSheetId="10" hidden="1">#REF!</definedName>
    <definedName name="BExZK3FGPHH5H771U7D5XY7XBS6E" localSheetId="12" hidden="1">#REF!</definedName>
    <definedName name="BExZK3FGPHH5H771U7D5XY7XBS6E" localSheetId="9" hidden="1">'Customer data'!#REF!</definedName>
    <definedName name="BExZK3FGPHH5H771U7D5XY7XBS6E" localSheetId="8" hidden="1">'Largest debtors'!#REF!</definedName>
    <definedName name="BExZK3FGPHH5H771U7D5XY7XBS6E" localSheetId="11" hidden="1">#REF!</definedName>
    <definedName name="BExZK3FGPHH5H771U7D5XY7XBS6E" localSheetId="6" hidden="1">Stock!#REF!</definedName>
    <definedName name="BExZK3FGPHH5H771U7D5XY7XBS6E" hidden="1">#REF!</definedName>
    <definedName name="BExZKJRF2IRR57DG9CLC7MSHWNNN" localSheetId="7" hidden="1">'Aged debtors'!#REF!</definedName>
    <definedName name="BExZKJRF2IRR57DG9CLC7MSHWNNN" localSheetId="10" hidden="1">#REF!</definedName>
    <definedName name="BExZKJRF2IRR57DG9CLC7MSHWNNN" localSheetId="12" hidden="1">#REF!</definedName>
    <definedName name="BExZKJRF2IRR57DG9CLC7MSHWNNN" localSheetId="9" hidden="1">'Customer data'!#REF!</definedName>
    <definedName name="BExZKJRF2IRR57DG9CLC7MSHWNNN" localSheetId="8" hidden="1">'Largest debtors'!#REF!</definedName>
    <definedName name="BExZKJRF2IRR57DG9CLC7MSHWNNN" localSheetId="11" hidden="1">#REF!</definedName>
    <definedName name="BExZKJRF2IRR57DG9CLC7MSHWNNN" localSheetId="6" hidden="1">Stock!#REF!</definedName>
    <definedName name="BExZKJRF2IRR57DG9CLC7MSHWNNN" hidden="1">#REF!</definedName>
    <definedName name="BExZL6E4YVXRUN7ZGF2BIGIXFR8K" localSheetId="7" hidden="1">'Aged debtors'!#REF!</definedName>
    <definedName name="BExZL6E4YVXRUN7ZGF2BIGIXFR8K" localSheetId="10" hidden="1">#REF!</definedName>
    <definedName name="BExZL6E4YVXRUN7ZGF2BIGIXFR8K" localSheetId="12" hidden="1">#REF!</definedName>
    <definedName name="BExZL6E4YVXRUN7ZGF2BIGIXFR8K" localSheetId="9" hidden="1">'Customer data'!#REF!</definedName>
    <definedName name="BExZL6E4YVXRUN7ZGF2BIGIXFR8K" localSheetId="8" hidden="1">'Largest debtors'!#REF!</definedName>
    <definedName name="BExZL6E4YVXRUN7ZGF2BIGIXFR8K" localSheetId="11" hidden="1">#REF!</definedName>
    <definedName name="BExZL6E4YVXRUN7ZGF2BIGIXFR8K" localSheetId="6" hidden="1">Stock!#REF!</definedName>
    <definedName name="BExZL6E4YVXRUN7ZGF2BIGIXFR8K" hidden="1">#REF!</definedName>
    <definedName name="BExZLGVLMKTPFXG42QYT0PO81G7F" localSheetId="7" hidden="1">'Aged debtors'!#REF!</definedName>
    <definedName name="BExZLGVLMKTPFXG42QYT0PO81G7F" localSheetId="10" hidden="1">#REF!</definedName>
    <definedName name="BExZLGVLMKTPFXG42QYT0PO81G7F" localSheetId="12" hidden="1">#REF!</definedName>
    <definedName name="BExZLGVLMKTPFXG42QYT0PO81G7F" localSheetId="9" hidden="1">'Customer data'!#REF!</definedName>
    <definedName name="BExZLGVLMKTPFXG42QYT0PO81G7F" localSheetId="8" hidden="1">'Largest debtors'!#REF!</definedName>
    <definedName name="BExZLGVLMKTPFXG42QYT0PO81G7F" localSheetId="11" hidden="1">#REF!</definedName>
    <definedName name="BExZLGVLMKTPFXG42QYT0PO81G7F" localSheetId="6" hidden="1">Stock!#REF!</definedName>
    <definedName name="BExZLGVLMKTPFXG42QYT0PO81G7F" hidden="1">#REF!</definedName>
    <definedName name="BExZM7JVLG0W8EG5RBU915U3SKBY" localSheetId="7" hidden="1">'Aged debtors'!#REF!</definedName>
    <definedName name="BExZM7JVLG0W8EG5RBU915U3SKBY" localSheetId="10" hidden="1">#REF!</definedName>
    <definedName name="BExZM7JVLG0W8EG5RBU915U3SKBY" localSheetId="12" hidden="1">#REF!</definedName>
    <definedName name="BExZM7JVLG0W8EG5RBU915U3SKBY" localSheetId="9" hidden="1">'Customer data'!#REF!</definedName>
    <definedName name="BExZM7JVLG0W8EG5RBU915U3SKBY" localSheetId="8" hidden="1">'Largest debtors'!#REF!</definedName>
    <definedName name="BExZM7JVLG0W8EG5RBU915U3SKBY" localSheetId="11" hidden="1">#REF!</definedName>
    <definedName name="BExZM7JVLG0W8EG5RBU915U3SKBY" localSheetId="6" hidden="1">Stock!#REF!</definedName>
    <definedName name="BExZM7JVLG0W8EG5RBU915U3SKBY" hidden="1">#REF!</definedName>
    <definedName name="BExZM85FOVUFF110XMQ9O2ODSJUK" localSheetId="7" hidden="1">'Aged debtors'!#REF!</definedName>
    <definedName name="BExZM85FOVUFF110XMQ9O2ODSJUK" localSheetId="10" hidden="1">#REF!</definedName>
    <definedName name="BExZM85FOVUFF110XMQ9O2ODSJUK" localSheetId="12" hidden="1">#REF!</definedName>
    <definedName name="BExZM85FOVUFF110XMQ9O2ODSJUK" localSheetId="9" hidden="1">'Customer data'!#REF!</definedName>
    <definedName name="BExZM85FOVUFF110XMQ9O2ODSJUK" localSheetId="8" hidden="1">'Largest debtors'!#REF!</definedName>
    <definedName name="BExZM85FOVUFF110XMQ9O2ODSJUK" localSheetId="11" hidden="1">#REF!</definedName>
    <definedName name="BExZM85FOVUFF110XMQ9O2ODSJUK" localSheetId="6" hidden="1">Stock!#REF!</definedName>
    <definedName name="BExZM85FOVUFF110XMQ9O2ODSJUK" hidden="1">#REF!</definedName>
    <definedName name="BExZMF1MMTZ1TA14PZ8ASSU2CBSP" localSheetId="7" hidden="1">'Aged debtors'!#REF!</definedName>
    <definedName name="BExZMF1MMTZ1TA14PZ8ASSU2CBSP" localSheetId="10" hidden="1">#REF!</definedName>
    <definedName name="BExZMF1MMTZ1TA14PZ8ASSU2CBSP" localSheetId="12" hidden="1">#REF!</definedName>
    <definedName name="BExZMF1MMTZ1TA14PZ8ASSU2CBSP" localSheetId="9" hidden="1">'Customer data'!#REF!</definedName>
    <definedName name="BExZMF1MMTZ1TA14PZ8ASSU2CBSP" localSheetId="8" hidden="1">'Largest debtors'!#REF!</definedName>
    <definedName name="BExZMF1MMTZ1TA14PZ8ASSU2CBSP" localSheetId="11" hidden="1">#REF!</definedName>
    <definedName name="BExZMF1MMTZ1TA14PZ8ASSU2CBSP" localSheetId="6" hidden="1">Stock!#REF!</definedName>
    <definedName name="BExZMF1MMTZ1TA14PZ8ASSU2CBSP" hidden="1">#REF!</definedName>
    <definedName name="BExZMKL5YQZD7F0FUCSVFGLPFK52" localSheetId="7" hidden="1">'Aged debtors'!#REF!</definedName>
    <definedName name="BExZMKL5YQZD7F0FUCSVFGLPFK52" localSheetId="10" hidden="1">#REF!</definedName>
    <definedName name="BExZMKL5YQZD7F0FUCSVFGLPFK52" localSheetId="12" hidden="1">#REF!</definedName>
    <definedName name="BExZMKL5YQZD7F0FUCSVFGLPFK52" localSheetId="9" hidden="1">'Customer data'!#REF!</definedName>
    <definedName name="BExZMKL5YQZD7F0FUCSVFGLPFK52" localSheetId="8" hidden="1">'Largest debtors'!#REF!</definedName>
    <definedName name="BExZMKL5YQZD7F0FUCSVFGLPFK52" localSheetId="11" hidden="1">#REF!</definedName>
    <definedName name="BExZMKL5YQZD7F0FUCSVFGLPFK52" localSheetId="6" hidden="1">Stock!#REF!</definedName>
    <definedName name="BExZMKL5YQZD7F0FUCSVFGLPFK52" hidden="1">#REF!</definedName>
    <definedName name="BExZMXH39OB0I43XEL3K11U3G9PM" localSheetId="7" hidden="1">'Aged debtors'!#REF!</definedName>
    <definedName name="BExZMXH39OB0I43XEL3K11U3G9PM" localSheetId="10" hidden="1">#REF!</definedName>
    <definedName name="BExZMXH39OB0I43XEL3K11U3G9PM" localSheetId="12" hidden="1">#REF!</definedName>
    <definedName name="BExZMXH39OB0I43XEL3K11U3G9PM" localSheetId="9" hidden="1">'Customer data'!#REF!</definedName>
    <definedName name="BExZMXH39OB0I43XEL3K11U3G9PM" localSheetId="8" hidden="1">'Largest debtors'!#REF!</definedName>
    <definedName name="BExZMXH39OB0I43XEL3K11U3G9PM" localSheetId="11" hidden="1">#REF!</definedName>
    <definedName name="BExZMXH39OB0I43XEL3K11U3G9PM" localSheetId="6" hidden="1">Stock!#REF!</definedName>
    <definedName name="BExZMXH39OB0I43XEL3K11U3G9PM" hidden="1">#REF!</definedName>
    <definedName name="BExZNJYCFYVMAOI62GB2BABK1ELE" localSheetId="7" hidden="1">'Aged debtors'!#REF!</definedName>
    <definedName name="BExZNJYCFYVMAOI62GB2BABK1ELE" localSheetId="10" hidden="1">#REF!</definedName>
    <definedName name="BExZNJYCFYVMAOI62GB2BABK1ELE" localSheetId="12" hidden="1">#REF!</definedName>
    <definedName name="BExZNJYCFYVMAOI62GB2BABK1ELE" localSheetId="9" hidden="1">'Customer data'!#REF!</definedName>
    <definedName name="BExZNJYCFYVMAOI62GB2BABK1ELE" localSheetId="8" hidden="1">'Largest debtors'!#REF!</definedName>
    <definedName name="BExZNJYCFYVMAOI62GB2BABK1ELE" localSheetId="11" hidden="1">#REF!</definedName>
    <definedName name="BExZNJYCFYVMAOI62GB2BABK1ELE" localSheetId="6" hidden="1">Stock!#REF!</definedName>
    <definedName name="BExZNJYCFYVMAOI62GB2BABK1ELE" hidden="1">#REF!</definedName>
    <definedName name="BExZNV707LIU6Z5H6QI6H67LHTI1" localSheetId="7" hidden="1">'Aged debtors'!#REF!</definedName>
    <definedName name="BExZNV707LIU6Z5H6QI6H67LHTI1" localSheetId="10" hidden="1">#REF!</definedName>
    <definedName name="BExZNV707LIU6Z5H6QI6H67LHTI1" localSheetId="12" hidden="1">#REF!</definedName>
    <definedName name="BExZNV707LIU6Z5H6QI6H67LHTI1" localSheetId="9" hidden="1">'Customer data'!#REF!</definedName>
    <definedName name="BExZNV707LIU6Z5H6QI6H67LHTI1" localSheetId="8" hidden="1">'Largest debtors'!#REF!</definedName>
    <definedName name="BExZNV707LIU6Z5H6QI6H67LHTI1" localSheetId="11" hidden="1">#REF!</definedName>
    <definedName name="BExZNV707LIU6Z5H6QI6H67LHTI1" localSheetId="6" hidden="1">Stock!#REF!</definedName>
    <definedName name="BExZNV707LIU6Z5H6QI6H67LHTI1" hidden="1">#REF!</definedName>
    <definedName name="BExZNW8QJ18X0RSGFDWAE9ZSDX39" localSheetId="7" hidden="1">'Aged debtors'!#REF!</definedName>
    <definedName name="BExZNW8QJ18X0RSGFDWAE9ZSDX39" localSheetId="10" hidden="1">#REF!</definedName>
    <definedName name="BExZNW8QJ18X0RSGFDWAE9ZSDX39" localSheetId="12" hidden="1">#REF!</definedName>
    <definedName name="BExZNW8QJ18X0RSGFDWAE9ZSDX39" localSheetId="9" hidden="1">'Customer data'!#REF!</definedName>
    <definedName name="BExZNW8QJ18X0RSGFDWAE9ZSDX39" localSheetId="8" hidden="1">'Largest debtors'!#REF!</definedName>
    <definedName name="BExZNW8QJ18X0RSGFDWAE9ZSDX39" localSheetId="11" hidden="1">#REF!</definedName>
    <definedName name="BExZNW8QJ18X0RSGFDWAE9ZSDX39" localSheetId="6" hidden="1">Stock!#REF!</definedName>
    <definedName name="BExZNW8QJ18X0RSGFDWAE9ZSDX39" hidden="1">#REF!</definedName>
    <definedName name="BExZNZDWRS6Q40L8OCWFEIVI0A1O" localSheetId="7" hidden="1">'Aged debtors'!#REF!</definedName>
    <definedName name="BExZNZDWRS6Q40L8OCWFEIVI0A1O" localSheetId="10" hidden="1">#REF!</definedName>
    <definedName name="BExZNZDWRS6Q40L8OCWFEIVI0A1O" localSheetId="12" hidden="1">#REF!</definedName>
    <definedName name="BExZNZDWRS6Q40L8OCWFEIVI0A1O" localSheetId="9" hidden="1">'Customer data'!#REF!</definedName>
    <definedName name="BExZNZDWRS6Q40L8OCWFEIVI0A1O" localSheetId="8" hidden="1">'Largest debtors'!#REF!</definedName>
    <definedName name="BExZNZDWRS6Q40L8OCWFEIVI0A1O" localSheetId="11" hidden="1">#REF!</definedName>
    <definedName name="BExZNZDWRS6Q40L8OCWFEIVI0A1O" localSheetId="6" hidden="1">Stock!#REF!</definedName>
    <definedName name="BExZNZDWRS6Q40L8OCWFEIVI0A1O" hidden="1">#REF!</definedName>
    <definedName name="BExZOBO9NYLGVJQ31LVQ9XS2ZT4N" localSheetId="7" hidden="1">'Aged debtors'!#REF!</definedName>
    <definedName name="BExZOBO9NYLGVJQ31LVQ9XS2ZT4N" localSheetId="10" hidden="1">#REF!</definedName>
    <definedName name="BExZOBO9NYLGVJQ31LVQ9XS2ZT4N" localSheetId="12" hidden="1">#REF!</definedName>
    <definedName name="BExZOBO9NYLGVJQ31LVQ9XS2ZT4N" localSheetId="9" hidden="1">'Customer data'!#REF!</definedName>
    <definedName name="BExZOBO9NYLGVJQ31LVQ9XS2ZT4N" localSheetId="8" hidden="1">'Largest debtors'!#REF!</definedName>
    <definedName name="BExZOBO9NYLGVJQ31LVQ9XS2ZT4N" localSheetId="11" hidden="1">#REF!</definedName>
    <definedName name="BExZOBO9NYLGVJQ31LVQ9XS2ZT4N" localSheetId="6" hidden="1">Stock!#REF!</definedName>
    <definedName name="BExZOBO9NYLGVJQ31LVQ9XS2ZT4N" hidden="1">#REF!</definedName>
    <definedName name="BExZOREMVSK4E5VSWM838KHUB8AI" localSheetId="7" hidden="1">'Aged debtors'!#REF!</definedName>
    <definedName name="BExZOREMVSK4E5VSWM838KHUB8AI" localSheetId="10" hidden="1">#REF!</definedName>
    <definedName name="BExZOREMVSK4E5VSWM838KHUB8AI" localSheetId="12" hidden="1">#REF!</definedName>
    <definedName name="BExZOREMVSK4E5VSWM838KHUB8AI" localSheetId="9" hidden="1">'Customer data'!#REF!</definedName>
    <definedName name="BExZOREMVSK4E5VSWM838KHUB8AI" localSheetId="8" hidden="1">'Largest debtors'!#REF!</definedName>
    <definedName name="BExZOREMVSK4E5VSWM838KHUB8AI" localSheetId="11" hidden="1">#REF!</definedName>
    <definedName name="BExZOREMVSK4E5VSWM838KHUB8AI" localSheetId="6" hidden="1">Stock!#REF!</definedName>
    <definedName name="BExZOREMVSK4E5VSWM838KHUB8AI" hidden="1">#REF!</definedName>
    <definedName name="BExZOVR745T5P1KS9NV2PXZPZVRG" localSheetId="7" hidden="1">'Aged debtors'!#REF!</definedName>
    <definedName name="BExZOVR745T5P1KS9NV2PXZPZVRG" localSheetId="10" hidden="1">#REF!</definedName>
    <definedName name="BExZOVR745T5P1KS9NV2PXZPZVRG" localSheetId="12" hidden="1">#REF!</definedName>
    <definedName name="BExZOVR745T5P1KS9NV2PXZPZVRG" localSheetId="9" hidden="1">'Customer data'!#REF!</definedName>
    <definedName name="BExZOVR745T5P1KS9NV2PXZPZVRG" localSheetId="8" hidden="1">'Largest debtors'!#REF!</definedName>
    <definedName name="BExZOVR745T5P1KS9NV2PXZPZVRG" localSheetId="11" hidden="1">#REF!</definedName>
    <definedName name="BExZOVR745T5P1KS9NV2PXZPZVRG" localSheetId="6" hidden="1">Stock!#REF!</definedName>
    <definedName name="BExZOVR745T5P1KS9NV2PXZPZVRG" hidden="1">#REF!</definedName>
    <definedName name="BExZP7AIJKLM6C6CSUIIFAHFBNX2" localSheetId="7" hidden="1">'Aged debtors'!#REF!</definedName>
    <definedName name="BExZP7AIJKLM6C6CSUIIFAHFBNX2" localSheetId="10" hidden="1">#REF!</definedName>
    <definedName name="BExZP7AIJKLM6C6CSUIIFAHFBNX2" localSheetId="12" hidden="1">#REF!</definedName>
    <definedName name="BExZP7AIJKLM6C6CSUIIFAHFBNX2" localSheetId="9" hidden="1">'Customer data'!#REF!</definedName>
    <definedName name="BExZP7AIJKLM6C6CSUIIFAHFBNX2" localSheetId="8" hidden="1">'Largest debtors'!#REF!</definedName>
    <definedName name="BExZP7AIJKLM6C6CSUIIFAHFBNX2" localSheetId="11" hidden="1">#REF!</definedName>
    <definedName name="BExZP7AIJKLM6C6CSUIIFAHFBNX2" localSheetId="6" hidden="1">Stock!#REF!</definedName>
    <definedName name="BExZP7AIJKLM6C6CSUIIFAHFBNX2" hidden="1">#REF!</definedName>
    <definedName name="BExZPEC5LM4ZAI8EB16BNIMI101X" localSheetId="7" hidden="1">'Aged debtors'!#REF!</definedName>
    <definedName name="BExZPEC5LM4ZAI8EB16BNIMI101X" localSheetId="10" hidden="1">#REF!</definedName>
    <definedName name="BExZPEC5LM4ZAI8EB16BNIMI101X" localSheetId="12" hidden="1">#REF!</definedName>
    <definedName name="BExZPEC5LM4ZAI8EB16BNIMI101X" localSheetId="9" hidden="1">'Customer data'!#REF!</definedName>
    <definedName name="BExZPEC5LM4ZAI8EB16BNIMI101X" localSheetId="8" hidden="1">'Largest debtors'!#REF!</definedName>
    <definedName name="BExZPEC5LM4ZAI8EB16BNIMI101X" localSheetId="11" hidden="1">#REF!</definedName>
    <definedName name="BExZPEC5LM4ZAI8EB16BNIMI101X" localSheetId="6" hidden="1">Stock!#REF!</definedName>
    <definedName name="BExZPEC5LM4ZAI8EB16BNIMI101X" hidden="1">#REF!</definedName>
    <definedName name="BExZQ3NT7H06VO0AR48WHZULZB93" localSheetId="7" hidden="1">'Aged debtors'!#REF!</definedName>
    <definedName name="BExZQ3NT7H06VO0AR48WHZULZB93" localSheetId="10" hidden="1">#REF!</definedName>
    <definedName name="BExZQ3NT7H06VO0AR48WHZULZB93" localSheetId="12" hidden="1">#REF!</definedName>
    <definedName name="BExZQ3NT7H06VO0AR48WHZULZB93" localSheetId="9" hidden="1">'Customer data'!#REF!</definedName>
    <definedName name="BExZQ3NT7H06VO0AR48WHZULZB93" localSheetId="8" hidden="1">'Largest debtors'!#REF!</definedName>
    <definedName name="BExZQ3NT7H06VO0AR48WHZULZB93" localSheetId="11" hidden="1">#REF!</definedName>
    <definedName name="BExZQ3NT7H06VO0AR48WHZULZB93" localSheetId="6" hidden="1">Stock!#REF!</definedName>
    <definedName name="BExZQ3NT7H06VO0AR48WHZULZB93" hidden="1">#REF!</definedName>
    <definedName name="BExZQJJMGU5MHQOILGXGJPAQI5XI" localSheetId="7" hidden="1">'Aged debtors'!#REF!</definedName>
    <definedName name="BExZQJJMGU5MHQOILGXGJPAQI5XI" localSheetId="10" hidden="1">#REF!</definedName>
    <definedName name="BExZQJJMGU5MHQOILGXGJPAQI5XI" localSheetId="12" hidden="1">#REF!</definedName>
    <definedName name="BExZQJJMGU5MHQOILGXGJPAQI5XI" localSheetId="9" hidden="1">'Customer data'!#REF!</definedName>
    <definedName name="BExZQJJMGU5MHQOILGXGJPAQI5XI" localSheetId="8" hidden="1">'Largest debtors'!#REF!</definedName>
    <definedName name="BExZQJJMGU5MHQOILGXGJPAQI5XI" localSheetId="11" hidden="1">#REF!</definedName>
    <definedName name="BExZQJJMGU5MHQOILGXGJPAQI5XI" localSheetId="6" hidden="1">Stock!#REF!</definedName>
    <definedName name="BExZQJJMGU5MHQOILGXGJPAQI5XI" hidden="1">#REF!</definedName>
    <definedName name="BExZQXBYEBN28QUH1KOVW6KKA5UM" localSheetId="7" hidden="1">'Aged debtors'!#REF!</definedName>
    <definedName name="BExZQXBYEBN28QUH1KOVW6KKA5UM" localSheetId="10" hidden="1">#REF!</definedName>
    <definedName name="BExZQXBYEBN28QUH1KOVW6KKA5UM" localSheetId="12" hidden="1">#REF!</definedName>
    <definedName name="BExZQXBYEBN28QUH1KOVW6KKA5UM" localSheetId="9" hidden="1">'Customer data'!#REF!</definedName>
    <definedName name="BExZQXBYEBN28QUH1KOVW6KKA5UM" localSheetId="8" hidden="1">'Largest debtors'!#REF!</definedName>
    <definedName name="BExZQXBYEBN28QUH1KOVW6KKA5UM" localSheetId="11" hidden="1">#REF!</definedName>
    <definedName name="BExZQXBYEBN28QUH1KOVW6KKA5UM" localSheetId="6" hidden="1">Stock!#REF!</definedName>
    <definedName name="BExZQXBYEBN28QUH1KOVW6KKA5UM" hidden="1">#REF!</definedName>
    <definedName name="BExZQZKT146WEN8FTVZ7Y5TSB8L5" localSheetId="7" hidden="1">'Aged debtors'!#REF!</definedName>
    <definedName name="BExZQZKT146WEN8FTVZ7Y5TSB8L5" localSheetId="10" hidden="1">#REF!</definedName>
    <definedName name="BExZQZKT146WEN8FTVZ7Y5TSB8L5" localSheetId="12" hidden="1">#REF!</definedName>
    <definedName name="BExZQZKT146WEN8FTVZ7Y5TSB8L5" localSheetId="9" hidden="1">'Customer data'!#REF!</definedName>
    <definedName name="BExZQZKT146WEN8FTVZ7Y5TSB8L5" localSheetId="8" hidden="1">'Largest debtors'!#REF!</definedName>
    <definedName name="BExZQZKT146WEN8FTVZ7Y5TSB8L5" localSheetId="11" hidden="1">#REF!</definedName>
    <definedName name="BExZQZKT146WEN8FTVZ7Y5TSB8L5" localSheetId="6" hidden="1">Stock!#REF!</definedName>
    <definedName name="BExZQZKT146WEN8FTVZ7Y5TSB8L5" hidden="1">#REF!</definedName>
    <definedName name="BExZR7TL98P2PPUVGIZYR5873DWW" localSheetId="7" hidden="1">'Aged debtors'!#REF!</definedName>
    <definedName name="BExZR7TL98P2PPUVGIZYR5873DWW" localSheetId="10" hidden="1">#REF!</definedName>
    <definedName name="BExZR7TL98P2PPUVGIZYR5873DWW" localSheetId="12" hidden="1">#REF!</definedName>
    <definedName name="BExZR7TL98P2PPUVGIZYR5873DWW" localSheetId="9" hidden="1">'Customer data'!#REF!</definedName>
    <definedName name="BExZR7TL98P2PPUVGIZYR5873DWW" localSheetId="8" hidden="1">'Largest debtors'!#REF!</definedName>
    <definedName name="BExZR7TL98P2PPUVGIZYR5873DWW" localSheetId="11" hidden="1">#REF!</definedName>
    <definedName name="BExZR7TL98P2PPUVGIZYR5873DWW" localSheetId="6" hidden="1">Stock!#REF!</definedName>
    <definedName name="BExZR7TL98P2PPUVGIZYR5873DWW" hidden="1">#REF!</definedName>
    <definedName name="BExZRGD1603X5ACFALUUDKCD7X48" localSheetId="7" hidden="1">'Aged debtors'!#REF!</definedName>
    <definedName name="BExZRGD1603X5ACFALUUDKCD7X48" localSheetId="10" hidden="1">#REF!</definedName>
    <definedName name="BExZRGD1603X5ACFALUUDKCD7X48" localSheetId="12" hidden="1">#REF!</definedName>
    <definedName name="BExZRGD1603X5ACFALUUDKCD7X48" localSheetId="9" hidden="1">'Customer data'!#REF!</definedName>
    <definedName name="BExZRGD1603X5ACFALUUDKCD7X48" localSheetId="8" hidden="1">'Largest debtors'!#REF!</definedName>
    <definedName name="BExZRGD1603X5ACFALUUDKCD7X48" localSheetId="11" hidden="1">#REF!</definedName>
    <definedName name="BExZRGD1603X5ACFALUUDKCD7X48" localSheetId="6" hidden="1">Stock!#REF!</definedName>
    <definedName name="BExZRGD1603X5ACFALUUDKCD7X48" hidden="1">#REF!</definedName>
    <definedName name="BExZRP1X6UVLN1UOLHH5VF4STP1O" localSheetId="7" hidden="1">'Aged debtors'!#REF!</definedName>
    <definedName name="BExZRP1X6UVLN1UOLHH5VF4STP1O" localSheetId="10" hidden="1">#REF!</definedName>
    <definedName name="BExZRP1X6UVLN1UOLHH5VF4STP1O" localSheetId="12" hidden="1">#REF!</definedName>
    <definedName name="BExZRP1X6UVLN1UOLHH5VF4STP1O" localSheetId="9" hidden="1">'Customer data'!#REF!</definedName>
    <definedName name="BExZRP1X6UVLN1UOLHH5VF4STP1O" localSheetId="8" hidden="1">'Largest debtors'!#REF!</definedName>
    <definedName name="BExZRP1X6UVLN1UOLHH5VF4STP1O" localSheetId="11" hidden="1">#REF!</definedName>
    <definedName name="BExZRP1X6UVLN1UOLHH5VF4STP1O" localSheetId="6" hidden="1">Stock!#REF!</definedName>
    <definedName name="BExZRP1X6UVLN1UOLHH5VF4STP1O" hidden="1">#REF!</definedName>
    <definedName name="BExZRQ930U6OCYNV00CH5I0Q4LPE" localSheetId="7" hidden="1">'Aged debtors'!#REF!</definedName>
    <definedName name="BExZRQ930U6OCYNV00CH5I0Q4LPE" localSheetId="10" hidden="1">#REF!</definedName>
    <definedName name="BExZRQ930U6OCYNV00CH5I0Q4LPE" localSheetId="12" hidden="1">#REF!</definedName>
    <definedName name="BExZRQ930U6OCYNV00CH5I0Q4LPE" localSheetId="9" hidden="1">'Customer data'!#REF!</definedName>
    <definedName name="BExZRQ930U6OCYNV00CH5I0Q4LPE" localSheetId="8" hidden="1">'Largest debtors'!#REF!</definedName>
    <definedName name="BExZRQ930U6OCYNV00CH5I0Q4LPE" localSheetId="11" hidden="1">#REF!</definedName>
    <definedName name="BExZRQ930U6OCYNV00CH5I0Q4LPE" localSheetId="6" hidden="1">Stock!#REF!</definedName>
    <definedName name="BExZRQ930U6OCYNV00CH5I0Q4LPE" hidden="1">#REF!</definedName>
    <definedName name="BExZSI9USDLZAN8LI8M4YYQL24GZ" localSheetId="7" hidden="1">'Aged debtors'!#REF!</definedName>
    <definedName name="BExZSI9USDLZAN8LI8M4YYQL24GZ" localSheetId="10" hidden="1">#REF!</definedName>
    <definedName name="BExZSI9USDLZAN8LI8M4YYQL24GZ" localSheetId="12" hidden="1">#REF!</definedName>
    <definedName name="BExZSI9USDLZAN8LI8M4YYQL24GZ" localSheetId="9" hidden="1">'Customer data'!#REF!</definedName>
    <definedName name="BExZSI9USDLZAN8LI8M4YYQL24GZ" localSheetId="8" hidden="1">'Largest debtors'!#REF!</definedName>
    <definedName name="BExZSI9USDLZAN8LI8M4YYQL24GZ" localSheetId="11" hidden="1">#REF!</definedName>
    <definedName name="BExZSI9USDLZAN8LI8M4YYQL24GZ" localSheetId="6" hidden="1">Stock!#REF!</definedName>
    <definedName name="BExZSI9USDLZAN8LI8M4YYQL24GZ" hidden="1">#REF!</definedName>
    <definedName name="BExZTAQV2QVSZY5Y3VCCWUBSBW9P" localSheetId="7" hidden="1">'Aged debtors'!#REF!</definedName>
    <definedName name="BExZTAQV2QVSZY5Y3VCCWUBSBW9P" localSheetId="10" hidden="1">#REF!</definedName>
    <definedName name="BExZTAQV2QVSZY5Y3VCCWUBSBW9P" localSheetId="12" hidden="1">#REF!</definedName>
    <definedName name="BExZTAQV2QVSZY5Y3VCCWUBSBW9P" localSheetId="9" hidden="1">'Customer data'!#REF!</definedName>
    <definedName name="BExZTAQV2QVSZY5Y3VCCWUBSBW9P" localSheetId="8" hidden="1">'Largest debtors'!#REF!</definedName>
    <definedName name="BExZTAQV2QVSZY5Y3VCCWUBSBW9P" localSheetId="11" hidden="1">#REF!</definedName>
    <definedName name="BExZTAQV2QVSZY5Y3VCCWUBSBW9P" localSheetId="6" hidden="1">Stock!#REF!</definedName>
    <definedName name="BExZTAQV2QVSZY5Y3VCCWUBSBW9P" hidden="1">#REF!</definedName>
    <definedName name="BExZTHSI2FX56PWRSNX9H5EWTZFO" localSheetId="7" hidden="1">'Aged debtors'!#REF!</definedName>
    <definedName name="BExZTHSI2FX56PWRSNX9H5EWTZFO" localSheetId="10" hidden="1">#REF!</definedName>
    <definedName name="BExZTHSI2FX56PWRSNX9H5EWTZFO" localSheetId="12" hidden="1">#REF!</definedName>
    <definedName name="BExZTHSI2FX56PWRSNX9H5EWTZFO" localSheetId="9" hidden="1">'Customer data'!#REF!</definedName>
    <definedName name="BExZTHSI2FX56PWRSNX9H5EWTZFO" localSheetId="8" hidden="1">'Largest debtors'!#REF!</definedName>
    <definedName name="BExZTHSI2FX56PWRSNX9H5EWTZFO" localSheetId="11" hidden="1">#REF!</definedName>
    <definedName name="BExZTHSI2FX56PWRSNX9H5EWTZFO" localSheetId="6" hidden="1">Stock!#REF!</definedName>
    <definedName name="BExZTHSI2FX56PWRSNX9H5EWTZFO" hidden="1">#REF!</definedName>
    <definedName name="BExZTJL3HVBFY139H6CJHEQCT1EL" localSheetId="7" hidden="1">'Aged debtors'!#REF!</definedName>
    <definedName name="BExZTJL3HVBFY139H6CJHEQCT1EL" localSheetId="10" hidden="1">#REF!</definedName>
    <definedName name="BExZTJL3HVBFY139H6CJHEQCT1EL" localSheetId="12" hidden="1">#REF!</definedName>
    <definedName name="BExZTJL3HVBFY139H6CJHEQCT1EL" localSheetId="9" hidden="1">'Customer data'!#REF!</definedName>
    <definedName name="BExZTJL3HVBFY139H6CJHEQCT1EL" localSheetId="8" hidden="1">'Largest debtors'!#REF!</definedName>
    <definedName name="BExZTJL3HVBFY139H6CJHEQCT1EL" localSheetId="11" hidden="1">#REF!</definedName>
    <definedName name="BExZTJL3HVBFY139H6CJHEQCT1EL" localSheetId="6" hidden="1">Stock!#REF!</definedName>
    <definedName name="BExZTJL3HVBFY139H6CJHEQCT1EL" hidden="1">#REF!</definedName>
    <definedName name="BExZTLOL8OPABZI453E0KVNA1GJS" localSheetId="7" hidden="1">'Aged debtors'!#REF!</definedName>
    <definedName name="BExZTLOL8OPABZI453E0KVNA1GJS" localSheetId="10" hidden="1">#REF!</definedName>
    <definedName name="BExZTLOL8OPABZI453E0KVNA1GJS" localSheetId="12" hidden="1">#REF!</definedName>
    <definedName name="BExZTLOL8OPABZI453E0KVNA1GJS" localSheetId="9" hidden="1">'Customer data'!#REF!</definedName>
    <definedName name="BExZTLOL8OPABZI453E0KVNA1GJS" localSheetId="8" hidden="1">'Largest debtors'!#REF!</definedName>
    <definedName name="BExZTLOL8OPABZI453E0KVNA1GJS" localSheetId="11" hidden="1">#REF!</definedName>
    <definedName name="BExZTLOL8OPABZI453E0KVNA1GJS" localSheetId="6" hidden="1">Stock!#REF!</definedName>
    <definedName name="BExZTLOL8OPABZI453E0KVNA1GJS" hidden="1">#REF!</definedName>
    <definedName name="BExZTW6ECBRA0BBITWBQ8R93RMCL" localSheetId="7" hidden="1">'Aged debtors'!#REF!</definedName>
    <definedName name="BExZTW6ECBRA0BBITWBQ8R93RMCL" localSheetId="10" hidden="1">#REF!</definedName>
    <definedName name="BExZTW6ECBRA0BBITWBQ8R93RMCL" localSheetId="12" hidden="1">#REF!</definedName>
    <definedName name="BExZTW6ECBRA0BBITWBQ8R93RMCL" localSheetId="9" hidden="1">'Customer data'!#REF!</definedName>
    <definedName name="BExZTW6ECBRA0BBITWBQ8R93RMCL" localSheetId="8" hidden="1">'Largest debtors'!#REF!</definedName>
    <definedName name="BExZTW6ECBRA0BBITWBQ8R93RMCL" localSheetId="11" hidden="1">#REF!</definedName>
    <definedName name="BExZTW6ECBRA0BBITWBQ8R93RMCL" localSheetId="6" hidden="1">Stock!#REF!</definedName>
    <definedName name="BExZTW6ECBRA0BBITWBQ8R93RMCL" hidden="1">#REF!</definedName>
    <definedName name="BExZU2BHYAOKSCBM3C5014ZF6IXS" localSheetId="7" hidden="1">'Aged debtors'!#REF!</definedName>
    <definedName name="BExZU2BHYAOKSCBM3C5014ZF6IXS" localSheetId="10" hidden="1">#REF!</definedName>
    <definedName name="BExZU2BHYAOKSCBM3C5014ZF6IXS" localSheetId="12" hidden="1">#REF!</definedName>
    <definedName name="BExZU2BHYAOKSCBM3C5014ZF6IXS" localSheetId="9" hidden="1">'Customer data'!#REF!</definedName>
    <definedName name="BExZU2BHYAOKSCBM3C5014ZF6IXS" localSheetId="8" hidden="1">'Largest debtors'!#REF!</definedName>
    <definedName name="BExZU2BHYAOKSCBM3C5014ZF6IXS" localSheetId="11" hidden="1">#REF!</definedName>
    <definedName name="BExZU2BHYAOKSCBM3C5014ZF6IXS" localSheetId="6" hidden="1">Stock!#REF!</definedName>
    <definedName name="BExZU2BHYAOKSCBM3C5014ZF6IXS" hidden="1">#REF!</definedName>
    <definedName name="BExZU2RMJTXOCS0ROPMYPE6WTD87" localSheetId="7" hidden="1">'Aged debtors'!#REF!</definedName>
    <definedName name="BExZU2RMJTXOCS0ROPMYPE6WTD87" localSheetId="10" hidden="1">#REF!</definedName>
    <definedName name="BExZU2RMJTXOCS0ROPMYPE6WTD87" localSheetId="12" hidden="1">#REF!</definedName>
    <definedName name="BExZU2RMJTXOCS0ROPMYPE6WTD87" localSheetId="9" hidden="1">'Customer data'!#REF!</definedName>
    <definedName name="BExZU2RMJTXOCS0ROPMYPE6WTD87" localSheetId="8" hidden="1">'Largest debtors'!#REF!</definedName>
    <definedName name="BExZU2RMJTXOCS0ROPMYPE6WTD87" localSheetId="11" hidden="1">#REF!</definedName>
    <definedName name="BExZU2RMJTXOCS0ROPMYPE6WTD87" localSheetId="6" hidden="1">Stock!#REF!</definedName>
    <definedName name="BExZU2RMJTXOCS0ROPMYPE6WTD87" hidden="1">#REF!</definedName>
    <definedName name="BExZUF7G8FENTJKH9R1XUWXM6CWD" localSheetId="7" hidden="1">'Aged debtors'!#REF!</definedName>
    <definedName name="BExZUF7G8FENTJKH9R1XUWXM6CWD" localSheetId="10" hidden="1">#REF!</definedName>
    <definedName name="BExZUF7G8FENTJKH9R1XUWXM6CWD" localSheetId="12" hidden="1">#REF!</definedName>
    <definedName name="BExZUF7G8FENTJKH9R1XUWXM6CWD" localSheetId="9" hidden="1">'Customer data'!#REF!</definedName>
    <definedName name="BExZUF7G8FENTJKH9R1XUWXM6CWD" localSheetId="8" hidden="1">'Largest debtors'!#REF!</definedName>
    <definedName name="BExZUF7G8FENTJKH9R1XUWXM6CWD" localSheetId="11" hidden="1">#REF!</definedName>
    <definedName name="BExZUF7G8FENTJKH9R1XUWXM6CWD" localSheetId="6" hidden="1">Stock!#REF!</definedName>
    <definedName name="BExZUF7G8FENTJKH9R1XUWXM6CWD" hidden="1">#REF!</definedName>
    <definedName name="BExZUNARUJBIZ08VCAV3GEVBIR3D" localSheetId="7" hidden="1">'Aged debtors'!#REF!</definedName>
    <definedName name="BExZUNARUJBIZ08VCAV3GEVBIR3D" localSheetId="10" hidden="1">#REF!</definedName>
    <definedName name="BExZUNARUJBIZ08VCAV3GEVBIR3D" localSheetId="12" hidden="1">#REF!</definedName>
    <definedName name="BExZUNARUJBIZ08VCAV3GEVBIR3D" localSheetId="9" hidden="1">'Customer data'!#REF!</definedName>
    <definedName name="BExZUNARUJBIZ08VCAV3GEVBIR3D" localSheetId="8" hidden="1">'Largest debtors'!#REF!</definedName>
    <definedName name="BExZUNARUJBIZ08VCAV3GEVBIR3D" localSheetId="11" hidden="1">#REF!</definedName>
    <definedName name="BExZUNARUJBIZ08VCAV3GEVBIR3D" localSheetId="6" hidden="1">Stock!#REF!</definedName>
    <definedName name="BExZUNARUJBIZ08VCAV3GEVBIR3D" hidden="1">#REF!</definedName>
    <definedName name="BExZUT54340I38GVCV79EL116WR0" localSheetId="7" hidden="1">'Aged debtors'!#REF!</definedName>
    <definedName name="BExZUT54340I38GVCV79EL116WR0" localSheetId="10" hidden="1">#REF!</definedName>
    <definedName name="BExZUT54340I38GVCV79EL116WR0" localSheetId="12" hidden="1">#REF!</definedName>
    <definedName name="BExZUT54340I38GVCV79EL116WR0" localSheetId="9" hidden="1">'Customer data'!#REF!</definedName>
    <definedName name="BExZUT54340I38GVCV79EL116WR0" localSheetId="8" hidden="1">'Largest debtors'!#REF!</definedName>
    <definedName name="BExZUT54340I38GVCV79EL116WR0" localSheetId="11" hidden="1">#REF!</definedName>
    <definedName name="BExZUT54340I38GVCV79EL116WR0" localSheetId="6" hidden="1">Stock!#REF!</definedName>
    <definedName name="BExZUT54340I38GVCV79EL116WR0" hidden="1">#REF!</definedName>
    <definedName name="BExZUYDULCX65H9OZ9JHPBNKF3MI" localSheetId="7" hidden="1">'Aged debtors'!#REF!</definedName>
    <definedName name="BExZUYDULCX65H9OZ9JHPBNKF3MI" localSheetId="10" hidden="1">#REF!</definedName>
    <definedName name="BExZUYDULCX65H9OZ9JHPBNKF3MI" localSheetId="12" hidden="1">#REF!</definedName>
    <definedName name="BExZUYDULCX65H9OZ9JHPBNKF3MI" localSheetId="9" hidden="1">'Customer data'!#REF!</definedName>
    <definedName name="BExZUYDULCX65H9OZ9JHPBNKF3MI" localSheetId="8" hidden="1">'Largest debtors'!#REF!</definedName>
    <definedName name="BExZUYDULCX65H9OZ9JHPBNKF3MI" localSheetId="11" hidden="1">#REF!</definedName>
    <definedName name="BExZUYDULCX65H9OZ9JHPBNKF3MI" localSheetId="6" hidden="1">Stock!#REF!</definedName>
    <definedName name="BExZUYDULCX65H9OZ9JHPBNKF3MI" hidden="1">#REF!</definedName>
    <definedName name="BExZV2QD5ZDK3AGDRULLA7JB46C3" localSheetId="7" hidden="1">'Aged debtors'!#REF!</definedName>
    <definedName name="BExZV2QD5ZDK3AGDRULLA7JB46C3" localSheetId="10" hidden="1">#REF!</definedName>
    <definedName name="BExZV2QD5ZDK3AGDRULLA7JB46C3" localSheetId="12" hidden="1">#REF!</definedName>
    <definedName name="BExZV2QD5ZDK3AGDRULLA7JB46C3" localSheetId="9" hidden="1">'Customer data'!#REF!</definedName>
    <definedName name="BExZV2QD5ZDK3AGDRULLA7JB46C3" localSheetId="8" hidden="1">'Largest debtors'!#REF!</definedName>
    <definedName name="BExZV2QD5ZDK3AGDRULLA7JB46C3" localSheetId="11" hidden="1">#REF!</definedName>
    <definedName name="BExZV2QD5ZDK3AGDRULLA7JB46C3" localSheetId="6" hidden="1">Stock!#REF!</definedName>
    <definedName name="BExZV2QD5ZDK3AGDRULLA7JB46C3" hidden="1">#REF!</definedName>
    <definedName name="BExZVBQ29OM0V8XAL3HL0JIM0MMU" localSheetId="7" hidden="1">'Aged debtors'!#REF!</definedName>
    <definedName name="BExZVBQ29OM0V8XAL3HL0JIM0MMU" localSheetId="10" hidden="1">#REF!</definedName>
    <definedName name="BExZVBQ29OM0V8XAL3HL0JIM0MMU" localSheetId="12" hidden="1">#REF!</definedName>
    <definedName name="BExZVBQ29OM0V8XAL3HL0JIM0MMU" localSheetId="9" hidden="1">'Customer data'!#REF!</definedName>
    <definedName name="BExZVBQ29OM0V8XAL3HL0JIM0MMU" localSheetId="8" hidden="1">'Largest debtors'!#REF!</definedName>
    <definedName name="BExZVBQ29OM0V8XAL3HL0JIM0MMU" localSheetId="11" hidden="1">#REF!</definedName>
    <definedName name="BExZVBQ29OM0V8XAL3HL0JIM0MMU" localSheetId="6" hidden="1">Stock!#REF!</definedName>
    <definedName name="BExZVBQ29OM0V8XAL3HL0JIM0MMU" hidden="1">#REF!</definedName>
    <definedName name="BExZVPYGX2C5OSHMZ6F0KBKZ6B1S" localSheetId="7" hidden="1">'Aged debtors'!#REF!</definedName>
    <definedName name="BExZVPYGX2C5OSHMZ6F0KBKZ6B1S" localSheetId="10" hidden="1">#REF!</definedName>
    <definedName name="BExZVPYGX2C5OSHMZ6F0KBKZ6B1S" localSheetId="12" hidden="1">#REF!</definedName>
    <definedName name="BExZVPYGX2C5OSHMZ6F0KBKZ6B1S" localSheetId="9" hidden="1">'Customer data'!#REF!</definedName>
    <definedName name="BExZVPYGX2C5OSHMZ6F0KBKZ6B1S" localSheetId="8" hidden="1">'Largest debtors'!#REF!</definedName>
    <definedName name="BExZVPYGX2C5OSHMZ6F0KBKZ6B1S" localSheetId="11" hidden="1">#REF!</definedName>
    <definedName name="BExZVPYGX2C5OSHMZ6F0KBKZ6B1S" localSheetId="6" hidden="1">Stock!#REF!</definedName>
    <definedName name="BExZVPYGX2C5OSHMZ6F0KBKZ6B1S" hidden="1">#REF!</definedName>
    <definedName name="BExZWKZ5N3RDXU8MZ8HQVYYD8O0F" localSheetId="7" hidden="1">'Aged debtors'!#REF!</definedName>
    <definedName name="BExZWKZ5N3RDXU8MZ8HQVYYD8O0F" localSheetId="10" hidden="1">#REF!</definedName>
    <definedName name="BExZWKZ5N3RDXU8MZ8HQVYYD8O0F" localSheetId="12" hidden="1">#REF!</definedName>
    <definedName name="BExZWKZ5N3RDXU8MZ8HQVYYD8O0F" localSheetId="9" hidden="1">'Customer data'!#REF!</definedName>
    <definedName name="BExZWKZ5N3RDXU8MZ8HQVYYD8O0F" localSheetId="8" hidden="1">'Largest debtors'!#REF!</definedName>
    <definedName name="BExZWKZ5N3RDXU8MZ8HQVYYD8O0F" localSheetId="11" hidden="1">#REF!</definedName>
    <definedName name="BExZWKZ5N3RDXU8MZ8HQVYYD8O0F" localSheetId="6" hidden="1">Stock!#REF!</definedName>
    <definedName name="BExZWKZ5N3RDXU8MZ8HQVYYD8O0F" hidden="1">#REF!</definedName>
    <definedName name="BExZWX45URTK9KYDJHEXL1OTZ833" localSheetId="7" hidden="1">'Aged debtors'!#REF!</definedName>
    <definedName name="BExZWX45URTK9KYDJHEXL1OTZ833" localSheetId="10" hidden="1">#REF!</definedName>
    <definedName name="BExZWX45URTK9KYDJHEXL1OTZ833" localSheetId="12" hidden="1">#REF!</definedName>
    <definedName name="BExZWX45URTK9KYDJHEXL1OTZ833" localSheetId="9" hidden="1">'Customer data'!#REF!</definedName>
    <definedName name="BExZWX45URTK9KYDJHEXL1OTZ833" localSheetId="8" hidden="1">'Largest debtors'!#REF!</definedName>
    <definedName name="BExZWX45URTK9KYDJHEXL1OTZ833" localSheetId="11" hidden="1">#REF!</definedName>
    <definedName name="BExZWX45URTK9KYDJHEXL1OTZ833" localSheetId="6" hidden="1">Stock!#REF!</definedName>
    <definedName name="BExZWX45URTK9KYDJHEXL1OTZ833" hidden="1">#REF!</definedName>
    <definedName name="BExZX0EWQEZO86WDAD9A4EAEZ012" localSheetId="7" hidden="1">'Aged debtors'!#REF!</definedName>
    <definedName name="BExZX0EWQEZO86WDAD9A4EAEZ012" localSheetId="10" hidden="1">#REF!</definedName>
    <definedName name="BExZX0EWQEZO86WDAD9A4EAEZ012" localSheetId="12" hidden="1">#REF!</definedName>
    <definedName name="BExZX0EWQEZO86WDAD9A4EAEZ012" localSheetId="9" hidden="1">'Customer data'!#REF!</definedName>
    <definedName name="BExZX0EWQEZO86WDAD9A4EAEZ012" localSheetId="8" hidden="1">'Largest debtors'!#REF!</definedName>
    <definedName name="BExZX0EWQEZO86WDAD9A4EAEZ012" localSheetId="11" hidden="1">#REF!</definedName>
    <definedName name="BExZX0EWQEZO86WDAD9A4EAEZ012" localSheetId="6" hidden="1">Stock!#REF!</definedName>
    <definedName name="BExZX0EWQEZO86WDAD9A4EAEZ012" hidden="1">#REF!</definedName>
    <definedName name="BExZX2T6ZT2DZLYSDJJBPVIT5OK2" localSheetId="7" hidden="1">'Aged debtors'!#REF!</definedName>
    <definedName name="BExZX2T6ZT2DZLYSDJJBPVIT5OK2" localSheetId="10" hidden="1">#REF!</definedName>
    <definedName name="BExZX2T6ZT2DZLYSDJJBPVIT5OK2" localSheetId="12" hidden="1">#REF!</definedName>
    <definedName name="BExZX2T6ZT2DZLYSDJJBPVIT5OK2" localSheetId="9" hidden="1">'Customer data'!#REF!</definedName>
    <definedName name="BExZX2T6ZT2DZLYSDJJBPVIT5OK2" localSheetId="8" hidden="1">'Largest debtors'!#REF!</definedName>
    <definedName name="BExZX2T6ZT2DZLYSDJJBPVIT5OK2" localSheetId="11" hidden="1">#REF!</definedName>
    <definedName name="BExZX2T6ZT2DZLYSDJJBPVIT5OK2" localSheetId="6" hidden="1">Stock!#REF!</definedName>
    <definedName name="BExZX2T6ZT2DZLYSDJJBPVIT5OK2" hidden="1">#REF!</definedName>
    <definedName name="BExZXOJDELULNLEH7WG0OYJT0NJ4" localSheetId="7" hidden="1">'Aged debtors'!#REF!</definedName>
    <definedName name="BExZXOJDELULNLEH7WG0OYJT0NJ4" localSheetId="10" hidden="1">#REF!</definedName>
    <definedName name="BExZXOJDELULNLEH7WG0OYJT0NJ4" localSheetId="12" hidden="1">#REF!</definedName>
    <definedName name="BExZXOJDELULNLEH7WG0OYJT0NJ4" localSheetId="9" hidden="1">'Customer data'!#REF!</definedName>
    <definedName name="BExZXOJDELULNLEH7WG0OYJT0NJ4" localSheetId="8" hidden="1">'Largest debtors'!#REF!</definedName>
    <definedName name="BExZXOJDELULNLEH7WG0OYJT0NJ4" localSheetId="11" hidden="1">#REF!</definedName>
    <definedName name="BExZXOJDELULNLEH7WG0OYJT0NJ4" localSheetId="6" hidden="1">Stock!#REF!</definedName>
    <definedName name="BExZXOJDELULNLEH7WG0OYJT0NJ4" hidden="1">#REF!</definedName>
    <definedName name="BExZXUTYW1HWEEZ1LIX4OQWC7HL1" localSheetId="7" hidden="1">'Aged debtors'!#REF!</definedName>
    <definedName name="BExZXUTYW1HWEEZ1LIX4OQWC7HL1" localSheetId="10" hidden="1">#REF!</definedName>
    <definedName name="BExZXUTYW1HWEEZ1LIX4OQWC7HL1" localSheetId="12" hidden="1">#REF!</definedName>
    <definedName name="BExZXUTYW1HWEEZ1LIX4OQWC7HL1" localSheetId="9" hidden="1">'Customer data'!#REF!</definedName>
    <definedName name="BExZXUTYW1HWEEZ1LIX4OQWC7HL1" localSheetId="8" hidden="1">'Largest debtors'!#REF!</definedName>
    <definedName name="BExZXUTYW1HWEEZ1LIX4OQWC7HL1" localSheetId="11" hidden="1">#REF!</definedName>
    <definedName name="BExZXUTYW1HWEEZ1LIX4OQWC7HL1" localSheetId="6" hidden="1">Stock!#REF!</definedName>
    <definedName name="BExZXUTYW1HWEEZ1LIX4OQWC7HL1" hidden="1">#REF!</definedName>
    <definedName name="BExZXYQ7U5G08FQGUIGYT14QCBOF" localSheetId="7" hidden="1">'Aged debtors'!#REF!</definedName>
    <definedName name="BExZXYQ7U5G08FQGUIGYT14QCBOF" localSheetId="10" hidden="1">#REF!</definedName>
    <definedName name="BExZXYQ7U5G08FQGUIGYT14QCBOF" localSheetId="12" hidden="1">#REF!</definedName>
    <definedName name="BExZXYQ7U5G08FQGUIGYT14QCBOF" localSheetId="9" hidden="1">'Customer data'!#REF!</definedName>
    <definedName name="BExZXYQ7U5G08FQGUIGYT14QCBOF" localSheetId="8" hidden="1">'Largest debtors'!#REF!</definedName>
    <definedName name="BExZXYQ7U5G08FQGUIGYT14QCBOF" localSheetId="11" hidden="1">#REF!</definedName>
    <definedName name="BExZXYQ7U5G08FQGUIGYT14QCBOF" localSheetId="6" hidden="1">Stock!#REF!</definedName>
    <definedName name="BExZXYQ7U5G08FQGUIGYT14QCBOF" hidden="1">#REF!</definedName>
    <definedName name="BExZY02V77YJBMODJSWZOYCMPS5X" localSheetId="7" hidden="1">'Aged debtors'!#REF!</definedName>
    <definedName name="BExZY02V77YJBMODJSWZOYCMPS5X" localSheetId="10" hidden="1">#REF!</definedName>
    <definedName name="BExZY02V77YJBMODJSWZOYCMPS5X" localSheetId="12" hidden="1">#REF!</definedName>
    <definedName name="BExZY02V77YJBMODJSWZOYCMPS5X" localSheetId="9" hidden="1">'Customer data'!#REF!</definedName>
    <definedName name="BExZY02V77YJBMODJSWZOYCMPS5X" localSheetId="8" hidden="1">'Largest debtors'!#REF!</definedName>
    <definedName name="BExZY02V77YJBMODJSWZOYCMPS5X" localSheetId="11" hidden="1">#REF!</definedName>
    <definedName name="BExZY02V77YJBMODJSWZOYCMPS5X" localSheetId="6" hidden="1">Stock!#REF!</definedName>
    <definedName name="BExZY02V77YJBMODJSWZOYCMPS5X" hidden="1">#REF!</definedName>
    <definedName name="BExZZCHAVHW8C2H649KRGVQ0WVRT" localSheetId="7" hidden="1">'Aged debtors'!#REF!</definedName>
    <definedName name="BExZZCHAVHW8C2H649KRGVQ0WVRT" localSheetId="10" hidden="1">#REF!</definedName>
    <definedName name="BExZZCHAVHW8C2H649KRGVQ0WVRT" localSheetId="12" hidden="1">#REF!</definedName>
    <definedName name="BExZZCHAVHW8C2H649KRGVQ0WVRT" localSheetId="9" hidden="1">'Customer data'!#REF!</definedName>
    <definedName name="BExZZCHAVHW8C2H649KRGVQ0WVRT" localSheetId="8" hidden="1">'Largest debtors'!#REF!</definedName>
    <definedName name="BExZZCHAVHW8C2H649KRGVQ0WVRT" localSheetId="11" hidden="1">#REF!</definedName>
    <definedName name="BExZZCHAVHW8C2H649KRGVQ0WVRT" localSheetId="6" hidden="1">Stock!#REF!</definedName>
    <definedName name="BExZZCHAVHW8C2H649KRGVQ0WVRT" hidden="1">#REF!</definedName>
    <definedName name="BExZZTK54OTLF2YB68BHGOS27GEN" localSheetId="7" hidden="1">'Aged debtors'!#REF!</definedName>
    <definedName name="BExZZTK54OTLF2YB68BHGOS27GEN" localSheetId="10" hidden="1">#REF!</definedName>
    <definedName name="BExZZTK54OTLF2YB68BHGOS27GEN" localSheetId="12" hidden="1">#REF!</definedName>
    <definedName name="BExZZTK54OTLF2YB68BHGOS27GEN" localSheetId="9" hidden="1">'Customer data'!#REF!</definedName>
    <definedName name="BExZZTK54OTLF2YB68BHGOS27GEN" localSheetId="8" hidden="1">'Largest debtors'!#REF!</definedName>
    <definedName name="BExZZTK54OTLF2YB68BHGOS27GEN" localSheetId="11" hidden="1">#REF!</definedName>
    <definedName name="BExZZTK54OTLF2YB68BHGOS27GEN" localSheetId="6" hidden="1">Stock!#REF!</definedName>
    <definedName name="BExZZTK54OTLF2YB68BHGOS27GEN" hidden="1">#REF!</definedName>
    <definedName name="BExZZXB3JQQG4SIZS4MRU6NNW7HI" localSheetId="7" hidden="1">'Aged debtors'!#REF!</definedName>
    <definedName name="BExZZXB3JQQG4SIZS4MRU6NNW7HI" localSheetId="10" hidden="1">#REF!</definedName>
    <definedName name="BExZZXB3JQQG4SIZS4MRU6NNW7HI" localSheetId="12" hidden="1">#REF!</definedName>
    <definedName name="BExZZXB3JQQG4SIZS4MRU6NNW7HI" localSheetId="9" hidden="1">'Customer data'!#REF!</definedName>
    <definedName name="BExZZXB3JQQG4SIZS4MRU6NNW7HI" localSheetId="8" hidden="1">'Largest debtors'!#REF!</definedName>
    <definedName name="BExZZXB3JQQG4SIZS4MRU6NNW7HI" localSheetId="11" hidden="1">#REF!</definedName>
    <definedName name="BExZZXB3JQQG4SIZS4MRU6NNW7HI" localSheetId="6" hidden="1">Stock!#REF!</definedName>
    <definedName name="BExZZXB3JQQG4SIZS4MRU6NNW7HI" hidden="1">#REF!</definedName>
    <definedName name="BExZZZEMIIFKMLLV4DJKX5TB9R5V" localSheetId="7" hidden="1">'Aged debtors'!#REF!</definedName>
    <definedName name="BExZZZEMIIFKMLLV4DJKX5TB9R5V" localSheetId="10" hidden="1">#REF!</definedName>
    <definedName name="BExZZZEMIIFKMLLV4DJKX5TB9R5V" localSheetId="12" hidden="1">#REF!</definedName>
    <definedName name="BExZZZEMIIFKMLLV4DJKX5TB9R5V" localSheetId="9" hidden="1">'Customer data'!#REF!</definedName>
    <definedName name="BExZZZEMIIFKMLLV4DJKX5TB9R5V" localSheetId="8" hidden="1">'Largest debtors'!#REF!</definedName>
    <definedName name="BExZZZEMIIFKMLLV4DJKX5TB9R5V" localSheetId="11" hidden="1">#REF!</definedName>
    <definedName name="BExZZZEMIIFKMLLV4DJKX5TB9R5V" localSheetId="6" hidden="1">Stock!#REF!</definedName>
    <definedName name="BExZZZEMIIFKMLLV4DJKX5TB9R5V" hidden="1">#REF!</definedName>
    <definedName name="BMGTemplate" localSheetId="7" hidden="1">'Aged debtors'!#REF!</definedName>
    <definedName name="BMGTemplate" localSheetId="10" hidden="1">#REF!</definedName>
    <definedName name="BMGTemplate" localSheetId="12" hidden="1">#REF!</definedName>
    <definedName name="BMGTemplate" localSheetId="9" hidden="1">'Customer data'!#REF!</definedName>
    <definedName name="BMGTemplate" localSheetId="8" hidden="1">'Largest debtors'!#REF!</definedName>
    <definedName name="BMGTemplate" localSheetId="11" hidden="1">#REF!</definedName>
    <definedName name="BMGTemplate" localSheetId="6" hidden="1">Stock!#REF!</definedName>
    <definedName name="BMGTemplate" hidden="1">#REF!</definedName>
    <definedName name="bob" localSheetId="7">'Aged debtors'!#REF!</definedName>
    <definedName name="bob" localSheetId="10">#REF!</definedName>
    <definedName name="bob" localSheetId="9">'Customer data'!#REF!</definedName>
    <definedName name="bob" localSheetId="8">'Largest debtors'!#REF!</definedName>
    <definedName name="bob" localSheetId="11">#REF!</definedName>
    <definedName name="bob" localSheetId="6">Stock!#REF!</definedName>
    <definedName name="bob">#REF!</definedName>
    <definedName name="Bonus_Amount" localSheetId="7">'Aged debtors'!#REF!</definedName>
    <definedName name="Bonus_Amount" localSheetId="9">'Customer data'!#REF!</definedName>
    <definedName name="Bonus_Amount" localSheetId="8">'Largest debtors'!#REF!</definedName>
    <definedName name="Bonus_Amount" localSheetId="11">#REF!</definedName>
    <definedName name="Bonus_Amount" localSheetId="6">Stock!#REF!</definedName>
    <definedName name="Bonus_Amount">#REF!</definedName>
    <definedName name="Bonus_Band" localSheetId="7">'Aged debtors'!#REF!</definedName>
    <definedName name="Bonus_Band" localSheetId="9">'Customer data'!#REF!</definedName>
    <definedName name="Bonus_Band" localSheetId="8">'Largest debtors'!#REF!</definedName>
    <definedName name="Bonus_Band" localSheetId="11">#REF!</definedName>
    <definedName name="Bonus_Band" localSheetId="6">Stock!#REF!</definedName>
    <definedName name="Bonus_Band">#REF!</definedName>
    <definedName name="Bonus_Percentage" localSheetId="7">'Aged debtors'!#REF!</definedName>
    <definedName name="Bonus_Percentage" localSheetId="9">'Customer data'!#REF!</definedName>
    <definedName name="Bonus_Percentage" localSheetId="8">'Largest debtors'!#REF!</definedName>
    <definedName name="Bonus_Percentage" localSheetId="11">#REF!</definedName>
    <definedName name="Bonus_Percentage" localSheetId="6">Stock!#REF!</definedName>
    <definedName name="Bonus_Percentage">#REF!</definedName>
    <definedName name="Bonus_Rev_Chart" localSheetId="7">OFFSET('Aged debtors'!#REF!,0,0,1,COUNTIF('Aged debtors'!#REF!,"&gt;0"))</definedName>
    <definedName name="Bonus_Rev_Chart" localSheetId="9">OFFSET('Customer data'!#REF!,0,0,1,COUNTIF('Customer data'!#REF!,"&gt;0"))</definedName>
    <definedName name="Bonus_Rev_Chart" localSheetId="8">OFFSET('Largest debtors'!#REF!,0,0,1,COUNTIF('Largest debtors'!#REF!,"&gt;0"))</definedName>
    <definedName name="Bonus_Rev_Chart" localSheetId="11">OFFSET(#REF!,0,0,1,COUNTIF(#REF!,"&gt;0"))</definedName>
    <definedName name="Bonus_Rev_Chart" localSheetId="6">OFFSET(Stock!#REF!,0,0,1,COUNTIF(Stock!#REF!,"&gt;0"))</definedName>
    <definedName name="Bonus_Rev_Chart">OFFSET(#REF!,0,0,1,COUNTIF(#REF!,"&gt;0"))</definedName>
    <definedName name="Bonus_Rev_Plan_Chart" localSheetId="7">OFFSET('Aged debtors'!#REF!,0,0,1,COUNTIF('Aged debtors'!#REF!,"&gt;0"))</definedName>
    <definedName name="Bonus_Rev_Plan_Chart" localSheetId="9">OFFSET('Customer data'!#REF!,0,0,1,COUNTIF('Customer data'!#REF!,"&gt;0"))</definedName>
    <definedName name="Bonus_Rev_Plan_Chart" localSheetId="8">OFFSET('Largest debtors'!#REF!,0,0,1,COUNTIF('Largest debtors'!#REF!,"&gt;0"))</definedName>
    <definedName name="Bonus_Rev_Plan_Chart" localSheetId="11">OFFSET(#REF!,0,0,1,COUNTIF(#REF!,"&gt;0"))</definedName>
    <definedName name="Bonus_Rev_Plan_Chart" localSheetId="6">OFFSET(Stock!#REF!,0,0,1,COUNTIF(Stock!#REF!,"&gt;0"))</definedName>
    <definedName name="Bonus_Rev_Plan_Chart">OFFSET(#REF!,0,0,1,COUNTIF(#REF!,"&gt;0"))</definedName>
    <definedName name="Capex" localSheetId="7">'Aged debtors'!#REF!</definedName>
    <definedName name="Capex" localSheetId="10">#REF!</definedName>
    <definedName name="Capex" localSheetId="9">'Customer data'!#REF!</definedName>
    <definedName name="Capex" localSheetId="8">'Largest debtors'!#REF!</definedName>
    <definedName name="Capex" localSheetId="11">#REF!</definedName>
    <definedName name="Capex" localSheetId="6">Stock!#REF!</definedName>
    <definedName name="Capex">#REF!</definedName>
    <definedName name="Cash" localSheetId="7">'Aged debtors'!#REF!</definedName>
    <definedName name="Cash" localSheetId="10">#REF!</definedName>
    <definedName name="Cash" localSheetId="9">'Customer data'!#REF!</definedName>
    <definedName name="Cash" localSheetId="8">'Largest debtors'!#REF!</definedName>
    <definedName name="Cash" localSheetId="11">#REF!</definedName>
    <definedName name="Cash" localSheetId="6">Stock!#REF!</definedName>
    <definedName name="Cash">#REF!</definedName>
    <definedName name="Cash_Calc" localSheetId="7">'Aged debtors'!#REF!</definedName>
    <definedName name="Cash_Calc" localSheetId="10">#REF!</definedName>
    <definedName name="Cash_Calc" localSheetId="9">'Customer data'!#REF!</definedName>
    <definedName name="Cash_Calc" localSheetId="8">'Largest debtors'!#REF!</definedName>
    <definedName name="Cash_Calc" localSheetId="11">#REF!</definedName>
    <definedName name="Cash_Calc" localSheetId="6">Stock!#REF!</definedName>
    <definedName name="Cash_Calc">#REF!</definedName>
    <definedName name="Cash_OD" localSheetId="7">'Aged debtors'!#REF!</definedName>
    <definedName name="Cash_OD" localSheetId="10">#REF!</definedName>
    <definedName name="Cash_OD" localSheetId="9">'Customer data'!#REF!</definedName>
    <definedName name="Cash_OD" localSheetId="8">'Largest debtors'!#REF!</definedName>
    <definedName name="Cash_OD" localSheetId="11">#REF!</definedName>
    <definedName name="Cash_OD" localSheetId="6">Stock!#REF!</definedName>
    <definedName name="Cash_OD">#REF!</definedName>
    <definedName name="CashflowgraphJan11" localSheetId="7" hidden="1">{"Revenue",#N/A,FALSE,"Revenue"}</definedName>
    <definedName name="CashflowgraphJan11" localSheetId="10" hidden="1">{"Revenue",#N/A,FALSE,"Revenue"}</definedName>
    <definedName name="CashflowgraphJan11" localSheetId="12" hidden="1">{"Revenue",#N/A,FALSE,"Revenue"}</definedName>
    <definedName name="CashflowgraphJan11" localSheetId="9" hidden="1">{"Revenue",#N/A,FALSE,"Revenue"}</definedName>
    <definedName name="CashflowgraphJan11" localSheetId="3" hidden="1">{"Revenue",#N/A,FALSE,"Revenue"}</definedName>
    <definedName name="CashflowgraphJan11" localSheetId="8" hidden="1">{"Revenue",#N/A,FALSE,"Revenue"}</definedName>
    <definedName name="CashflowgraphJan11" localSheetId="11" hidden="1">{"Revenue",#N/A,FALSE,"Revenue"}</definedName>
    <definedName name="CashflowgraphJan11" localSheetId="4" hidden="1">{"Revenue",#N/A,FALSE,"Revenue"}</definedName>
    <definedName name="CashflowgraphJan11" localSheetId="6" hidden="1">{"Revenue",#N/A,FALSE,"Revenue"}</definedName>
    <definedName name="CashflowgraphJan11" hidden="1">{"Revenue",#N/A,FALSE,"Revenue"}</definedName>
    <definedName name="CashTax_P2" localSheetId="7">'Aged debtors'!#REF!</definedName>
    <definedName name="CashTax_P2" localSheetId="10">#REF!</definedName>
    <definedName name="CashTax_P2" localSheetId="9">'Customer data'!#REF!</definedName>
    <definedName name="CashTax_P2" localSheetId="3">#REF!</definedName>
    <definedName name="CashTax_P2" localSheetId="8">'Largest debtors'!#REF!</definedName>
    <definedName name="CashTax_P2" localSheetId="11">#REF!</definedName>
    <definedName name="CashTax_P2" localSheetId="6">Stock!#REF!</definedName>
    <definedName name="CashTax_P2">#REF!</definedName>
    <definedName name="CBWorkbookPriority" hidden="1">-1131501022</definedName>
    <definedName name="CF" localSheetId="7" hidden="1">{"Revenue",#N/A,FALSE,"Revenue"}</definedName>
    <definedName name="CF" localSheetId="9" hidden="1">{"Revenue",#N/A,FALSE,"Revenue"}</definedName>
    <definedName name="CF" localSheetId="3" hidden="1">{"Revenue",#N/A,FALSE,"Revenue"}</definedName>
    <definedName name="CF" localSheetId="8" hidden="1">{"Revenue",#N/A,FALSE,"Revenue"}</definedName>
    <definedName name="CF" localSheetId="4" hidden="1">{"Revenue",#N/A,FALSE,"Revenue"}</definedName>
    <definedName name="CF" localSheetId="6" hidden="1">{"Revenue",#N/A,FALSE,"Revenue"}</definedName>
    <definedName name="CF" hidden="1">{"Revenue",#N/A,FALSE,"Revenue"}</definedName>
    <definedName name="CIQWBGuid" localSheetId="12" hidden="1">"RP_Model_v29.xlsx"</definedName>
    <definedName name="CIQWBGuid" hidden="1">"Budget April 2014 - 2018v2.xlsx"</definedName>
    <definedName name="Clavister2" localSheetId="7">'Aged debtors'!#REF!</definedName>
    <definedName name="Clavister2" localSheetId="9">'Customer data'!#REF!</definedName>
    <definedName name="Clavister2" localSheetId="8">'Largest debtors'!#REF!</definedName>
    <definedName name="Clavister2" localSheetId="11">#REF!</definedName>
    <definedName name="Clavister2" localSheetId="6">Stock!#REF!</definedName>
    <definedName name="Clavister2">#REF!</definedName>
    <definedName name="Cloudsense" localSheetId="7">'Aged debtors'!#REF!</definedName>
    <definedName name="Cloudsense" localSheetId="10">#REF!</definedName>
    <definedName name="Cloudsense" localSheetId="9">'Customer data'!#REF!</definedName>
    <definedName name="Cloudsense" localSheetId="8">'Largest debtors'!#REF!</definedName>
    <definedName name="Cloudsense" localSheetId="11">#REF!</definedName>
    <definedName name="Cloudsense" localSheetId="6">Stock!#REF!</definedName>
    <definedName name="Cloudsense">#REF!</definedName>
    <definedName name="COA_List" localSheetId="7">OFFSET('Aged debtors'!#REF!,0,0,COUNTA('Aged debtors'!#REF!),1)</definedName>
    <definedName name="COA_List" localSheetId="9">OFFSET('Customer data'!#REF!,0,0,COUNTA('Customer data'!#REF!),1)</definedName>
    <definedName name="COA_List" localSheetId="8">OFFSET('Largest debtors'!#REF!,0,0,COUNTA('Largest debtors'!#REF!),1)</definedName>
    <definedName name="COA_List" localSheetId="11">OFFSET(#REF!,0,0,COUNTA(#REF!),1)</definedName>
    <definedName name="COA_List" localSheetId="6">OFFSET(Stock!#REF!,0,0,COUNTA(Stock!#REF!),1)</definedName>
    <definedName name="COA_List">OFFSET(#REF!,0,0,COUNTA(#REF!),1)</definedName>
    <definedName name="COGS" localSheetId="7">'Aged debtors'!#REF!</definedName>
    <definedName name="COGS" localSheetId="10">#REF!</definedName>
    <definedName name="COGS" localSheetId="9">'Customer data'!#REF!</definedName>
    <definedName name="COGS" localSheetId="8">'Largest debtors'!#REF!</definedName>
    <definedName name="COGS" localSheetId="11">#REF!</definedName>
    <definedName name="COGS" localSheetId="6">Stock!#REF!</definedName>
    <definedName name="COGS">#REF!</definedName>
    <definedName name="CommitmentDeposit" localSheetId="7">'Aged debtors'!#REF!</definedName>
    <definedName name="CommitmentDeposit" localSheetId="10">#REF!</definedName>
    <definedName name="CommitmentDeposit" localSheetId="9">'Customer data'!#REF!</definedName>
    <definedName name="CommitmentDeposit" localSheetId="8">'Largest debtors'!#REF!</definedName>
    <definedName name="CommitmentDeposit" localSheetId="11">#REF!</definedName>
    <definedName name="CommitmentDeposit" localSheetId="6">Stock!#REF!</definedName>
    <definedName name="CommitmentDeposit">#REF!</definedName>
    <definedName name="companynamelist" localSheetId="7">OFFSET('Aged debtors'!#REF!,0,0,'Aged debtors'!#REF!,1)</definedName>
    <definedName name="companynamelist" localSheetId="10">OFFSET(#REF!,0,0,#REF!,1)</definedName>
    <definedName name="companynamelist" localSheetId="9">OFFSET('Customer data'!#REF!,0,0,'Customer data'!#REF!,1)</definedName>
    <definedName name="companynamelist" localSheetId="8">OFFSET('Largest debtors'!#REF!,0,0,'Largest debtors'!#REF!,1)</definedName>
    <definedName name="companynamelist" localSheetId="11">OFFSET(#REF!,0,0,#REF!,1)</definedName>
    <definedName name="companynamelist" localSheetId="6">OFFSET(Stock!#REF!,0,0,Stock!#REF!,1)</definedName>
    <definedName name="companynamelist">OFFSET(#REF!,0,0,#REF!,1)</definedName>
    <definedName name="computer" localSheetId="7">'Aged debtors'!#REF!</definedName>
    <definedName name="computer" localSheetId="10">#REF!</definedName>
    <definedName name="computer" localSheetId="0">#REF!</definedName>
    <definedName name="computer" localSheetId="9">'Customer data'!#REF!</definedName>
    <definedName name="computer" localSheetId="8">'Largest debtors'!#REF!</definedName>
    <definedName name="computer" localSheetId="11">#REF!</definedName>
    <definedName name="computer" localSheetId="6">Stock!#REF!</definedName>
    <definedName name="computer">#REF!</definedName>
    <definedName name="Country" localSheetId="7">'Aged debtors'!#REF!</definedName>
    <definedName name="Country" localSheetId="10">#REF!</definedName>
    <definedName name="Country" localSheetId="9">'Customer data'!#REF!</definedName>
    <definedName name="Country" localSheetId="8">'Largest debtors'!#REF!</definedName>
    <definedName name="Country" localSheetId="11">#REF!</definedName>
    <definedName name="Country" localSheetId="6">Stock!#REF!</definedName>
    <definedName name="Country">#REF!</definedName>
    <definedName name="CPC_Visits" localSheetId="7">'Aged debtors'!#REF!</definedName>
    <definedName name="CPC_Visits" localSheetId="10">#REF!</definedName>
    <definedName name="CPC_Visits" localSheetId="9">'Customer data'!#REF!</definedName>
    <definedName name="CPC_Visits" localSheetId="8">'Largest debtors'!#REF!</definedName>
    <definedName name="CPC_Visits" localSheetId="11">#REF!</definedName>
    <definedName name="CPC_Visits" localSheetId="6">Stock!#REF!</definedName>
    <definedName name="CPC_Visits">#REF!</definedName>
    <definedName name="csq" localSheetId="7">'Aged debtors'!#REF!</definedName>
    <definedName name="csq" localSheetId="9">'Customer data'!#REF!</definedName>
    <definedName name="csq" localSheetId="8">'Largest debtors'!#REF!</definedName>
    <definedName name="csq" localSheetId="11">#REF!</definedName>
    <definedName name="csq" localSheetId="6">Stock!#REF!</definedName>
    <definedName name="csq">#REF!</definedName>
    <definedName name="csy" localSheetId="7">'Aged debtors'!#REF!</definedName>
    <definedName name="csy" localSheetId="9">'Customer data'!#REF!</definedName>
    <definedName name="csy" localSheetId="8">'Largest debtors'!#REF!</definedName>
    <definedName name="csy" localSheetId="11">#REF!</definedName>
    <definedName name="csy" localSheetId="6">Stock!#REF!</definedName>
    <definedName name="csy">#REF!</definedName>
    <definedName name="Currency" localSheetId="7">'Aged debtors'!#REF!</definedName>
    <definedName name="Currency" localSheetId="12">#REF!</definedName>
    <definedName name="Currency" localSheetId="9">'Customer data'!#REF!</definedName>
    <definedName name="Currency" localSheetId="8">'Largest debtors'!#REF!</definedName>
    <definedName name="Currency" localSheetId="11">#REF!</definedName>
    <definedName name="Currency" localSheetId="6">Stock!#REF!</definedName>
    <definedName name="Currency">#REF!</definedName>
    <definedName name="CVY" localSheetId="7">'Aged debtors'!#REF!</definedName>
    <definedName name="CVY" localSheetId="10">#REF!</definedName>
    <definedName name="CVY" localSheetId="9">'Customer data'!#REF!</definedName>
    <definedName name="CVY" localSheetId="8">'Largest debtors'!#REF!</definedName>
    <definedName name="CVY" localSheetId="11">#REF!</definedName>
    <definedName name="CVY" localSheetId="6">Stock!#REF!</definedName>
    <definedName name="CVY">#REF!</definedName>
    <definedName name="CVY_Date" localSheetId="7">'Aged debtors'!#REF!</definedName>
    <definedName name="CVY_Date" localSheetId="10">#REF!</definedName>
    <definedName name="CVY_Date" localSheetId="9">'Customer data'!#REF!</definedName>
    <definedName name="CVY_Date" localSheetId="8">'Largest debtors'!#REF!</definedName>
    <definedName name="CVY_Date" localSheetId="11">#REF!</definedName>
    <definedName name="CVY_Date" localSheetId="6">Stock!#REF!</definedName>
    <definedName name="CVY_Date">#REF!</definedName>
    <definedName name="Daily_Data" localSheetId="7">'Aged debtors'!#REF!</definedName>
    <definedName name="Daily_Data" localSheetId="9">'Customer data'!#REF!</definedName>
    <definedName name="Daily_Data" localSheetId="8">'Largest debtors'!#REF!</definedName>
    <definedName name="Daily_Data" localSheetId="11">#REF!</definedName>
    <definedName name="Daily_Data" localSheetId="6">Stock!#REF!</definedName>
    <definedName name="Daily_Data">#REF!</definedName>
    <definedName name="Dates" localSheetId="7">'Aged debtors'!#REF!</definedName>
    <definedName name="Dates" localSheetId="10">#REF!</definedName>
    <definedName name="Dates" localSheetId="9">'Customer data'!#REF!</definedName>
    <definedName name="Dates" localSheetId="8">'Largest debtors'!#REF!</definedName>
    <definedName name="Dates" localSheetId="11">#REF!</definedName>
    <definedName name="Dates" localSheetId="6">Stock!#REF!</definedName>
    <definedName name="Dates">#REF!</definedName>
    <definedName name="Days_in_Month" localSheetId="7">'Aged debtors'!#REF!</definedName>
    <definedName name="Days_in_Month" localSheetId="9">'Customer data'!#REF!</definedName>
    <definedName name="Days_in_Month" localSheetId="8">'Largest debtors'!#REF!</definedName>
    <definedName name="Days_in_Month" localSheetId="11">#REF!</definedName>
    <definedName name="Days_in_Month" localSheetId="6">Stock!#REF!</definedName>
    <definedName name="Days_in_Month">#REF!</definedName>
    <definedName name="dd" localSheetId="7">'Aged debtors'!#REF!</definedName>
    <definedName name="dd" localSheetId="9">'Customer data'!#REF!</definedName>
    <definedName name="dd" localSheetId="8">'Largest debtors'!#REF!</definedName>
    <definedName name="dd" localSheetId="11">#REF!</definedName>
    <definedName name="dd" localSheetId="6">Stock!#REF!</definedName>
    <definedName name="dd">#REF!</definedName>
    <definedName name="DDAmount" localSheetId="7">'Aged debtors'!#REF!</definedName>
    <definedName name="DDAmount" localSheetId="10">#REF!</definedName>
    <definedName name="DDAmount" localSheetId="9">'Customer data'!#REF!</definedName>
    <definedName name="DDAmount" localSheetId="8">'Largest debtors'!#REF!</definedName>
    <definedName name="DDAmount" localSheetId="11">#REF!</definedName>
    <definedName name="DDAmount" localSheetId="6">Stock!#REF!</definedName>
    <definedName name="DDAmount">#REF!</definedName>
    <definedName name="DDAmount2" localSheetId="7">'Aged debtors'!#REF!</definedName>
    <definedName name="DDAmount2" localSheetId="10">#REF!</definedName>
    <definedName name="DDAmount2" localSheetId="9">'Customer data'!#REF!</definedName>
    <definedName name="DDAmount2" localSheetId="8">'Largest debtors'!#REF!</definedName>
    <definedName name="DDAmount2" localSheetId="11">#REF!</definedName>
    <definedName name="DDAmount2" localSheetId="6">Stock!#REF!</definedName>
    <definedName name="DDAmount2">#REF!</definedName>
    <definedName name="DDAmount3" localSheetId="7">'Aged debtors'!#REF!</definedName>
    <definedName name="DDAmount3" localSheetId="10">#REF!</definedName>
    <definedName name="DDAmount3" localSheetId="9">'Customer data'!#REF!</definedName>
    <definedName name="DDAmount3" localSheetId="8">'Largest debtors'!#REF!</definedName>
    <definedName name="DDAmount3" localSheetId="11">#REF!</definedName>
    <definedName name="DDAmount3" localSheetId="6">Stock!#REF!</definedName>
    <definedName name="DDAmount3">#REF!</definedName>
    <definedName name="DDDate" localSheetId="7">'Aged debtors'!#REF!</definedName>
    <definedName name="DDDate" localSheetId="10">#REF!</definedName>
    <definedName name="DDDate" localSheetId="9">'Customer data'!#REF!</definedName>
    <definedName name="DDDate" localSheetId="8">'Largest debtors'!#REF!</definedName>
    <definedName name="DDDate" localSheetId="11">#REF!</definedName>
    <definedName name="DDDate" localSheetId="6">Stock!#REF!</definedName>
    <definedName name="DDDate">#REF!</definedName>
    <definedName name="DDDate2" localSheetId="7">'Aged debtors'!#REF!</definedName>
    <definedName name="DDDate2" localSheetId="10">#REF!</definedName>
    <definedName name="DDDate2" localSheetId="9">'Customer data'!#REF!</definedName>
    <definedName name="DDDate2" localSheetId="8">'Largest debtors'!#REF!</definedName>
    <definedName name="DDDate2" localSheetId="11">#REF!</definedName>
    <definedName name="DDDate2" localSheetId="6">Stock!#REF!</definedName>
    <definedName name="DDDate2">#REF!</definedName>
    <definedName name="DDDate3" localSheetId="7">'Aged debtors'!#REF!</definedName>
    <definedName name="DDDate3" localSheetId="10">#REF!</definedName>
    <definedName name="DDDate3" localSheetId="9">'Customer data'!#REF!</definedName>
    <definedName name="DDDate3" localSheetId="8">'Largest debtors'!#REF!</definedName>
    <definedName name="DDDate3" localSheetId="11">#REF!</definedName>
    <definedName name="DDDate3" localSheetId="6">Stock!#REF!</definedName>
    <definedName name="DDDate3">#REF!</definedName>
    <definedName name="DDNumber" localSheetId="7">'Aged debtors'!#REF!</definedName>
    <definedName name="DDNumber" localSheetId="10">#REF!</definedName>
    <definedName name="DDNumber" localSheetId="9">'Customer data'!#REF!</definedName>
    <definedName name="DDNumber" localSheetId="8">'Largest debtors'!#REF!</definedName>
    <definedName name="DDNumber" localSheetId="11">#REF!</definedName>
    <definedName name="DDNumber" localSheetId="6">Stock!#REF!</definedName>
    <definedName name="DDNumber">#REF!</definedName>
    <definedName name="DDNumber2" localSheetId="7">'Aged debtors'!#REF!</definedName>
    <definedName name="DDNumber2" localSheetId="10">#REF!</definedName>
    <definedName name="DDNumber2" localSheetId="9">'Customer data'!#REF!</definedName>
    <definedName name="DDNumber2" localSheetId="8">'Largest debtors'!#REF!</definedName>
    <definedName name="DDNumber2" localSheetId="11">#REF!</definedName>
    <definedName name="DDNumber2" localSheetId="6">Stock!#REF!</definedName>
    <definedName name="DDNumber2">#REF!</definedName>
    <definedName name="DDNumber3" localSheetId="7">'Aged debtors'!#REF!</definedName>
    <definedName name="DDNumber3" localSheetId="10">#REF!</definedName>
    <definedName name="DDNumber3" localSheetId="9">'Customer data'!#REF!</definedName>
    <definedName name="DDNumber3" localSheetId="8">'Largest debtors'!#REF!</definedName>
    <definedName name="DDNumber3" localSheetId="11">#REF!</definedName>
    <definedName name="DDNumber3" localSheetId="6">Stock!#REF!</definedName>
    <definedName name="DDNumber3">#REF!</definedName>
    <definedName name="DealManager" localSheetId="7">'Aged debtors'!#REF!</definedName>
    <definedName name="DealManager" localSheetId="10">#REF!</definedName>
    <definedName name="DealManager" localSheetId="9">'Customer data'!#REF!</definedName>
    <definedName name="DealManager" localSheetId="8">'Largest debtors'!#REF!</definedName>
    <definedName name="DealManager" localSheetId="11">#REF!</definedName>
    <definedName name="DealManager" localSheetId="6">Stock!#REF!</definedName>
    <definedName name="DealManager">#REF!</definedName>
    <definedName name="DealName" localSheetId="7">'Aged debtors'!#REF!</definedName>
    <definedName name="DealName" localSheetId="10">#REF!</definedName>
    <definedName name="DealName" localSheetId="9">'Customer data'!#REF!</definedName>
    <definedName name="DealName" localSheetId="8">'Largest debtors'!#REF!</definedName>
    <definedName name="DealName" localSheetId="11">#REF!</definedName>
    <definedName name="DealName" localSheetId="6">Stock!#REF!</definedName>
    <definedName name="DealName">#REF!</definedName>
    <definedName name="DealType" localSheetId="7">'Aged debtors'!#REF!</definedName>
    <definedName name="DealType" localSheetId="10">#REF!</definedName>
    <definedName name="DealType" localSheetId="9">'Customer data'!#REF!</definedName>
    <definedName name="DealType" localSheetId="8">'Largest debtors'!#REF!</definedName>
    <definedName name="DealType" localSheetId="11">#REF!</definedName>
    <definedName name="DealType" localSheetId="6">Stock!#REF!</definedName>
    <definedName name="DealType">#REF!</definedName>
    <definedName name="DeductionsAdvance" localSheetId="7">'Aged debtors'!#REF!</definedName>
    <definedName name="DeductionsAdvance" localSheetId="10">#REF!</definedName>
    <definedName name="DeductionsAdvance" localSheetId="9">'Customer data'!#REF!</definedName>
    <definedName name="DeductionsAdvance" localSheetId="8">'Largest debtors'!#REF!</definedName>
    <definedName name="DeductionsAdvance" localSheetId="11">#REF!</definedName>
    <definedName name="DeductionsAdvance" localSheetId="6">Stock!#REF!</definedName>
    <definedName name="DeductionsAdvance">#REF!</definedName>
    <definedName name="DeductionsAdvance2" localSheetId="7">'Aged debtors'!#REF!</definedName>
    <definedName name="DeductionsAdvance2" localSheetId="10">#REF!</definedName>
    <definedName name="DeductionsAdvance2" localSheetId="9">'Customer data'!#REF!</definedName>
    <definedName name="DeductionsAdvance2" localSheetId="8">'Largest debtors'!#REF!</definedName>
    <definedName name="DeductionsAdvance2" localSheetId="11">#REF!</definedName>
    <definedName name="DeductionsAdvance2" localSheetId="6">Stock!#REF!</definedName>
    <definedName name="DeductionsAdvance2">#REF!</definedName>
    <definedName name="DeductionsAdvance3" localSheetId="7">'Aged debtors'!#REF!</definedName>
    <definedName name="DeductionsAdvance3" localSheetId="10">#REF!</definedName>
    <definedName name="DeductionsAdvance3" localSheetId="9">'Customer data'!#REF!</definedName>
    <definedName name="DeductionsAdvance3" localSheetId="8">'Largest debtors'!#REF!</definedName>
    <definedName name="DeductionsAdvance3" localSheetId="11">#REF!</definedName>
    <definedName name="DeductionsAdvance3" localSheetId="6">Stock!#REF!</definedName>
    <definedName name="DeductionsAdvance3">#REF!</definedName>
    <definedName name="DeductionsCommitmentDeposit" localSheetId="7">'Aged debtors'!#REF!</definedName>
    <definedName name="DeductionsCommitmentDeposit" localSheetId="10">#REF!</definedName>
    <definedName name="DeductionsCommitmentDeposit" localSheetId="9">'Customer data'!#REF!</definedName>
    <definedName name="DeductionsCommitmentDeposit" localSheetId="8">'Largest debtors'!#REF!</definedName>
    <definedName name="DeductionsCommitmentDeposit" localSheetId="11">#REF!</definedName>
    <definedName name="DeductionsCommitmentDeposit" localSheetId="6">Stock!#REF!</definedName>
    <definedName name="DeductionsCommitmentDeposit">#REF!</definedName>
    <definedName name="DeductionsCommitmentDeposit2" localSheetId="7">'Aged debtors'!#REF!</definedName>
    <definedName name="DeductionsCommitmentDeposit2" localSheetId="10">#REF!</definedName>
    <definedName name="DeductionsCommitmentDeposit2" localSheetId="9">'Customer data'!#REF!</definedName>
    <definedName name="DeductionsCommitmentDeposit2" localSheetId="8">'Largest debtors'!#REF!</definedName>
    <definedName name="DeductionsCommitmentDeposit2" localSheetId="11">#REF!</definedName>
    <definedName name="DeductionsCommitmentDeposit2" localSheetId="6">Stock!#REF!</definedName>
    <definedName name="DeductionsCommitmentDeposit2">#REF!</definedName>
    <definedName name="DeductionsCommitmentDeposit3" localSheetId="7">'Aged debtors'!#REF!</definedName>
    <definedName name="DeductionsCommitmentDeposit3" localSheetId="10">#REF!</definedName>
    <definedName name="DeductionsCommitmentDeposit3" localSheetId="9">'Customer data'!#REF!</definedName>
    <definedName name="DeductionsCommitmentDeposit3" localSheetId="8">'Largest debtors'!#REF!</definedName>
    <definedName name="DeductionsCommitmentDeposit3" localSheetId="11">#REF!</definedName>
    <definedName name="DeductionsCommitmentDeposit3" localSheetId="6">Stock!#REF!</definedName>
    <definedName name="DeductionsCommitmentDeposit3">#REF!</definedName>
    <definedName name="DeductionsInterimPayment" localSheetId="7">'Aged debtors'!#REF!</definedName>
    <definedName name="DeductionsInterimPayment" localSheetId="10">#REF!</definedName>
    <definedName name="DeductionsInterimPayment" localSheetId="9">'Customer data'!#REF!</definedName>
    <definedName name="DeductionsInterimPayment" localSheetId="8">'Largest debtors'!#REF!</definedName>
    <definedName name="DeductionsInterimPayment" localSheetId="11">#REF!</definedName>
    <definedName name="DeductionsInterimPayment" localSheetId="6">Stock!#REF!</definedName>
    <definedName name="DeductionsInterimPayment">#REF!</definedName>
    <definedName name="DeductionsInterimPayment2" localSheetId="7">'Aged debtors'!#REF!</definedName>
    <definedName name="DeductionsInterimPayment2" localSheetId="10">#REF!</definedName>
    <definedName name="DeductionsInterimPayment2" localSheetId="9">'Customer data'!#REF!</definedName>
    <definedName name="DeductionsInterimPayment2" localSheetId="8">'Largest debtors'!#REF!</definedName>
    <definedName name="DeductionsInterimPayment2" localSheetId="11">#REF!</definedName>
    <definedName name="DeductionsInterimPayment2" localSheetId="6">Stock!#REF!</definedName>
    <definedName name="DeductionsInterimPayment2">#REF!</definedName>
    <definedName name="DeductionsInterimPayment3" localSheetId="7">'Aged debtors'!#REF!</definedName>
    <definedName name="DeductionsInterimPayment3" localSheetId="10">#REF!</definedName>
    <definedName name="DeductionsInterimPayment3" localSheetId="9">'Customer data'!#REF!</definedName>
    <definedName name="DeductionsInterimPayment3" localSheetId="8">'Largest debtors'!#REF!</definedName>
    <definedName name="DeductionsInterimPayment3" localSheetId="11">#REF!</definedName>
    <definedName name="DeductionsInterimPayment3" localSheetId="6">Stock!#REF!</definedName>
    <definedName name="DeductionsInterimPayment3">#REF!</definedName>
    <definedName name="DeductionsLegalFees" localSheetId="7">'Aged debtors'!#REF!</definedName>
    <definedName name="DeductionsLegalFees" localSheetId="10">#REF!</definedName>
    <definedName name="DeductionsLegalFees" localSheetId="9">'Customer data'!#REF!</definedName>
    <definedName name="DeductionsLegalFees" localSheetId="8">'Largest debtors'!#REF!</definedName>
    <definedName name="DeductionsLegalFees" localSheetId="11">#REF!</definedName>
    <definedName name="DeductionsLegalFees" localSheetId="6">Stock!#REF!</definedName>
    <definedName name="DeductionsLegalFees">#REF!</definedName>
    <definedName name="DeductionsLegalFees2" localSheetId="7">'Aged debtors'!#REF!</definedName>
    <definedName name="DeductionsLegalFees2" localSheetId="10">#REF!</definedName>
    <definedName name="DeductionsLegalFees2" localSheetId="9">'Customer data'!#REF!</definedName>
    <definedName name="DeductionsLegalFees2" localSheetId="8">'Largest debtors'!#REF!</definedName>
    <definedName name="DeductionsLegalFees2" localSheetId="11">#REF!</definedName>
    <definedName name="DeductionsLegalFees2" localSheetId="6">Stock!#REF!</definedName>
    <definedName name="DeductionsLegalFees2">#REF!</definedName>
    <definedName name="DeductionsLegalFees3" localSheetId="7">'Aged debtors'!#REF!</definedName>
    <definedName name="DeductionsLegalFees3" localSheetId="10">#REF!</definedName>
    <definedName name="DeductionsLegalFees3" localSheetId="9">'Customer data'!#REF!</definedName>
    <definedName name="DeductionsLegalFees3" localSheetId="8">'Largest debtors'!#REF!</definedName>
    <definedName name="DeductionsLegalFees3" localSheetId="11">#REF!</definedName>
    <definedName name="DeductionsLegalFees3" localSheetId="6">Stock!#REF!</definedName>
    <definedName name="DeductionsLegalFees3">#REF!</definedName>
    <definedName name="DeductionsMonth1" localSheetId="7">'Aged debtors'!#REF!</definedName>
    <definedName name="DeductionsMonth1" localSheetId="10">#REF!</definedName>
    <definedName name="DeductionsMonth1" localSheetId="9">'Customer data'!#REF!</definedName>
    <definedName name="DeductionsMonth1" localSheetId="8">'Largest debtors'!#REF!</definedName>
    <definedName name="DeductionsMonth1" localSheetId="11">#REF!</definedName>
    <definedName name="DeductionsMonth1" localSheetId="6">Stock!#REF!</definedName>
    <definedName name="DeductionsMonth1">#REF!</definedName>
    <definedName name="DeductionsMonth1_2" localSheetId="7">'Aged debtors'!#REF!</definedName>
    <definedName name="DeductionsMonth1_2" localSheetId="10">#REF!</definedName>
    <definedName name="DeductionsMonth1_2" localSheetId="9">'Customer data'!#REF!</definedName>
    <definedName name="DeductionsMonth1_2" localSheetId="8">'Largest debtors'!#REF!</definedName>
    <definedName name="DeductionsMonth1_2" localSheetId="11">#REF!</definedName>
    <definedName name="DeductionsMonth1_2" localSheetId="6">Stock!#REF!</definedName>
    <definedName name="DeductionsMonth1_2">#REF!</definedName>
    <definedName name="DeductionsMonth1_3" localSheetId="7">'Aged debtors'!#REF!</definedName>
    <definedName name="DeductionsMonth1_3" localSheetId="10">#REF!</definedName>
    <definedName name="DeductionsMonth1_3" localSheetId="9">'Customer data'!#REF!</definedName>
    <definedName name="DeductionsMonth1_3" localSheetId="8">'Largest debtors'!#REF!</definedName>
    <definedName name="DeductionsMonth1_3" localSheetId="11">#REF!</definedName>
    <definedName name="DeductionsMonth1_3" localSheetId="6">Stock!#REF!</definedName>
    <definedName name="DeductionsMonth1_3">#REF!</definedName>
    <definedName name="DeductionsOther" localSheetId="7">'Aged debtors'!#REF!</definedName>
    <definedName name="DeductionsOther" localSheetId="10">#REF!</definedName>
    <definedName name="DeductionsOther" localSheetId="9">'Customer data'!#REF!</definedName>
    <definedName name="DeductionsOther" localSheetId="8">'Largest debtors'!#REF!</definedName>
    <definedName name="DeductionsOther" localSheetId="11">#REF!</definedName>
    <definedName name="DeductionsOther" localSheetId="6">Stock!#REF!</definedName>
    <definedName name="DeductionsOther">#REF!</definedName>
    <definedName name="DeductionsOther2" localSheetId="7">'Aged debtors'!#REF!</definedName>
    <definedName name="DeductionsOther2" localSheetId="10">#REF!</definedName>
    <definedName name="DeductionsOther2" localSheetId="9">'Customer data'!#REF!</definedName>
    <definedName name="DeductionsOther2" localSheetId="8">'Largest debtors'!#REF!</definedName>
    <definedName name="DeductionsOther2" localSheetId="11">#REF!</definedName>
    <definedName name="DeductionsOther2" localSheetId="6">Stock!#REF!</definedName>
    <definedName name="DeductionsOther2">#REF!</definedName>
    <definedName name="DeductionsOther3" localSheetId="7">'Aged debtors'!#REF!</definedName>
    <definedName name="DeductionsOther3" localSheetId="10">#REF!</definedName>
    <definedName name="DeductionsOther3" localSheetId="9">'Customer data'!#REF!</definedName>
    <definedName name="DeductionsOther3" localSheetId="8">'Largest debtors'!#REF!</definedName>
    <definedName name="DeductionsOther3" localSheetId="11">#REF!</definedName>
    <definedName name="DeductionsOther3" localSheetId="6">Stock!#REF!</definedName>
    <definedName name="DeductionsOther3">#REF!</definedName>
    <definedName name="DeductionsTransactionFee" localSheetId="7">'Aged debtors'!#REF!</definedName>
    <definedName name="DeductionsTransactionFee" localSheetId="10">#REF!</definedName>
    <definedName name="DeductionsTransactionFee" localSheetId="9">'Customer data'!#REF!</definedName>
    <definedName name="DeductionsTransactionFee" localSheetId="8">'Largest debtors'!#REF!</definedName>
    <definedName name="DeductionsTransactionFee" localSheetId="11">#REF!</definedName>
    <definedName name="DeductionsTransactionFee" localSheetId="6">Stock!#REF!</definedName>
    <definedName name="DeductionsTransactionFee">#REF!</definedName>
    <definedName name="DeductionsTransactionFee2" localSheetId="7">'Aged debtors'!#REF!</definedName>
    <definedName name="DeductionsTransactionFee2" localSheetId="10">#REF!</definedName>
    <definedName name="DeductionsTransactionFee2" localSheetId="9">'Customer data'!#REF!</definedName>
    <definedName name="DeductionsTransactionFee2" localSheetId="8">'Largest debtors'!#REF!</definedName>
    <definedName name="DeductionsTransactionFee2" localSheetId="11">#REF!</definedName>
    <definedName name="DeductionsTransactionFee2" localSheetId="6">Stock!#REF!</definedName>
    <definedName name="DeductionsTransactionFee2">#REF!</definedName>
    <definedName name="DeductionsTransactionFee3" localSheetId="7">'Aged debtors'!#REF!</definedName>
    <definedName name="DeductionsTransactionFee3" localSheetId="10">#REF!</definedName>
    <definedName name="DeductionsTransactionFee3" localSheetId="9">'Customer data'!#REF!</definedName>
    <definedName name="DeductionsTransactionFee3" localSheetId="8">'Largest debtors'!#REF!</definedName>
    <definedName name="DeductionsTransactionFee3" localSheetId="11">#REF!</definedName>
    <definedName name="DeductionsTransactionFee3" localSheetId="6">Stock!#REF!</definedName>
    <definedName name="DeductionsTransactionFee3">#REF!</definedName>
    <definedName name="DefTax_Bal" localSheetId="7">'Aged debtors'!#REF!</definedName>
    <definedName name="DefTax_Bal" localSheetId="10">#REF!</definedName>
    <definedName name="DefTax_Bal" localSheetId="9">'Customer data'!#REF!</definedName>
    <definedName name="DefTax_Bal" localSheetId="8">'Largest debtors'!#REF!</definedName>
    <definedName name="DefTax_Bal" localSheetId="11">#REF!</definedName>
    <definedName name="DefTax_Bal" localSheetId="6">Stock!#REF!</definedName>
    <definedName name="DefTax_Bal">#REF!</definedName>
    <definedName name="DefTax_Delta" localSheetId="7">'Aged debtors'!#REF!</definedName>
    <definedName name="DefTax_Delta" localSheetId="10">#REF!</definedName>
    <definedName name="DefTax_Delta" localSheetId="9">'Customer data'!#REF!</definedName>
    <definedName name="DefTax_Delta" localSheetId="8">'Largest debtors'!#REF!</definedName>
    <definedName name="DefTax_Delta" localSheetId="11">#REF!</definedName>
    <definedName name="DefTax_Delta" localSheetId="6">Stock!#REF!</definedName>
    <definedName name="DefTax_Delta">#REF!</definedName>
    <definedName name="DefTaxA_Bal" localSheetId="7">'Aged debtors'!#REF!</definedName>
    <definedName name="DefTaxA_Bal" localSheetId="10">#REF!</definedName>
    <definedName name="DefTaxA_Bal" localSheetId="9">'Customer data'!#REF!</definedName>
    <definedName name="DefTaxA_Bal" localSheetId="8">'Largest debtors'!#REF!</definedName>
    <definedName name="DefTaxA_Bal" localSheetId="11">#REF!</definedName>
    <definedName name="DefTaxA_Bal" localSheetId="6">Stock!#REF!</definedName>
    <definedName name="DefTaxA_Bal">#REF!</definedName>
    <definedName name="DefTaxA_Delta" localSheetId="7">'Aged debtors'!#REF!</definedName>
    <definedName name="DefTaxA_Delta" localSheetId="10">#REF!</definedName>
    <definedName name="DefTaxA_Delta" localSheetId="9">'Customer data'!#REF!</definedName>
    <definedName name="DefTaxA_Delta" localSheetId="8">'Largest debtors'!#REF!</definedName>
    <definedName name="DefTaxA_Delta" localSheetId="11">#REF!</definedName>
    <definedName name="DefTaxA_Delta" localSheetId="6">Stock!#REF!</definedName>
    <definedName name="DefTaxA_Delta">#REF!</definedName>
    <definedName name="Depn" localSheetId="7">'Aged debtors'!#REF!</definedName>
    <definedName name="Depn" localSheetId="10">#REF!</definedName>
    <definedName name="Depn" localSheetId="9">'Customer data'!#REF!</definedName>
    <definedName name="Depn" localSheetId="8">'Largest debtors'!#REF!</definedName>
    <definedName name="Depn" localSheetId="11">#REF!</definedName>
    <definedName name="Depn" localSheetId="6">Stock!#REF!</definedName>
    <definedName name="Depn">#REF!</definedName>
    <definedName name="Direct_JSR_Chart" localSheetId="7">OFFSET('Aged debtors'!#REF!,0,0,1,COUNTIF('Aged debtors'!#REF!,"&gt;0"))</definedName>
    <definedName name="Direct_JSR_Chart" localSheetId="9">OFFSET('Customer data'!#REF!,0,0,1,COUNTIF('Customer data'!#REF!,"&gt;0"))</definedName>
    <definedName name="Direct_JSR_Chart" localSheetId="8">OFFSET('Largest debtors'!#REF!,0,0,1,COUNTIF('Largest debtors'!#REF!,"&gt;0"))</definedName>
    <definedName name="Direct_JSR_Chart" localSheetId="11">OFFSET(#REF!,0,0,1,COUNTIF(#REF!,"&gt;0"))</definedName>
    <definedName name="Direct_JSR_Chart" localSheetId="6">OFFSET(Stock!#REF!,0,0,1,COUNTIF(Stock!#REF!,"&gt;0"))</definedName>
    <definedName name="Direct_JSR_Chart">OFFSET(#REF!,0,0,1,COUNTIF(#REF!,"&gt;0"))</definedName>
    <definedName name="Direct_Visits" localSheetId="7">'Aged debtors'!#REF!</definedName>
    <definedName name="Direct_Visits" localSheetId="10">#REF!</definedName>
    <definedName name="Direct_Visits" localSheetId="9">'Customer data'!#REF!</definedName>
    <definedName name="Direct_Visits" localSheetId="8">'Largest debtors'!#REF!</definedName>
    <definedName name="Direct_Visits" localSheetId="11">#REF!</definedName>
    <definedName name="Direct_Visits" localSheetId="6">Stock!#REF!</definedName>
    <definedName name="Direct_Visits">#REF!</definedName>
    <definedName name="dISPOSAL" localSheetId="7">'Aged debtors'!#REF!</definedName>
    <definedName name="dISPOSAL" localSheetId="10">#REF!</definedName>
    <definedName name="dISPOSAL" localSheetId="0">#REF!</definedName>
    <definedName name="dISPOSAL" localSheetId="9">'Customer data'!#REF!</definedName>
    <definedName name="dISPOSAL" localSheetId="8">'Largest debtors'!#REF!</definedName>
    <definedName name="dISPOSAL" localSheetId="11">#REF!</definedName>
    <definedName name="dISPOSAL" localSheetId="6">Stock!#REF!</definedName>
    <definedName name="dISPOSAL">#REF!</definedName>
    <definedName name="Div_Bal" localSheetId="7">'Aged debtors'!#REF!</definedName>
    <definedName name="Div_Bal" localSheetId="10">#REF!</definedName>
    <definedName name="Div_Bal" localSheetId="9">'Customer data'!#REF!</definedName>
    <definedName name="Div_Bal" localSheetId="8">'Largest debtors'!#REF!</definedName>
    <definedName name="Div_Bal" localSheetId="11">#REF!</definedName>
    <definedName name="Div_Bal" localSheetId="6">Stock!#REF!</definedName>
    <definedName name="Div_Bal">#REF!</definedName>
    <definedName name="Div_Cash" localSheetId="7">'Aged debtors'!#REF!</definedName>
    <definedName name="Div_Cash" localSheetId="10">#REF!</definedName>
    <definedName name="Div_Cash" localSheetId="9">'Customer data'!#REF!</definedName>
    <definedName name="Div_Cash" localSheetId="8">'Largest debtors'!#REF!</definedName>
    <definedName name="Div_Cash" localSheetId="11">#REF!</definedName>
    <definedName name="Div_Cash" localSheetId="6">Stock!#REF!</definedName>
    <definedName name="Div_Cash">#REF!</definedName>
    <definedName name="Div_Com" localSheetId="7">'Aged debtors'!#REF!</definedName>
    <definedName name="Div_Com" localSheetId="10">#REF!</definedName>
    <definedName name="Div_Com" localSheetId="9">'Customer data'!#REF!</definedName>
    <definedName name="Div_Com" localSheetId="8">'Largest debtors'!#REF!</definedName>
    <definedName name="Div_Com" localSheetId="11">#REF!</definedName>
    <definedName name="Div_Com" localSheetId="6">Stock!#REF!</definedName>
    <definedName name="Div_Com">#REF!</definedName>
    <definedName name="dividend" localSheetId="7">'Aged debtors'!#REF!</definedName>
    <definedName name="dividend" localSheetId="9">'Customer data'!#REF!</definedName>
    <definedName name="dividend" localSheetId="8">'Largest debtors'!#REF!</definedName>
    <definedName name="dividend" localSheetId="11">#REF!</definedName>
    <definedName name="dividend" localSheetId="6">Stock!#REF!</definedName>
    <definedName name="dividend">#REF!</definedName>
    <definedName name="DIY" localSheetId="7">'Aged debtors'!#REF!</definedName>
    <definedName name="DIY" localSheetId="10">#REF!</definedName>
    <definedName name="DIY" localSheetId="9">'Customer data'!#REF!</definedName>
    <definedName name="DIY" localSheetId="8">'Largest debtors'!#REF!</definedName>
    <definedName name="DIY" localSheetId="11">#REF!</definedName>
    <definedName name="DIY" localSheetId="6">Stock!#REF!</definedName>
    <definedName name="DIY">#REF!</definedName>
    <definedName name="Dr_ODBC_CoA_Index" localSheetId="7">OFFSET('Aged debtors'!#REF!,0,0,COUNTA('Aged debtors'!#REF!),COUNTA('Aged debtors'!#REF!))</definedName>
    <definedName name="Dr_ODBC_CoA_Index" localSheetId="9">OFFSET('Customer data'!#REF!,0,0,COUNTA('Customer data'!#REF!),COUNTA('Customer data'!#REF!))</definedName>
    <definedName name="Dr_ODBC_CoA_Index" localSheetId="8">OFFSET('Largest debtors'!#REF!,0,0,COUNTA('Largest debtors'!#REF!),COUNTA('Largest debtors'!#REF!))</definedName>
    <definedName name="Dr_ODBC_CoA_Index" localSheetId="11">OFFSET(#REF!,0,0,COUNTA(#REF!),COUNTA(#REF!))</definedName>
    <definedName name="Dr_ODBC_CoA_Index" localSheetId="6">OFFSET(Stock!#REF!,0,0,COUNTA(Stock!#REF!),COUNTA(Stock!#REF!))</definedName>
    <definedName name="Dr_ODBC_CoA_Index">OFFSET(#REF!,0,0,COUNTA(#REF!),COUNTA(#REF!))</definedName>
    <definedName name="Dr_ODBC_CoA_List" localSheetId="7">OFFSET('Aged debtors'!#REF!,0,0,COUNTA('Aged debtors'!#REF!),2)</definedName>
    <definedName name="Dr_ODBC_CoA_List" localSheetId="9">OFFSET('Customer data'!#REF!,0,0,COUNTA('Customer data'!#REF!),2)</definedName>
    <definedName name="Dr_ODBC_CoA_List" localSheetId="8">OFFSET('Largest debtors'!#REF!,0,0,COUNTA('Largest debtors'!#REF!),2)</definedName>
    <definedName name="Dr_ODBC_CoA_List" localSheetId="11">OFFSET(#REF!,0,0,COUNTA(#REF!),2)</definedName>
    <definedName name="Dr_ODBC_CoA_List" localSheetId="6">OFFSET(Stock!#REF!,0,0,COUNTA(Stock!#REF!),2)</definedName>
    <definedName name="Dr_ODBC_CoA_List">OFFSET(#REF!,0,0,COUNTA(#REF!),2)</definedName>
    <definedName name="DR_ODBC_DEPT" localSheetId="7">OFFSET('Aged debtors'!#REF!,0,0,COUNTA('Aged debtors'!#REF!),COUNTA('Aged debtors'!#REF!))</definedName>
    <definedName name="DR_ODBC_DEPT" localSheetId="9">OFFSET('Customer data'!#REF!,0,0,COUNTA('Customer data'!#REF!),COUNTA('Customer data'!#REF!))</definedName>
    <definedName name="DR_ODBC_DEPT" localSheetId="8">OFFSET('Largest debtors'!#REF!,0,0,COUNTA('Largest debtors'!#REF!),COUNTA('Largest debtors'!#REF!))</definedName>
    <definedName name="DR_ODBC_DEPT" localSheetId="11">OFFSET(#REF!,0,0,COUNTA(#REF!),COUNTA(#REF!))</definedName>
    <definedName name="DR_ODBC_DEPT" localSheetId="6">OFFSET(Stock!#REF!,0,0,COUNTA(Stock!#REF!),COUNTA(Stock!#REF!))</definedName>
    <definedName name="DR_ODBC_DEPT">OFFSET(#REF!,0,0,COUNTA(#REF!),COUNTA(#REF!))</definedName>
    <definedName name="Dr_ODBC_Main_Data" localSheetId="7">OFFSET('Aged debtors'!#REF!,0,0,COUNTA('Aged debtors'!#REF!),COUNTA('Aged debtors'!#REF!))</definedName>
    <definedName name="Dr_ODBC_Main_Data" localSheetId="9">OFFSET('Customer data'!#REF!,0,0,COUNTA('Customer data'!#REF!),COUNTA('Customer data'!#REF!))</definedName>
    <definedName name="Dr_ODBC_Main_Data" localSheetId="8">OFFSET('Largest debtors'!#REF!,0,0,COUNTA('Largest debtors'!#REF!),COUNTA('Largest debtors'!#REF!))</definedName>
    <definedName name="Dr_ODBC_Main_Data" localSheetId="11">OFFSET(#REF!,0,0,COUNTA(#REF!),COUNTA(#REF!))</definedName>
    <definedName name="Dr_ODBC_Main_Data" localSheetId="6">OFFSET(Stock!#REF!,0,0,COUNTA(Stock!#REF!),COUNTA(Stock!#REF!))</definedName>
    <definedName name="Dr_ODBC_Main_Data">OFFSET(#REF!,0,0,COUNTA(#REF!),COUNTA(#REF!))</definedName>
    <definedName name="DrawdownNumber" localSheetId="7">'Aged debtors'!#REF!</definedName>
    <definedName name="DrawdownNumber" localSheetId="10">#REF!</definedName>
    <definedName name="DrawdownNumber" localSheetId="9">'Customer data'!#REF!</definedName>
    <definedName name="DrawdownNumber" localSheetId="8">'Largest debtors'!#REF!</definedName>
    <definedName name="DrawdownNumber" localSheetId="11">#REF!</definedName>
    <definedName name="DrawdownNumber" localSheetId="6">Stock!#REF!</definedName>
    <definedName name="DrawdownNumber">#REF!</definedName>
    <definedName name="EBITA_Adj" localSheetId="7">'Aged debtors'!#REF!</definedName>
    <definedName name="EBITA_Adj" localSheetId="10">#REF!</definedName>
    <definedName name="EBITA_Adj" localSheetId="9">'Customer data'!#REF!</definedName>
    <definedName name="EBITA_Adj" localSheetId="8">'Largest debtors'!#REF!</definedName>
    <definedName name="EBITA_Adj" localSheetId="11">#REF!</definedName>
    <definedName name="EBITA_Adj" localSheetId="6">Stock!#REF!</definedName>
    <definedName name="EBITA_Adj">#REF!</definedName>
    <definedName name="Employee_data" localSheetId="7">'Aged debtors'!#REF!</definedName>
    <definedName name="Employee_data" localSheetId="9">'Customer data'!#REF!</definedName>
    <definedName name="Employee_data" localSheetId="8">'Largest debtors'!#REF!</definedName>
    <definedName name="Employee_data" localSheetId="11">#REF!</definedName>
    <definedName name="Employee_data" localSheetId="6">Stock!#REF!</definedName>
    <definedName name="Employee_data">#REF!</definedName>
    <definedName name="EMS" localSheetId="7">'Aged debtors'!#REF!</definedName>
    <definedName name="EMS" localSheetId="10">#REF!</definedName>
    <definedName name="EMS" localSheetId="9">'Customer data'!#REF!</definedName>
    <definedName name="EMS" localSheetId="8">'Largest debtors'!#REF!</definedName>
    <definedName name="EMS" localSheetId="11">#REF!</definedName>
    <definedName name="EMS" localSheetId="6">Stock!#REF!</definedName>
    <definedName name="EMS">#REF!</definedName>
    <definedName name="End_DF" localSheetId="7">'Aged debtors'!#REF!</definedName>
    <definedName name="End_DF" localSheetId="10">#REF!</definedName>
    <definedName name="End_DF" localSheetId="9">'Customer data'!#REF!</definedName>
    <definedName name="End_DF" localSheetId="8">'Largest debtors'!#REF!</definedName>
    <definedName name="End_DF" localSheetId="11">#REF!</definedName>
    <definedName name="End_DF" localSheetId="6">Stock!#REF!</definedName>
    <definedName name="End_DF">#REF!</definedName>
    <definedName name="EndOfLoanPaymentPerSchedule" localSheetId="7">'Aged debtors'!#REF!</definedName>
    <definedName name="EndOfLoanPaymentPerSchedule" localSheetId="10">#REF!</definedName>
    <definedName name="EndOfLoanPaymentPerSchedule" localSheetId="9">'Customer data'!#REF!</definedName>
    <definedName name="EndOfLoanPaymentPerSchedule" localSheetId="8">'Largest debtors'!#REF!</definedName>
    <definedName name="EndOfLoanPaymentPerSchedule" localSheetId="11">#REF!</definedName>
    <definedName name="EndOfLoanPaymentPerSchedule" localSheetId="6">Stock!#REF!</definedName>
    <definedName name="EndOfLoanPaymentPerSchedule">#REF!</definedName>
    <definedName name="EndOfLoanPaymentPerSchedule2" localSheetId="7">'Aged debtors'!#REF!</definedName>
    <definedName name="EndOfLoanPaymentPerSchedule2" localSheetId="10">#REF!</definedName>
    <definedName name="EndOfLoanPaymentPerSchedule2" localSheetId="9">'Customer data'!#REF!</definedName>
    <definedName name="EndOfLoanPaymentPerSchedule2" localSheetId="8">'Largest debtors'!#REF!</definedName>
    <definedName name="EndOfLoanPaymentPerSchedule2" localSheetId="11">#REF!</definedName>
    <definedName name="EndOfLoanPaymentPerSchedule2" localSheetId="6">Stock!#REF!</definedName>
    <definedName name="EndOfLoanPaymentPerSchedule2">#REF!</definedName>
    <definedName name="EndOfLoanPaymentPerSchedule3" localSheetId="7">'Aged debtors'!#REF!</definedName>
    <definedName name="EndOfLoanPaymentPerSchedule3" localSheetId="10">#REF!</definedName>
    <definedName name="EndOfLoanPaymentPerSchedule3" localSheetId="9">'Customer data'!#REF!</definedName>
    <definedName name="EndOfLoanPaymentPerSchedule3" localSheetId="8">'Largest debtors'!#REF!</definedName>
    <definedName name="EndOfLoanPaymentPerSchedule3" localSheetId="11">#REF!</definedName>
    <definedName name="EndOfLoanPaymentPerSchedule3" localSheetId="6">Stock!#REF!</definedName>
    <definedName name="EndOfLoanPaymentPerSchedule3">#REF!</definedName>
    <definedName name="ENG_BI_EXE_NAME" hidden="1">"BICORE.EXE"</definedName>
    <definedName name="ENG_BI_EXEC_CMD_ARGS" hidden="1">"033046078078083100085092078082036050070033049074127089069087072079084104068080073069065073069079074085080089126124072066088094080078068052125132096113122098112110099085074078075072080069073061105115125132086083068078083070073080069087065086092061053130"</definedName>
    <definedName name="ENG_BI_GEN_LIC" hidden="1">"0"</definedName>
    <definedName name="ENG_BI_GEN_LIC_WS" hidden="1">"False"</definedName>
    <definedName name="ENG_BI_LANG_CODE" hidden="1">"en"</definedName>
    <definedName name="ENG_BI_LBI" hidden="1">"D91G92DK77"</definedName>
    <definedName name="ENG_BI_REPOS_FILE" hidden="1">"\\dd-srv-sageap\SageIntelligenceRepository\alchemex.svd"</definedName>
    <definedName name="ENG_BI_REPOS_PATH" hidden="1">"\\dd-srv-sageap\SageIntelligenceRepository"</definedName>
    <definedName name="ENG_BI_TLA" hidden="1">"94;167;97;223;119;54;71;49;241;227;18;54;26;112;120;72;69;196;151;155;200;108;196;46;168;226;102;133;45;66;182;245"</definedName>
    <definedName name="ENG_BI_TLA2" hidden="1">"60;174;229;74;22;107;248;69;28;25;222;44;248;217;16;117;213;0;93;238;27;65;114;138;47;205;23;96;6;101;229;153"</definedName>
    <definedName name="EP" localSheetId="7">'Aged debtors'!#REF!</definedName>
    <definedName name="EP" localSheetId="10">#REF!</definedName>
    <definedName name="EP" localSheetId="9">'Customer data'!#REF!</definedName>
    <definedName name="EP" localSheetId="3">#REF!</definedName>
    <definedName name="EP" localSheetId="8">'Largest debtors'!#REF!</definedName>
    <definedName name="EP" localSheetId="11">#REF!</definedName>
    <definedName name="EP" localSheetId="6">Stock!#REF!</definedName>
    <definedName name="EP">#REF!</definedName>
    <definedName name="Equity_Adj" localSheetId="7">'Aged debtors'!#REF!</definedName>
    <definedName name="Equity_Adj" localSheetId="10">#REF!</definedName>
    <definedName name="Equity_Adj" localSheetId="9">'Customer data'!#REF!</definedName>
    <definedName name="Equity_Adj" localSheetId="8">'Largest debtors'!#REF!</definedName>
    <definedName name="Equity_Adj" localSheetId="11">#REF!</definedName>
    <definedName name="Equity_Adj" localSheetId="6">Stock!#REF!</definedName>
    <definedName name="Equity_Adj">#REF!</definedName>
    <definedName name="Equity_Bal" localSheetId="7">'Aged debtors'!#REF!</definedName>
    <definedName name="Equity_Bal" localSheetId="10">#REF!</definedName>
    <definedName name="Equity_Bal" localSheetId="9">'Customer data'!#REF!</definedName>
    <definedName name="Equity_Bal" localSheetId="8">'Largest debtors'!#REF!</definedName>
    <definedName name="Equity_Bal" localSheetId="11">#REF!</definedName>
    <definedName name="Equity_Bal" localSheetId="6">Stock!#REF!</definedName>
    <definedName name="Equity_Bal">#REF!</definedName>
    <definedName name="Equity_Bal_BF" localSheetId="7">'Aged debtors'!#REF!</definedName>
    <definedName name="Equity_Bal_BF" localSheetId="10">#REF!</definedName>
    <definedName name="Equity_Bal_BF" localSheetId="9">'Customer data'!#REF!</definedName>
    <definedName name="Equity_Bal_BF" localSheetId="8">'Largest debtors'!#REF!</definedName>
    <definedName name="Equity_Bal_BF" localSheetId="11">#REF!</definedName>
    <definedName name="Equity_Bal_BF" localSheetId="6">Stock!#REF!</definedName>
    <definedName name="Equity_Bal_BF">#REF!</definedName>
    <definedName name="Equity_Cash" localSheetId="7">'Aged debtors'!#REF!</definedName>
    <definedName name="Equity_Cash" localSheetId="10">#REF!</definedName>
    <definedName name="Equity_Cash" localSheetId="9">'Customer data'!#REF!</definedName>
    <definedName name="Equity_Cash" localSheetId="8">'Largest debtors'!#REF!</definedName>
    <definedName name="Equity_Cash" localSheetId="11">#REF!</definedName>
    <definedName name="Equity_Cash" localSheetId="6">Stock!#REF!</definedName>
    <definedName name="Equity_Cash">#REF!</definedName>
    <definedName name="_xlnm.Extract" localSheetId="7">'Aged debtors'!#REF!</definedName>
    <definedName name="_xlnm.Extract" localSheetId="10">#REF!</definedName>
    <definedName name="_xlnm.Extract" localSheetId="9">'Customer data'!#REF!</definedName>
    <definedName name="_xlnm.Extract" localSheetId="8">'Largest debtors'!#REF!</definedName>
    <definedName name="_xlnm.Extract" localSheetId="11">#REF!</definedName>
    <definedName name="_xlnm.Extract" localSheetId="6">Stock!#REF!</definedName>
    <definedName name="_xlnm.Extract">#REF!</definedName>
    <definedName name="ExtraOrdItem" localSheetId="7">'Aged debtors'!#REF!</definedName>
    <definedName name="ExtraOrdItem" localSheetId="10">#REF!</definedName>
    <definedName name="ExtraOrdItem" localSheetId="9">'Customer data'!#REF!</definedName>
    <definedName name="ExtraOrdItem" localSheetId="8">'Largest debtors'!#REF!</definedName>
    <definedName name="ExtraOrdItem" localSheetId="11">#REF!</definedName>
    <definedName name="ExtraOrdItem" localSheetId="6">Stock!#REF!</definedName>
    <definedName name="ExtraOrdItem">#REF!</definedName>
    <definedName name="ExtraPayment" localSheetId="7">'Aged debtors'!#REF!</definedName>
    <definedName name="ExtraPayment" localSheetId="10">#REF!</definedName>
    <definedName name="ExtraPayment" localSheetId="9">'Customer data'!#REF!</definedName>
    <definedName name="ExtraPayment" localSheetId="8">'Largest debtors'!#REF!</definedName>
    <definedName name="ExtraPayment" localSheetId="11">#REF!</definedName>
    <definedName name="ExtraPayment" localSheetId="6">Stock!#REF!</definedName>
    <definedName name="ExtraPayment">#REF!</definedName>
    <definedName name="FA_Hist" localSheetId="7">'Aged debtors'!#REF!</definedName>
    <definedName name="FA_Hist" localSheetId="10">#REF!</definedName>
    <definedName name="FA_Hist" localSheetId="9">'Customer data'!#REF!</definedName>
    <definedName name="FA_Hist" localSheetId="8">'Largest debtors'!#REF!</definedName>
    <definedName name="FA_Hist" localSheetId="11">#REF!</definedName>
    <definedName name="FA_Hist" localSheetId="6">Stock!#REF!</definedName>
    <definedName name="FA_Hist">#REF!</definedName>
    <definedName name="FacilityAmount" localSheetId="7">'Aged debtors'!#REF!</definedName>
    <definedName name="FacilityAmount" localSheetId="10">#REF!</definedName>
    <definedName name="FacilityAmount" localSheetId="9">'Customer data'!#REF!</definedName>
    <definedName name="FacilityAmount" localSheetId="8">'Largest debtors'!#REF!</definedName>
    <definedName name="FacilityAmount" localSheetId="11">#REF!</definedName>
    <definedName name="FacilityAmount" localSheetId="6">Stock!#REF!</definedName>
    <definedName name="FacilityAmount">#REF!</definedName>
    <definedName name="FacilityExpDate" localSheetId="7">'Aged debtors'!#REF!</definedName>
    <definedName name="FacilityExpDate" localSheetId="10">#REF!</definedName>
    <definedName name="FacilityExpDate" localSheetId="9">'Customer data'!#REF!</definedName>
    <definedName name="FacilityExpDate" localSheetId="8">'Largest debtors'!#REF!</definedName>
    <definedName name="FacilityExpDate" localSheetId="11">#REF!</definedName>
    <definedName name="FacilityExpDate" localSheetId="6">Stock!#REF!</definedName>
    <definedName name="FacilityExpDate">#REF!</definedName>
    <definedName name="FCF" localSheetId="7">'Aged debtors'!#REF!</definedName>
    <definedName name="FCF" localSheetId="10">#REF!</definedName>
    <definedName name="FCF" localSheetId="9">'Customer data'!#REF!</definedName>
    <definedName name="FCF" localSheetId="8">'Largest debtors'!#REF!</definedName>
    <definedName name="FCF" localSheetId="11">#REF!</definedName>
    <definedName name="FCF" localSheetId="6">Stock!#REF!</definedName>
    <definedName name="FCF">#REF!</definedName>
    <definedName name="FFA" localSheetId="7">'Aged debtors'!#REF!</definedName>
    <definedName name="FFA" localSheetId="10">#REF!</definedName>
    <definedName name="FFA" localSheetId="9">'Customer data'!#REF!</definedName>
    <definedName name="FFA" localSheetId="8">'Largest debtors'!#REF!</definedName>
    <definedName name="FFA" localSheetId="11">#REF!</definedName>
    <definedName name="FFA" localSheetId="6">Stock!#REF!</definedName>
    <definedName name="FFA">#REF!</definedName>
    <definedName name="Forecast_Staff_YTD" localSheetId="7">'Aged debtors'!#REF!</definedName>
    <definedName name="Forecast_Staff_YTD" localSheetId="9">'Customer data'!#REF!</definedName>
    <definedName name="Forecast_Staff_YTD" localSheetId="8">'Largest debtors'!#REF!</definedName>
    <definedName name="Forecast_Staff_YTD" localSheetId="11">#REF!</definedName>
    <definedName name="Forecast_Staff_YTD" localSheetId="6">Stock!#REF!</definedName>
    <definedName name="Forecast_Staff_YTD">#REF!</definedName>
    <definedName name="Franceprice" localSheetId="7">'Aged debtors'!#REF!</definedName>
    <definedName name="Franceprice" localSheetId="9">'Customer data'!#REF!</definedName>
    <definedName name="Franceprice" localSheetId="8">'Largest debtors'!#REF!</definedName>
    <definedName name="Franceprice" localSheetId="11">#REF!</definedName>
    <definedName name="Franceprice" localSheetId="6">Stock!#REF!</definedName>
    <definedName name="Franceprice">#REF!</definedName>
    <definedName name="frequency" localSheetId="7">{"Annually";"Semi-Annually";"Quarterly";"Bi-Monthly";"Monthly";"Semi-Monthly";"Bi-Weekly";"Weekly"}</definedName>
    <definedName name="frequency" localSheetId="10">{"Annually";"Semi-Annually";"Quarterly";"Bi-Monthly";"Monthly";"Semi-Monthly";"Bi-Weekly";"Weekly"}</definedName>
    <definedName name="frequency" localSheetId="12">{"Annually";"Semi-Annually";"Quarterly";"Bi-Monthly";"Monthly";"Semi-Monthly";"Bi-Weekly";"Weekly"}</definedName>
    <definedName name="frequency" localSheetId="9">{"Annually";"Semi-Annually";"Quarterly";"Bi-Monthly";"Monthly";"Semi-Monthly";"Bi-Weekly";"Weekly"}</definedName>
    <definedName name="frequency" localSheetId="3">{"Annually";"Semi-Annually";"Quarterly";"Bi-Monthly";"Monthly";"Semi-Monthly";"Bi-Weekly";"Weekly"}</definedName>
    <definedName name="frequency" localSheetId="8">{"Annually";"Semi-Annually";"Quarterly";"Bi-Monthly";"Monthly";"Semi-Monthly";"Bi-Weekly";"Weekly"}</definedName>
    <definedName name="frequency" localSheetId="11">{"Annually";"Semi-Annually";"Quarterly";"Bi-Monthly";"Monthly";"Semi-Monthly";"Bi-Weekly";"Weekly"}</definedName>
    <definedName name="frequency" localSheetId="4">{"Annually";"Semi-Annually";"Quarterly";"Bi-Monthly";"Monthly";"Semi-Monthly";"Bi-Weekly";"Weekly"}</definedName>
    <definedName name="frequency" localSheetId="6">{"Annually";"Semi-Annually";"Quarterly";"Bi-Monthly";"Monthly";"Semi-Monthly";"Bi-Weekly";"Weekly"}</definedName>
    <definedName name="frequency">{"Annually";"Semi-Annually";"Quarterly";"Bi-Monthly";"Monthly";"Semi-Monthly";"Bi-Weekly";"Weekly"}</definedName>
    <definedName name="Full_Year_Earnings" localSheetId="7">'Aged debtors'!#REF!</definedName>
    <definedName name="Full_Year_Earnings" localSheetId="9">'Customer data'!#REF!</definedName>
    <definedName name="Full_Year_Earnings" localSheetId="8">'Largest debtors'!#REF!</definedName>
    <definedName name="Full_Year_Earnings" localSheetId="11">#REF!</definedName>
    <definedName name="Full_Year_Earnings" localSheetId="6">Stock!#REF!</definedName>
    <definedName name="Full_Year_Earnings">#REF!</definedName>
    <definedName name="Fund_Ccy" localSheetId="7">'Aged debtors'!#REF!</definedName>
    <definedName name="Fund_Ccy" localSheetId="9">'Customer data'!#REF!</definedName>
    <definedName name="Fund_Ccy" localSheetId="8">'Largest debtors'!#REF!</definedName>
    <definedName name="Fund_Ccy" localSheetId="11">#REF!</definedName>
    <definedName name="Fund_Ccy" localSheetId="6">Stock!#REF!</definedName>
    <definedName name="Fund_Ccy">#REF!</definedName>
    <definedName name="Fund_Date" localSheetId="7">'Aged debtors'!#REF!</definedName>
    <definedName name="Fund_Date" localSheetId="9">'Customer data'!#REF!</definedName>
    <definedName name="Fund_Date" localSheetId="8">'Largest debtors'!#REF!</definedName>
    <definedName name="Fund_Date" localSheetId="11">#REF!</definedName>
    <definedName name="Fund_Date" localSheetId="6">Stock!#REF!</definedName>
    <definedName name="Fund_Date">#REF!</definedName>
    <definedName name="Furniture" localSheetId="7">'Aged debtors'!#REF!</definedName>
    <definedName name="Furniture" localSheetId="10">#REF!</definedName>
    <definedName name="Furniture" localSheetId="0">#REF!</definedName>
    <definedName name="Furniture" localSheetId="9">'Customer data'!#REF!</definedName>
    <definedName name="Furniture" localSheetId="8">'Largest debtors'!#REF!</definedName>
    <definedName name="Furniture" localSheetId="11">#REF!</definedName>
    <definedName name="Furniture" localSheetId="6">Stock!#REF!</definedName>
    <definedName name="Furniture">#REF!</definedName>
    <definedName name="Future_Options" localSheetId="7">'Aged debtors'!#REF!</definedName>
    <definedName name="Future_Options" localSheetId="10">#REF!</definedName>
    <definedName name="Future_Options" localSheetId="9">'Customer data'!#REF!</definedName>
    <definedName name="Future_Options" localSheetId="8">'Largest debtors'!#REF!</definedName>
    <definedName name="Future_Options" localSheetId="11">#REF!</definedName>
    <definedName name="Future_Options" localSheetId="6">Stock!#REF!</definedName>
    <definedName name="Future_Options">#REF!</definedName>
    <definedName name="FV" localSheetId="7">'Aged debtors'!#REF!</definedName>
    <definedName name="FV" localSheetId="10">#REF!</definedName>
    <definedName name="FV" localSheetId="9">'Customer data'!#REF!</definedName>
    <definedName name="FV" localSheetId="8">'Largest debtors'!#REF!</definedName>
    <definedName name="FV" localSheetId="11">#REF!</definedName>
    <definedName name="FV" localSheetId="6">Stock!#REF!</definedName>
    <definedName name="FV">#REF!</definedName>
    <definedName name="FV_2" localSheetId="7">'Aged debtors'!#REF!</definedName>
    <definedName name="FV_2" localSheetId="10">#REF!</definedName>
    <definedName name="FV_2" localSheetId="9">'Customer data'!#REF!</definedName>
    <definedName name="FV_2" localSheetId="8">'Largest debtors'!#REF!</definedName>
    <definedName name="FV_2" localSheetId="11">#REF!</definedName>
    <definedName name="FV_2" localSheetId="6">Stock!#REF!</definedName>
    <definedName name="FV_2">#REF!</definedName>
    <definedName name="FV_3" localSheetId="7">'Aged debtors'!#REF!</definedName>
    <definedName name="FV_3" localSheetId="10">#REF!</definedName>
    <definedName name="FV_3" localSheetId="9">'Customer data'!#REF!</definedName>
    <definedName name="FV_3" localSheetId="8">'Largest debtors'!#REF!</definedName>
    <definedName name="FV_3" localSheetId="11">#REF!</definedName>
    <definedName name="FV_3" localSheetId="6">Stock!#REF!</definedName>
    <definedName name="FV_3">#REF!</definedName>
    <definedName name="FX" localSheetId="7">'Aged debtors'!#REF!</definedName>
    <definedName name="FX" localSheetId="12">#REF!</definedName>
    <definedName name="FX" localSheetId="9">'Customer data'!#REF!</definedName>
    <definedName name="FX" localSheetId="8">'Largest debtors'!#REF!</definedName>
    <definedName name="FX" localSheetId="11">#REF!</definedName>
    <definedName name="FX" localSheetId="6">Stock!#REF!</definedName>
    <definedName name="FX">#REF!</definedName>
    <definedName name="FXX" localSheetId="7">'Aged debtors'!#REF!</definedName>
    <definedName name="FXX" localSheetId="12">#REF!</definedName>
    <definedName name="FXX" localSheetId="9">'Customer data'!#REF!</definedName>
    <definedName name="FXX" localSheetId="8">'Largest debtors'!#REF!</definedName>
    <definedName name="FXX" localSheetId="11">#REF!</definedName>
    <definedName name="FXX" localSheetId="6">Stock!#REF!</definedName>
    <definedName name="FXX">#REF!</definedName>
    <definedName name="FY" localSheetId="7">'Aged debtors'!#REF!</definedName>
    <definedName name="FY" localSheetId="10">#REF!</definedName>
    <definedName name="FY" localSheetId="9">'Customer data'!#REF!</definedName>
    <definedName name="FY" localSheetId="8">'Largest debtors'!#REF!</definedName>
    <definedName name="FY" localSheetId="11">#REF!</definedName>
    <definedName name="FY" localSheetId="6">Stock!#REF!</definedName>
    <definedName name="FY">#REF!</definedName>
    <definedName name="g" localSheetId="7">'Aged debtors'!#REF!</definedName>
    <definedName name="g" localSheetId="10">#REF!</definedName>
    <definedName name="g" localSheetId="9">'Customer data'!#REF!</definedName>
    <definedName name="g" localSheetId="8">'Largest debtors'!#REF!</definedName>
    <definedName name="g" localSheetId="11">#REF!</definedName>
    <definedName name="g" localSheetId="6">Stock!#REF!</definedName>
    <definedName name="g">#REF!</definedName>
    <definedName name="google_consumer_calc" localSheetId="7">'Aged debtors'!#REF!</definedName>
    <definedName name="google_consumer_calc" localSheetId="9">'Customer data'!#REF!</definedName>
    <definedName name="google_consumer_calc" localSheetId="8">'Largest debtors'!#REF!</definedName>
    <definedName name="google_consumer_calc" localSheetId="11">#REF!</definedName>
    <definedName name="google_consumer_calc" localSheetId="6">Stock!#REF!</definedName>
    <definedName name="google_consumer_calc">#REF!</definedName>
    <definedName name="Google_Supplier_Costs" localSheetId="7">'Aged debtors'!#REF!</definedName>
    <definedName name="Google_Supplier_Costs" localSheetId="9">'Customer data'!#REF!</definedName>
    <definedName name="Google_Supplier_Costs" localSheetId="8">'Largest debtors'!#REF!</definedName>
    <definedName name="Google_Supplier_Costs" localSheetId="11">#REF!</definedName>
    <definedName name="Google_Supplier_Costs" localSheetId="6">Stock!#REF!</definedName>
    <definedName name="Google_Supplier_Costs">#REF!</definedName>
    <definedName name="Group" localSheetId="7">'Aged debtors'!#REF!</definedName>
    <definedName name="Group" localSheetId="10">#REF!</definedName>
    <definedName name="Group" localSheetId="9">'Customer data'!#REF!</definedName>
    <definedName name="Group" localSheetId="8">'Largest debtors'!#REF!</definedName>
    <definedName name="Group" localSheetId="11">#REF!</definedName>
    <definedName name="Group" localSheetId="6">Stock!#REF!</definedName>
    <definedName name="Group">#REF!</definedName>
    <definedName name="Growth" localSheetId="7">'Aged debtors'!#REF!</definedName>
    <definedName name="Growth" localSheetId="10">#REF!</definedName>
    <definedName name="Growth" localSheetId="9">'Customer data'!#REF!</definedName>
    <definedName name="Growth" localSheetId="8">'Largest debtors'!#REF!</definedName>
    <definedName name="Growth" localSheetId="11">#REF!</definedName>
    <definedName name="Growth" localSheetId="6">Stock!#REF!</definedName>
    <definedName name="Growth">#REF!</definedName>
    <definedName name="GW_Amort" localSheetId="7">'Aged debtors'!#REF!</definedName>
    <definedName name="GW_Amort" localSheetId="10">#REF!</definedName>
    <definedName name="GW_Amort" localSheetId="9">'Customer data'!#REF!</definedName>
    <definedName name="GW_Amort" localSheetId="8">'Largest debtors'!#REF!</definedName>
    <definedName name="GW_Amort" localSheetId="11">#REF!</definedName>
    <definedName name="GW_Amort" localSheetId="6">Stock!#REF!</definedName>
    <definedName name="GW_Amort">#REF!</definedName>
    <definedName name="GW_Bal" localSheetId="7">'Aged debtors'!#REF!</definedName>
    <definedName name="GW_Bal" localSheetId="10">#REF!</definedName>
    <definedName name="GW_Bal" localSheetId="9">'Customer data'!#REF!</definedName>
    <definedName name="GW_Bal" localSheetId="8">'Largest debtors'!#REF!</definedName>
    <definedName name="GW_Bal" localSheetId="11">#REF!</definedName>
    <definedName name="GW_Bal" localSheetId="6">Stock!#REF!</definedName>
    <definedName name="GW_Bal">#REF!</definedName>
    <definedName name="GW_Cash" localSheetId="7">'Aged debtors'!#REF!</definedName>
    <definedName name="GW_Cash" localSheetId="10">#REF!</definedName>
    <definedName name="GW_Cash" localSheetId="9">'Customer data'!#REF!</definedName>
    <definedName name="GW_Cash" localSheetId="8">'Largest debtors'!#REF!</definedName>
    <definedName name="GW_Cash" localSheetId="11">#REF!</definedName>
    <definedName name="GW_Cash" localSheetId="6">Stock!#REF!</definedName>
    <definedName name="GW_Cash">#REF!</definedName>
    <definedName name="GW_Cum" localSheetId="7">'Aged debtors'!#REF!</definedName>
    <definedName name="GW_Cum" localSheetId="10">#REF!</definedName>
    <definedName name="GW_Cum" localSheetId="9">'Customer data'!#REF!</definedName>
    <definedName name="GW_Cum" localSheetId="8">'Largest debtors'!#REF!</definedName>
    <definedName name="GW_Cum" localSheetId="11">#REF!</definedName>
    <definedName name="GW_Cum" localSheetId="6">Stock!#REF!</definedName>
    <definedName name="GW_Cum">#REF!</definedName>
    <definedName name="GW_Init" localSheetId="7">'Aged debtors'!#REF!</definedName>
    <definedName name="GW_Init" localSheetId="10">#REF!</definedName>
    <definedName name="GW_Init" localSheetId="9">'Customer data'!#REF!</definedName>
    <definedName name="GW_Init" localSheetId="8">'Largest debtors'!#REF!</definedName>
    <definedName name="GW_Init" localSheetId="11">#REF!</definedName>
    <definedName name="GW_Init" localSheetId="6">Stock!#REF!</definedName>
    <definedName name="GW_Init">#REF!</definedName>
    <definedName name="GW_Writeoff" localSheetId="7">'Aged debtors'!#REF!</definedName>
    <definedName name="GW_Writeoff" localSheetId="10">#REF!</definedName>
    <definedName name="GW_Writeoff" localSheetId="9">'Customer data'!#REF!</definedName>
    <definedName name="GW_Writeoff" localSheetId="8">'Largest debtors'!#REF!</definedName>
    <definedName name="GW_Writeoff" localSheetId="11">#REF!</definedName>
    <definedName name="GW_Writeoff" localSheetId="6">Stock!#REF!</definedName>
    <definedName name="GW_Writeoff">#REF!</definedName>
    <definedName name="High" localSheetId="7">'Aged debtors'!#REF!</definedName>
    <definedName name="High" localSheetId="10">#REF!</definedName>
    <definedName name="High" localSheetId="9">'Customer data'!#REF!</definedName>
    <definedName name="High" localSheetId="8">'Largest debtors'!#REF!</definedName>
    <definedName name="High" localSheetId="11">#REF!</definedName>
    <definedName name="High" localSheetId="6">Stock!#REF!</definedName>
    <definedName name="High">#REF!</definedName>
    <definedName name="HL_Sheet_Main" localSheetId="7" hidden="1">'Aged debtors'!#REF!</definedName>
    <definedName name="HL_Sheet_Main" localSheetId="10" hidden="1">#REF!</definedName>
    <definedName name="HL_Sheet_Main" localSheetId="12" hidden="1">#REF!</definedName>
    <definedName name="HL_Sheet_Main" localSheetId="9" hidden="1">'Customer data'!#REF!</definedName>
    <definedName name="HL_Sheet_Main" localSheetId="8" hidden="1">'Largest debtors'!#REF!</definedName>
    <definedName name="HL_Sheet_Main" localSheetId="11" hidden="1">#REF!</definedName>
    <definedName name="HL_Sheet_Main" localSheetId="6" hidden="1">Stock!#REF!</definedName>
    <definedName name="HL_Sheet_Main" hidden="1">#REF!</definedName>
    <definedName name="HL_Sheet_Main_2" localSheetId="7" hidden="1">'Aged debtors'!#REF!</definedName>
    <definedName name="HL_Sheet_Main_2" localSheetId="10" hidden="1">#REF!</definedName>
    <definedName name="HL_Sheet_Main_2" localSheetId="12" hidden="1">#REF!</definedName>
    <definedName name="HL_Sheet_Main_2" localSheetId="9" hidden="1">'Customer data'!#REF!</definedName>
    <definedName name="HL_Sheet_Main_2" localSheetId="8" hidden="1">'Largest debtors'!#REF!</definedName>
    <definedName name="HL_Sheet_Main_2" localSheetId="11" hidden="1">#REF!</definedName>
    <definedName name="HL_Sheet_Main_2" localSheetId="6" hidden="1">Stock!#REF!</definedName>
    <definedName name="HL_Sheet_Main_2" hidden="1">#REF!</definedName>
    <definedName name="HTML_CodePage" hidden="1">1252</definedName>
    <definedName name="HTML_Control" localSheetId="7" hidden="1">{"'Daily Rec'!$E$7:$F$12"}</definedName>
    <definedName name="HTML_Control" localSheetId="10" hidden="1">{"'Daily Rec'!$E$7:$F$12"}</definedName>
    <definedName name="HTML_Control" localSheetId="9" hidden="1">{"'Daily Rec'!$E$7:$F$12"}</definedName>
    <definedName name="HTML_Control" localSheetId="3" hidden="1">{"'Daily Rec'!$E$7:$F$12"}</definedName>
    <definedName name="HTML_Control" localSheetId="8" hidden="1">{"'Daily Rec'!$E$7:$F$12"}</definedName>
    <definedName name="HTML_Control" localSheetId="11" hidden="1">{"'Daily Rec'!$E$7:$F$12"}</definedName>
    <definedName name="HTML_Control" localSheetId="4" hidden="1">{"'Daily Rec'!$E$7:$F$12"}</definedName>
    <definedName name="HTML_Control" localSheetId="6" hidden="1">{"'Daily Rec'!$E$7:$F$12"}</definedName>
    <definedName name="HTML_Control" hidden="1">{"'Daily Rec'!$E$7:$F$12"}</definedName>
    <definedName name="HTML_Description" hidden="1">""</definedName>
    <definedName name="HTML_Email" hidden="1">""</definedName>
    <definedName name="HTML_Header" hidden="1">"Daily Bank Balances"</definedName>
    <definedName name="HTML_LastUpdate" hidden="1">"26/02/99"</definedName>
    <definedName name="HTML_LineAfter" hidden="1">FALSE</definedName>
    <definedName name="HTML_LineBefore" hidden="1">FALSE</definedName>
    <definedName name="HTML_Name" hidden="1">"Gill"</definedName>
    <definedName name="HTML_OBDlg2" hidden="1">TRUE</definedName>
    <definedName name="HTML_OBDlg4" hidden="1">TRUE</definedName>
    <definedName name="HTML_OS" hidden="1">0</definedName>
    <definedName name="HTML_PathFile" hidden="1">"I:\ACCOUNTS\Directors\DailyBankRec.htm"</definedName>
    <definedName name="HTML_Title" hidden="1">"Daily Bank Reconciliation"</definedName>
    <definedName name="INFO_BI_EXE_NAME" hidden="1">"BICORE.EXE"</definedName>
    <definedName name="INFO_EXE_SERVER_PATH" hidden="1">"C:\SageIntelligenceReporting73\BICORE.EXE"</definedName>
    <definedName name="INFO_INSTANCE_ID" hidden="1">"0"</definedName>
    <definedName name="INFO_INSTANCE_NAME" hidden="1">"Group Management Pack_20140912_09_11_20_1111.xls"</definedName>
    <definedName name="INFO_REPORT_CODE" hidden="1">""</definedName>
    <definedName name="INFO_REPORT_ID" hidden="1">"7"</definedName>
    <definedName name="INFO_REPORT_NAME" hidden="1">"Group Management Pack"</definedName>
    <definedName name="INFO_RUN_USER" hidden="1">""</definedName>
    <definedName name="INFO_RUN_WORKSTATION" hidden="1">"ZBD-LT-WR2"</definedName>
    <definedName name="Int_Exp" localSheetId="7">'Aged debtors'!#REF!</definedName>
    <definedName name="Int_Exp" localSheetId="10">#REF!</definedName>
    <definedName name="Int_Exp" localSheetId="9">'Customer data'!#REF!</definedName>
    <definedName name="Int_Exp" localSheetId="3">#REF!</definedName>
    <definedName name="Int_Exp" localSheetId="8">'Largest debtors'!#REF!</definedName>
    <definedName name="Int_Exp" localSheetId="11">#REF!</definedName>
    <definedName name="Int_Exp" localSheetId="6">Stock!#REF!</definedName>
    <definedName name="Int_Exp">#REF!</definedName>
    <definedName name="Int_Exp_Excl_OD" localSheetId="7">'Aged debtors'!#REF!</definedName>
    <definedName name="Int_Exp_Excl_OD" localSheetId="10">#REF!</definedName>
    <definedName name="Int_Exp_Excl_OD" localSheetId="9">'Customer data'!#REF!</definedName>
    <definedName name="Int_Exp_Excl_OD" localSheetId="8">'Largest debtors'!#REF!</definedName>
    <definedName name="Int_Exp_Excl_OD" localSheetId="11">#REF!</definedName>
    <definedName name="Int_Exp_Excl_OD" localSheetId="6">Stock!#REF!</definedName>
    <definedName name="Int_Exp_Excl_OD">#REF!</definedName>
    <definedName name="Int_Inc" localSheetId="7">'Aged debtors'!#REF!</definedName>
    <definedName name="Int_Inc" localSheetId="10">#REF!</definedName>
    <definedName name="Int_Inc" localSheetId="9">'Customer data'!#REF!</definedName>
    <definedName name="Int_Inc" localSheetId="8">'Largest debtors'!#REF!</definedName>
    <definedName name="Int_Inc" localSheetId="11">#REF!</definedName>
    <definedName name="Int_Inc" localSheetId="6">Stock!#REF!</definedName>
    <definedName name="Int_Inc">#REF!</definedName>
    <definedName name="Intang_Amort" localSheetId="7">'Aged debtors'!#REF!</definedName>
    <definedName name="Intang_Amort" localSheetId="10">#REF!</definedName>
    <definedName name="Intang_Amort" localSheetId="9">'Customer data'!#REF!</definedName>
    <definedName name="Intang_Amort" localSheetId="8">'Largest debtors'!#REF!</definedName>
    <definedName name="Intang_Amort" localSheetId="11">#REF!</definedName>
    <definedName name="Intang_Amort" localSheetId="6">Stock!#REF!</definedName>
    <definedName name="Intang_Amort">#REF!</definedName>
    <definedName name="Intang_Bal" localSheetId="7">'Aged debtors'!#REF!</definedName>
    <definedName name="Intang_Bal" localSheetId="10">#REF!</definedName>
    <definedName name="Intang_Bal" localSheetId="9">'Customer data'!#REF!</definedName>
    <definedName name="Intang_Bal" localSheetId="8">'Largest debtors'!#REF!</definedName>
    <definedName name="Intang_Bal" localSheetId="11">#REF!</definedName>
    <definedName name="Intang_Bal" localSheetId="6">Stock!#REF!</definedName>
    <definedName name="Intang_Bal">#REF!</definedName>
    <definedName name="Intang_Cash" localSheetId="7">'Aged debtors'!#REF!</definedName>
    <definedName name="Intang_Cash" localSheetId="10">#REF!</definedName>
    <definedName name="Intang_Cash" localSheetId="9">'Customer data'!#REF!</definedName>
    <definedName name="Intang_Cash" localSheetId="8">'Largest debtors'!#REF!</definedName>
    <definedName name="Intang_Cash" localSheetId="11">#REF!</definedName>
    <definedName name="Intang_Cash" localSheetId="6">Stock!#REF!</definedName>
    <definedName name="Intang_Cash">#REF!</definedName>
    <definedName name="Intang_Init" localSheetId="7">'Aged debtors'!#REF!</definedName>
    <definedName name="Intang_Init" localSheetId="10">#REF!</definedName>
    <definedName name="Intang_Init" localSheetId="9">'Customer data'!#REF!</definedName>
    <definedName name="Intang_Init" localSheetId="8">'Largest debtors'!#REF!</definedName>
    <definedName name="Intang_Init" localSheetId="11">#REF!</definedName>
    <definedName name="Intang_Init" localSheetId="6">Stock!#REF!</definedName>
    <definedName name="Intang_Init">#REF!</definedName>
    <definedName name="InterestOnly" localSheetId="7">'Aged debtors'!#REF!</definedName>
    <definedName name="InterestOnly" localSheetId="10">#REF!</definedName>
    <definedName name="InterestOnly" localSheetId="9">'Customer data'!#REF!</definedName>
    <definedName name="InterestOnly" localSheetId="8">'Largest debtors'!#REF!</definedName>
    <definedName name="InterestOnly" localSheetId="11">#REF!</definedName>
    <definedName name="InterestOnly" localSheetId="6">Stock!#REF!</definedName>
    <definedName name="InterestOnly">#REF!</definedName>
    <definedName name="InterestOnly2" localSheetId="7">'Aged debtors'!#REF!</definedName>
    <definedName name="InterestOnly2" localSheetId="10">#REF!</definedName>
    <definedName name="InterestOnly2" localSheetId="9">'Customer data'!#REF!</definedName>
    <definedName name="InterestOnly2" localSheetId="8">'Largest debtors'!#REF!</definedName>
    <definedName name="InterestOnly2" localSheetId="11">#REF!</definedName>
    <definedName name="InterestOnly2" localSheetId="6">Stock!#REF!</definedName>
    <definedName name="InterestOnly2">#REF!</definedName>
    <definedName name="InterestOnly3" localSheetId="7">'Aged debtors'!#REF!</definedName>
    <definedName name="InterestOnly3" localSheetId="10">#REF!</definedName>
    <definedName name="InterestOnly3" localSheetId="9">'Customer data'!#REF!</definedName>
    <definedName name="InterestOnly3" localSheetId="8">'Largest debtors'!#REF!</definedName>
    <definedName name="InterestOnly3" localSheetId="11">#REF!</definedName>
    <definedName name="InterestOnly3" localSheetId="6">Stock!#REF!</definedName>
    <definedName name="InterestOnly3">#REF!</definedName>
    <definedName name="InterestOnlyAmount" localSheetId="7">'Aged debtors'!#REF!</definedName>
    <definedName name="InterestOnlyAmount" localSheetId="10">#REF!</definedName>
    <definedName name="InterestOnlyAmount" localSheetId="9">'Customer data'!#REF!</definedName>
    <definedName name="InterestOnlyAmount" localSheetId="8">'Largest debtors'!#REF!</definedName>
    <definedName name="InterestOnlyAmount" localSheetId="11">#REF!</definedName>
    <definedName name="InterestOnlyAmount" localSheetId="6">Stock!#REF!</definedName>
    <definedName name="InterestOnlyAmount">#REF!</definedName>
    <definedName name="InterestOnlyAmount2" localSheetId="7">'Aged debtors'!#REF!</definedName>
    <definedName name="InterestOnlyAmount2" localSheetId="10">#REF!</definedName>
    <definedName name="InterestOnlyAmount2" localSheetId="9">'Customer data'!#REF!</definedName>
    <definedName name="InterestOnlyAmount2" localSheetId="8">'Largest debtors'!#REF!</definedName>
    <definedName name="InterestOnlyAmount2" localSheetId="11">#REF!</definedName>
    <definedName name="InterestOnlyAmount2" localSheetId="6">Stock!#REF!</definedName>
    <definedName name="InterestOnlyAmount2">#REF!</definedName>
    <definedName name="InterestOnlyAmount3" localSheetId="7">'Aged debtors'!#REF!</definedName>
    <definedName name="InterestOnlyAmount3" localSheetId="10">#REF!</definedName>
    <definedName name="InterestOnlyAmount3" localSheetId="9">'Customer data'!#REF!</definedName>
    <definedName name="InterestOnlyAmount3" localSheetId="8">'Largest debtors'!#REF!</definedName>
    <definedName name="InterestOnlyAmount3" localSheetId="11">#REF!</definedName>
    <definedName name="InterestOnlyAmount3" localSheetId="6">Stock!#REF!</definedName>
    <definedName name="InterestOnlyAmount3">#REF!</definedName>
    <definedName name="InterestRate" localSheetId="7">'Aged debtors'!#REF!</definedName>
    <definedName name="InterestRate" localSheetId="10">#REF!</definedName>
    <definedName name="InterestRate" localSheetId="9">'Customer data'!#REF!</definedName>
    <definedName name="InterestRate" localSheetId="8">'Largest debtors'!#REF!</definedName>
    <definedName name="InterestRate" localSheetId="11">#REF!</definedName>
    <definedName name="InterestRate" localSheetId="6">Stock!#REF!</definedName>
    <definedName name="InterestRate">#REF!</definedName>
    <definedName name="InterestRate_InterestOnly" localSheetId="7">'Aged debtors'!#REF!</definedName>
    <definedName name="InterestRate_InterestOnly" localSheetId="10">#REF!</definedName>
    <definedName name="InterestRate_InterestOnly" localSheetId="9">'Customer data'!#REF!</definedName>
    <definedName name="InterestRate_InterestOnly" localSheetId="8">'Largest debtors'!#REF!</definedName>
    <definedName name="InterestRate_InterestOnly" localSheetId="11">#REF!</definedName>
    <definedName name="InterestRate_InterestOnly" localSheetId="6">Stock!#REF!</definedName>
    <definedName name="InterestRate_InterestOnly">#REF!</definedName>
    <definedName name="InterestRate_InterestOnly2" localSheetId="7">'Aged debtors'!#REF!</definedName>
    <definedName name="InterestRate_InterestOnly2" localSheetId="10">#REF!</definedName>
    <definedName name="InterestRate_InterestOnly2" localSheetId="9">'Customer data'!#REF!</definedName>
    <definedName name="InterestRate_InterestOnly2" localSheetId="8">'Largest debtors'!#REF!</definedName>
    <definedName name="InterestRate_InterestOnly2" localSheetId="11">#REF!</definedName>
    <definedName name="InterestRate_InterestOnly2" localSheetId="6">Stock!#REF!</definedName>
    <definedName name="InterestRate_InterestOnly2">#REF!</definedName>
    <definedName name="InterestRate_InterestOnly3" localSheetId="7">'Aged debtors'!#REF!</definedName>
    <definedName name="InterestRate_InterestOnly3" localSheetId="10">#REF!</definedName>
    <definedName name="InterestRate_InterestOnly3" localSheetId="9">'Customer data'!#REF!</definedName>
    <definedName name="InterestRate_InterestOnly3" localSheetId="8">'Largest debtors'!#REF!</definedName>
    <definedName name="InterestRate_InterestOnly3" localSheetId="11">#REF!</definedName>
    <definedName name="InterestRate_InterestOnly3" localSheetId="6">Stock!#REF!</definedName>
    <definedName name="InterestRate_InterestOnly3">#REF!</definedName>
    <definedName name="InterestRate2" localSheetId="7">'Aged debtors'!#REF!</definedName>
    <definedName name="InterestRate2" localSheetId="10">#REF!</definedName>
    <definedName name="InterestRate2" localSheetId="9">'Customer data'!#REF!</definedName>
    <definedName name="InterestRate2" localSheetId="8">'Largest debtors'!#REF!</definedName>
    <definedName name="InterestRate2" localSheetId="11">#REF!</definedName>
    <definedName name="InterestRate2" localSheetId="6">Stock!#REF!</definedName>
    <definedName name="InterestRate2">#REF!</definedName>
    <definedName name="InterestRate3" localSheetId="7">'Aged debtors'!#REF!</definedName>
    <definedName name="InterestRate3" localSheetId="10">#REF!</definedName>
    <definedName name="InterestRate3" localSheetId="9">'Customer data'!#REF!</definedName>
    <definedName name="InterestRate3" localSheetId="8">'Largest debtors'!#REF!</definedName>
    <definedName name="InterestRate3" localSheetId="11">#REF!</definedName>
    <definedName name="InterestRate3" localSheetId="6">Stock!#REF!</definedName>
    <definedName name="InterestRate3">#REF!</definedName>
    <definedName name="Interim_Payable" localSheetId="7">'Aged debtors'!#REF!</definedName>
    <definedName name="Interim_Payable" localSheetId="10">#REF!</definedName>
    <definedName name="Interim_Payable" localSheetId="9">'Customer data'!#REF!</definedName>
    <definedName name="Interim_Payable" localSheetId="8">'Largest debtors'!#REF!</definedName>
    <definedName name="Interim_Payable" localSheetId="11">#REF!</definedName>
    <definedName name="Interim_Payable" localSheetId="6">Stock!#REF!</definedName>
    <definedName name="Interim_Payable">#REF!</definedName>
    <definedName name="Interim_Payable2" localSheetId="7">'Aged debtors'!#REF!</definedName>
    <definedName name="Interim_Payable2" localSheetId="10">#REF!</definedName>
    <definedName name="Interim_Payable2" localSheetId="9">'Customer data'!#REF!</definedName>
    <definedName name="Interim_Payable2" localSheetId="8">'Largest debtors'!#REF!</definedName>
    <definedName name="Interim_Payable2" localSheetId="11">#REF!</definedName>
    <definedName name="Interim_Payable2" localSheetId="6">Stock!#REF!</definedName>
    <definedName name="Interim_Payable2">#REF!</definedName>
    <definedName name="Interim_Payable3" localSheetId="7">'Aged debtors'!#REF!</definedName>
    <definedName name="Interim_Payable3" localSheetId="10">#REF!</definedName>
    <definedName name="Interim_Payable3" localSheetId="9">'Customer data'!#REF!</definedName>
    <definedName name="Interim_Payable3" localSheetId="8">'Largest debtors'!#REF!</definedName>
    <definedName name="Interim_Payable3" localSheetId="11">#REF!</definedName>
    <definedName name="Interim_Payable3" localSheetId="6">Stock!#REF!</definedName>
    <definedName name="Interim_Payable3">#REF!</definedName>
    <definedName name="Interim_Payment_as_Interest_Only" localSheetId="7">'Aged debtors'!#REF!</definedName>
    <definedName name="Interim_Payment_as_Interest_Only" localSheetId="10">#REF!</definedName>
    <definedName name="Interim_Payment_as_Interest_Only" localSheetId="9">'Customer data'!#REF!</definedName>
    <definedName name="Interim_Payment_as_Interest_Only" localSheetId="8">'Largest debtors'!#REF!</definedName>
    <definedName name="Interim_Payment_as_Interest_Only" localSheetId="11">#REF!</definedName>
    <definedName name="Interim_Payment_as_Interest_Only" localSheetId="6">Stock!#REF!</definedName>
    <definedName name="Interim_Payment_as_Interest_Only">#REF!</definedName>
    <definedName name="Interim_Payment_as_Interest_Only2" localSheetId="7">'Aged debtors'!#REF!</definedName>
    <definedName name="Interim_Payment_as_Interest_Only2" localSheetId="10">#REF!</definedName>
    <definedName name="Interim_Payment_as_Interest_Only2" localSheetId="9">'Customer data'!#REF!</definedName>
    <definedName name="Interim_Payment_as_Interest_Only2" localSheetId="8">'Largest debtors'!#REF!</definedName>
    <definedName name="Interim_Payment_as_Interest_Only2" localSheetId="11">#REF!</definedName>
    <definedName name="Interim_Payment_as_Interest_Only2" localSheetId="6">Stock!#REF!</definedName>
    <definedName name="Interim_Payment_as_Interest_Only2">#REF!</definedName>
    <definedName name="Interim_Payment_as_Interest_Only3" localSheetId="7">'Aged debtors'!#REF!</definedName>
    <definedName name="Interim_Payment_as_Interest_Only3" localSheetId="10">#REF!</definedName>
    <definedName name="Interim_Payment_as_Interest_Only3" localSheetId="9">'Customer data'!#REF!</definedName>
    <definedName name="Interim_Payment_as_Interest_Only3" localSheetId="8">'Largest debtors'!#REF!</definedName>
    <definedName name="Interim_Payment_as_Interest_Only3" localSheetId="11">#REF!</definedName>
    <definedName name="Interim_Payment_as_Interest_Only3" localSheetId="6">Stock!#REF!</definedName>
    <definedName name="Interim_Payment_as_Interest_Only3">#REF!</definedName>
    <definedName name="Interim_Payment_Basis" localSheetId="7">'Aged debtors'!#REF!</definedName>
    <definedName name="Interim_Payment_Basis" localSheetId="10">#REF!</definedName>
    <definedName name="Interim_Payment_Basis" localSheetId="9">'Customer data'!#REF!</definedName>
    <definedName name="Interim_Payment_Basis" localSheetId="8">'Largest debtors'!#REF!</definedName>
    <definedName name="Interim_Payment_Basis" localSheetId="11">#REF!</definedName>
    <definedName name="Interim_Payment_Basis" localSheetId="6">Stock!#REF!</definedName>
    <definedName name="Interim_Payment_Basis">#REF!</definedName>
    <definedName name="Interim_Payment_Basis2" localSheetId="7">'Aged debtors'!#REF!</definedName>
    <definedName name="Interim_Payment_Basis2" localSheetId="10">#REF!</definedName>
    <definedName name="Interim_Payment_Basis2" localSheetId="9">'Customer data'!#REF!</definedName>
    <definedName name="Interim_Payment_Basis2" localSheetId="8">'Largest debtors'!#REF!</definedName>
    <definedName name="Interim_Payment_Basis2" localSheetId="11">#REF!</definedName>
    <definedName name="Interim_Payment_Basis2" localSheetId="6">Stock!#REF!</definedName>
    <definedName name="Interim_Payment_Basis2">#REF!</definedName>
    <definedName name="Interim_Payment_Basis3" localSheetId="7">'Aged debtors'!#REF!</definedName>
    <definedName name="Interim_Payment_Basis3" localSheetId="10">#REF!</definedName>
    <definedName name="Interim_Payment_Basis3" localSheetId="9">'Customer data'!#REF!</definedName>
    <definedName name="Interim_Payment_Basis3" localSheetId="8">'Largest debtors'!#REF!</definedName>
    <definedName name="Interim_Payment_Basis3" localSheetId="11">#REF!</definedName>
    <definedName name="Interim_Payment_Basis3" localSheetId="6">Stock!#REF!</definedName>
    <definedName name="Interim_Payment_Basis3">#REF!</definedName>
    <definedName name="Interim_Payment_Rate" localSheetId="7">'Aged debtors'!#REF!</definedName>
    <definedName name="Interim_Payment_Rate" localSheetId="10">#REF!</definedName>
    <definedName name="Interim_Payment_Rate" localSheetId="9">'Customer data'!#REF!</definedName>
    <definedName name="Interim_Payment_Rate" localSheetId="8">'Largest debtors'!#REF!</definedName>
    <definedName name="Interim_Payment_Rate" localSheetId="11">#REF!</definedName>
    <definedName name="Interim_Payment_Rate" localSheetId="6">Stock!#REF!</definedName>
    <definedName name="Interim_Payment_Rate">#REF!</definedName>
    <definedName name="Interim_Payment_Rate2" localSheetId="7">'Aged debtors'!#REF!</definedName>
    <definedName name="Interim_Payment_Rate2" localSheetId="10">#REF!</definedName>
    <definedName name="Interim_Payment_Rate2" localSheetId="9">'Customer data'!#REF!</definedName>
    <definedName name="Interim_Payment_Rate2" localSheetId="8">'Largest debtors'!#REF!</definedName>
    <definedName name="Interim_Payment_Rate2" localSheetId="11">#REF!</definedName>
    <definedName name="Interim_Payment_Rate2" localSheetId="6">Stock!#REF!</definedName>
    <definedName name="Interim_Payment_Rate2">#REF!</definedName>
    <definedName name="Interim_Payment_Rate3" localSheetId="7">'Aged debtors'!#REF!</definedName>
    <definedName name="Interim_Payment_Rate3" localSheetId="10">#REF!</definedName>
    <definedName name="Interim_Payment_Rate3" localSheetId="9">'Customer data'!#REF!</definedName>
    <definedName name="Interim_Payment_Rate3" localSheetId="8">'Largest debtors'!#REF!</definedName>
    <definedName name="Interim_Payment_Rate3" localSheetId="11">#REF!</definedName>
    <definedName name="Interim_Payment_Rate3" localSheetId="6">Stock!#REF!</definedName>
    <definedName name="Interim_Payment_Rate3">#REF!</definedName>
    <definedName name="InterimDays" localSheetId="7">'Aged debtors'!#REF!</definedName>
    <definedName name="InterimDays" localSheetId="10">#REF!</definedName>
    <definedName name="InterimDays" localSheetId="9">'Customer data'!#REF!</definedName>
    <definedName name="InterimDays" localSheetId="8">'Largest debtors'!#REF!</definedName>
    <definedName name="InterimDays" localSheetId="11">#REF!</definedName>
    <definedName name="InterimDays" localSheetId="6">Stock!#REF!</definedName>
    <definedName name="InterimDays">#REF!</definedName>
    <definedName name="InterimDays2" localSheetId="7">'Aged debtors'!#REF!</definedName>
    <definedName name="InterimDays2" localSheetId="10">#REF!</definedName>
    <definedName name="InterimDays2" localSheetId="9">'Customer data'!#REF!</definedName>
    <definedName name="InterimDays2" localSheetId="8">'Largest debtors'!#REF!</definedName>
    <definedName name="InterimDays2" localSheetId="11">#REF!</definedName>
    <definedName name="InterimDays2" localSheetId="6">Stock!#REF!</definedName>
    <definedName name="InterimDays2">#REF!</definedName>
    <definedName name="InterimDays3" localSheetId="7">'Aged debtors'!#REF!</definedName>
    <definedName name="InterimDays3" localSheetId="10">#REF!</definedName>
    <definedName name="InterimDays3" localSheetId="9">'Customer data'!#REF!</definedName>
    <definedName name="InterimDays3" localSheetId="8">'Largest debtors'!#REF!</definedName>
    <definedName name="InterimDays3" localSheetId="11">#REF!</definedName>
    <definedName name="InterimDays3" localSheetId="6">Stock!#REF!</definedName>
    <definedName name="InterimDays3">#REF!</definedName>
    <definedName name="InterimPayment" localSheetId="7">'Aged debtors'!#REF!</definedName>
    <definedName name="InterimPayment" localSheetId="10">#REF!</definedName>
    <definedName name="InterimPayment" localSheetId="9">'Customer data'!#REF!</definedName>
    <definedName name="InterimPayment" localSheetId="8">'Largest debtors'!#REF!</definedName>
    <definedName name="InterimPayment" localSheetId="11">#REF!</definedName>
    <definedName name="InterimPayment" localSheetId="6">Stock!#REF!</definedName>
    <definedName name="InterimPayment">#REF!</definedName>
    <definedName name="InterimPayment2" localSheetId="7">'Aged debtors'!#REF!</definedName>
    <definedName name="InterimPayment2" localSheetId="10">#REF!</definedName>
    <definedName name="InterimPayment2" localSheetId="9">'Customer data'!#REF!</definedName>
    <definedName name="InterimPayment2" localSheetId="8">'Largest debtors'!#REF!</definedName>
    <definedName name="InterimPayment2" localSheetId="11">#REF!</definedName>
    <definedName name="InterimPayment2" localSheetId="6">Stock!#REF!</definedName>
    <definedName name="InterimPayment2">#REF!</definedName>
    <definedName name="InterimPayment3" localSheetId="7">'Aged debtors'!#REF!</definedName>
    <definedName name="InterimPayment3" localSheetId="10">#REF!</definedName>
    <definedName name="InterimPayment3" localSheetId="9">'Customer data'!#REF!</definedName>
    <definedName name="InterimPayment3" localSheetId="8">'Largest debtors'!#REF!</definedName>
    <definedName name="InterimPayment3" localSheetId="11">#REF!</definedName>
    <definedName name="InterimPayment3" localSheetId="6">Stock!#REF!</definedName>
    <definedName name="InterimPayment3">#REF!</definedName>
    <definedName name="Inv" localSheetId="7">'Aged debtors'!#REF!</definedName>
    <definedName name="Inv" localSheetId="10">#REF!</definedName>
    <definedName name="Inv" localSheetId="9">'Customer data'!#REF!</definedName>
    <definedName name="Inv" localSheetId="8">'Largest debtors'!#REF!</definedName>
    <definedName name="Inv" localSheetId="11">#REF!</definedName>
    <definedName name="Inv" localSheetId="6">Stock!#REF!</definedName>
    <definedName name="Inv">#REF!</definedName>
    <definedName name="Inv_Bal" localSheetId="7">'Aged debtors'!#REF!</definedName>
    <definedName name="Inv_Bal" localSheetId="10">#REF!</definedName>
    <definedName name="Inv_Bal" localSheetId="9">'Customer data'!#REF!</definedName>
    <definedName name="Inv_Bal" localSheetId="8">'Largest debtors'!#REF!</definedName>
    <definedName name="Inv_Bal" localSheetId="11">#REF!</definedName>
    <definedName name="Inv_Bal" localSheetId="6">Stock!#REF!</definedName>
    <definedName name="Inv_Bal">#REF!</definedName>
    <definedName name="Inv_Cap" localSheetId="7">'Aged debtors'!#REF!</definedName>
    <definedName name="Inv_Cap" localSheetId="10">#REF!</definedName>
    <definedName name="Inv_Cap" localSheetId="9">'Customer data'!#REF!</definedName>
    <definedName name="Inv_Cap" localSheetId="8">'Largest debtors'!#REF!</definedName>
    <definedName name="Inv_Cap" localSheetId="11">#REF!</definedName>
    <definedName name="Inv_Cap" localSheetId="6">Stock!#REF!</definedName>
    <definedName name="Inv_Cap">#REF!</definedName>
    <definedName name="Inv_Cap_P2" localSheetId="7">'Aged debtors'!#REF!</definedName>
    <definedName name="Inv_Cap_P2" localSheetId="10">#REF!</definedName>
    <definedName name="Inv_Cap_P2" localSheetId="9">'Customer data'!#REF!</definedName>
    <definedName name="Inv_Cap_P2" localSheetId="8">'Largest debtors'!#REF!</definedName>
    <definedName name="Inv_Cap_P2" localSheetId="11">#REF!</definedName>
    <definedName name="Inv_Cap_P2" localSheetId="6">Stock!#REF!</definedName>
    <definedName name="Inv_Cap_P2">#REF!</definedName>
    <definedName name="Inv_CapP_P2" localSheetId="7">'Aged debtors'!#REF!</definedName>
    <definedName name="Inv_CapP_P2" localSheetId="10">#REF!</definedName>
    <definedName name="Inv_CapP_P2" localSheetId="9">'Customer data'!#REF!</definedName>
    <definedName name="Inv_CapP_P2" localSheetId="8">'Largest debtors'!#REF!</definedName>
    <definedName name="Inv_CapP_P2" localSheetId="11">#REF!</definedName>
    <definedName name="Inv_CapP_P2" localSheetId="6">Stock!#REF!</definedName>
    <definedName name="Inv_CapP_P2">#REF!</definedName>
    <definedName name="Inv_Cash" localSheetId="7">'Aged debtors'!#REF!</definedName>
    <definedName name="Inv_Cash" localSheetId="10">#REF!</definedName>
    <definedName name="Inv_Cash" localSheetId="9">'Customer data'!#REF!</definedName>
    <definedName name="Inv_Cash" localSheetId="8">'Largest debtors'!#REF!</definedName>
    <definedName name="Inv_Cash" localSheetId="11">#REF!</definedName>
    <definedName name="Inv_Cash" localSheetId="6">Stock!#REF!</definedName>
    <definedName name="Inv_Cash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QUIRED_BY_REPORTING_BANK_FDIC" hidden="1">"c6535"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E_BR" hidden="1">"c10"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MENDED_BALANCE_PREVIOUS_YR_FDIC" hidden="1">"c6499"</definedName>
    <definedName name="IQ_AMORT_EXPENSE_FDIC" hidden="1">"c6677"</definedName>
    <definedName name="IQ_AMORTIZED_COST_FDIC" hidden="1">"c6426"</definedName>
    <definedName name="IQ_AP_BR" hidden="1">"c34"</definedName>
    <definedName name="IQ_AR_BR" hidden="1">"c41"</definedName>
    <definedName name="IQ_ASSET_BACKED_FDIC" hidden="1">"c6301"</definedName>
    <definedName name="IQ_ASSET_WRITEDOWN_BR" hidden="1">"c50"</definedName>
    <definedName name="IQ_ASSET_WRITEDOWN_CF_BR" hidden="1">"c53"</definedName>
    <definedName name="IQ_ASSETS_HELD_FDIC" hidden="1">"c6305"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CAPEX_BR" hidden="1">"c111"</definedName>
    <definedName name="IQ_CASH_DIVIDENDS_NET_INCOME_FDIC" hidden="1">"c6738"</definedName>
    <definedName name="IQ_CASH_IN_PROCESS_FDIC" hidden="1">"c6386"</definedName>
    <definedName name="IQ_CCE_FDIC" hidden="1">"c6296"</definedName>
    <definedName name="IQ_CH" hidden="1">110000</definedName>
    <definedName name="IQ_CHANGE_AP_BR" hidden="1">"c135"</definedName>
    <definedName name="IQ_CHANGE_AR_BR" hidden="1">"c142"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OTHER_WORK_CAP_BR" hidden="1">"c154"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MO_FDIC" hidden="1">"c6406"</definedName>
    <definedName name="IQ_COLLECTION_DOMESTIC_FDIC" hidden="1">"c6387"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RE_CONSTRUCTION_LAND_DEV_FDIC" hidden="1">"c6526"</definedName>
    <definedName name="IQ_COMMERCIAL_RE_LOANS_FDIC" hidden="1">"c6312"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_APIC_BR" hidden="1">"c185"</definedName>
    <definedName name="IQ_COMMON_FDIC" hidden="1">"c6350"</definedName>
    <definedName name="IQ_COMMON_ISSUED_BR" hidden="1">"c199"</definedName>
    <definedName name="IQ_COMMON_REP_BR" hidden="1">"c208"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TRACTS_OTHER_COMMODITIES_EQUITIES_FDIC" hidden="1">"c6522"</definedName>
    <definedName name="IQ_CONV_RATE" hidden="1">"c2192"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OF_FUNDING_ASSETS_FDIC" hidden="1">"c6725"</definedName>
    <definedName name="IQ_CQ" hidden="1">5000</definedName>
    <definedName name="IQ_CREDIT_CARD_CHARGE_OFFS_FDIC" hidden="1">"c6652"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PROVISION_NET_CHARGE_OFFS_FDIC" hidden="1">"c6734"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ENCY_COIN_DOMESTIC_FDIC" hidden="1">"c6388"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 hidden="1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RIVATIVES_FDIC" hidden="1">"c6523"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EARNING_ASSETS_FDIC" hidden="1">"c6360"</definedName>
    <definedName name="IQ_EARNING_ASSETS_YIELD_FDIC" hidden="1">"c6724"</definedName>
    <definedName name="IQ_EARNINGS_COVERAGE_NET_CHARGE_OFFS_FDIC" hidden="1">"c6735"</definedName>
    <definedName name="IQ_EBT_BR" hidden="1">"c378"</definedName>
    <definedName name="IQ_EBT_EXCL_BR" hidden="1">"c381"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FFICIENCY_RATIO_FDIC" hidden="1">"c6736"</definedName>
    <definedName name="IQ_EQUITY_CAPITAL_ASSETS_FDIC" hidden="1">"c6744"</definedName>
    <definedName name="IQ_EQUITY_FDIC" hidden="1">"c6353"</definedName>
    <definedName name="IQ_EQUITY_SECURITIES_FDIC" hidden="1">"c6304"</definedName>
    <definedName name="IQ_EQUITY_SECURITY_EXPOSURES_FDIC" hidden="1">"c6664"</definedName>
    <definedName name="IQ_ESTIMATED_ASSESSABLE_DEPOSITS_FDIC" hidden="1">"c6490"</definedName>
    <definedName name="IQ_ESTIMATED_INSURED_DEPOSITS_FDIC" hidden="1">"c6491"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_BR" hidden="1">"c412"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ED_FUNDS_PURCHASED_FDIC" hidden="1">"c6343"</definedName>
    <definedName name="IQ_FED_FUNDS_SOLD_FDIC" hidden="1">"c6307"</definedName>
    <definedName name="IQ_FH" hidden="1">100000</definedName>
    <definedName name="IQ_FHLB_ADVANCES_FDIC" hidden="1">"c6366"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VE_YEAR_FIXED_AND_FLOATING_RATE_FDIC" hidden="1">"c6422"</definedName>
    <definedName name="IQ_FIVE_YEAR_MORTGAGE_PASS_THROUGHS_FDIC" hidden="1">"c6414"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OSITS_NONTRANSACTION_ACCOUNTS_FDIC" hidden="1">"c6549"</definedName>
    <definedName name="IQ_FOREIGN_DEPOSITS_TRANSACTION_ACCOUNTS_FDIC" hidden="1">"c6541"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Q" hidden="1">500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_CONTRACTS_FDIC" hidden="1">"c6517"</definedName>
    <definedName name="IQ_FX_CONTRACTS_SPOT_FDIC" hidden="1">"c6356"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W_AMORT_BR" hidden="1">"c532"</definedName>
    <definedName name="IQ_GW_INTAN_AMORT_BR" hidden="1">"c1470"</definedName>
    <definedName name="IQ_GW_INTAN_AMORT_CF_BR" hidden="1">"c1473"</definedName>
    <definedName name="IQ_HELD_MATURITY_FDIC" hidden="1">"c6408"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EQUITY_BR" hidden="1">"c550"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SETTLE_BR" hidden="1">"c572"</definedName>
    <definedName name="IQ_INSIDER_LOANS_FDIC" hidden="1">"c6365"</definedName>
    <definedName name="IQ_INSTITUTIONS_EARNINGS_GAINS_FDIC" hidden="1">"c6723"</definedName>
    <definedName name="IQ_INSURANCE_COMMISSION_FEES_FDIC" hidden="1">"c6670"</definedName>
    <definedName name="IQ_INSURANCE_UNDERWRITING_INCOME_FDIC" hidden="1">"c6671"</definedName>
    <definedName name="IQ_INT_DEMAND_NOTES_FDIC" hidden="1">"c6567"</definedName>
    <definedName name="IQ_INT_DOMESTIC_DEPOSITS_FDIC" hidden="1">"c6564"</definedName>
    <definedName name="IQ_INT_EXP_BR" hidden="1">"c586"</definedName>
    <definedName name="IQ_INT_EXP_TOTAL_FDIC" hidden="1">"c6569"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OREIGN_LOANS_FDIC" hidden="1">"c6556"</definedName>
    <definedName name="IQ_INT_INC_LEASE_RECEIVABLES_FDIC" hidden="1">"c6557"</definedName>
    <definedName name="IQ_INT_INC_OTHER_FDIC" hidden="1">"c6562"</definedName>
    <definedName name="IQ_INT_INC_SECURITIES_FDIC" hidden="1">"c6559"</definedName>
    <definedName name="IQ_INT_INC_TOTAL_FDIC" hidden="1">"c6563"</definedName>
    <definedName name="IQ_INT_INC_TRADING_ACCOUNTS_FDIC" hidden="1">"c6560"</definedName>
    <definedName name="IQ_INT_SUB_NOTES_FDIC" hidden="1">"c6568"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RATE_CONTRACTS_FDIC" hidden="1">"c6512"</definedName>
    <definedName name="IQ_INTEREST_RATE_EXPOSURES_FDIC" hidden="1">"c6662"</definedName>
    <definedName name="IQ_INVEST_LOANS_CF_BR" hidden="1">"c630"</definedName>
    <definedName name="IQ_INVEST_SECURITY_CF_BR" hidden="1">"c639"</definedName>
    <definedName name="IQ_INVESTMENT_BANKING_OTHER_FEES_FDIC" hidden="1">"c6666"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UED_GUARANTEED_US_FDIC" hidden="1">"c6404"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_BR" hidden="1">"c649"</definedName>
    <definedName name="IQ_LIFE_INSURANCE_ASSETS_FDIC" hidden="1">"c6372"</definedName>
    <definedName name="IQ_LOAN_COMMITMENTS_REVOLVING_FDIC" hidden="1">"c6524"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S_AND_LEASES_HELD_FDIC" hidden="1">"c6367"</definedName>
    <definedName name="IQ_LOANS_CF_BR" hidden="1">"c661"</definedName>
    <definedName name="IQ_LOANS_DEPOSITORY_INSTITUTIONS_FDIC" hidden="1">"c6382"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SS_ALLOWANCE_LOANS_FDIC" hidden="1">"c6739"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LTMMONTH" hidden="1">120000</definedName>
    <definedName name="IQ_MATURITY_ONE_YEAR_LESS_FDIC" hidden="1">"c6425"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_BR" hidden="1">"c715"</definedName>
    <definedName name="IQ_MERGER_RESTRUCTURE_BR" hidden="1">"c721"</definedName>
    <definedName name="IQ_MINORITY_INTEREST_BR" hidden="1">"c729"</definedName>
    <definedName name="IQ_MONEY_MARKET_DEPOSIT_ACCOUNTS_FDIC" hidden="1">"c6553"</definedName>
    <definedName name="IQ_MONTH" hidden="1">15000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localSheetId="12" hidden="1">"02/20/2017 09:13:06"</definedName>
    <definedName name="IQ_NAMES_REVISION_DATE_" hidden="1">"11/17/2013 00:04:10"</definedName>
    <definedName name="IQ_NET_CHARGE_OFFS_FDIC" hidden="1">"c6641"</definedName>
    <definedName name="IQ_NET_CHARGE_OFFS_LOANS_FDIC" hidden="1">"c6751"</definedName>
    <definedName name="IQ_NET_DEBT_ISSUED_BR" hidden="1">"c753"</definedName>
    <definedName name="IQ_NET_INCOME_FDIC" hidden="1">"c6587"</definedName>
    <definedName name="IQ_NET_INT_INC_BNK_FDIC" hidden="1">"c6570"</definedName>
    <definedName name="IQ_NET_INT_INC_BR" hidden="1">"c765"</definedName>
    <definedName name="IQ_NET_INTEREST_MARGIN_FDIC" hidden="1">"c6726"</definedName>
    <definedName name="IQ_NET_LOANS_LEASES_CORE_DEPOSITS_FDIC" hidden="1">"c6743"</definedName>
    <definedName name="IQ_NET_LOANS_LEASES_DEPOSITS_FDIC" hidden="1">"c6742"</definedName>
    <definedName name="IQ_NET_OPERATING_INCOME_ASSETS_FDIC" hidden="1">"c6729"</definedName>
    <definedName name="IQ_NET_SECURITIZATION_INCOME_FDIC" hidden="1">"c6669"</definedName>
    <definedName name="IQ_NET_SERVICING_FEES_FDIC" hidden="1">"c6668"</definedName>
    <definedName name="IQ_NON_INT_EXP_FDIC" hidden="1">"c6579"</definedName>
    <definedName name="IQ_NON_INT_INC_FDIC" hidden="1">"c6575"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TM" hidden="1">6000</definedName>
    <definedName name="IQ_NUMBER_DEPOSITS_LESS_THAN_100K_FDIC" hidden="1">"c6495"</definedName>
    <definedName name="IQ_NUMBER_DEPOSITS_MORE_THAN_100K_FDIC" hidden="1">"c6493"</definedName>
    <definedName name="IQ_OBLIGATIONS_OF_STATES_TOTAL_LOANS_FOREIGN_FDIC" hidden="1">"c6447"</definedName>
    <definedName name="IQ_OBLIGATIONS_STATES_FDIC" hidden="1">"c6431"</definedName>
    <definedName name="IQ_OG_TOTAL_OIL_PRODUCTON" hidden="1">"c2059"</definedName>
    <definedName name="IQ_OPER_INC_BR" hidden="1">"c850"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SSETS_BR" hidden="1">"c862"</definedName>
    <definedName name="IQ_OTHER_ASSETS_FDIC" hidden="1">"c6338"</definedName>
    <definedName name="IQ_OTHER_BORROWED_FUNDS_FDIC" hidden="1">"c6345"</definedName>
    <definedName name="IQ_OTHER_CA_SUPPL_BR" hidden="1">"c871"</definedName>
    <definedName name="IQ_OTHER_CL_SUPPL_BR" hidden="1">"c880"</definedName>
    <definedName name="IQ_OTHER_COMPREHENSIVE_INCOME_FDIC" hidden="1">"c6503"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SURANCE_FEES_FDIC" hidden="1">"c6672"</definedName>
    <definedName name="IQ_OTHER_INTAN_BR" hidden="1">"c909"</definedName>
    <definedName name="IQ_OTHER_INTANGIBLE_FDIC" hidden="1">"c6337"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IABILITIES_FDIC" hidden="1">"c6347"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T_ASSETS_BR" hidden="1">"c948"</definedName>
    <definedName name="IQ_OTHER_NON_INT_EXP_FDIC" hidden="1">"c6578"</definedName>
    <definedName name="IQ_OTHER_NON_INT_EXPENSE_FDIC" hidden="1">"c6679"</definedName>
    <definedName name="IQ_OTHER_NON_INT_INC_FDIC" hidden="1">"c6676"</definedName>
    <definedName name="IQ_OTHER_NON_OPER_EXP_BR" hidden="1">"c957"</definedName>
    <definedName name="IQ_OTHER_NON_OPER_EXP_SUPPL_BR" hidden="1">"c962"</definedName>
    <definedName name="IQ_OTHER_OFF_BS_LIAB_FDIC" hidden="1">"c6533"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_OWNED_FDIC" hidden="1">"c6330"</definedName>
    <definedName name="IQ_OTHER_REV_BR" hidden="1">"c1011"</definedName>
    <definedName name="IQ_OTHER_REV_SUPPL_BR" hidden="1">"c1016"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_BR" hidden="1">"c1561"</definedName>
    <definedName name="IQ_OTHER_UNUSUAL_SUPPL_BR" hidden="1">"c1496"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C_WRITTEN" hidden="1">"c1027"</definedName>
    <definedName name="IQ_PERCENT_INSURED_FDIC" hidden="1">"c6374"</definedName>
    <definedName name="IQ_PLEDGED_SECURITIES_FDIC" hidden="1">"c6401"</definedName>
    <definedName name="IQ_PRE_TAX_INCOME_FDIC" hidden="1">"c6581"</definedName>
    <definedName name="IQ_PREF_ISSUED_BR" hidden="1">"c1047"</definedName>
    <definedName name="IQ_PREF_OTHER_BR" hidden="1">"c1055"</definedName>
    <definedName name="IQ_PREF_REP_BR" hidden="1">"c1062"</definedName>
    <definedName name="IQ_PREFERRED_FDIC" hidden="1">"c6349"</definedName>
    <definedName name="IQ_PREMISES_EQUIPMENT_FDIC" hidden="1">"c6577"</definedName>
    <definedName name="IQ_PRETAX_RETURN_ASSETS_FDIC" hidden="1">"c6731"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LATED_PLANS_FDIC" hidden="1">"c6320"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TATEMENTS_NET_FDIC" hidden="1">"c6500"</definedName>
    <definedName name="IQ_RESTRUCTURE_BR" hidden="1">"c1106"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DEPOSITS_FDIC" hidden="1">"c6488"</definedName>
    <definedName name="IQ_RETAINED_EARNINGS_AVERAGE_EQUITY_FDIC" hidden="1">"c6733"</definedName>
    <definedName name="IQ_RETURN_ASSETS_BROK" hidden="1">"c1115"</definedName>
    <definedName name="IQ_RETURN_ASSETS_FDIC" hidden="1">"c6730"</definedName>
    <definedName name="IQ_RETURN_EQUITY_BROK" hidden="1">"c1120"</definedName>
    <definedName name="IQ_RETURN_EQUITY_FDIC" hidden="1">"c6732"</definedName>
    <definedName name="IQ_REVALUATION_GAINS_FDIC" hidden="1">"c6428"</definedName>
    <definedName name="IQ_REVALUATION_LOSSES_FDIC" hidden="1">"c6429"</definedName>
    <definedName name="IQ_RISK_WEIGHTED_ASSETS_FDIC" hidden="1">"c6370"</definedName>
    <definedName name="IQ_SALARY_FDIC" hidden="1">"c6576"</definedName>
    <definedName name="IQ_SALE_CONVERSION_RETIREMENT_STOCK_FDIC" hidden="1">"c6661"</definedName>
    <definedName name="IQ_SALE_INTAN_CF_BR" hidden="1">"c1133"</definedName>
    <definedName name="IQ_SALE_PPE_CF_BR" hidden="1">"c1139"</definedName>
    <definedName name="IQ_SALE_REAL_ESTATE_CF_BR" hidden="1">"c1145"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RVICE_CHARGES_FDIC" hidden="1">"c6572"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UB_DEBT_FDIC" hidden="1">"c6346"</definedName>
    <definedName name="IQ_SURPLUS_FDIC" hidden="1">"c6351"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AL_AR_BR" hidden="1">"c1231"</definedName>
    <definedName name="IQ_TOTAL_ASSETS_FDIC" hidden="1">"c6339"</definedName>
    <definedName name="IQ_TOTAL_CHARGE_OFFS_FDIC" hidden="1">"c6603"</definedName>
    <definedName name="IQ_TOTAL_DEBT_ISSUED_BR" hidden="1">"c1253"</definedName>
    <definedName name="IQ_TOTAL_DEBT_REPAID_BR" hidden="1">"c1260"</definedName>
    <definedName name="IQ_TOTAL_DEBT_SECURITIES_FDIC" hidden="1">"c6410"</definedName>
    <definedName name="IQ_TOTAL_DEPOSITS_FDIC" hidden="1">"c6342"</definedName>
    <definedName name="IQ_TOTAL_EMPLOYEES_FDIC" hidden="1">"c6355"</definedName>
    <definedName name="IQ_TOTAL_LIAB_BR" hidden="1">"c1278"</definedName>
    <definedName name="IQ_TOTAL_LIAB_EQUITY_FDIC" hidden="1">"c6354"</definedName>
    <definedName name="IQ_TOTAL_LIABILITIES_FDIC" hidden="1">"c6348"</definedName>
    <definedName name="IQ_TOTAL_OPER_EXP_BR" hidden="1">"c1284"</definedName>
    <definedName name="IQ_TOTAL_RECOVERIES_FDIC" hidden="1">"c6622"</definedName>
    <definedName name="IQ_TOTAL_REV_BNK_FDIC" hidden="1">"c6786"</definedName>
    <definedName name="IQ_TOTAL_REV_BR" hidden="1">"c1303"</definedName>
    <definedName name="IQ_TOTAL_RISK_BASED_CAPITAL_RATIO_FDIC" hidden="1">"c6747"</definedName>
    <definedName name="IQ_TOTAL_SECURITIES_FDIC" hidden="1">"c6306"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RADING_ACCOUNT_GAINS_FEES_FDIC" hidden="1">"c6573"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_OTHER_EQUITY_BR" hidden="1">"c1314"</definedName>
    <definedName name="IQ_TREASURY_STOCK_TRANSACTIONS_FDIC" hidden="1">"c6501"</definedName>
    <definedName name="IQ_TWELVE_MONTHS_FIXED_AND_FLOATING_FDIC" hidden="1">"c6420"</definedName>
    <definedName name="IQ_TWELVE_MONTHS_MORTGAGE_PASS_THROUGHS_FDIC" hidden="1">"c6412"</definedName>
    <definedName name="IQ_UNDIVIDED_PROFITS_FDIC" hidden="1">"c6352"</definedName>
    <definedName name="IQ_UNEARN_REV_CURRENT_BR" hidden="1">"c1324"</definedName>
    <definedName name="IQ_UNEARNED_INCOME_FDIC" hidden="1">"c6324"</definedName>
    <definedName name="IQ_UNEARNED_INCOME_FOREIGN_FDIC" hidden="1">"c6385"</definedName>
    <definedName name="IQ_UNPROFITABLE_INSTITUTIONS_FDIC" hidden="1">"c6722"</definedName>
    <definedName name="IQ_UNUSED_LOAN_COMMITMENTS_FDIC" hidden="1">"c6368"</definedName>
    <definedName name="IQ_US_BRANCHES_FOREIGN_BANK_LOANS_FDIC" hidden="1">"c6435"</definedName>
    <definedName name="IQ_US_BRANCHES_FOREIGN_BANKS_FDIC" hidden="1">"c6390"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VALUATION_ALLOWANCES_FDIC" hidden="1">"c6400"</definedName>
    <definedName name="IQ_VC_REVENUE_FDIC" hidden="1">"c6667"</definedName>
    <definedName name="IQ_VOLATILE_LIABILITIES_FDIC" hidden="1">"c6364"</definedName>
    <definedName name="IQ_WEEK" hidden="1">50000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YTD" hidden="1">3000</definedName>
    <definedName name="IQ_YTDMONTH" hidden="1">130000</definedName>
    <definedName name="JOB_SERVICE_RATE_CHART" localSheetId="7">OFFSET('Aged debtors'!#REF!,0,0,1,COUNTIF('Aged debtors'!#REF!,"&gt;0"))</definedName>
    <definedName name="JOB_SERVICE_RATE_CHART" localSheetId="9">OFFSET('Customer data'!#REF!,0,0,1,COUNTIF('Customer data'!#REF!,"&gt;0"))</definedName>
    <definedName name="JOB_SERVICE_RATE_CHART" localSheetId="8">OFFSET('Largest debtors'!#REF!,0,0,1,COUNTIF('Largest debtors'!#REF!,"&gt;0"))</definedName>
    <definedName name="JOB_SERVICE_RATE_CHART" localSheetId="11">OFFSET(#REF!,0,0,1,COUNTIF(#REF!,"&gt;0"))</definedName>
    <definedName name="JOB_SERVICE_RATE_CHART" localSheetId="6">OFFSET(Stock!#REF!,0,0,1,COUNTIF(Stock!#REF!,"&gt;0"))</definedName>
    <definedName name="JOB_SERVICE_RATE_CHART">OFFSET(#REF!,0,0,1,COUNTIF(#REF!,"&gt;0"))</definedName>
    <definedName name="Jobs_Serviced" localSheetId="7">'Aged debtors'!#REF!</definedName>
    <definedName name="Jobs_Serviced" localSheetId="9">'Customer data'!#REF!</definedName>
    <definedName name="Jobs_Serviced" localSheetId="8">'Largest debtors'!#REF!</definedName>
    <definedName name="Jobs_Serviced" localSheetId="11">#REF!</definedName>
    <definedName name="Jobs_Serviced" localSheetId="6">Stock!#REF!</definedName>
    <definedName name="Jobs_Serviced">#REF!</definedName>
    <definedName name="Jobs_Serviced_Chart" localSheetId="7">OFFSET('Aged debtors'!#REF!,0,0,1,COUNTIF('Aged debtors'!#REF!,"&gt;0"))</definedName>
    <definedName name="Jobs_Serviced_Chart" localSheetId="9">OFFSET('Customer data'!#REF!,0,0,1,COUNTIF('Customer data'!#REF!,"&gt;0"))</definedName>
    <definedName name="Jobs_Serviced_Chart" localSheetId="8">OFFSET('Largest debtors'!#REF!,0,0,1,COUNTIF('Largest debtors'!#REF!,"&gt;0"))</definedName>
    <definedName name="Jobs_Serviced_Chart" localSheetId="11">OFFSET(#REF!,0,0,1,COUNTIF(#REF!,"&gt;0"))</definedName>
    <definedName name="Jobs_Serviced_Chart" localSheetId="6">OFFSET(Stock!#REF!,0,0,1,COUNTIF(Stock!#REF!,"&gt;0"))</definedName>
    <definedName name="Jobs_Serviced_Chart">OFFSET(#REF!,0,0,1,COUNTIF(#REF!,"&gt;0"))</definedName>
    <definedName name="Jobs_Submitted" localSheetId="7">'Aged debtors'!#REF!</definedName>
    <definedName name="Jobs_Submitted" localSheetId="10">#REF!</definedName>
    <definedName name="Jobs_Submitted" localSheetId="9">'Customer data'!#REF!</definedName>
    <definedName name="Jobs_Submitted" localSheetId="8">'Largest debtors'!#REF!</definedName>
    <definedName name="Jobs_Submitted" localSheetId="11">#REF!</definedName>
    <definedName name="Jobs_Submitted" localSheetId="6">Stock!#REF!</definedName>
    <definedName name="Jobs_Submitted">#REF!</definedName>
    <definedName name="Jobs_Submitted_Chart" localSheetId="7">OFFSET('Aged debtors'!#REF!,0,0,1,COUNTIF('Aged debtors'!#REF!,"&gt;0"))</definedName>
    <definedName name="Jobs_Submitted_Chart" localSheetId="9">OFFSET('Customer data'!#REF!,0,0,1,COUNTIF('Customer data'!#REF!,"&gt;0"))</definedName>
    <definedName name="Jobs_Submitted_Chart" localSheetId="8">OFFSET('Largest debtors'!#REF!,0,0,1,COUNTIF('Largest debtors'!#REF!,"&gt;0"))</definedName>
    <definedName name="Jobs_Submitted_Chart" localSheetId="11">OFFSET(#REF!,0,0,1,COUNTIF(#REF!,"&gt;0"))</definedName>
    <definedName name="Jobs_Submitted_Chart" localSheetId="6">OFFSET(Stock!#REF!,0,0,1,COUNTIF(Stock!#REF!,"&gt;0"))</definedName>
    <definedName name="Jobs_Submitted_Chart">OFFSET(#REF!,0,0,1,COUNTIF(#REF!,"&gt;0"))</definedName>
    <definedName name="Jobs_Submitted_New" localSheetId="7">'Aged debtors'!#REF!</definedName>
    <definedName name="Jobs_Submitted_New" localSheetId="9">'Customer data'!#REF!</definedName>
    <definedName name="Jobs_Submitted_New" localSheetId="8">'Largest debtors'!#REF!</definedName>
    <definedName name="Jobs_Submitted_New" localSheetId="11">#REF!</definedName>
    <definedName name="Jobs_Submitted_New" localSheetId="6">Stock!#REF!</definedName>
    <definedName name="Jobs_Submitted_New">#REF!</definedName>
    <definedName name="Jobs_Submitted_Plan_Chart" localSheetId="7">OFFSET('Aged debtors'!#REF!,0,0,1,COUNTIF('Aged debtors'!#REF!,"&gt;0"))</definedName>
    <definedName name="Jobs_Submitted_Plan_Chart" localSheetId="9">OFFSET('Customer data'!#REF!,0,0,1,COUNTIF('Customer data'!#REF!,"&gt;0"))</definedName>
    <definedName name="Jobs_Submitted_Plan_Chart" localSheetId="8">OFFSET('Largest debtors'!#REF!,0,0,1,COUNTIF('Largest debtors'!#REF!,"&gt;0"))</definedName>
    <definedName name="Jobs_Submitted_Plan_Chart" localSheetId="11">OFFSET(#REF!,0,0,1,COUNTIF(#REF!,"&gt;0"))</definedName>
    <definedName name="Jobs_Submitted_Plan_Chart" localSheetId="6">OFFSET(Stock!#REF!,0,0,1,COUNTIF(Stock!#REF!,"&gt;0"))</definedName>
    <definedName name="Jobs_Submitted_Plan_Chart">OFFSET(#REF!,0,0,1,COUNTIF(#REF!,"&gt;0"))</definedName>
    <definedName name="JSR_CHART" localSheetId="7">OFFSET('Aged debtors'!#REF!,0,0,1,COUNTIF('Aged debtors'!#REF!,"&gt;0"))</definedName>
    <definedName name="JSR_CHART" localSheetId="9">OFFSET('Customer data'!#REF!,0,0,1,COUNTIF('Customer data'!#REF!,"&gt;0"))</definedName>
    <definedName name="JSR_CHART" localSheetId="8">OFFSET('Largest debtors'!#REF!,0,0,1,COUNTIF('Largest debtors'!#REF!,"&gt;0"))</definedName>
    <definedName name="JSR_CHART" localSheetId="11">OFFSET(#REF!,0,0,1,COUNTIF(#REF!,"&gt;0"))</definedName>
    <definedName name="JSR_CHART" localSheetId="6">OFFSET(Stock!#REF!,0,0,1,COUNTIF(Stock!#REF!,"&gt;0"))</definedName>
    <definedName name="JSR_CHART">OFFSET(#REF!,0,0,1,COUNTIF(#REF!,"&gt;0"))</definedName>
    <definedName name="JSR_PLAN_CHART" localSheetId="7">OFFSET('Aged debtors'!#REF!,0,0,1,COUNTIF('Aged debtors'!#REF!,"&gt;0"))</definedName>
    <definedName name="JSR_PLAN_CHART" localSheetId="9">OFFSET('Customer data'!#REF!,0,0,1,COUNTIF('Customer data'!#REF!,"&gt;0"))</definedName>
    <definedName name="JSR_PLAN_CHART" localSheetId="8">OFFSET('Largest debtors'!#REF!,0,0,1,COUNTIF('Largest debtors'!#REF!,"&gt;0"))</definedName>
    <definedName name="JSR_PLAN_CHART" localSheetId="11">OFFSET(#REF!,0,0,1,COUNTIF(#REF!,"&gt;0"))</definedName>
    <definedName name="JSR_PLAN_CHART" localSheetId="6">OFFSET(Stock!#REF!,0,0,1,COUNTIF(Stock!#REF!,"&gt;0"))</definedName>
    <definedName name="JSR_PLAN_CHART">OFFSET(#REF!,0,0,1,COUNTIF(#REF!,"&gt;0"))</definedName>
    <definedName name="KreosEntity" localSheetId="7">'Aged debtors'!#REF!</definedName>
    <definedName name="KreosEntity" localSheetId="10">#REF!</definedName>
    <definedName name="KreosEntity" localSheetId="9">'Customer data'!#REF!</definedName>
    <definedName name="KreosEntity" localSheetId="8">'Largest debtors'!#REF!</definedName>
    <definedName name="KreosEntity" localSheetId="11">#REF!</definedName>
    <definedName name="KreosEntity" localSheetId="6">Stock!#REF!</definedName>
    <definedName name="KreosEntity">#REF!</definedName>
    <definedName name="Leasehold" localSheetId="7">'Aged debtors'!#REF!</definedName>
    <definedName name="Leasehold" localSheetId="10">#REF!</definedName>
    <definedName name="Leasehold" localSheetId="0">#REF!</definedName>
    <definedName name="Leasehold" localSheetId="9">'Customer data'!#REF!</definedName>
    <definedName name="Leasehold" localSheetId="8">'Largest debtors'!#REF!</definedName>
    <definedName name="Leasehold" localSheetId="11">#REF!</definedName>
    <definedName name="Leasehold" localSheetId="6">Stock!#REF!</definedName>
    <definedName name="Leasehold">#REF!</definedName>
    <definedName name="Leavers" localSheetId="7">'Aged debtors'!#REF!</definedName>
    <definedName name="Leavers" localSheetId="9">'Customer data'!#REF!</definedName>
    <definedName name="Leavers" localSheetId="8">'Largest debtors'!#REF!</definedName>
    <definedName name="Leavers" localSheetId="11">#REF!</definedName>
    <definedName name="Leavers" localSheetId="6">Stock!#REF!</definedName>
    <definedName name="Leavers">#REF!</definedName>
    <definedName name="LegalFeesCap" localSheetId="7">'Aged debtors'!#REF!</definedName>
    <definedName name="LegalFeesCap" localSheetId="10">#REF!</definedName>
    <definedName name="LegalFeesCap" localSheetId="9">'Customer data'!#REF!</definedName>
    <definedName name="LegalFeesCap" localSheetId="8">'Largest debtors'!#REF!</definedName>
    <definedName name="LegalFeesCap" localSheetId="11">#REF!</definedName>
    <definedName name="LegalFeesCap" localSheetId="6">Stock!#REF!</definedName>
    <definedName name="LegalFeesCap">#REF!</definedName>
    <definedName name="Loan_Currency" localSheetId="7">'Aged debtors'!#REF!</definedName>
    <definedName name="Loan_Currency" localSheetId="10">#REF!</definedName>
    <definedName name="Loan_Currency" localSheetId="9">'Customer data'!#REF!</definedName>
    <definedName name="Loan_Currency" localSheetId="8">'Largest debtors'!#REF!</definedName>
    <definedName name="Loan_Currency" localSheetId="11">#REF!</definedName>
    <definedName name="Loan_Currency" localSheetId="6">Stock!#REF!</definedName>
    <definedName name="Loan_Currency">#REF!</definedName>
    <definedName name="LoanRepaymentTerm" localSheetId="7">'Aged debtors'!#REF!</definedName>
    <definedName name="LoanRepaymentTerm" localSheetId="10">#REF!</definedName>
    <definedName name="LoanRepaymentTerm" localSheetId="9">'Customer data'!#REF!</definedName>
    <definedName name="LoanRepaymentTerm" localSheetId="8">'Largest debtors'!#REF!</definedName>
    <definedName name="LoanRepaymentTerm" localSheetId="11">#REF!</definedName>
    <definedName name="LoanRepaymentTerm" localSheetId="6">Stock!#REF!</definedName>
    <definedName name="LoanRepaymentTerm">#REF!</definedName>
    <definedName name="LoanRepaymentTerm2" localSheetId="7">'Aged debtors'!#REF!</definedName>
    <definedName name="LoanRepaymentTerm2" localSheetId="10">#REF!</definedName>
    <definedName name="LoanRepaymentTerm2" localSheetId="9">'Customer data'!#REF!</definedName>
    <definedName name="LoanRepaymentTerm2" localSheetId="8">'Largest debtors'!#REF!</definedName>
    <definedName name="LoanRepaymentTerm2" localSheetId="11">#REF!</definedName>
    <definedName name="LoanRepaymentTerm2" localSheetId="6">Stock!#REF!</definedName>
    <definedName name="LoanRepaymentTerm2">#REF!</definedName>
    <definedName name="LoanRepaymentTerm3" localSheetId="7">'Aged debtors'!#REF!</definedName>
    <definedName name="LoanRepaymentTerm3" localSheetId="10">#REF!</definedName>
    <definedName name="LoanRepaymentTerm3" localSheetId="9">'Customer data'!#REF!</definedName>
    <definedName name="LoanRepaymentTerm3" localSheetId="8">'Largest debtors'!#REF!</definedName>
    <definedName name="LoanRepaymentTerm3" localSheetId="11">#REF!</definedName>
    <definedName name="LoanRepaymentTerm3" localSheetId="6">Stock!#REF!</definedName>
    <definedName name="LoanRepaymentTerm3">#REF!</definedName>
    <definedName name="Lookup" localSheetId="7">'Aged debtors'!#REF!</definedName>
    <definedName name="Lookup" localSheetId="10">#REF!</definedName>
    <definedName name="Lookup" localSheetId="9">'Customer data'!#REF!</definedName>
    <definedName name="Lookup" localSheetId="8">'Largest debtors'!#REF!</definedName>
    <definedName name="Lookup" localSheetId="11">#REF!</definedName>
    <definedName name="Lookup" localSheetId="6">Stock!#REF!</definedName>
    <definedName name="Lookup">#REF!</definedName>
    <definedName name="LOP_Bal" localSheetId="7">'Aged debtors'!#REF!</definedName>
    <definedName name="LOP_Bal" localSheetId="10">#REF!</definedName>
    <definedName name="LOP_Bal" localSheetId="9">'Customer data'!#REF!</definedName>
    <definedName name="LOP_Bal" localSheetId="8">'Largest debtors'!#REF!</definedName>
    <definedName name="LOP_Bal" localSheetId="11">#REF!</definedName>
    <definedName name="LOP_Bal" localSheetId="6">Stock!#REF!</definedName>
    <definedName name="LOP_Bal">#REF!</definedName>
    <definedName name="LOP_Cash" localSheetId="7">'Aged debtors'!#REF!</definedName>
    <definedName name="LOP_Cash" localSheetId="10">#REF!</definedName>
    <definedName name="LOP_Cash" localSheetId="9">'Customer data'!#REF!</definedName>
    <definedName name="LOP_Cash" localSheetId="8">'Largest debtors'!#REF!</definedName>
    <definedName name="LOP_Cash" localSheetId="11">#REF!</definedName>
    <definedName name="LOP_Cash" localSheetId="6">Stock!#REF!</definedName>
    <definedName name="LOP_Cash">#REF!</definedName>
    <definedName name="LOP_Int" localSheetId="7">'Aged debtors'!#REF!</definedName>
    <definedName name="LOP_Int" localSheetId="10">#REF!</definedName>
    <definedName name="LOP_Int" localSheetId="9">'Customer data'!#REF!</definedName>
    <definedName name="LOP_Int" localSheetId="8">'Largest debtors'!#REF!</definedName>
    <definedName name="LOP_Int" localSheetId="11">#REF!</definedName>
    <definedName name="LOP_Int" localSheetId="6">Stock!#REF!</definedName>
    <definedName name="LOP_Int">#REF!</definedName>
    <definedName name="LOP_IntR" localSheetId="7">'Aged debtors'!#REF!</definedName>
    <definedName name="LOP_IntR" localSheetId="10">#REF!</definedName>
    <definedName name="LOP_IntR" localSheetId="9">'Customer data'!#REF!</definedName>
    <definedName name="LOP_IntR" localSheetId="8">'Largest debtors'!#REF!</definedName>
    <definedName name="LOP_IntR" localSheetId="11">#REF!</definedName>
    <definedName name="LOP_IntR" localSheetId="6">Stock!#REF!</definedName>
    <definedName name="LOP_IntR">#REF!</definedName>
    <definedName name="Low" localSheetId="7">'Aged debtors'!#REF!</definedName>
    <definedName name="Low" localSheetId="10">#REF!</definedName>
    <definedName name="Low" localSheetId="9">'Customer data'!#REF!</definedName>
    <definedName name="Low" localSheetId="8">'Largest debtors'!#REF!</definedName>
    <definedName name="Low" localSheetId="11">#REF!</definedName>
    <definedName name="Low" localSheetId="6">Stock!#REF!</definedName>
    <definedName name="Low">#REF!</definedName>
    <definedName name="LTD_Bal" localSheetId="7">'Aged debtors'!#REF!</definedName>
    <definedName name="LTD_Bal" localSheetId="10">#REF!</definedName>
    <definedName name="LTD_Bal" localSheetId="9">'Customer data'!#REF!</definedName>
    <definedName name="LTD_Bal" localSheetId="8">'Largest debtors'!#REF!</definedName>
    <definedName name="LTD_Bal" localSheetId="11">#REF!</definedName>
    <definedName name="LTD_Bal" localSheetId="6">Stock!#REF!</definedName>
    <definedName name="LTD_Bal">#REF!</definedName>
    <definedName name="LTD_Cash" localSheetId="7">'Aged debtors'!#REF!</definedName>
    <definedName name="LTD_Cash" localSheetId="10">#REF!</definedName>
    <definedName name="LTD_Cash" localSheetId="9">'Customer data'!#REF!</definedName>
    <definedName name="LTD_Cash" localSheetId="8">'Largest debtors'!#REF!</definedName>
    <definedName name="LTD_Cash" localSheetId="11">#REF!</definedName>
    <definedName name="LTD_Cash" localSheetId="6">Stock!#REF!</definedName>
    <definedName name="LTD_Cash">#REF!</definedName>
    <definedName name="Manager" localSheetId="7">'Aged debtors'!#REF!</definedName>
    <definedName name="Manager" localSheetId="9">'Customer data'!#REF!</definedName>
    <definedName name="Manager" localSheetId="8">'Largest debtors'!#REF!</definedName>
    <definedName name="Manager" localSheetId="11">#REF!</definedName>
    <definedName name="Manager" localSheetId="6">Stock!#REF!</definedName>
    <definedName name="Manager">#REF!</definedName>
    <definedName name="Marketing_Cost_Link" localSheetId="7">'Aged debtors'!#REF!</definedName>
    <definedName name="Marketing_Cost_Link" localSheetId="10">#REF!</definedName>
    <definedName name="Marketing_Cost_Link" localSheetId="9">'Customer data'!#REF!</definedName>
    <definedName name="Marketing_Cost_Link" localSheetId="8">'Largest debtors'!#REF!</definedName>
    <definedName name="Marketing_Cost_Link" localSheetId="11">#REF!</definedName>
    <definedName name="Marketing_Cost_Link" localSheetId="6">Stock!#REF!</definedName>
    <definedName name="Marketing_Cost_Link">#REF!</definedName>
    <definedName name="Mem_Renewals" localSheetId="7">'Aged debtors'!#REF!</definedName>
    <definedName name="Mem_Renewals" localSheetId="9">'Customer data'!#REF!</definedName>
    <definedName name="Mem_Renewals" localSheetId="8">'Largest debtors'!#REF!</definedName>
    <definedName name="Mem_Renewals" localSheetId="11">#REF!</definedName>
    <definedName name="Mem_Renewals" localSheetId="6">Stock!#REF!</definedName>
    <definedName name="Mem_Renewals">#REF!</definedName>
    <definedName name="Min_Bal" localSheetId="7">'Aged debtors'!#REF!</definedName>
    <definedName name="Min_Bal" localSheetId="10">#REF!</definedName>
    <definedName name="Min_Bal" localSheetId="9">'Customer data'!#REF!</definedName>
    <definedName name="Min_Bal" localSheetId="8">'Largest debtors'!#REF!</definedName>
    <definedName name="Min_Bal" localSheetId="11">#REF!</definedName>
    <definedName name="Min_Bal" localSheetId="6">Stock!#REF!</definedName>
    <definedName name="Min_Bal">#REF!</definedName>
    <definedName name="Min_Cash" localSheetId="7">'Aged debtors'!#REF!</definedName>
    <definedName name="Min_Cash" localSheetId="10">#REF!</definedName>
    <definedName name="Min_Cash" localSheetId="9">'Customer data'!#REF!</definedName>
    <definedName name="Min_Cash" localSheetId="8">'Largest debtors'!#REF!</definedName>
    <definedName name="Min_Cash" localSheetId="11">#REF!</definedName>
    <definedName name="Min_Cash" localSheetId="6">Stock!#REF!</definedName>
    <definedName name="Min_Cash">#REF!</definedName>
    <definedName name="Min_Prof" localSheetId="7">'Aged debtors'!#REF!</definedName>
    <definedName name="Min_Prof" localSheetId="10">#REF!</definedName>
    <definedName name="Min_Prof" localSheetId="9">'Customer data'!#REF!</definedName>
    <definedName name="Min_Prof" localSheetId="8">'Largest debtors'!#REF!</definedName>
    <definedName name="Min_Prof" localSheetId="11">#REF!</definedName>
    <definedName name="Min_Prof" localSheetId="6">Stock!#REF!</definedName>
    <definedName name="Min_Prof">#REF!</definedName>
    <definedName name="MIY" localSheetId="7">'Aged debtors'!#REF!</definedName>
    <definedName name="MIY" localSheetId="10">#REF!</definedName>
    <definedName name="MIY" localSheetId="9">'Customer data'!#REF!</definedName>
    <definedName name="MIY" localSheetId="8">'Largest debtors'!#REF!</definedName>
    <definedName name="MIY" localSheetId="11">#REF!</definedName>
    <definedName name="MIY" localSheetId="6">Stock!#REF!</definedName>
    <definedName name="MIY">#REF!</definedName>
    <definedName name="Month_Range" localSheetId="7">'Aged debtors'!#REF!</definedName>
    <definedName name="Month_Range" localSheetId="9">'Customer data'!#REF!</definedName>
    <definedName name="Month_Range" localSheetId="8">'Largest debtors'!#REF!</definedName>
    <definedName name="Month_Range" localSheetId="11">#REF!</definedName>
    <definedName name="Month_Range" localSheetId="6">Stock!#REF!</definedName>
    <definedName name="Month_Range">#REF!</definedName>
    <definedName name="Monthly_Phasing" localSheetId="7">'Aged debtors'!#REF!</definedName>
    <definedName name="Monthly_Phasing" localSheetId="9">'Customer data'!#REF!</definedName>
    <definedName name="Monthly_Phasing" localSheetId="8">'Largest debtors'!#REF!</definedName>
    <definedName name="Monthly_Phasing" localSheetId="11">#REF!</definedName>
    <definedName name="Monthly_Phasing" localSheetId="6">Stock!#REF!</definedName>
    <definedName name="Monthly_Phasing">#REF!</definedName>
    <definedName name="Monthly_Results" localSheetId="7">'Aged debtors'!#REF!</definedName>
    <definedName name="Monthly_Results" localSheetId="9">'Customer data'!#REF!</definedName>
    <definedName name="Monthly_Results" localSheetId="8">'Largest debtors'!#REF!</definedName>
    <definedName name="Monthly_Results" localSheetId="11">#REF!</definedName>
    <definedName name="Monthly_Results" localSheetId="6">Stock!#REF!</definedName>
    <definedName name="Monthly_Results">#REF!</definedName>
    <definedName name="MTD" localSheetId="7">'Aged debtors'!#REF!</definedName>
    <definedName name="MTD" localSheetId="9">'Customer data'!#REF!</definedName>
    <definedName name="MTD" localSheetId="8">'Largest debtors'!#REF!</definedName>
    <definedName name="MTD" localSheetId="11">#REF!</definedName>
    <definedName name="MTD" localSheetId="6">Stock!#REF!</definedName>
    <definedName name="MTD">#REF!</definedName>
    <definedName name="MTD_Plan" localSheetId="7">'Aged debtors'!#REF!</definedName>
    <definedName name="MTD_Plan" localSheetId="9">'Customer data'!#REF!</definedName>
    <definedName name="MTD_Plan" localSheetId="8">'Largest debtors'!#REF!</definedName>
    <definedName name="MTD_Plan" localSheetId="11">#REF!</definedName>
    <definedName name="MTD_Plan" localSheetId="6">Stock!#REF!</definedName>
    <definedName name="MTD_Plan">#REF!</definedName>
    <definedName name="MV_Debt" localSheetId="7">'Aged debtors'!#REF!</definedName>
    <definedName name="MV_Debt" localSheetId="10">#REF!</definedName>
    <definedName name="MV_Debt" localSheetId="9">'Customer data'!#REF!</definedName>
    <definedName name="MV_Debt" localSheetId="8">'Largest debtors'!#REF!</definedName>
    <definedName name="MV_Debt" localSheetId="11">#REF!</definedName>
    <definedName name="MV_Debt" localSheetId="6">Stock!#REF!</definedName>
    <definedName name="MV_Debt">#REF!</definedName>
    <definedName name="MV_LTOp" localSheetId="7">'Aged debtors'!#REF!</definedName>
    <definedName name="MV_LTOp" localSheetId="10">#REF!</definedName>
    <definedName name="MV_LTOp" localSheetId="9">'Customer data'!#REF!</definedName>
    <definedName name="MV_LTOp" localSheetId="8">'Largest debtors'!#REF!</definedName>
    <definedName name="MV_LTOp" localSheetId="11">#REF!</definedName>
    <definedName name="MV_LTOp" localSheetId="6">Stock!#REF!</definedName>
    <definedName name="MV_LTOp">#REF!</definedName>
    <definedName name="MV_Min" localSheetId="7">'Aged debtors'!#REF!</definedName>
    <definedName name="MV_Min" localSheetId="10">#REF!</definedName>
    <definedName name="MV_Min" localSheetId="9">'Customer data'!#REF!</definedName>
    <definedName name="MV_Min" localSheetId="8">'Largest debtors'!#REF!</definedName>
    <definedName name="MV_Min" localSheetId="11">#REF!</definedName>
    <definedName name="MV_Min" localSheetId="6">Stock!#REF!</definedName>
    <definedName name="MV_Min">#REF!</definedName>
    <definedName name="MV_OpLease" localSheetId="7">'Aged debtors'!#REF!</definedName>
    <definedName name="MV_OpLease" localSheetId="10">#REF!</definedName>
    <definedName name="MV_OpLease" localSheetId="9">'Customer data'!#REF!</definedName>
    <definedName name="MV_OpLease" localSheetId="8">'Largest debtors'!#REF!</definedName>
    <definedName name="MV_OpLease" localSheetId="11">#REF!</definedName>
    <definedName name="MV_OpLease" localSheetId="6">Stock!#REF!</definedName>
    <definedName name="MV_OpLease">#REF!</definedName>
    <definedName name="MV_Prefs" localSheetId="7">'Aged debtors'!#REF!</definedName>
    <definedName name="MV_Prefs" localSheetId="10">#REF!</definedName>
    <definedName name="MV_Prefs" localSheetId="9">'Customer data'!#REF!</definedName>
    <definedName name="MV_Prefs" localSheetId="8">'Largest debtors'!#REF!</definedName>
    <definedName name="MV_Prefs" localSheetId="11">#REF!</definedName>
    <definedName name="MV_Prefs" localSheetId="6">Stock!#REF!</definedName>
    <definedName name="MV_Prefs">#REF!</definedName>
    <definedName name="MV_Restr" localSheetId="7">'Aged debtors'!#REF!</definedName>
    <definedName name="MV_Restr" localSheetId="10">#REF!</definedName>
    <definedName name="MV_Restr" localSheetId="9">'Customer data'!#REF!</definedName>
    <definedName name="MV_Restr" localSheetId="8">'Largest debtors'!#REF!</definedName>
    <definedName name="MV_Restr" localSheetId="11">#REF!</definedName>
    <definedName name="MV_Restr" localSheetId="6">Stock!#REF!</definedName>
    <definedName name="MV_Restr">#REF!</definedName>
    <definedName name="MV_RetRel" localSheetId="7">'Aged debtors'!#REF!</definedName>
    <definedName name="MV_RetRel" localSheetId="10">#REF!</definedName>
    <definedName name="MV_RetRel" localSheetId="9">'Customer data'!#REF!</definedName>
    <definedName name="MV_RetRel" localSheetId="8">'Largest debtors'!#REF!</definedName>
    <definedName name="MV_RetRel" localSheetId="11">#REF!</definedName>
    <definedName name="MV_RetRel" localSheetId="6">Stock!#REF!</definedName>
    <definedName name="MV_RetRel">#REF!</definedName>
    <definedName name="MYAF" localSheetId="7">'Aged debtors'!#REF!</definedName>
    <definedName name="MYAF" localSheetId="10">#REF!</definedName>
    <definedName name="MYAF" localSheetId="9">'Customer data'!#REF!</definedName>
    <definedName name="MYAF" localSheetId="8">'Largest debtors'!#REF!</definedName>
    <definedName name="MYAF" localSheetId="11">#REF!</definedName>
    <definedName name="MYAF" localSheetId="6">Stock!#REF!</definedName>
    <definedName name="MYAF">#REF!</definedName>
    <definedName name="Name" localSheetId="7">'Aged debtors'!#REF!</definedName>
    <definedName name="Name" localSheetId="9">'Customer data'!#REF!</definedName>
    <definedName name="Name" localSheetId="8">'Largest debtors'!#REF!</definedName>
    <definedName name="Name" localSheetId="11">#REF!</definedName>
    <definedName name="Name" localSheetId="6">Stock!#REF!</definedName>
    <definedName name="Name">#REF!</definedName>
    <definedName name="Net_Inv_P2" localSheetId="7">'Aged debtors'!#REF!</definedName>
    <definedName name="Net_Inv_P2" localSheetId="10">#REF!</definedName>
    <definedName name="Net_Inv_P2" localSheetId="9">'Customer data'!#REF!</definedName>
    <definedName name="Net_Inv_P2" localSheetId="8">'Largest debtors'!#REF!</definedName>
    <definedName name="Net_Inv_P2" localSheetId="11">#REF!</definedName>
    <definedName name="Net_Inv_P2" localSheetId="6">Stock!#REF!</definedName>
    <definedName name="Net_Inv_P2">#REF!</definedName>
    <definedName name="Net_Mem_Rev_Chart" localSheetId="7">OFFSET('Aged debtors'!#REF!,0,0,1,COUNTIF('Aged debtors'!#REF!,"&gt;0"))</definedName>
    <definedName name="Net_Mem_Rev_Chart" localSheetId="9">OFFSET('Customer data'!#REF!,0,0,1,COUNTIF('Customer data'!#REF!,"&gt;0"))</definedName>
    <definedName name="Net_Mem_Rev_Chart" localSheetId="8">OFFSET('Largest debtors'!#REF!,0,0,1,COUNTIF('Largest debtors'!#REF!,"&gt;0"))</definedName>
    <definedName name="Net_Mem_Rev_Chart" localSheetId="11">OFFSET(#REF!,0,0,1,COUNTIF(#REF!,"&gt;0"))</definedName>
    <definedName name="Net_Mem_Rev_Chart" localSheetId="6">OFFSET(Stock!#REF!,0,0,1,COUNTIF(Stock!#REF!,"&gt;0"))</definedName>
    <definedName name="Net_Mem_Rev_Chart">OFFSET(#REF!,0,0,1,COUNTIF(#REF!,"&gt;0"))</definedName>
    <definedName name="Net_Ref_Rev_Chart" localSheetId="7">OFFSET('Aged debtors'!#REF!,0,0,1,COUNTIF('Aged debtors'!#REF!,"&gt;0"))</definedName>
    <definedName name="Net_Ref_Rev_Chart" localSheetId="9">OFFSET('Customer data'!#REF!,0,0,1,COUNTIF('Customer data'!#REF!,"&gt;0"))</definedName>
    <definedName name="Net_Ref_Rev_Chart" localSheetId="8">OFFSET('Largest debtors'!#REF!,0,0,1,COUNTIF('Largest debtors'!#REF!,"&gt;0"))</definedName>
    <definedName name="Net_Ref_Rev_Chart" localSheetId="11">OFFSET(#REF!,0,0,1,COUNTIF(#REF!,"&gt;0"))</definedName>
    <definedName name="Net_Ref_Rev_Chart" localSheetId="6">OFFSET(Stock!#REF!,0,0,1,COUNTIF(Stock!#REF!,"&gt;0"))</definedName>
    <definedName name="Net_Ref_Rev_Chart">OFFSET(#REF!,0,0,1,COUNTIF(#REF!,"&gt;0"))</definedName>
    <definedName name="NET_SMS_Rev_Chart" localSheetId="7">OFFSET('Aged debtors'!#REF!,0,0,1,COUNTIF('Aged debtors'!#REF!,"&gt;0"))</definedName>
    <definedName name="NET_SMS_Rev_Chart" localSheetId="9">OFFSET('Customer data'!#REF!,0,0,1,COUNTIF('Customer data'!#REF!,"&gt;0"))</definedName>
    <definedName name="NET_SMS_Rev_Chart" localSheetId="8">OFFSET('Largest debtors'!#REF!,0,0,1,COUNTIF('Largest debtors'!#REF!,"&gt;0"))</definedName>
    <definedName name="NET_SMS_Rev_Chart" localSheetId="11">OFFSET(#REF!,0,0,1,COUNTIF(#REF!,"&gt;0"))</definedName>
    <definedName name="NET_SMS_Rev_Chart" localSheetId="6">OFFSET(Stock!#REF!,0,0,1,COUNTIF(Stock!#REF!,"&gt;0"))</definedName>
    <definedName name="NET_SMS_Rev_Chart">OFFSET(#REF!,0,0,1,COUNTIF(#REF!,"&gt;0"))</definedName>
    <definedName name="Net_Supplier_Additions_Chart" localSheetId="7">OFFSET('Aged debtors'!#REF!,0,0,1,COUNTIF('Aged debtors'!#REF!,"&gt;0"))</definedName>
    <definedName name="Net_Supplier_Additions_Chart" localSheetId="9">OFFSET('Customer data'!#REF!,0,0,1,COUNTIF('Customer data'!#REF!,"&gt;0"))</definedName>
    <definedName name="Net_Supplier_Additions_Chart" localSheetId="8">OFFSET('Largest debtors'!#REF!,0,0,1,COUNTIF('Largest debtors'!#REF!,"&gt;0"))</definedName>
    <definedName name="Net_Supplier_Additions_Chart" localSheetId="11">OFFSET(#REF!,0,0,1,COUNTIF(#REF!,"&gt;0"))</definedName>
    <definedName name="Net_Supplier_Additions_Chart" localSheetId="6">OFFSET(Stock!#REF!,0,0,1,COUNTIF(Stock!#REF!,"&gt;0"))</definedName>
    <definedName name="Net_Supplier_Additions_Chart">OFFSET(#REF!,0,0,1,COUNTIF(#REF!,"&gt;0"))</definedName>
    <definedName name="New_Members" localSheetId="7">'Aged debtors'!#REF!</definedName>
    <definedName name="New_Members" localSheetId="10">#REF!</definedName>
    <definedName name="New_Members" localSheetId="9">'Customer data'!#REF!</definedName>
    <definedName name="New_Members" localSheetId="8">'Largest debtors'!#REF!</definedName>
    <definedName name="New_Members" localSheetId="11">#REF!</definedName>
    <definedName name="New_Members" localSheetId="6">Stock!#REF!</definedName>
    <definedName name="New_Members">#REF!</definedName>
    <definedName name="NOA_Bal" localSheetId="7">'Aged debtors'!#REF!</definedName>
    <definedName name="NOA_Bal" localSheetId="10">#REF!</definedName>
    <definedName name="NOA_Bal" localSheetId="9">'Customer data'!#REF!</definedName>
    <definedName name="NOA_Bal" localSheetId="8">'Largest debtors'!#REF!</definedName>
    <definedName name="NOA_Bal" localSheetId="11">#REF!</definedName>
    <definedName name="NOA_Bal" localSheetId="6">Stock!#REF!</definedName>
    <definedName name="NOA_Bal">#REF!</definedName>
    <definedName name="NOA_Cash" localSheetId="7">'Aged debtors'!#REF!</definedName>
    <definedName name="NOA_Cash" localSheetId="10">#REF!</definedName>
    <definedName name="NOA_Cash" localSheetId="9">'Customer data'!#REF!</definedName>
    <definedName name="NOA_Cash" localSheetId="8">'Largest debtors'!#REF!</definedName>
    <definedName name="NOA_Cash" localSheetId="11">#REF!</definedName>
    <definedName name="NOA_Cash" localSheetId="6">Stock!#REF!</definedName>
    <definedName name="NOA_Cash">#REF!</definedName>
    <definedName name="NOI" localSheetId="7">'Aged debtors'!#REF!</definedName>
    <definedName name="NOI" localSheetId="10">#REF!</definedName>
    <definedName name="NOI" localSheetId="9">'Customer data'!#REF!</definedName>
    <definedName name="NOI" localSheetId="8">'Largest debtors'!#REF!</definedName>
    <definedName name="NOI" localSheetId="11">#REF!</definedName>
    <definedName name="NOI" localSheetId="6">Stock!#REF!</definedName>
    <definedName name="NOI">#REF!</definedName>
    <definedName name="NOPLAT" localSheetId="7">'Aged debtors'!#REF!</definedName>
    <definedName name="NOPLAT" localSheetId="10">#REF!</definedName>
    <definedName name="NOPLAT" localSheetId="9">'Customer data'!#REF!</definedName>
    <definedName name="NOPLAT" localSheetId="8">'Largest debtors'!#REF!</definedName>
    <definedName name="NOPLAT" localSheetId="11">#REF!</definedName>
    <definedName name="NOPLAT" localSheetId="6">Stock!#REF!</definedName>
    <definedName name="NOPLAT">#REF!</definedName>
    <definedName name="NOPLAT_P2" localSheetId="7">'Aged debtors'!#REF!</definedName>
    <definedName name="NOPLAT_P2" localSheetId="10">#REF!</definedName>
    <definedName name="NOPLAT_P2" localSheetId="9">'Customer data'!#REF!</definedName>
    <definedName name="NOPLAT_P2" localSheetId="8">'Largest debtors'!#REF!</definedName>
    <definedName name="NOPLAT_P2" localSheetId="11">#REF!</definedName>
    <definedName name="NOPLAT_P2" localSheetId="6">Stock!#REF!</definedName>
    <definedName name="NOPLAT_P2">#REF!</definedName>
    <definedName name="nper" localSheetId="7">term*periods_per_year</definedName>
    <definedName name="nper" localSheetId="10">term*periods_per_year</definedName>
    <definedName name="nper" localSheetId="12">term*periods_per_year</definedName>
    <definedName name="nper" localSheetId="9">term*periods_per_year</definedName>
    <definedName name="nper" localSheetId="3">term*periods_per_year</definedName>
    <definedName name="nper" localSheetId="8">term*periods_per_year</definedName>
    <definedName name="nper" localSheetId="11">term*periods_per_year</definedName>
    <definedName name="nper" localSheetId="4">term*periods_per_year</definedName>
    <definedName name="nper" localSheetId="6">term*periods_per_year</definedName>
    <definedName name="nper">term*periods_per_year</definedName>
    <definedName name="NumberOfYearDays" localSheetId="7">'Aged debtors'!#REF!</definedName>
    <definedName name="NumberOfYearDays" localSheetId="10">#REF!</definedName>
    <definedName name="NumberOfYearDays" localSheetId="9">'Customer data'!#REF!</definedName>
    <definedName name="NumberOfYearDays" localSheetId="8">'Largest debtors'!#REF!</definedName>
    <definedName name="NumberOfYearDays" localSheetId="11">#REF!</definedName>
    <definedName name="NumberOfYearDays" localSheetId="4">#REF!</definedName>
    <definedName name="NumberOfYearDays" localSheetId="6">Stock!#REF!</definedName>
    <definedName name="NumberOfYearDays">#REF!</definedName>
    <definedName name="OCA" localSheetId="7">'Aged debtors'!#REF!</definedName>
    <definedName name="OCA" localSheetId="10">#REF!</definedName>
    <definedName name="OCA" localSheetId="9">'Customer data'!#REF!</definedName>
    <definedName name="OCA" localSheetId="8">'Largest debtors'!#REF!</definedName>
    <definedName name="OCA" localSheetId="11">#REF!</definedName>
    <definedName name="OCA" localSheetId="4">#REF!</definedName>
    <definedName name="OCA" localSheetId="6">Stock!#REF!</definedName>
    <definedName name="OCA">#REF!</definedName>
    <definedName name="OCL" localSheetId="7">'Aged debtors'!#REF!</definedName>
    <definedName name="OCL" localSheetId="10">#REF!</definedName>
    <definedName name="OCL" localSheetId="9">'Customer data'!#REF!</definedName>
    <definedName name="OCL" localSheetId="8">'Largest debtors'!#REF!</definedName>
    <definedName name="OCL" localSheetId="11">#REF!</definedName>
    <definedName name="OCL" localSheetId="6">Stock!#REF!</definedName>
    <definedName name="OCL">#REF!</definedName>
    <definedName name="OD" localSheetId="7">'Aged debtors'!#REF!</definedName>
    <definedName name="OD" localSheetId="10">#REF!</definedName>
    <definedName name="OD" localSheetId="9">'Customer data'!#REF!</definedName>
    <definedName name="OD" localSheetId="8">'Largest debtors'!#REF!</definedName>
    <definedName name="OD" localSheetId="11">#REF!</definedName>
    <definedName name="OD" localSheetId="6">Stock!#REF!</definedName>
    <definedName name="OD">#REF!</definedName>
    <definedName name="Office_Team_Score" localSheetId="7">'Aged debtors'!#REF!</definedName>
    <definedName name="Office_Team_Score" localSheetId="9">'Customer data'!#REF!</definedName>
    <definedName name="Office_Team_Score" localSheetId="8">'Largest debtors'!#REF!</definedName>
    <definedName name="Office_Team_Score" localSheetId="11">#REF!</definedName>
    <definedName name="Office_Team_Score" localSheetId="6">Stock!#REF!</definedName>
    <definedName name="Office_Team_Score">#REF!</definedName>
    <definedName name="One" localSheetId="7">'Aged debtors'!#REF!</definedName>
    <definedName name="One" localSheetId="10">#REF!</definedName>
    <definedName name="One" localSheetId="9">'Customer data'!#REF!</definedName>
    <definedName name="One" localSheetId="8">'Largest debtors'!#REF!</definedName>
    <definedName name="One" localSheetId="11">#REF!</definedName>
    <definedName name="One" localSheetId="6">Stock!#REF!</definedName>
    <definedName name="One">#REF!</definedName>
    <definedName name="OOA_Bal" localSheetId="7">'Aged debtors'!#REF!</definedName>
    <definedName name="OOA_Bal" localSheetId="10">#REF!</definedName>
    <definedName name="OOA_Bal" localSheetId="9">'Customer data'!#REF!</definedName>
    <definedName name="OOA_Bal" localSheetId="8">'Largest debtors'!#REF!</definedName>
    <definedName name="OOA_Bal" localSheetId="11">#REF!</definedName>
    <definedName name="OOA_Bal" localSheetId="6">Stock!#REF!</definedName>
    <definedName name="OOA_Bal">#REF!</definedName>
    <definedName name="OOA_Cash" localSheetId="7">'Aged debtors'!#REF!</definedName>
    <definedName name="OOA_Cash" localSheetId="10">#REF!</definedName>
    <definedName name="OOA_Cash" localSheetId="9">'Customer data'!#REF!</definedName>
    <definedName name="OOA_Cash" localSheetId="8">'Largest debtors'!#REF!</definedName>
    <definedName name="OOA_Cash" localSheetId="11">#REF!</definedName>
    <definedName name="OOA_Cash" localSheetId="6">Stock!#REF!</definedName>
    <definedName name="OOA_Cash">#REF!</definedName>
    <definedName name="OOE" localSheetId="7">'Aged debtors'!#REF!</definedName>
    <definedName name="OOE" localSheetId="10">#REF!</definedName>
    <definedName name="OOE" localSheetId="9">'Customer data'!#REF!</definedName>
    <definedName name="OOE" localSheetId="8">'Largest debtors'!#REF!</definedName>
    <definedName name="OOE" localSheetId="11">#REF!</definedName>
    <definedName name="OOE" localSheetId="6">Stock!#REF!</definedName>
    <definedName name="OOE">#REF!</definedName>
    <definedName name="OOL_Bal" localSheetId="7">'Aged debtors'!#REF!</definedName>
    <definedName name="OOL_Bal" localSheetId="10">#REF!</definedName>
    <definedName name="OOL_Bal" localSheetId="9">'Customer data'!#REF!</definedName>
    <definedName name="OOL_Bal" localSheetId="8">'Largest debtors'!#REF!</definedName>
    <definedName name="OOL_Bal" localSheetId="11">#REF!</definedName>
    <definedName name="OOL_Bal" localSheetId="6">Stock!#REF!</definedName>
    <definedName name="OOL_Bal">#REF!</definedName>
    <definedName name="OOL_Cash" localSheetId="7">'Aged debtors'!#REF!</definedName>
    <definedName name="OOL_Cash" localSheetId="10">#REF!</definedName>
    <definedName name="OOL_Cash" localSheetId="9">'Customer data'!#REF!</definedName>
    <definedName name="OOL_Cash" localSheetId="8">'Largest debtors'!#REF!</definedName>
    <definedName name="OOL_Cash" localSheetId="11">#REF!</definedName>
    <definedName name="OOL_Cash" localSheetId="6">Stock!#REF!</definedName>
    <definedName name="OOL_Cash">#REF!</definedName>
    <definedName name="OOP_Bal" localSheetId="7">'Aged debtors'!#REF!</definedName>
    <definedName name="OOP_Bal" localSheetId="10">#REF!</definedName>
    <definedName name="OOP_Bal" localSheetId="9">'Customer data'!#REF!</definedName>
    <definedName name="OOP_Bal" localSheetId="8">'Largest debtors'!#REF!</definedName>
    <definedName name="OOP_Bal" localSheetId="11">#REF!</definedName>
    <definedName name="OOP_Bal" localSheetId="6">Stock!#REF!</definedName>
    <definedName name="OOP_Bal">#REF!</definedName>
    <definedName name="OOP_Cash" localSheetId="7">'Aged debtors'!#REF!</definedName>
    <definedName name="OOP_Cash" localSheetId="10">#REF!</definedName>
    <definedName name="OOP_Cash" localSheetId="9">'Customer data'!#REF!</definedName>
    <definedName name="OOP_Cash" localSheetId="8">'Largest debtors'!#REF!</definedName>
    <definedName name="OOP_Cash" localSheetId="11">#REF!</definedName>
    <definedName name="OOP_Cash" localSheetId="6">Stock!#REF!</definedName>
    <definedName name="OOP_Cash">#REF!</definedName>
    <definedName name="OOR" localSheetId="7">'Aged debtors'!#REF!</definedName>
    <definedName name="OOR" localSheetId="10">#REF!</definedName>
    <definedName name="OOR" localSheetId="9">'Customer data'!#REF!</definedName>
    <definedName name="OOR" localSheetId="8">'Largest debtors'!#REF!</definedName>
    <definedName name="OOR" localSheetId="11">#REF!</definedName>
    <definedName name="OOR" localSheetId="6">Stock!#REF!</definedName>
    <definedName name="OOR">#REF!</definedName>
    <definedName name="OpCash" localSheetId="7">'Aged debtors'!#REF!</definedName>
    <definedName name="OpCash" localSheetId="10">#REF!</definedName>
    <definedName name="OpCash" localSheetId="9">'Customer data'!#REF!</definedName>
    <definedName name="OpCash" localSheetId="8">'Largest debtors'!#REF!</definedName>
    <definedName name="OpCash" localSheetId="11">#REF!</definedName>
    <definedName name="OpCash" localSheetId="6">Stock!#REF!</definedName>
    <definedName name="OpCash">#REF!</definedName>
    <definedName name="OpLease_Bal" localSheetId="7">'Aged debtors'!#REF!</definedName>
    <definedName name="OpLease_Bal" localSheetId="10">#REF!</definedName>
    <definedName name="OpLease_Bal" localSheetId="9">'Customer data'!#REF!</definedName>
    <definedName name="OpLease_Bal" localSheetId="8">'Largest debtors'!#REF!</definedName>
    <definedName name="OpLease_Bal" localSheetId="11">#REF!</definedName>
    <definedName name="OpLease_Bal" localSheetId="6">Stock!#REF!</definedName>
    <definedName name="OpLease_Bal">#REF!</definedName>
    <definedName name="OpLease_Cash" localSheetId="7">'Aged debtors'!#REF!</definedName>
    <definedName name="OpLease_Cash" localSheetId="10">#REF!</definedName>
    <definedName name="OpLease_Cash" localSheetId="9">'Customer data'!#REF!</definedName>
    <definedName name="OpLease_Cash" localSheetId="8">'Largest debtors'!#REF!</definedName>
    <definedName name="OpLease_Cash" localSheetId="11">#REF!</definedName>
    <definedName name="OpLease_Cash" localSheetId="6">Stock!#REF!</definedName>
    <definedName name="OpLease_Cash">#REF!</definedName>
    <definedName name="OpLease_Int" localSheetId="7">'Aged debtors'!#REF!</definedName>
    <definedName name="OpLease_Int" localSheetId="10">#REF!</definedName>
    <definedName name="OpLease_Int" localSheetId="9">'Customer data'!#REF!</definedName>
    <definedName name="OpLease_Int" localSheetId="8">'Largest debtors'!#REF!</definedName>
    <definedName name="OpLease_Int" localSheetId="11">#REF!</definedName>
    <definedName name="OpLease_Int" localSheetId="6">Stock!#REF!</definedName>
    <definedName name="OpLease_Int">#REF!</definedName>
    <definedName name="Options" localSheetId="7">'Aged debtors'!#REF!</definedName>
    <definedName name="Options" localSheetId="10">#REF!</definedName>
    <definedName name="Options" localSheetId="9">'Customer data'!#REF!</definedName>
    <definedName name="Options" localSheetId="8">'Largest debtors'!#REF!</definedName>
    <definedName name="Options" localSheetId="11">#REF!</definedName>
    <definedName name="Options" localSheetId="6">Stock!#REF!</definedName>
    <definedName name="Options">#REF!</definedName>
    <definedName name="ord_price_A" localSheetId="7">'Aged debtors'!#REF!</definedName>
    <definedName name="ord_price_A" localSheetId="9">'Customer data'!#REF!</definedName>
    <definedName name="ord_price_A" localSheetId="8">'Largest debtors'!#REF!</definedName>
    <definedName name="ord_price_A" localSheetId="11">#REF!</definedName>
    <definedName name="ord_price_A" localSheetId="6">Stock!#REF!</definedName>
    <definedName name="ord_price_A">#REF!</definedName>
    <definedName name="Order_data" localSheetId="7">'Aged debtors'!#REF!</definedName>
    <definedName name="Order_data" localSheetId="9">'Customer data'!#REF!</definedName>
    <definedName name="Order_data" localSheetId="8">'Largest debtors'!#REF!</definedName>
    <definedName name="Order_data" localSheetId="11">#REF!</definedName>
    <definedName name="Order_data" localSheetId="6">Stock!#REF!</definedName>
    <definedName name="Order_data">#REF!</definedName>
    <definedName name="Organic_Visits" localSheetId="7">'Aged debtors'!#REF!</definedName>
    <definedName name="Organic_Visits" localSheetId="10">#REF!</definedName>
    <definedName name="Organic_Visits" localSheetId="9">'Customer data'!#REF!</definedName>
    <definedName name="Organic_Visits" localSheetId="8">'Largest debtors'!#REF!</definedName>
    <definedName name="Organic_Visits" localSheetId="11">#REF!</definedName>
    <definedName name="Organic_Visits" localSheetId="6">Stock!#REF!</definedName>
    <definedName name="Organic_Visits">#REF!</definedName>
    <definedName name="OriginalRate" localSheetId="7">'Aged debtors'!#REF!</definedName>
    <definedName name="OriginalRate" localSheetId="9">'Customer data'!#REF!</definedName>
    <definedName name="OriginalRate" localSheetId="8">'Largest debtors'!#REF!</definedName>
    <definedName name="OriginalRate" localSheetId="11">#REF!</definedName>
    <definedName name="OriginalRate" localSheetId="6">Stock!#REF!</definedName>
    <definedName name="OriginalRate">#REF!</definedName>
    <definedName name="OriginalTerm" localSheetId="7">'Aged debtors'!#REF!</definedName>
    <definedName name="OriginalTerm" localSheetId="9">'Customer data'!#REF!</definedName>
    <definedName name="OriginalTerm" localSheetId="8">'Largest debtors'!#REF!</definedName>
    <definedName name="OriginalTerm" localSheetId="11">#REF!</definedName>
    <definedName name="OriginalTerm" localSheetId="6">Stock!#REF!</definedName>
    <definedName name="OriginalTerm">#REF!</definedName>
    <definedName name="OVERALL_REFERRAL_RATE_CHART" localSheetId="7">OFFSET('Aged debtors'!#REF!,0,0,1,COUNTIF('Aged debtors'!#REF!,"&gt;0"))</definedName>
    <definedName name="OVERALL_REFERRAL_RATE_CHART" localSheetId="9">OFFSET('Customer data'!#REF!,0,0,1,COUNTIF('Customer data'!#REF!,"&gt;0"))</definedName>
    <definedName name="OVERALL_REFERRAL_RATE_CHART" localSheetId="8">OFFSET('Largest debtors'!#REF!,0,0,1,COUNTIF('Largest debtors'!#REF!,"&gt;0"))</definedName>
    <definedName name="OVERALL_REFERRAL_RATE_CHART" localSheetId="11">OFFSET(#REF!,0,0,1,COUNTIF(#REF!,"&gt;0"))</definedName>
    <definedName name="OVERALL_REFERRAL_RATE_CHART" localSheetId="6">OFFSET(Stock!#REF!,0,0,1,COUNTIF(Stock!#REF!,"&gt;0"))</definedName>
    <definedName name="OVERALL_REFERRAL_RATE_CHART">OFFSET(#REF!,0,0,1,COUNTIF(#REF!,"&gt;0"))</definedName>
    <definedName name="P7_Plan" localSheetId="7">'Aged debtors'!#REF!</definedName>
    <definedName name="P7_Plan" localSheetId="9">'Customer data'!#REF!</definedName>
    <definedName name="P7_Plan" localSheetId="8">'Largest debtors'!#REF!</definedName>
    <definedName name="P7_Plan" localSheetId="11">#REF!</definedName>
    <definedName name="P7_Plan" localSheetId="6">Stock!#REF!</definedName>
    <definedName name="P7_Plan">#REF!</definedName>
    <definedName name="PASSWORD" hidden="1">"84c516b770a1bcf6"</definedName>
    <definedName name="PaymentType" localSheetId="7">'Aged debtors'!#REF!</definedName>
    <definedName name="PaymentType" localSheetId="10">#REF!</definedName>
    <definedName name="PaymentType" localSheetId="9">'Customer data'!#REF!</definedName>
    <definedName name="PaymentType" localSheetId="3">#REF!</definedName>
    <definedName name="PaymentType" localSheetId="8">'Largest debtors'!#REF!</definedName>
    <definedName name="PaymentType" localSheetId="11">#REF!</definedName>
    <definedName name="PaymentType" localSheetId="6">Stock!#REF!</definedName>
    <definedName name="PaymentType">#REF!</definedName>
    <definedName name="PaymentType2" localSheetId="7">'Aged debtors'!#REF!</definedName>
    <definedName name="PaymentType2" localSheetId="10">#REF!</definedName>
    <definedName name="PaymentType2" localSheetId="9">'Customer data'!#REF!</definedName>
    <definedName name="PaymentType2" localSheetId="8">'Largest debtors'!#REF!</definedName>
    <definedName name="PaymentType2" localSheetId="11">#REF!</definedName>
    <definedName name="PaymentType2" localSheetId="6">Stock!#REF!</definedName>
    <definedName name="PaymentType2">#REF!</definedName>
    <definedName name="PaymentType3" localSheetId="7">'Aged debtors'!#REF!</definedName>
    <definedName name="PaymentType3" localSheetId="10">#REF!</definedName>
    <definedName name="PaymentType3" localSheetId="9">'Customer data'!#REF!</definedName>
    <definedName name="PaymentType3" localSheetId="8">'Largest debtors'!#REF!</definedName>
    <definedName name="PaymentType3" localSheetId="11">#REF!</definedName>
    <definedName name="PaymentType3" localSheetId="6">Stock!#REF!</definedName>
    <definedName name="PaymentType3">#REF!</definedName>
    <definedName name="PaymentWithExtra" localSheetId="7">'Aged debtors'!#REF!</definedName>
    <definedName name="PaymentWithExtra" localSheetId="10">#REF!</definedName>
    <definedName name="PaymentWithExtra" localSheetId="9">'Customer data'!#REF!</definedName>
    <definedName name="PaymentWithExtra" localSheetId="8">'Largest debtors'!#REF!</definedName>
    <definedName name="PaymentWithExtra" localSheetId="11">#REF!</definedName>
    <definedName name="PaymentWithExtra" localSheetId="6">Stock!#REF!</definedName>
    <definedName name="PaymentWithExtra">#REF!</definedName>
    <definedName name="Pen_Excess" localSheetId="7">'Aged debtors'!#REF!</definedName>
    <definedName name="Pen_Excess" localSheetId="10">#REF!</definedName>
    <definedName name="Pen_Excess" localSheetId="9">'Customer data'!#REF!</definedName>
    <definedName name="Pen_Excess" localSheetId="8">'Largest debtors'!#REF!</definedName>
    <definedName name="Pen_Excess" localSheetId="11">#REF!</definedName>
    <definedName name="Pen_Excess" localSheetId="6">Stock!#REF!</definedName>
    <definedName name="Pen_Excess">#REF!</definedName>
    <definedName name="Phased_Plan" localSheetId="7">'Aged debtors'!#REF!</definedName>
    <definedName name="Phased_Plan" localSheetId="9">'Customer data'!#REF!</definedName>
    <definedName name="Phased_Plan" localSheetId="8">'Largest debtors'!#REF!</definedName>
    <definedName name="Phased_Plan" localSheetId="11">#REF!</definedName>
    <definedName name="Phased_Plan" localSheetId="6">Stock!#REF!</definedName>
    <definedName name="Phased_Plan">#REF!</definedName>
    <definedName name="PI" localSheetId="7">'Aged debtors'!#REF!</definedName>
    <definedName name="PI" localSheetId="10">#REF!</definedName>
    <definedName name="PI" localSheetId="9">'Customer data'!#REF!</definedName>
    <definedName name="PI" localSheetId="8">'Largest debtors'!#REF!</definedName>
    <definedName name="PI" localSheetId="11">#REF!</definedName>
    <definedName name="PI" localSheetId="6">Stock!#REF!</definedName>
    <definedName name="PI">#REF!</definedName>
    <definedName name="PL_Reference" localSheetId="7">'Aged debtors'!#REF!</definedName>
    <definedName name="PL_Reference" localSheetId="9">'Customer data'!#REF!</definedName>
    <definedName name="PL_Reference" localSheetId="8">'Largest debtors'!#REF!</definedName>
    <definedName name="PL_Reference" localSheetId="11">#REF!</definedName>
    <definedName name="PL_Reference" localSheetId="6">Stock!#REF!</definedName>
    <definedName name="PL_Reference">#REF!</definedName>
    <definedName name="Plant" localSheetId="7">'Aged debtors'!#REF!</definedName>
    <definedName name="Plant" localSheetId="10">#REF!</definedName>
    <definedName name="Plant" localSheetId="0">#REF!</definedName>
    <definedName name="Plant" localSheetId="9">'Customer data'!#REF!</definedName>
    <definedName name="Plant" localSheetId="8">'Largest debtors'!#REF!</definedName>
    <definedName name="Plant" localSheetId="11">#REF!</definedName>
    <definedName name="Plant" localSheetId="6">Stock!#REF!</definedName>
    <definedName name="Plant">#REF!</definedName>
    <definedName name="PortfolioExec" localSheetId="7">'Aged debtors'!#REF!</definedName>
    <definedName name="PortfolioExec" localSheetId="10">#REF!</definedName>
    <definedName name="PortfolioExec" localSheetId="9">'Customer data'!#REF!</definedName>
    <definedName name="PortfolioExec" localSheetId="8">'Largest debtors'!#REF!</definedName>
    <definedName name="PortfolioExec" localSheetId="11">#REF!</definedName>
    <definedName name="PortfolioExec" localSheetId="6">Stock!#REF!</definedName>
    <definedName name="PortfolioExec">#REF!</definedName>
    <definedName name="PPE_Net" localSheetId="7">'Aged debtors'!#REF!</definedName>
    <definedName name="PPE_Net" localSheetId="10">#REF!</definedName>
    <definedName name="PPE_Net" localSheetId="9">'Customer data'!#REF!</definedName>
    <definedName name="PPE_Net" localSheetId="8">'Largest debtors'!#REF!</definedName>
    <definedName name="PPE_Net" localSheetId="11">#REF!</definedName>
    <definedName name="PPE_Net" localSheetId="6">Stock!#REF!</definedName>
    <definedName name="PPE_Net">#REF!</definedName>
    <definedName name="pref_price_A" localSheetId="7">'Aged debtors'!#REF!</definedName>
    <definedName name="pref_price_A" localSheetId="9">'Customer data'!#REF!</definedName>
    <definedName name="pref_price_A" localSheetId="8">'Largest debtors'!#REF!</definedName>
    <definedName name="pref_price_A" localSheetId="11">#REF!</definedName>
    <definedName name="pref_price_A" localSheetId="6">Stock!#REF!</definedName>
    <definedName name="pref_price_A">#REF!</definedName>
    <definedName name="pref_price_Ba" localSheetId="7">'Aged debtors'!#REF!</definedName>
    <definedName name="pref_price_Ba" localSheetId="9">'Customer data'!#REF!</definedName>
    <definedName name="pref_price_Ba" localSheetId="8">'Largest debtors'!#REF!</definedName>
    <definedName name="pref_price_Ba" localSheetId="11">#REF!</definedName>
    <definedName name="pref_price_Ba" localSheetId="6">Stock!#REF!</definedName>
    <definedName name="pref_price_Ba">#REF!</definedName>
    <definedName name="Pref_Price_Bb" localSheetId="7">'Aged debtors'!#REF!</definedName>
    <definedName name="Pref_Price_Bb" localSheetId="9">'Customer data'!#REF!</definedName>
    <definedName name="Pref_Price_Bb" localSheetId="8">'Largest debtors'!#REF!</definedName>
    <definedName name="Pref_Price_Bb" localSheetId="11">#REF!</definedName>
    <definedName name="Pref_Price_Bb" localSheetId="6">Stock!#REF!</definedName>
    <definedName name="Pref_Price_Bb">#REF!</definedName>
    <definedName name="Prefs_Bal" localSheetId="7">'Aged debtors'!#REF!</definedName>
    <definedName name="Prefs_Bal" localSheetId="10">#REF!</definedName>
    <definedName name="Prefs_Bal" localSheetId="9">'Customer data'!#REF!</definedName>
    <definedName name="Prefs_Bal" localSheetId="8">'Largest debtors'!#REF!</definedName>
    <definedName name="Prefs_Bal" localSheetId="11">#REF!</definedName>
    <definedName name="Prefs_Bal" localSheetId="6">Stock!#REF!</definedName>
    <definedName name="Prefs_Bal">#REF!</definedName>
    <definedName name="Prefs_Cash" localSheetId="7">'Aged debtors'!#REF!</definedName>
    <definedName name="Prefs_Cash" localSheetId="10">#REF!</definedName>
    <definedName name="Prefs_Cash" localSheetId="9">'Customer data'!#REF!</definedName>
    <definedName name="Prefs_Cash" localSheetId="8">'Largest debtors'!#REF!</definedName>
    <definedName name="Prefs_Cash" localSheetId="11">#REF!</definedName>
    <definedName name="Prefs_Cash" localSheetId="6">Stock!#REF!</definedName>
    <definedName name="Prefs_Cash">#REF!</definedName>
    <definedName name="Prefs_Div" localSheetId="7">'Aged debtors'!#REF!</definedName>
    <definedName name="Prefs_Div" localSheetId="10">#REF!</definedName>
    <definedName name="Prefs_Div" localSheetId="9">'Customer data'!#REF!</definedName>
    <definedName name="Prefs_Div" localSheetId="8">'Largest debtors'!#REF!</definedName>
    <definedName name="Prefs_Div" localSheetId="11">#REF!</definedName>
    <definedName name="Prefs_Div" localSheetId="6">Stock!#REF!</definedName>
    <definedName name="Prefs_Div">#REF!</definedName>
    <definedName name="Prefs_No" localSheetId="7">'Aged debtors'!#REF!</definedName>
    <definedName name="Prefs_No" localSheetId="10">#REF!</definedName>
    <definedName name="Prefs_No" localSheetId="9">'Customer data'!#REF!</definedName>
    <definedName name="Prefs_No" localSheetId="8">'Largest debtors'!#REF!</definedName>
    <definedName name="Prefs_No" localSheetId="11">#REF!</definedName>
    <definedName name="Prefs_No" localSheetId="6">Stock!#REF!</definedName>
    <definedName name="Prefs_No">#REF!</definedName>
    <definedName name="_xlnm.Print_Area" localSheetId="7">'Aged debtors'!$B$2:$P$84</definedName>
    <definedName name="_xlnm.Print_Area" localSheetId="10">'Carrier data'!$B$2:$R$41</definedName>
    <definedName name="_xlnm.Print_Area" localSheetId="12">'Cash consumption and rev cov'!$B$2:$AB$33</definedName>
    <definedName name="_xlnm.Print_Area" localSheetId="0">Cover!$B$1:$L$25</definedName>
    <definedName name="_xlnm.Print_Area" localSheetId="9">'Customer data'!$B$2:$AA$254</definedName>
    <definedName name="_xlnm.Print_Area" localSheetId="3">'Financial plan'!$B$2:$BR$109</definedName>
    <definedName name="_xlnm.Print_Area" localSheetId="2">'Financial statements'!$B$2:$CI$135</definedName>
    <definedName name="_xlnm.Print_Area" localSheetId="1">KPIs!$B$2:$CK$30</definedName>
    <definedName name="_xlnm.Print_Area" localSheetId="11">'Overseas cash covenant'!$C$2:$D$28</definedName>
    <definedName name="_xlnm.Print_Area" localSheetId="6">Stock!$B$2:$S$66</definedName>
    <definedName name="_xlnm.Print_Titles" localSheetId="7">'Aged debtors'!$2:$4</definedName>
    <definedName name="_xlnm.Print_Titles" localSheetId="3">'Financial plan'!$2:$3</definedName>
    <definedName name="_xlnm.Print_Titles" localSheetId="2">'Financial statements'!$2:$3</definedName>
    <definedName name="Prov_Bal" localSheetId="7">'Aged debtors'!#REF!</definedName>
    <definedName name="Prov_Bal" localSheetId="10">#REF!</definedName>
    <definedName name="Prov_Bal" localSheetId="9">'Customer data'!#REF!</definedName>
    <definedName name="Prov_Bal" localSheetId="8">'Largest debtors'!#REF!</definedName>
    <definedName name="Prov_Bal" localSheetId="11">#REF!</definedName>
    <definedName name="Prov_Bal" localSheetId="6">Stock!#REF!</definedName>
    <definedName name="Prov_Bal">#REF!</definedName>
    <definedName name="Prov_Cash" localSheetId="7">'Aged debtors'!#REF!</definedName>
    <definedName name="Prov_Cash" localSheetId="10">#REF!</definedName>
    <definedName name="Prov_Cash" localSheetId="9">'Customer data'!#REF!</definedName>
    <definedName name="Prov_Cash" localSheetId="8">'Largest debtors'!#REF!</definedName>
    <definedName name="Prov_Cash" localSheetId="11">#REF!</definedName>
    <definedName name="Prov_Cash" localSheetId="6">Stock!#REF!</definedName>
    <definedName name="Prov_Cash">#REF!</definedName>
    <definedName name="PSW_BACK_1" localSheetId="7" hidden="1">'Aged debtors'!#REF!</definedName>
    <definedName name="PSW_BACK_1" localSheetId="10" hidden="1">#REF!</definedName>
    <definedName name="PSW_BACK_1" localSheetId="12" hidden="1">#REF!</definedName>
    <definedName name="PSW_BACK_1" localSheetId="9" hidden="1">'Customer data'!#REF!</definedName>
    <definedName name="PSW_BACK_1" localSheetId="8" hidden="1">'Largest debtors'!#REF!</definedName>
    <definedName name="PSW_BACK_1" localSheetId="11" hidden="1">#REF!</definedName>
    <definedName name="PSW_BACK_1" localSheetId="6" hidden="1">Stock!#REF!</definedName>
    <definedName name="PSW_BACK_1" hidden="1">#REF!</definedName>
    <definedName name="PSW_CALCULATE_0" localSheetId="7" hidden="1">'Aged debtors'!#REF!</definedName>
    <definedName name="PSW_CALCULATE_0" localSheetId="10" hidden="1">#REF!</definedName>
    <definedName name="PSW_CALCULATE_0" localSheetId="9" hidden="1">'Customer data'!#REF!</definedName>
    <definedName name="PSW_CALCULATE_0" localSheetId="8" hidden="1">'Largest debtors'!#REF!</definedName>
    <definedName name="PSW_CALCULATE_0" localSheetId="11" hidden="1">#REF!</definedName>
    <definedName name="PSW_CALCULATE_0" localSheetId="6" hidden="1">Stock!#REF!</definedName>
    <definedName name="PSW_CALCULATE_0" hidden="1">#REF!</definedName>
    <definedName name="PSW_NEXT_0" localSheetId="7" hidden="1">'Aged debtors'!#REF!</definedName>
    <definedName name="PSW_NEXT_0" localSheetId="10" hidden="1">#REF!</definedName>
    <definedName name="PSW_NEXT_0" localSheetId="9" hidden="1">'Customer data'!#REF!</definedName>
    <definedName name="PSW_NEXT_0" localSheetId="8" hidden="1">'Largest debtors'!#REF!</definedName>
    <definedName name="PSW_NEXT_0" localSheetId="11" hidden="1">#REF!</definedName>
    <definedName name="PSW_NEXT_0" localSheetId="6" hidden="1">Stock!#REF!</definedName>
    <definedName name="PSW_NEXT_0" hidden="1">#REF!</definedName>
    <definedName name="PSWInput_0_0" localSheetId="7" hidden="1">'Aged debtors'!#REF!</definedName>
    <definedName name="PSWInput_0_0" localSheetId="10" hidden="1">#REF!</definedName>
    <definedName name="PSWInput_0_0" localSheetId="12" hidden="1">#REF!</definedName>
    <definedName name="PSWInput_0_0" localSheetId="9" hidden="1">'Customer data'!#REF!</definedName>
    <definedName name="PSWInput_0_0" localSheetId="8" hidden="1">'Largest debtors'!#REF!</definedName>
    <definedName name="PSWInput_0_0" localSheetId="11" hidden="1">#REF!</definedName>
    <definedName name="PSWInput_0_0" localSheetId="6" hidden="1">Stock!#REF!</definedName>
    <definedName name="PSWInput_0_0" hidden="1">#REF!</definedName>
    <definedName name="PSWInput_0_1" localSheetId="7" hidden="1">'Aged debtors'!#REF!</definedName>
    <definedName name="PSWInput_0_1" localSheetId="10" hidden="1">#REF!</definedName>
    <definedName name="PSWInput_0_1" localSheetId="12" hidden="1">#REF!</definedName>
    <definedName name="PSWInput_0_1" localSheetId="9" hidden="1">'Customer data'!#REF!</definedName>
    <definedName name="PSWInput_0_1" localSheetId="8" hidden="1">'Largest debtors'!#REF!</definedName>
    <definedName name="PSWInput_0_1" localSheetId="11" hidden="1">#REF!</definedName>
    <definedName name="PSWInput_0_1" localSheetId="6" hidden="1">Stock!#REF!</definedName>
    <definedName name="PSWInput_0_1" hidden="1">#REF!</definedName>
    <definedName name="PSWInput_0_10" localSheetId="7" hidden="1">'Aged debtors'!#REF!</definedName>
    <definedName name="PSWInput_0_10" localSheetId="10" hidden="1">#REF!</definedName>
    <definedName name="PSWInput_0_10" localSheetId="12" hidden="1">#REF!</definedName>
    <definedName name="PSWInput_0_10" localSheetId="9" hidden="1">'Customer data'!#REF!</definedName>
    <definedName name="PSWInput_0_10" localSheetId="8" hidden="1">'Largest debtors'!#REF!</definedName>
    <definedName name="PSWInput_0_10" localSheetId="11" hidden="1">#REF!</definedName>
    <definedName name="PSWInput_0_10" localSheetId="6" hidden="1">Stock!#REF!</definedName>
    <definedName name="PSWInput_0_10" hidden="1">#REF!</definedName>
    <definedName name="PSWInput_0_100" localSheetId="7" hidden="1">'Aged debtors'!#REF!</definedName>
    <definedName name="PSWInput_0_100" localSheetId="10" hidden="1">#REF!</definedName>
    <definedName name="PSWInput_0_100" localSheetId="12" hidden="1">#REF!</definedName>
    <definedName name="PSWInput_0_100" localSheetId="9" hidden="1">'Customer data'!#REF!</definedName>
    <definedName name="PSWInput_0_100" localSheetId="8" hidden="1">'Largest debtors'!#REF!</definedName>
    <definedName name="PSWInput_0_100" localSheetId="11" hidden="1">#REF!</definedName>
    <definedName name="PSWInput_0_100" localSheetId="6" hidden="1">Stock!#REF!</definedName>
    <definedName name="PSWInput_0_100" hidden="1">#REF!</definedName>
    <definedName name="PSWInput_0_101" localSheetId="7" hidden="1">'Aged debtors'!#REF!</definedName>
    <definedName name="PSWInput_0_101" localSheetId="10" hidden="1">#REF!</definedName>
    <definedName name="PSWInput_0_101" localSheetId="12" hidden="1">#REF!</definedName>
    <definedName name="PSWInput_0_101" localSheetId="9" hidden="1">'Customer data'!#REF!</definedName>
    <definedName name="PSWInput_0_101" localSheetId="8" hidden="1">'Largest debtors'!#REF!</definedName>
    <definedName name="PSWInput_0_101" localSheetId="11" hidden="1">#REF!</definedName>
    <definedName name="PSWInput_0_101" localSheetId="6" hidden="1">Stock!#REF!</definedName>
    <definedName name="PSWInput_0_101" hidden="1">#REF!</definedName>
    <definedName name="PSWInput_0_102" localSheetId="7" hidden="1">'Aged debtors'!#REF!</definedName>
    <definedName name="PSWInput_0_102" localSheetId="10" hidden="1">#REF!</definedName>
    <definedName name="PSWInput_0_102" localSheetId="12" hidden="1">#REF!</definedName>
    <definedName name="PSWInput_0_102" localSheetId="9" hidden="1">'Customer data'!#REF!</definedName>
    <definedName name="PSWInput_0_102" localSheetId="8" hidden="1">'Largest debtors'!#REF!</definedName>
    <definedName name="PSWInput_0_102" localSheetId="11" hidden="1">#REF!</definedName>
    <definedName name="PSWInput_0_102" localSheetId="6" hidden="1">Stock!#REF!</definedName>
    <definedName name="PSWInput_0_102" hidden="1">#REF!</definedName>
    <definedName name="PSWInput_0_103" localSheetId="7" hidden="1">'Aged debtors'!#REF!</definedName>
    <definedName name="PSWInput_0_103" localSheetId="10" hidden="1">#REF!</definedName>
    <definedName name="PSWInput_0_103" localSheetId="12" hidden="1">#REF!</definedName>
    <definedName name="PSWInput_0_103" localSheetId="9" hidden="1">'Customer data'!#REF!</definedName>
    <definedName name="PSWInput_0_103" localSheetId="8" hidden="1">'Largest debtors'!#REF!</definedName>
    <definedName name="PSWInput_0_103" localSheetId="11" hidden="1">#REF!</definedName>
    <definedName name="PSWInput_0_103" localSheetId="6" hidden="1">Stock!#REF!</definedName>
    <definedName name="PSWInput_0_103" hidden="1">#REF!</definedName>
    <definedName name="PSWInput_0_104" localSheetId="7" hidden="1">'Aged debtors'!#REF!</definedName>
    <definedName name="PSWInput_0_104" localSheetId="10" hidden="1">#REF!</definedName>
    <definedName name="PSWInput_0_104" localSheetId="12" hidden="1">#REF!</definedName>
    <definedName name="PSWInput_0_104" localSheetId="9" hidden="1">'Customer data'!#REF!</definedName>
    <definedName name="PSWInput_0_104" localSheetId="8" hidden="1">'Largest debtors'!#REF!</definedName>
    <definedName name="PSWInput_0_104" localSheetId="11" hidden="1">#REF!</definedName>
    <definedName name="PSWInput_0_104" localSheetId="6" hidden="1">Stock!#REF!</definedName>
    <definedName name="PSWInput_0_104" hidden="1">#REF!</definedName>
    <definedName name="PSWInput_0_105" localSheetId="7" hidden="1">'Aged debtors'!#REF!</definedName>
    <definedName name="PSWInput_0_105" localSheetId="10" hidden="1">#REF!</definedName>
    <definedName name="PSWInput_0_105" localSheetId="12" hidden="1">#REF!</definedName>
    <definedName name="PSWInput_0_105" localSheetId="9" hidden="1">'Customer data'!#REF!</definedName>
    <definedName name="PSWInput_0_105" localSheetId="8" hidden="1">'Largest debtors'!#REF!</definedName>
    <definedName name="PSWInput_0_105" localSheetId="11" hidden="1">#REF!</definedName>
    <definedName name="PSWInput_0_105" localSheetId="6" hidden="1">Stock!#REF!</definedName>
    <definedName name="PSWInput_0_105" hidden="1">#REF!</definedName>
    <definedName name="PSWInput_0_106" localSheetId="7" hidden="1">'Aged debtors'!#REF!</definedName>
    <definedName name="PSWInput_0_106" localSheetId="10" hidden="1">#REF!</definedName>
    <definedName name="PSWInput_0_106" localSheetId="12" hidden="1">#REF!</definedName>
    <definedName name="PSWInput_0_106" localSheetId="9" hidden="1">'Customer data'!#REF!</definedName>
    <definedName name="PSWInput_0_106" localSheetId="8" hidden="1">'Largest debtors'!#REF!</definedName>
    <definedName name="PSWInput_0_106" localSheetId="11" hidden="1">#REF!</definedName>
    <definedName name="PSWInput_0_106" localSheetId="6" hidden="1">Stock!#REF!</definedName>
    <definedName name="PSWInput_0_106" hidden="1">#REF!</definedName>
    <definedName name="PSWInput_0_107" localSheetId="7" hidden="1">'Aged debtors'!#REF!</definedName>
    <definedName name="PSWInput_0_107" localSheetId="10" hidden="1">#REF!</definedName>
    <definedName name="PSWInput_0_107" localSheetId="12" hidden="1">#REF!</definedName>
    <definedName name="PSWInput_0_107" localSheetId="9" hidden="1">'Customer data'!#REF!</definedName>
    <definedName name="PSWInput_0_107" localSheetId="8" hidden="1">'Largest debtors'!#REF!</definedName>
    <definedName name="PSWInput_0_107" localSheetId="11" hidden="1">#REF!</definedName>
    <definedName name="PSWInput_0_107" localSheetId="6" hidden="1">Stock!#REF!</definedName>
    <definedName name="PSWInput_0_107" hidden="1">#REF!</definedName>
    <definedName name="PSWInput_0_108" localSheetId="7" hidden="1">'Aged debtors'!#REF!</definedName>
    <definedName name="PSWInput_0_108" localSheetId="10" hidden="1">#REF!</definedName>
    <definedName name="PSWInput_0_108" localSheetId="12" hidden="1">#REF!</definedName>
    <definedName name="PSWInput_0_108" localSheetId="9" hidden="1">'Customer data'!#REF!</definedName>
    <definedName name="PSWInput_0_108" localSheetId="8" hidden="1">'Largest debtors'!#REF!</definedName>
    <definedName name="PSWInput_0_108" localSheetId="11" hidden="1">#REF!</definedName>
    <definedName name="PSWInput_0_108" localSheetId="6" hidden="1">Stock!#REF!</definedName>
    <definedName name="PSWInput_0_108" hidden="1">#REF!</definedName>
    <definedName name="PSWInput_0_109" localSheetId="7" hidden="1">'Aged debtors'!#REF!</definedName>
    <definedName name="PSWInput_0_109" localSheetId="10" hidden="1">#REF!</definedName>
    <definedName name="PSWInput_0_109" localSheetId="12" hidden="1">#REF!</definedName>
    <definedName name="PSWInput_0_109" localSheetId="9" hidden="1">'Customer data'!#REF!</definedName>
    <definedName name="PSWInput_0_109" localSheetId="8" hidden="1">'Largest debtors'!#REF!</definedName>
    <definedName name="PSWInput_0_109" localSheetId="11" hidden="1">#REF!</definedName>
    <definedName name="PSWInput_0_109" localSheetId="6" hidden="1">Stock!#REF!</definedName>
    <definedName name="PSWInput_0_109" hidden="1">#REF!</definedName>
    <definedName name="PSWInput_0_11" localSheetId="7" hidden="1">'Aged debtors'!#REF!</definedName>
    <definedName name="PSWInput_0_11" localSheetId="10" hidden="1">#REF!</definedName>
    <definedName name="PSWInput_0_11" localSheetId="12" hidden="1">#REF!</definedName>
    <definedName name="PSWInput_0_11" localSheetId="9" hidden="1">'Customer data'!#REF!</definedName>
    <definedName name="PSWInput_0_11" localSheetId="8" hidden="1">'Largest debtors'!#REF!</definedName>
    <definedName name="PSWInput_0_11" localSheetId="11" hidden="1">#REF!</definedName>
    <definedName name="PSWInput_0_11" localSheetId="6" hidden="1">Stock!#REF!</definedName>
    <definedName name="PSWInput_0_11" hidden="1">#REF!</definedName>
    <definedName name="PSWInput_0_12" localSheetId="7" hidden="1">'Aged debtors'!#REF!</definedName>
    <definedName name="PSWInput_0_12" localSheetId="10" hidden="1">#REF!</definedName>
    <definedName name="PSWInput_0_12" localSheetId="12" hidden="1">#REF!</definedName>
    <definedName name="PSWInput_0_12" localSheetId="9" hidden="1">'Customer data'!#REF!</definedName>
    <definedName name="PSWInput_0_12" localSheetId="8" hidden="1">'Largest debtors'!#REF!</definedName>
    <definedName name="PSWInput_0_12" localSheetId="11" hidden="1">#REF!</definedName>
    <definedName name="PSWInput_0_12" localSheetId="6" hidden="1">Stock!#REF!</definedName>
    <definedName name="PSWInput_0_12" hidden="1">#REF!</definedName>
    <definedName name="PSWInput_0_13" localSheetId="7" hidden="1">'Aged debtors'!#REF!</definedName>
    <definedName name="PSWInput_0_13" localSheetId="10" hidden="1">#REF!</definedName>
    <definedName name="PSWInput_0_13" localSheetId="12" hidden="1">#REF!</definedName>
    <definedName name="PSWInput_0_13" localSheetId="9" hidden="1">'Customer data'!#REF!</definedName>
    <definedName name="PSWInput_0_13" localSheetId="8" hidden="1">'Largest debtors'!#REF!</definedName>
    <definedName name="PSWInput_0_13" localSheetId="11" hidden="1">#REF!</definedName>
    <definedName name="PSWInput_0_13" localSheetId="6" hidden="1">Stock!#REF!</definedName>
    <definedName name="PSWInput_0_13" hidden="1">#REF!</definedName>
    <definedName name="PSWInput_0_14" localSheetId="7" hidden="1">'Aged debtors'!#REF!</definedName>
    <definedName name="PSWInput_0_14" localSheetId="10" hidden="1">#REF!</definedName>
    <definedName name="PSWInput_0_14" localSheetId="12" hidden="1">#REF!</definedName>
    <definedName name="PSWInput_0_14" localSheetId="9" hidden="1">'Customer data'!#REF!</definedName>
    <definedName name="PSWInput_0_14" localSheetId="8" hidden="1">'Largest debtors'!#REF!</definedName>
    <definedName name="PSWInput_0_14" localSheetId="11" hidden="1">#REF!</definedName>
    <definedName name="PSWInput_0_14" localSheetId="6" hidden="1">Stock!#REF!</definedName>
    <definedName name="PSWInput_0_14" hidden="1">#REF!</definedName>
    <definedName name="PSWInput_0_15" localSheetId="7" hidden="1">'Aged debtors'!#REF!</definedName>
    <definedName name="PSWInput_0_15" localSheetId="10" hidden="1">#REF!</definedName>
    <definedName name="PSWInput_0_15" localSheetId="12" hidden="1">#REF!</definedName>
    <definedName name="PSWInput_0_15" localSheetId="9" hidden="1">'Customer data'!#REF!</definedName>
    <definedName name="PSWInput_0_15" localSheetId="8" hidden="1">'Largest debtors'!#REF!</definedName>
    <definedName name="PSWInput_0_15" localSheetId="11" hidden="1">#REF!</definedName>
    <definedName name="PSWInput_0_15" localSheetId="6" hidden="1">Stock!#REF!</definedName>
    <definedName name="PSWInput_0_15" hidden="1">#REF!</definedName>
    <definedName name="PSWInput_0_16" localSheetId="7" hidden="1">'Aged debtors'!#REF!</definedName>
    <definedName name="PSWInput_0_16" localSheetId="10" hidden="1">#REF!</definedName>
    <definedName name="PSWInput_0_16" localSheetId="12" hidden="1">#REF!</definedName>
    <definedName name="PSWInput_0_16" localSheetId="9" hidden="1">'Customer data'!#REF!</definedName>
    <definedName name="PSWInput_0_16" localSheetId="8" hidden="1">'Largest debtors'!#REF!</definedName>
    <definedName name="PSWInput_0_16" localSheetId="11" hidden="1">#REF!</definedName>
    <definedName name="PSWInput_0_16" localSheetId="6" hidden="1">Stock!#REF!</definedName>
    <definedName name="PSWInput_0_16" hidden="1">#REF!</definedName>
    <definedName name="PSWInput_0_17" localSheetId="7" hidden="1">'Aged debtors'!#REF!</definedName>
    <definedName name="PSWInput_0_17" localSheetId="10" hidden="1">#REF!</definedName>
    <definedName name="PSWInput_0_17" localSheetId="12" hidden="1">#REF!</definedName>
    <definedName name="PSWInput_0_17" localSheetId="9" hidden="1">'Customer data'!#REF!</definedName>
    <definedName name="PSWInput_0_17" localSheetId="8" hidden="1">'Largest debtors'!#REF!</definedName>
    <definedName name="PSWInput_0_17" localSheetId="11" hidden="1">#REF!</definedName>
    <definedName name="PSWInput_0_17" localSheetId="6" hidden="1">Stock!#REF!</definedName>
    <definedName name="PSWInput_0_17" hidden="1">#REF!</definedName>
    <definedName name="PSWInput_0_18" localSheetId="7" hidden="1">'Aged debtors'!#REF!</definedName>
    <definedName name="PSWInput_0_18" localSheetId="10" hidden="1">#REF!</definedName>
    <definedName name="PSWInput_0_18" localSheetId="12" hidden="1">#REF!</definedName>
    <definedName name="PSWInput_0_18" localSheetId="9" hidden="1">'Customer data'!#REF!</definedName>
    <definedName name="PSWInput_0_18" localSheetId="8" hidden="1">'Largest debtors'!#REF!</definedName>
    <definedName name="PSWInput_0_18" localSheetId="11" hidden="1">#REF!</definedName>
    <definedName name="PSWInput_0_18" localSheetId="6" hidden="1">Stock!#REF!</definedName>
    <definedName name="PSWInput_0_18" hidden="1">#REF!</definedName>
    <definedName name="PSWInput_0_19" localSheetId="7" hidden="1">'Aged debtors'!#REF!</definedName>
    <definedName name="PSWInput_0_19" localSheetId="10" hidden="1">#REF!</definedName>
    <definedName name="PSWInput_0_19" localSheetId="12" hidden="1">#REF!</definedName>
    <definedName name="PSWInput_0_19" localSheetId="9" hidden="1">'Customer data'!#REF!</definedName>
    <definedName name="PSWInput_0_19" localSheetId="8" hidden="1">'Largest debtors'!#REF!</definedName>
    <definedName name="PSWInput_0_19" localSheetId="11" hidden="1">#REF!</definedName>
    <definedName name="PSWInput_0_19" localSheetId="6" hidden="1">Stock!#REF!</definedName>
    <definedName name="PSWInput_0_19" hidden="1">#REF!</definedName>
    <definedName name="PSWInput_0_2" localSheetId="7" hidden="1">'Aged debtors'!#REF!</definedName>
    <definedName name="PSWInput_0_2" localSheetId="10" hidden="1">#REF!</definedName>
    <definedName name="PSWInput_0_2" localSheetId="12" hidden="1">#REF!</definedName>
    <definedName name="PSWInput_0_2" localSheetId="9" hidden="1">'Customer data'!#REF!</definedName>
    <definedName name="PSWInput_0_2" localSheetId="8" hidden="1">'Largest debtors'!#REF!</definedName>
    <definedName name="PSWInput_0_2" localSheetId="11" hidden="1">#REF!</definedName>
    <definedName name="PSWInput_0_2" localSheetId="6" hidden="1">Stock!#REF!</definedName>
    <definedName name="PSWInput_0_2" hidden="1">#REF!</definedName>
    <definedName name="PSWInput_0_20" localSheetId="7" hidden="1">'Aged debtors'!#REF!</definedName>
    <definedName name="PSWInput_0_20" localSheetId="10" hidden="1">#REF!</definedName>
    <definedName name="PSWInput_0_20" localSheetId="12" hidden="1">#REF!</definedName>
    <definedName name="PSWInput_0_20" localSheetId="9" hidden="1">'Customer data'!#REF!</definedName>
    <definedName name="PSWInput_0_20" localSheetId="8" hidden="1">'Largest debtors'!#REF!</definedName>
    <definedName name="PSWInput_0_20" localSheetId="11" hidden="1">#REF!</definedName>
    <definedName name="PSWInput_0_20" localSheetId="6" hidden="1">Stock!#REF!</definedName>
    <definedName name="PSWInput_0_20" hidden="1">#REF!</definedName>
    <definedName name="PSWInput_0_21" localSheetId="7" hidden="1">'Aged debtors'!#REF!</definedName>
    <definedName name="PSWInput_0_21" localSheetId="10" hidden="1">#REF!</definedName>
    <definedName name="PSWInput_0_21" localSheetId="12" hidden="1">#REF!</definedName>
    <definedName name="PSWInput_0_21" localSheetId="9" hidden="1">'Customer data'!#REF!</definedName>
    <definedName name="PSWInput_0_21" localSheetId="8" hidden="1">'Largest debtors'!#REF!</definedName>
    <definedName name="PSWInput_0_21" localSheetId="11" hidden="1">#REF!</definedName>
    <definedName name="PSWInput_0_21" localSheetId="6" hidden="1">Stock!#REF!</definedName>
    <definedName name="PSWInput_0_21" hidden="1">#REF!</definedName>
    <definedName name="PSWInput_0_22" localSheetId="7" hidden="1">'Aged debtors'!#REF!</definedName>
    <definedName name="PSWInput_0_22" localSheetId="10" hidden="1">#REF!</definedName>
    <definedName name="PSWInput_0_22" localSheetId="12" hidden="1">#REF!</definedName>
    <definedName name="PSWInput_0_22" localSheetId="9" hidden="1">'Customer data'!#REF!</definedName>
    <definedName name="PSWInput_0_22" localSheetId="8" hidden="1">'Largest debtors'!#REF!</definedName>
    <definedName name="PSWInput_0_22" localSheetId="11" hidden="1">#REF!</definedName>
    <definedName name="PSWInput_0_22" localSheetId="6" hidden="1">Stock!#REF!</definedName>
    <definedName name="PSWInput_0_22" hidden="1">#REF!</definedName>
    <definedName name="PSWInput_0_23" localSheetId="7" hidden="1">'Aged debtors'!#REF!</definedName>
    <definedName name="PSWInput_0_23" localSheetId="10" hidden="1">#REF!</definedName>
    <definedName name="PSWInput_0_23" localSheetId="12" hidden="1">#REF!</definedName>
    <definedName name="PSWInput_0_23" localSheetId="9" hidden="1">'Customer data'!#REF!</definedName>
    <definedName name="PSWInput_0_23" localSheetId="8" hidden="1">'Largest debtors'!#REF!</definedName>
    <definedName name="PSWInput_0_23" localSheetId="11" hidden="1">#REF!</definedName>
    <definedName name="PSWInput_0_23" localSheetId="6" hidden="1">Stock!#REF!</definedName>
    <definedName name="PSWInput_0_23" hidden="1">#REF!</definedName>
    <definedName name="PSWInput_0_24" localSheetId="7" hidden="1">'Aged debtors'!#REF!</definedName>
    <definedName name="PSWInput_0_24" localSheetId="12" hidden="1">#REF!</definedName>
    <definedName name="PSWInput_0_24" localSheetId="9" hidden="1">'Customer data'!#REF!</definedName>
    <definedName name="PSWInput_0_24" localSheetId="8" hidden="1">'Largest debtors'!#REF!</definedName>
    <definedName name="PSWInput_0_24" localSheetId="11" hidden="1">#REF!</definedName>
    <definedName name="PSWInput_0_24" localSheetId="6" hidden="1">Stock!#REF!</definedName>
    <definedName name="PSWInput_0_24" hidden="1">#REF!</definedName>
    <definedName name="PSWInput_0_25" localSheetId="7" hidden="1">'Aged debtors'!#REF!</definedName>
    <definedName name="PSWInput_0_25" localSheetId="12" hidden="1">#REF!</definedName>
    <definedName name="PSWInput_0_25" localSheetId="9" hidden="1">'Customer data'!#REF!</definedName>
    <definedName name="PSWInput_0_25" localSheetId="8" hidden="1">'Largest debtors'!#REF!</definedName>
    <definedName name="PSWInput_0_25" localSheetId="11" hidden="1">#REF!</definedName>
    <definedName name="PSWInput_0_25" localSheetId="6" hidden="1">Stock!#REF!</definedName>
    <definedName name="PSWInput_0_25" hidden="1">#REF!</definedName>
    <definedName name="PSWInput_0_26" localSheetId="7" hidden="1">'Aged debtors'!#REF!</definedName>
    <definedName name="PSWInput_0_26" localSheetId="9" hidden="1">'Customer data'!#REF!</definedName>
    <definedName name="PSWInput_0_26" localSheetId="8" hidden="1">'Largest debtors'!#REF!</definedName>
    <definedName name="PSWInput_0_26" localSheetId="11" hidden="1">#REF!</definedName>
    <definedName name="PSWInput_0_26" localSheetId="6" hidden="1">Stock!#REF!</definedName>
    <definedName name="PSWInput_0_26" hidden="1">#REF!</definedName>
    <definedName name="PSWInput_0_27" localSheetId="7" hidden="1">'Aged debtors'!#REF!</definedName>
    <definedName name="PSWInput_0_27" localSheetId="9" hidden="1">'Customer data'!#REF!</definedName>
    <definedName name="PSWInput_0_27" localSheetId="8" hidden="1">'Largest debtors'!#REF!</definedName>
    <definedName name="PSWInput_0_27" localSheetId="11" hidden="1">#REF!</definedName>
    <definedName name="PSWInput_0_27" localSheetId="6" hidden="1">Stock!#REF!</definedName>
    <definedName name="PSWInput_0_27" hidden="1">#REF!</definedName>
    <definedName name="PSWInput_0_28" localSheetId="7" hidden="1">'Aged debtors'!#REF!</definedName>
    <definedName name="PSWInput_0_28" localSheetId="9" hidden="1">'Customer data'!#REF!</definedName>
    <definedName name="PSWInput_0_28" localSheetId="8" hidden="1">'Largest debtors'!#REF!</definedName>
    <definedName name="PSWInput_0_28" localSheetId="11" hidden="1">#REF!</definedName>
    <definedName name="PSWInput_0_28" localSheetId="6" hidden="1">Stock!#REF!</definedName>
    <definedName name="PSWInput_0_28" hidden="1">#REF!</definedName>
    <definedName name="PSWInput_0_29" localSheetId="7" hidden="1">'Aged debtors'!#REF!</definedName>
    <definedName name="PSWInput_0_29" localSheetId="9" hidden="1">'Customer data'!#REF!</definedName>
    <definedName name="PSWInput_0_29" localSheetId="8" hidden="1">'Largest debtors'!#REF!</definedName>
    <definedName name="PSWInput_0_29" localSheetId="11" hidden="1">#REF!</definedName>
    <definedName name="PSWInput_0_29" localSheetId="6" hidden="1">Stock!#REF!</definedName>
    <definedName name="PSWInput_0_29" hidden="1">#REF!</definedName>
    <definedName name="PSWInput_0_3" localSheetId="7" hidden="1">'Aged debtors'!#REF!</definedName>
    <definedName name="PSWInput_0_3" localSheetId="10" hidden="1">#REF!</definedName>
    <definedName name="PSWInput_0_3" localSheetId="12" hidden="1">#REF!</definedName>
    <definedName name="PSWInput_0_3" localSheetId="9" hidden="1">'Customer data'!#REF!</definedName>
    <definedName name="PSWInput_0_3" localSheetId="8" hidden="1">'Largest debtors'!#REF!</definedName>
    <definedName name="PSWInput_0_3" localSheetId="11" hidden="1">#REF!</definedName>
    <definedName name="PSWInput_0_3" localSheetId="6" hidden="1">Stock!#REF!</definedName>
    <definedName name="PSWInput_0_3" hidden="1">#REF!</definedName>
    <definedName name="PSWInput_0_30" localSheetId="7" hidden="1">'Aged debtors'!#REF!</definedName>
    <definedName name="PSWInput_0_30" localSheetId="10" hidden="1">#REF!</definedName>
    <definedName name="PSWInput_0_30" localSheetId="9" hidden="1">'Customer data'!#REF!</definedName>
    <definedName name="PSWInput_0_30" localSheetId="8" hidden="1">'Largest debtors'!#REF!</definedName>
    <definedName name="PSWInput_0_30" localSheetId="11" hidden="1">#REF!</definedName>
    <definedName name="PSWInput_0_30" localSheetId="6" hidden="1">Stock!#REF!</definedName>
    <definedName name="PSWInput_0_30" hidden="1">#REF!</definedName>
    <definedName name="PSWInput_0_31" localSheetId="7" hidden="1">'Aged debtors'!#REF!</definedName>
    <definedName name="PSWInput_0_31" localSheetId="10" hidden="1">#REF!</definedName>
    <definedName name="PSWInput_0_31" localSheetId="9" hidden="1">'Customer data'!#REF!</definedName>
    <definedName name="PSWInput_0_31" localSheetId="8" hidden="1">'Largest debtors'!#REF!</definedName>
    <definedName name="PSWInput_0_31" localSheetId="11" hidden="1">#REF!</definedName>
    <definedName name="PSWInput_0_31" localSheetId="6" hidden="1">Stock!#REF!</definedName>
    <definedName name="PSWInput_0_31" hidden="1">#REF!</definedName>
    <definedName name="PSWInput_0_32" localSheetId="7" hidden="1">'Aged debtors'!#REF!</definedName>
    <definedName name="PSWInput_0_32" localSheetId="9" hidden="1">'Customer data'!#REF!</definedName>
    <definedName name="PSWInput_0_32" localSheetId="8" hidden="1">'Largest debtors'!#REF!</definedName>
    <definedName name="PSWInput_0_32" localSheetId="11" hidden="1">#REF!</definedName>
    <definedName name="PSWInput_0_32" localSheetId="6" hidden="1">Stock!#REF!</definedName>
    <definedName name="PSWInput_0_32" hidden="1">#REF!</definedName>
    <definedName name="PSWInput_0_33" localSheetId="7" hidden="1">'Aged debtors'!#REF!</definedName>
    <definedName name="PSWInput_0_33" localSheetId="9" hidden="1">'Customer data'!#REF!</definedName>
    <definedName name="PSWInput_0_33" localSheetId="8" hidden="1">'Largest debtors'!#REF!</definedName>
    <definedName name="PSWInput_0_33" localSheetId="11" hidden="1">#REF!</definedName>
    <definedName name="PSWInput_0_33" localSheetId="6" hidden="1">Stock!#REF!</definedName>
    <definedName name="PSWInput_0_33" hidden="1">#REF!</definedName>
    <definedName name="PSWInput_0_34" localSheetId="7" hidden="1">'Aged debtors'!#REF!</definedName>
    <definedName name="PSWInput_0_34" localSheetId="9" hidden="1">'Customer data'!#REF!</definedName>
    <definedName name="PSWInput_0_34" localSheetId="8" hidden="1">'Largest debtors'!#REF!</definedName>
    <definedName name="PSWInput_0_34" localSheetId="11" hidden="1">#REF!</definedName>
    <definedName name="PSWInput_0_34" localSheetId="6" hidden="1">Stock!#REF!</definedName>
    <definedName name="PSWInput_0_34" hidden="1">#REF!</definedName>
    <definedName name="PSWInput_0_35" localSheetId="7" hidden="1">'Aged debtors'!#REF!</definedName>
    <definedName name="PSWInput_0_35" localSheetId="9" hidden="1">'Customer data'!#REF!</definedName>
    <definedName name="PSWInput_0_35" localSheetId="8" hidden="1">'Largest debtors'!#REF!</definedName>
    <definedName name="PSWInput_0_35" localSheetId="11" hidden="1">#REF!</definedName>
    <definedName name="PSWInput_0_35" localSheetId="6" hidden="1">Stock!#REF!</definedName>
    <definedName name="PSWInput_0_35" hidden="1">#REF!</definedName>
    <definedName name="PSWInput_0_36" localSheetId="7" hidden="1">'Aged debtors'!#REF!</definedName>
    <definedName name="PSWInput_0_36" localSheetId="9" hidden="1">'Customer data'!#REF!</definedName>
    <definedName name="PSWInput_0_36" localSheetId="8" hidden="1">'Largest debtors'!#REF!</definedName>
    <definedName name="PSWInput_0_36" localSheetId="11" hidden="1">#REF!</definedName>
    <definedName name="PSWInput_0_36" localSheetId="6" hidden="1">Stock!#REF!</definedName>
    <definedName name="PSWInput_0_36" hidden="1">#REF!</definedName>
    <definedName name="PSWInput_0_37" localSheetId="7" hidden="1">'Aged debtors'!#REF!</definedName>
    <definedName name="PSWInput_0_37" localSheetId="9" hidden="1">'Customer data'!#REF!</definedName>
    <definedName name="PSWInput_0_37" localSheetId="8" hidden="1">'Largest debtors'!#REF!</definedName>
    <definedName name="PSWInput_0_37" localSheetId="11" hidden="1">#REF!</definedName>
    <definedName name="PSWInput_0_37" localSheetId="6" hidden="1">Stock!#REF!</definedName>
    <definedName name="PSWInput_0_37" hidden="1">#REF!</definedName>
    <definedName name="PSWInput_0_38" localSheetId="7" hidden="1">'Aged debtors'!#REF!</definedName>
    <definedName name="PSWInput_0_38" localSheetId="9" hidden="1">'Customer data'!#REF!</definedName>
    <definedName name="PSWInput_0_38" localSheetId="8" hidden="1">'Largest debtors'!#REF!</definedName>
    <definedName name="PSWInput_0_38" localSheetId="11" hidden="1">#REF!</definedName>
    <definedName name="PSWInput_0_38" localSheetId="6" hidden="1">Stock!#REF!</definedName>
    <definedName name="PSWInput_0_38" hidden="1">#REF!</definedName>
    <definedName name="PSWInput_0_39" localSheetId="7" hidden="1">'Aged debtors'!#REF!</definedName>
    <definedName name="PSWInput_0_39" localSheetId="9" hidden="1">'Customer data'!#REF!</definedName>
    <definedName name="PSWInput_0_39" localSheetId="8" hidden="1">'Largest debtors'!#REF!</definedName>
    <definedName name="PSWInput_0_39" localSheetId="11" hidden="1">#REF!</definedName>
    <definedName name="PSWInput_0_39" localSheetId="6" hidden="1">Stock!#REF!</definedName>
    <definedName name="PSWInput_0_39" hidden="1">#REF!</definedName>
    <definedName name="PSWInput_0_4" localSheetId="7" hidden="1">'Aged debtors'!#REF!</definedName>
    <definedName name="PSWInput_0_4" localSheetId="10" hidden="1">#REF!</definedName>
    <definedName name="PSWInput_0_4" localSheetId="12" hidden="1">#REF!</definedName>
    <definedName name="PSWInput_0_4" localSheetId="9" hidden="1">'Customer data'!#REF!</definedName>
    <definedName name="PSWInput_0_4" localSheetId="8" hidden="1">'Largest debtors'!#REF!</definedName>
    <definedName name="PSWInput_0_4" localSheetId="11" hidden="1">#REF!</definedName>
    <definedName name="PSWInput_0_4" localSheetId="6" hidden="1">Stock!#REF!</definedName>
    <definedName name="PSWInput_0_4" hidden="1">#REF!</definedName>
    <definedName name="PSWInput_0_40" localSheetId="7" hidden="1">'Aged debtors'!#REF!</definedName>
    <definedName name="PSWInput_0_40" localSheetId="10" hidden="1">#REF!</definedName>
    <definedName name="PSWInput_0_40" localSheetId="9" hidden="1">'Customer data'!#REF!</definedName>
    <definedName name="PSWInput_0_40" localSheetId="8" hidden="1">'Largest debtors'!#REF!</definedName>
    <definedName name="PSWInput_0_40" localSheetId="11" hidden="1">#REF!</definedName>
    <definedName name="PSWInput_0_40" localSheetId="6" hidden="1">Stock!#REF!</definedName>
    <definedName name="PSWInput_0_40" hidden="1">#REF!</definedName>
    <definedName name="PSWInput_0_41" localSheetId="7" hidden="1">'Aged debtors'!#REF!</definedName>
    <definedName name="PSWInput_0_41" localSheetId="10" hidden="1">#REF!</definedName>
    <definedName name="PSWInput_0_41" localSheetId="9" hidden="1">'Customer data'!#REF!</definedName>
    <definedName name="PSWInput_0_41" localSheetId="8" hidden="1">'Largest debtors'!#REF!</definedName>
    <definedName name="PSWInput_0_41" localSheetId="11" hidden="1">#REF!</definedName>
    <definedName name="PSWInput_0_41" localSheetId="6" hidden="1">Stock!#REF!</definedName>
    <definedName name="PSWInput_0_41" hidden="1">#REF!</definedName>
    <definedName name="PSWInput_0_42" localSheetId="7" hidden="1">'Aged debtors'!#REF!</definedName>
    <definedName name="PSWInput_0_42" localSheetId="9" hidden="1">'Customer data'!#REF!</definedName>
    <definedName name="PSWInput_0_42" localSheetId="8" hidden="1">'Largest debtors'!#REF!</definedName>
    <definedName name="PSWInput_0_42" localSheetId="11" hidden="1">#REF!</definedName>
    <definedName name="PSWInput_0_42" localSheetId="6" hidden="1">Stock!#REF!</definedName>
    <definedName name="PSWInput_0_42" hidden="1">#REF!</definedName>
    <definedName name="PSWInput_0_43" localSheetId="7" hidden="1">'Aged debtors'!#REF!</definedName>
    <definedName name="PSWInput_0_43" localSheetId="9" hidden="1">'Customer data'!#REF!</definedName>
    <definedName name="PSWInput_0_43" localSheetId="8" hidden="1">'Largest debtors'!#REF!</definedName>
    <definedName name="PSWInput_0_43" localSheetId="11" hidden="1">#REF!</definedName>
    <definedName name="PSWInput_0_43" localSheetId="6" hidden="1">Stock!#REF!</definedName>
    <definedName name="PSWInput_0_43" hidden="1">#REF!</definedName>
    <definedName name="PSWInput_0_44" localSheetId="7" hidden="1">'Aged debtors'!#REF!</definedName>
    <definedName name="PSWInput_0_44" localSheetId="10" hidden="1">#REF!</definedName>
    <definedName name="PSWInput_0_44" localSheetId="12" hidden="1">#REF!</definedName>
    <definedName name="PSWInput_0_44" localSheetId="9" hidden="1">'Customer data'!#REF!</definedName>
    <definedName name="PSWInput_0_44" localSheetId="8" hidden="1">'Largest debtors'!#REF!</definedName>
    <definedName name="PSWInput_0_44" localSheetId="11" hidden="1">#REF!</definedName>
    <definedName name="PSWInput_0_44" localSheetId="6" hidden="1">Stock!#REF!</definedName>
    <definedName name="PSWInput_0_44" hidden="1">#REF!</definedName>
    <definedName name="PSWInput_0_45" localSheetId="7" hidden="1">'Aged debtors'!#REF!</definedName>
    <definedName name="PSWInput_0_45" localSheetId="10" hidden="1">#REF!</definedName>
    <definedName name="PSWInput_0_45" localSheetId="12" hidden="1">#REF!</definedName>
    <definedName name="PSWInput_0_45" localSheetId="9" hidden="1">'Customer data'!#REF!</definedName>
    <definedName name="PSWInput_0_45" localSheetId="8" hidden="1">'Largest debtors'!#REF!</definedName>
    <definedName name="PSWInput_0_45" localSheetId="11" hidden="1">#REF!</definedName>
    <definedName name="PSWInput_0_45" localSheetId="6" hidden="1">Stock!#REF!</definedName>
    <definedName name="PSWInput_0_45" hidden="1">#REF!</definedName>
    <definedName name="PSWInput_0_46" localSheetId="7" hidden="1">'Aged debtors'!#REF!</definedName>
    <definedName name="PSWInput_0_46" localSheetId="10" hidden="1">#REF!</definedName>
    <definedName name="PSWInput_0_46" localSheetId="12" hidden="1">#REF!</definedName>
    <definedName name="PSWInput_0_46" localSheetId="9" hidden="1">'Customer data'!#REF!</definedName>
    <definedName name="PSWInput_0_46" localSheetId="8" hidden="1">'Largest debtors'!#REF!</definedName>
    <definedName name="PSWInput_0_46" localSheetId="11" hidden="1">#REF!</definedName>
    <definedName name="PSWInput_0_46" localSheetId="6" hidden="1">Stock!#REF!</definedName>
    <definedName name="PSWInput_0_46" hidden="1">#REF!</definedName>
    <definedName name="PSWInput_0_47" localSheetId="7" hidden="1">'Aged debtors'!#REF!</definedName>
    <definedName name="PSWInput_0_47" localSheetId="10" hidden="1">#REF!</definedName>
    <definedName name="PSWInput_0_47" localSheetId="12" hidden="1">#REF!</definedName>
    <definedName name="PSWInput_0_47" localSheetId="9" hidden="1">'Customer data'!#REF!</definedName>
    <definedName name="PSWInput_0_47" localSheetId="8" hidden="1">'Largest debtors'!#REF!</definedName>
    <definedName name="PSWInput_0_47" localSheetId="11" hidden="1">#REF!</definedName>
    <definedName name="PSWInput_0_47" localSheetId="6" hidden="1">Stock!#REF!</definedName>
    <definedName name="PSWInput_0_47" hidden="1">#REF!</definedName>
    <definedName name="PSWInput_0_48" localSheetId="7" hidden="1">'Aged debtors'!#REF!</definedName>
    <definedName name="PSWInput_0_48" localSheetId="10" hidden="1">#REF!</definedName>
    <definedName name="PSWInput_0_48" localSheetId="12" hidden="1">#REF!</definedName>
    <definedName name="PSWInput_0_48" localSheetId="9" hidden="1">'Customer data'!#REF!</definedName>
    <definedName name="PSWInput_0_48" localSheetId="8" hidden="1">'Largest debtors'!#REF!</definedName>
    <definedName name="PSWInput_0_48" localSheetId="11" hidden="1">#REF!</definedName>
    <definedName name="PSWInput_0_48" localSheetId="6" hidden="1">Stock!#REF!</definedName>
    <definedName name="PSWInput_0_48" hidden="1">#REF!</definedName>
    <definedName name="PSWInput_0_49" localSheetId="7" hidden="1">'Aged debtors'!#REF!</definedName>
    <definedName name="PSWInput_0_49" localSheetId="10" hidden="1">#REF!</definedName>
    <definedName name="PSWInput_0_49" localSheetId="12" hidden="1">#REF!</definedName>
    <definedName name="PSWInput_0_49" localSheetId="9" hidden="1">'Customer data'!#REF!</definedName>
    <definedName name="PSWInput_0_49" localSheetId="8" hidden="1">'Largest debtors'!#REF!</definedName>
    <definedName name="PSWInput_0_49" localSheetId="11" hidden="1">#REF!</definedName>
    <definedName name="PSWInput_0_49" localSheetId="6" hidden="1">Stock!#REF!</definedName>
    <definedName name="PSWInput_0_49" hidden="1">#REF!</definedName>
    <definedName name="PSWInput_0_5" localSheetId="7" hidden="1">'Aged debtors'!#REF!</definedName>
    <definedName name="PSWInput_0_5" localSheetId="10" hidden="1">#REF!</definedName>
    <definedName name="PSWInput_0_5" localSheetId="12" hidden="1">#REF!</definedName>
    <definedName name="PSWInput_0_5" localSheetId="9" hidden="1">'Customer data'!#REF!</definedName>
    <definedName name="PSWInput_0_5" localSheetId="8" hidden="1">'Largest debtors'!#REF!</definedName>
    <definedName name="PSWInput_0_5" localSheetId="11" hidden="1">#REF!</definedName>
    <definedName name="PSWInput_0_5" localSheetId="6" hidden="1">Stock!#REF!</definedName>
    <definedName name="PSWInput_0_5" hidden="1">#REF!</definedName>
    <definedName name="PSWInput_0_50" localSheetId="7" hidden="1">'Aged debtors'!#REF!</definedName>
    <definedName name="PSWInput_0_50" localSheetId="10" hidden="1">#REF!</definedName>
    <definedName name="PSWInput_0_50" localSheetId="12" hidden="1">#REF!</definedName>
    <definedName name="PSWInput_0_50" localSheetId="9" hidden="1">'Customer data'!#REF!</definedName>
    <definedName name="PSWInput_0_50" localSheetId="8" hidden="1">'Largest debtors'!#REF!</definedName>
    <definedName name="PSWInput_0_50" localSheetId="11" hidden="1">#REF!</definedName>
    <definedName name="PSWInput_0_50" localSheetId="6" hidden="1">Stock!#REF!</definedName>
    <definedName name="PSWInput_0_50" hidden="1">#REF!</definedName>
    <definedName name="PSWInput_0_51" localSheetId="7" hidden="1">'Aged debtors'!#REF!</definedName>
    <definedName name="PSWInput_0_51" localSheetId="10" hidden="1">#REF!</definedName>
    <definedName name="PSWInput_0_51" localSheetId="12" hidden="1">#REF!</definedName>
    <definedName name="PSWInput_0_51" localSheetId="9" hidden="1">'Customer data'!#REF!</definedName>
    <definedName name="PSWInput_0_51" localSheetId="8" hidden="1">'Largest debtors'!#REF!</definedName>
    <definedName name="PSWInput_0_51" localSheetId="11" hidden="1">#REF!</definedName>
    <definedName name="PSWInput_0_51" localSheetId="6" hidden="1">Stock!#REF!</definedName>
    <definedName name="PSWInput_0_51" hidden="1">#REF!</definedName>
    <definedName name="PSWInput_0_52" localSheetId="7" hidden="1">'Aged debtors'!#REF!</definedName>
    <definedName name="PSWInput_0_52" localSheetId="10" hidden="1">#REF!</definedName>
    <definedName name="PSWInput_0_52" localSheetId="12" hidden="1">#REF!</definedName>
    <definedName name="PSWInput_0_52" localSheetId="9" hidden="1">'Customer data'!#REF!</definedName>
    <definedName name="PSWInput_0_52" localSheetId="8" hidden="1">'Largest debtors'!#REF!</definedName>
    <definedName name="PSWInput_0_52" localSheetId="11" hidden="1">#REF!</definedName>
    <definedName name="PSWInput_0_52" localSheetId="6" hidden="1">Stock!#REF!</definedName>
    <definedName name="PSWInput_0_52" hidden="1">#REF!</definedName>
    <definedName name="PSWInput_0_53" localSheetId="7" hidden="1">'Aged debtors'!#REF!</definedName>
    <definedName name="PSWInput_0_53" localSheetId="10" hidden="1">#REF!</definedName>
    <definedName name="PSWInput_0_53" localSheetId="12" hidden="1">#REF!</definedName>
    <definedName name="PSWInput_0_53" localSheetId="9" hidden="1">'Customer data'!#REF!</definedName>
    <definedName name="PSWInput_0_53" localSheetId="8" hidden="1">'Largest debtors'!#REF!</definedName>
    <definedName name="PSWInput_0_53" localSheetId="11" hidden="1">#REF!</definedName>
    <definedName name="PSWInput_0_53" localSheetId="6" hidden="1">Stock!#REF!</definedName>
    <definedName name="PSWInput_0_53" hidden="1">#REF!</definedName>
    <definedName name="PSWInput_0_54" localSheetId="7" hidden="1">'Aged debtors'!#REF!</definedName>
    <definedName name="PSWInput_0_54" localSheetId="10" hidden="1">#REF!</definedName>
    <definedName name="PSWInput_0_54" localSheetId="12" hidden="1">#REF!</definedName>
    <definedName name="PSWInput_0_54" localSheetId="9" hidden="1">'Customer data'!#REF!</definedName>
    <definedName name="PSWInput_0_54" localSheetId="8" hidden="1">'Largest debtors'!#REF!</definedName>
    <definedName name="PSWInput_0_54" localSheetId="11" hidden="1">#REF!</definedName>
    <definedName name="PSWInput_0_54" localSheetId="6" hidden="1">Stock!#REF!</definedName>
    <definedName name="PSWInput_0_54" hidden="1">#REF!</definedName>
    <definedName name="PSWInput_0_55" localSheetId="7" hidden="1">'Aged debtors'!#REF!</definedName>
    <definedName name="PSWInput_0_55" localSheetId="10" hidden="1">#REF!</definedName>
    <definedName name="PSWInput_0_55" localSheetId="12" hidden="1">#REF!</definedName>
    <definedName name="PSWInput_0_55" localSheetId="9" hidden="1">'Customer data'!#REF!</definedName>
    <definedName name="PSWInput_0_55" localSheetId="8" hidden="1">'Largest debtors'!#REF!</definedName>
    <definedName name="PSWInput_0_55" localSheetId="11" hidden="1">#REF!</definedName>
    <definedName name="PSWInput_0_55" localSheetId="6" hidden="1">Stock!#REF!</definedName>
    <definedName name="PSWInput_0_55" hidden="1">#REF!</definedName>
    <definedName name="PSWInput_0_56" localSheetId="7" hidden="1">'Aged debtors'!#REF!</definedName>
    <definedName name="PSWInput_0_56" localSheetId="10" hidden="1">#REF!</definedName>
    <definedName name="PSWInput_0_56" localSheetId="12" hidden="1">#REF!</definedName>
    <definedName name="PSWInput_0_56" localSheetId="9" hidden="1">'Customer data'!#REF!</definedName>
    <definedName name="PSWInput_0_56" localSheetId="8" hidden="1">'Largest debtors'!#REF!</definedName>
    <definedName name="PSWInput_0_56" localSheetId="11" hidden="1">#REF!</definedName>
    <definedName name="PSWInput_0_56" localSheetId="6" hidden="1">Stock!#REF!</definedName>
    <definedName name="PSWInput_0_56" hidden="1">#REF!</definedName>
    <definedName name="PSWInput_0_57" localSheetId="7" hidden="1">'Aged debtors'!#REF!</definedName>
    <definedName name="PSWInput_0_57" localSheetId="10" hidden="1">#REF!</definedName>
    <definedName name="PSWInput_0_57" localSheetId="12" hidden="1">#REF!</definedName>
    <definedName name="PSWInput_0_57" localSheetId="9" hidden="1">'Customer data'!#REF!</definedName>
    <definedName name="PSWInput_0_57" localSheetId="8" hidden="1">'Largest debtors'!#REF!</definedName>
    <definedName name="PSWInput_0_57" localSheetId="11" hidden="1">#REF!</definedName>
    <definedName name="PSWInput_0_57" localSheetId="6" hidden="1">Stock!#REF!</definedName>
    <definedName name="PSWInput_0_57" hidden="1">#REF!</definedName>
    <definedName name="PSWInput_0_58" localSheetId="7" hidden="1">'Aged debtors'!#REF!</definedName>
    <definedName name="PSWInput_0_58" localSheetId="10" hidden="1">#REF!</definedName>
    <definedName name="PSWInput_0_58" localSheetId="12" hidden="1">#REF!</definedName>
    <definedName name="PSWInput_0_58" localSheetId="9" hidden="1">'Customer data'!#REF!</definedName>
    <definedName name="PSWInput_0_58" localSheetId="8" hidden="1">'Largest debtors'!#REF!</definedName>
    <definedName name="PSWInput_0_58" localSheetId="11" hidden="1">#REF!</definedName>
    <definedName name="PSWInput_0_58" localSheetId="6" hidden="1">Stock!#REF!</definedName>
    <definedName name="PSWInput_0_58" hidden="1">#REF!</definedName>
    <definedName name="PSWInput_0_59" localSheetId="7" hidden="1">'Aged debtors'!#REF!</definedName>
    <definedName name="PSWInput_0_59" localSheetId="10" hidden="1">#REF!</definedName>
    <definedName name="PSWInput_0_59" localSheetId="12" hidden="1">#REF!</definedName>
    <definedName name="PSWInput_0_59" localSheetId="9" hidden="1">'Customer data'!#REF!</definedName>
    <definedName name="PSWInput_0_59" localSheetId="8" hidden="1">'Largest debtors'!#REF!</definedName>
    <definedName name="PSWInput_0_59" localSheetId="11" hidden="1">#REF!</definedName>
    <definedName name="PSWInput_0_59" localSheetId="6" hidden="1">Stock!#REF!</definedName>
    <definedName name="PSWInput_0_59" hidden="1">#REF!</definedName>
    <definedName name="PSWInput_0_6" localSheetId="7" hidden="1">'Aged debtors'!#REF!</definedName>
    <definedName name="PSWInput_0_6" localSheetId="10" hidden="1">#REF!</definedName>
    <definedName name="PSWInput_0_6" localSheetId="12" hidden="1">#REF!</definedName>
    <definedName name="PSWInput_0_6" localSheetId="9" hidden="1">'Customer data'!#REF!</definedName>
    <definedName name="PSWInput_0_6" localSheetId="8" hidden="1">'Largest debtors'!#REF!</definedName>
    <definedName name="PSWInput_0_6" localSheetId="11" hidden="1">#REF!</definedName>
    <definedName name="PSWInput_0_6" localSheetId="6" hidden="1">Stock!#REF!</definedName>
    <definedName name="PSWInput_0_6" hidden="1">#REF!</definedName>
    <definedName name="PSWInput_0_60" localSheetId="7" hidden="1">'Aged debtors'!#REF!</definedName>
    <definedName name="PSWInput_0_60" localSheetId="10" hidden="1">#REF!</definedName>
    <definedName name="PSWInput_0_60" localSheetId="12" hidden="1">#REF!</definedName>
    <definedName name="PSWInput_0_60" localSheetId="9" hidden="1">'Customer data'!#REF!</definedName>
    <definedName name="PSWInput_0_60" localSheetId="8" hidden="1">'Largest debtors'!#REF!</definedName>
    <definedName name="PSWInput_0_60" localSheetId="11" hidden="1">#REF!</definedName>
    <definedName name="PSWInput_0_60" localSheetId="6" hidden="1">Stock!#REF!</definedName>
    <definedName name="PSWInput_0_60" hidden="1">#REF!</definedName>
    <definedName name="PSWInput_0_61" localSheetId="7" hidden="1">'Aged debtors'!#REF!</definedName>
    <definedName name="PSWInput_0_61" localSheetId="10" hidden="1">#REF!</definedName>
    <definedName name="PSWInput_0_61" localSheetId="12" hidden="1">#REF!</definedName>
    <definedName name="PSWInput_0_61" localSheetId="9" hidden="1">'Customer data'!#REF!</definedName>
    <definedName name="PSWInput_0_61" localSheetId="8" hidden="1">'Largest debtors'!#REF!</definedName>
    <definedName name="PSWInput_0_61" localSheetId="11" hidden="1">#REF!</definedName>
    <definedName name="PSWInput_0_61" localSheetId="6" hidden="1">Stock!#REF!</definedName>
    <definedName name="PSWInput_0_61" hidden="1">#REF!</definedName>
    <definedName name="PSWInput_0_62" localSheetId="7" hidden="1">'Aged debtors'!#REF!</definedName>
    <definedName name="PSWInput_0_62" localSheetId="10" hidden="1">#REF!</definedName>
    <definedName name="PSWInput_0_62" localSheetId="12" hidden="1">#REF!</definedName>
    <definedName name="PSWInput_0_62" localSheetId="9" hidden="1">'Customer data'!#REF!</definedName>
    <definedName name="PSWInput_0_62" localSheetId="8" hidden="1">'Largest debtors'!#REF!</definedName>
    <definedName name="PSWInput_0_62" localSheetId="11" hidden="1">#REF!</definedName>
    <definedName name="PSWInput_0_62" localSheetId="6" hidden="1">Stock!#REF!</definedName>
    <definedName name="PSWInput_0_62" hidden="1">#REF!</definedName>
    <definedName name="PSWInput_0_63" localSheetId="7" hidden="1">'Aged debtors'!#REF!</definedName>
    <definedName name="PSWInput_0_63" localSheetId="10" hidden="1">#REF!</definedName>
    <definedName name="PSWInput_0_63" localSheetId="12" hidden="1">#REF!</definedName>
    <definedName name="PSWInput_0_63" localSheetId="9" hidden="1">'Customer data'!#REF!</definedName>
    <definedName name="PSWInput_0_63" localSheetId="8" hidden="1">'Largest debtors'!#REF!</definedName>
    <definedName name="PSWInput_0_63" localSheetId="11" hidden="1">#REF!</definedName>
    <definedName name="PSWInput_0_63" localSheetId="6" hidden="1">Stock!#REF!</definedName>
    <definedName name="PSWInput_0_63" hidden="1">#REF!</definedName>
    <definedName name="PSWInput_0_64" localSheetId="7" hidden="1">'Aged debtors'!#REF!</definedName>
    <definedName name="PSWInput_0_64" localSheetId="10" hidden="1">#REF!</definedName>
    <definedName name="PSWInput_0_64" localSheetId="12" hidden="1">#REF!</definedName>
    <definedName name="PSWInput_0_64" localSheetId="9" hidden="1">'Customer data'!#REF!</definedName>
    <definedName name="PSWInput_0_64" localSheetId="8" hidden="1">'Largest debtors'!#REF!</definedName>
    <definedName name="PSWInput_0_64" localSheetId="11" hidden="1">#REF!</definedName>
    <definedName name="PSWInput_0_64" localSheetId="6" hidden="1">Stock!#REF!</definedName>
    <definedName name="PSWInput_0_64" hidden="1">#REF!</definedName>
    <definedName name="PSWInput_0_65" localSheetId="7" hidden="1">'Aged debtors'!#REF!</definedName>
    <definedName name="PSWInput_0_65" localSheetId="10" hidden="1">#REF!</definedName>
    <definedName name="PSWInput_0_65" localSheetId="12" hidden="1">#REF!</definedName>
    <definedName name="PSWInput_0_65" localSheetId="9" hidden="1">'Customer data'!#REF!</definedName>
    <definedName name="PSWInput_0_65" localSheetId="8" hidden="1">'Largest debtors'!#REF!</definedName>
    <definedName name="PSWInput_0_65" localSheetId="11" hidden="1">#REF!</definedName>
    <definedName name="PSWInput_0_65" localSheetId="6" hidden="1">Stock!#REF!</definedName>
    <definedName name="PSWInput_0_65" hidden="1">#REF!</definedName>
    <definedName name="PSWInput_0_66" localSheetId="7" hidden="1">'Aged debtors'!#REF!</definedName>
    <definedName name="PSWInput_0_66" localSheetId="10" hidden="1">#REF!</definedName>
    <definedName name="PSWInput_0_66" localSheetId="12" hidden="1">#REF!</definedName>
    <definedName name="PSWInput_0_66" localSheetId="9" hidden="1">'Customer data'!#REF!</definedName>
    <definedName name="PSWInput_0_66" localSheetId="8" hidden="1">'Largest debtors'!#REF!</definedName>
    <definedName name="PSWInput_0_66" localSheetId="11" hidden="1">#REF!</definedName>
    <definedName name="PSWInput_0_66" localSheetId="6" hidden="1">Stock!#REF!</definedName>
    <definedName name="PSWInput_0_66" hidden="1">#REF!</definedName>
    <definedName name="PSWInput_0_67" localSheetId="7" hidden="1">'Aged debtors'!#REF!</definedName>
    <definedName name="PSWInput_0_67" localSheetId="10" hidden="1">#REF!</definedName>
    <definedName name="PSWInput_0_67" localSheetId="12" hidden="1">#REF!</definedName>
    <definedName name="PSWInput_0_67" localSheetId="9" hidden="1">'Customer data'!#REF!</definedName>
    <definedName name="PSWInput_0_67" localSheetId="8" hidden="1">'Largest debtors'!#REF!</definedName>
    <definedName name="PSWInput_0_67" localSheetId="11" hidden="1">#REF!</definedName>
    <definedName name="PSWInput_0_67" localSheetId="6" hidden="1">Stock!#REF!</definedName>
    <definedName name="PSWInput_0_67" hidden="1">#REF!</definedName>
    <definedName name="PSWInput_0_68" localSheetId="7" hidden="1">'Aged debtors'!#REF!</definedName>
    <definedName name="PSWInput_0_68" localSheetId="10" hidden="1">#REF!</definedName>
    <definedName name="PSWInput_0_68" localSheetId="12" hidden="1">#REF!</definedName>
    <definedName name="PSWInput_0_68" localSheetId="9" hidden="1">'Customer data'!#REF!</definedName>
    <definedName name="PSWInput_0_68" localSheetId="8" hidden="1">'Largest debtors'!#REF!</definedName>
    <definedName name="PSWInput_0_68" localSheetId="11" hidden="1">#REF!</definedName>
    <definedName name="PSWInput_0_68" localSheetId="6" hidden="1">Stock!#REF!</definedName>
    <definedName name="PSWInput_0_68" hidden="1">#REF!</definedName>
    <definedName name="PSWInput_0_69" localSheetId="7" hidden="1">'Aged debtors'!#REF!</definedName>
    <definedName name="PSWInput_0_69" localSheetId="10" hidden="1">#REF!</definedName>
    <definedName name="PSWInput_0_69" localSheetId="12" hidden="1">#REF!</definedName>
    <definedName name="PSWInput_0_69" localSheetId="9" hidden="1">'Customer data'!#REF!</definedName>
    <definedName name="PSWInput_0_69" localSheetId="8" hidden="1">'Largest debtors'!#REF!</definedName>
    <definedName name="PSWInput_0_69" localSheetId="11" hidden="1">#REF!</definedName>
    <definedName name="PSWInput_0_69" localSheetId="6" hidden="1">Stock!#REF!</definedName>
    <definedName name="PSWInput_0_69" hidden="1">#REF!</definedName>
    <definedName name="PSWInput_0_7" localSheetId="7" hidden="1">'Aged debtors'!#REF!</definedName>
    <definedName name="PSWInput_0_7" localSheetId="10" hidden="1">#REF!</definedName>
    <definedName name="PSWInput_0_7" localSheetId="12" hidden="1">#REF!</definedName>
    <definedName name="PSWInput_0_7" localSheetId="9" hidden="1">'Customer data'!#REF!</definedName>
    <definedName name="PSWInput_0_7" localSheetId="8" hidden="1">'Largest debtors'!#REF!</definedName>
    <definedName name="PSWInput_0_7" localSheetId="11" hidden="1">#REF!</definedName>
    <definedName name="PSWInput_0_7" localSheetId="6" hidden="1">Stock!#REF!</definedName>
    <definedName name="PSWInput_0_7" hidden="1">#REF!</definedName>
    <definedName name="PSWInput_0_70" localSheetId="7" hidden="1">'Aged debtors'!#REF!</definedName>
    <definedName name="PSWInput_0_70" localSheetId="10" hidden="1">#REF!</definedName>
    <definedName name="PSWInput_0_70" localSheetId="12" hidden="1">#REF!</definedName>
    <definedName name="PSWInput_0_70" localSheetId="9" hidden="1">'Customer data'!#REF!</definedName>
    <definedName name="PSWInput_0_70" localSheetId="8" hidden="1">'Largest debtors'!#REF!</definedName>
    <definedName name="PSWInput_0_70" localSheetId="11" hidden="1">#REF!</definedName>
    <definedName name="PSWInput_0_70" localSheetId="6" hidden="1">Stock!#REF!</definedName>
    <definedName name="PSWInput_0_70" hidden="1">#REF!</definedName>
    <definedName name="PSWInput_0_71" localSheetId="7" hidden="1">'Aged debtors'!#REF!</definedName>
    <definedName name="PSWInput_0_71" localSheetId="10" hidden="1">#REF!</definedName>
    <definedName name="PSWInput_0_71" localSheetId="12" hidden="1">#REF!</definedName>
    <definedName name="PSWInput_0_71" localSheetId="9" hidden="1">'Customer data'!#REF!</definedName>
    <definedName name="PSWInput_0_71" localSheetId="8" hidden="1">'Largest debtors'!#REF!</definedName>
    <definedName name="PSWInput_0_71" localSheetId="11" hidden="1">#REF!</definedName>
    <definedName name="PSWInput_0_71" localSheetId="6" hidden="1">Stock!#REF!</definedName>
    <definedName name="PSWInput_0_71" hidden="1">#REF!</definedName>
    <definedName name="PSWInput_0_72" localSheetId="7" hidden="1">'Aged debtors'!#REF!</definedName>
    <definedName name="PSWInput_0_72" localSheetId="10" hidden="1">#REF!</definedName>
    <definedName name="PSWInput_0_72" localSheetId="12" hidden="1">#REF!</definedName>
    <definedName name="PSWInput_0_72" localSheetId="9" hidden="1">'Customer data'!#REF!</definedName>
    <definedName name="PSWInput_0_72" localSheetId="8" hidden="1">'Largest debtors'!#REF!</definedName>
    <definedName name="PSWInput_0_72" localSheetId="11" hidden="1">#REF!</definedName>
    <definedName name="PSWInput_0_72" localSheetId="6" hidden="1">Stock!#REF!</definedName>
    <definedName name="PSWInput_0_72" hidden="1">#REF!</definedName>
    <definedName name="PSWInput_0_73" localSheetId="7" hidden="1">'Aged debtors'!#REF!</definedName>
    <definedName name="PSWInput_0_73" localSheetId="10" hidden="1">#REF!</definedName>
    <definedName name="PSWInput_0_73" localSheetId="12" hidden="1">#REF!</definedName>
    <definedName name="PSWInput_0_73" localSheetId="9" hidden="1">'Customer data'!#REF!</definedName>
    <definedName name="PSWInput_0_73" localSheetId="8" hidden="1">'Largest debtors'!#REF!</definedName>
    <definedName name="PSWInput_0_73" localSheetId="11" hidden="1">#REF!</definedName>
    <definedName name="PSWInput_0_73" localSheetId="6" hidden="1">Stock!#REF!</definedName>
    <definedName name="PSWInput_0_73" hidden="1">#REF!</definedName>
    <definedName name="PSWInput_0_74" localSheetId="7" hidden="1">'Aged debtors'!#REF!</definedName>
    <definedName name="PSWInput_0_74" localSheetId="10" hidden="1">#REF!</definedName>
    <definedName name="PSWInput_0_74" localSheetId="12" hidden="1">#REF!</definedName>
    <definedName name="PSWInput_0_74" localSheetId="9" hidden="1">'Customer data'!#REF!</definedName>
    <definedName name="PSWInput_0_74" localSheetId="8" hidden="1">'Largest debtors'!#REF!</definedName>
    <definedName name="PSWInput_0_74" localSheetId="11" hidden="1">#REF!</definedName>
    <definedName name="PSWInput_0_74" localSheetId="6" hidden="1">Stock!#REF!</definedName>
    <definedName name="PSWInput_0_74" hidden="1">#REF!</definedName>
    <definedName name="PSWInput_0_75" localSheetId="7" hidden="1">'Aged debtors'!#REF!</definedName>
    <definedName name="PSWInput_0_75" localSheetId="10" hidden="1">#REF!</definedName>
    <definedName name="PSWInput_0_75" localSheetId="12" hidden="1">#REF!</definedName>
    <definedName name="PSWInput_0_75" localSheetId="9" hidden="1">'Customer data'!#REF!</definedName>
    <definedName name="PSWInput_0_75" localSheetId="8" hidden="1">'Largest debtors'!#REF!</definedName>
    <definedName name="PSWInput_0_75" localSheetId="11" hidden="1">#REF!</definedName>
    <definedName name="PSWInput_0_75" localSheetId="6" hidden="1">Stock!#REF!</definedName>
    <definedName name="PSWInput_0_75" hidden="1">#REF!</definedName>
    <definedName name="PSWInput_0_76" localSheetId="7" hidden="1">'Aged debtors'!#REF!</definedName>
    <definedName name="PSWInput_0_76" localSheetId="10" hidden="1">#REF!</definedName>
    <definedName name="PSWInput_0_76" localSheetId="12" hidden="1">#REF!</definedName>
    <definedName name="PSWInput_0_76" localSheetId="9" hidden="1">'Customer data'!#REF!</definedName>
    <definedName name="PSWInput_0_76" localSheetId="8" hidden="1">'Largest debtors'!#REF!</definedName>
    <definedName name="PSWInput_0_76" localSheetId="11" hidden="1">#REF!</definedName>
    <definedName name="PSWInput_0_76" localSheetId="6" hidden="1">Stock!#REF!</definedName>
    <definedName name="PSWInput_0_76" hidden="1">#REF!</definedName>
    <definedName name="PSWInput_0_77" localSheetId="7" hidden="1">'Aged debtors'!#REF!</definedName>
    <definedName name="PSWInput_0_77" localSheetId="10" hidden="1">#REF!</definedName>
    <definedName name="PSWInput_0_77" localSheetId="12" hidden="1">#REF!</definedName>
    <definedName name="PSWInput_0_77" localSheetId="9" hidden="1">'Customer data'!#REF!</definedName>
    <definedName name="PSWInput_0_77" localSheetId="8" hidden="1">'Largest debtors'!#REF!</definedName>
    <definedName name="PSWInput_0_77" localSheetId="11" hidden="1">#REF!</definedName>
    <definedName name="PSWInput_0_77" localSheetId="6" hidden="1">Stock!#REF!</definedName>
    <definedName name="PSWInput_0_77" hidden="1">#REF!</definedName>
    <definedName name="PSWInput_0_78" localSheetId="7" hidden="1">'Aged debtors'!#REF!</definedName>
    <definedName name="PSWInput_0_78" localSheetId="10" hidden="1">#REF!</definedName>
    <definedName name="PSWInput_0_78" localSheetId="12" hidden="1">#REF!</definedName>
    <definedName name="PSWInput_0_78" localSheetId="9" hidden="1">'Customer data'!#REF!</definedName>
    <definedName name="PSWInput_0_78" localSheetId="8" hidden="1">'Largest debtors'!#REF!</definedName>
    <definedName name="PSWInput_0_78" localSheetId="11" hidden="1">#REF!</definedName>
    <definedName name="PSWInput_0_78" localSheetId="6" hidden="1">Stock!#REF!</definedName>
    <definedName name="PSWInput_0_78" hidden="1">#REF!</definedName>
    <definedName name="PSWInput_0_79" localSheetId="7" hidden="1">'Aged debtors'!#REF!</definedName>
    <definedName name="PSWInput_0_79" localSheetId="10" hidden="1">#REF!</definedName>
    <definedName name="PSWInput_0_79" localSheetId="12" hidden="1">#REF!</definedName>
    <definedName name="PSWInput_0_79" localSheetId="9" hidden="1">'Customer data'!#REF!</definedName>
    <definedName name="PSWInput_0_79" localSheetId="8" hidden="1">'Largest debtors'!#REF!</definedName>
    <definedName name="PSWInput_0_79" localSheetId="11" hidden="1">#REF!</definedName>
    <definedName name="PSWInput_0_79" localSheetId="6" hidden="1">Stock!#REF!</definedName>
    <definedName name="PSWInput_0_79" hidden="1">#REF!</definedName>
    <definedName name="PSWInput_0_8" localSheetId="7" hidden="1">'Aged debtors'!#REF!</definedName>
    <definedName name="PSWInput_0_8" localSheetId="10" hidden="1">#REF!</definedName>
    <definedName name="PSWInput_0_8" localSheetId="12" hidden="1">#REF!</definedName>
    <definedName name="PSWInput_0_8" localSheetId="9" hidden="1">'Customer data'!#REF!</definedName>
    <definedName name="PSWInput_0_8" localSheetId="8" hidden="1">'Largest debtors'!#REF!</definedName>
    <definedName name="PSWInput_0_8" localSheetId="11" hidden="1">#REF!</definedName>
    <definedName name="PSWInput_0_8" localSheetId="6" hidden="1">Stock!#REF!</definedName>
    <definedName name="PSWInput_0_8" hidden="1">#REF!</definedName>
    <definedName name="PSWInput_0_80" localSheetId="7" hidden="1">'Aged debtors'!#REF!</definedName>
    <definedName name="PSWInput_0_80" localSheetId="10" hidden="1">#REF!</definedName>
    <definedName name="PSWInput_0_80" localSheetId="12" hidden="1">#REF!</definedName>
    <definedName name="PSWInput_0_80" localSheetId="9" hidden="1">'Customer data'!#REF!</definedName>
    <definedName name="PSWInput_0_80" localSheetId="8" hidden="1">'Largest debtors'!#REF!</definedName>
    <definedName name="PSWInput_0_80" localSheetId="11" hidden="1">#REF!</definedName>
    <definedName name="PSWInput_0_80" localSheetId="6" hidden="1">Stock!#REF!</definedName>
    <definedName name="PSWInput_0_80" hidden="1">#REF!</definedName>
    <definedName name="PSWInput_0_81" localSheetId="7" hidden="1">'Aged debtors'!#REF!</definedName>
    <definedName name="PSWInput_0_81" localSheetId="10" hidden="1">#REF!</definedName>
    <definedName name="PSWInput_0_81" localSheetId="12" hidden="1">#REF!</definedName>
    <definedName name="PSWInput_0_81" localSheetId="9" hidden="1">'Customer data'!#REF!</definedName>
    <definedName name="PSWInput_0_81" localSheetId="8" hidden="1">'Largest debtors'!#REF!</definedName>
    <definedName name="PSWInput_0_81" localSheetId="11" hidden="1">#REF!</definedName>
    <definedName name="PSWInput_0_81" localSheetId="6" hidden="1">Stock!#REF!</definedName>
    <definedName name="PSWInput_0_81" hidden="1">#REF!</definedName>
    <definedName name="PSWInput_0_82" localSheetId="7" hidden="1">'Aged debtors'!#REF!</definedName>
    <definedName name="PSWInput_0_82" localSheetId="10" hidden="1">#REF!</definedName>
    <definedName name="PSWInput_0_82" localSheetId="12" hidden="1">#REF!</definedName>
    <definedName name="PSWInput_0_82" localSheetId="9" hidden="1">'Customer data'!#REF!</definedName>
    <definedName name="PSWInput_0_82" localSheetId="8" hidden="1">'Largest debtors'!#REF!</definedName>
    <definedName name="PSWInput_0_82" localSheetId="11" hidden="1">#REF!</definedName>
    <definedName name="PSWInput_0_82" localSheetId="6" hidden="1">Stock!#REF!</definedName>
    <definedName name="PSWInput_0_82" hidden="1">#REF!</definedName>
    <definedName name="PSWInput_0_83" localSheetId="7" hidden="1">'Aged debtors'!#REF!</definedName>
    <definedName name="PSWInput_0_83" localSheetId="10" hidden="1">#REF!</definedName>
    <definedName name="PSWInput_0_83" localSheetId="12" hidden="1">#REF!</definedName>
    <definedName name="PSWInput_0_83" localSheetId="9" hidden="1">'Customer data'!#REF!</definedName>
    <definedName name="PSWInput_0_83" localSheetId="8" hidden="1">'Largest debtors'!#REF!</definedName>
    <definedName name="PSWInput_0_83" localSheetId="11" hidden="1">#REF!</definedName>
    <definedName name="PSWInput_0_83" localSheetId="6" hidden="1">Stock!#REF!</definedName>
    <definedName name="PSWInput_0_83" hidden="1">#REF!</definedName>
    <definedName name="PSWInput_0_84" localSheetId="7" hidden="1">'Aged debtors'!#REF!</definedName>
    <definedName name="PSWInput_0_84" localSheetId="10" hidden="1">#REF!</definedName>
    <definedName name="PSWInput_0_84" localSheetId="12" hidden="1">#REF!</definedName>
    <definedName name="PSWInput_0_84" localSheetId="9" hidden="1">'Customer data'!#REF!</definedName>
    <definedName name="PSWInput_0_84" localSheetId="8" hidden="1">'Largest debtors'!#REF!</definedName>
    <definedName name="PSWInput_0_84" localSheetId="11" hidden="1">#REF!</definedName>
    <definedName name="PSWInput_0_84" localSheetId="6" hidden="1">Stock!#REF!</definedName>
    <definedName name="PSWInput_0_84" hidden="1">#REF!</definedName>
    <definedName name="PSWInput_0_85" localSheetId="7" hidden="1">'Aged debtors'!#REF!</definedName>
    <definedName name="PSWInput_0_85" localSheetId="10" hidden="1">#REF!</definedName>
    <definedName name="PSWInput_0_85" localSheetId="12" hidden="1">#REF!</definedName>
    <definedName name="PSWInput_0_85" localSheetId="9" hidden="1">'Customer data'!#REF!</definedName>
    <definedName name="PSWInput_0_85" localSheetId="8" hidden="1">'Largest debtors'!#REF!</definedName>
    <definedName name="PSWInput_0_85" localSheetId="11" hidden="1">#REF!</definedName>
    <definedName name="PSWInput_0_85" localSheetId="6" hidden="1">Stock!#REF!</definedName>
    <definedName name="PSWInput_0_85" hidden="1">#REF!</definedName>
    <definedName name="PSWInput_0_86" localSheetId="7" hidden="1">'Aged debtors'!#REF!</definedName>
    <definedName name="PSWInput_0_86" localSheetId="10" hidden="1">#REF!</definedName>
    <definedName name="PSWInput_0_86" localSheetId="12" hidden="1">#REF!</definedName>
    <definedName name="PSWInput_0_86" localSheetId="9" hidden="1">'Customer data'!#REF!</definedName>
    <definedName name="PSWInput_0_86" localSheetId="8" hidden="1">'Largest debtors'!#REF!</definedName>
    <definedName name="PSWInput_0_86" localSheetId="11" hidden="1">#REF!</definedName>
    <definedName name="PSWInput_0_86" localSheetId="6" hidden="1">Stock!#REF!</definedName>
    <definedName name="PSWInput_0_86" hidden="1">#REF!</definedName>
    <definedName name="PSWInput_0_87" localSheetId="7" hidden="1">'Aged debtors'!#REF!</definedName>
    <definedName name="PSWInput_0_87" localSheetId="10" hidden="1">#REF!</definedName>
    <definedName name="PSWInput_0_87" localSheetId="12" hidden="1">#REF!</definedName>
    <definedName name="PSWInput_0_87" localSheetId="9" hidden="1">'Customer data'!#REF!</definedName>
    <definedName name="PSWInput_0_87" localSheetId="8" hidden="1">'Largest debtors'!#REF!</definedName>
    <definedName name="PSWInput_0_87" localSheetId="11" hidden="1">#REF!</definedName>
    <definedName name="PSWInput_0_87" localSheetId="6" hidden="1">Stock!#REF!</definedName>
    <definedName name="PSWInput_0_87" hidden="1">#REF!</definedName>
    <definedName name="PSWInput_0_88" localSheetId="7" hidden="1">'Aged debtors'!#REF!</definedName>
    <definedName name="PSWInput_0_88" localSheetId="10" hidden="1">#REF!</definedName>
    <definedName name="PSWInput_0_88" localSheetId="12" hidden="1">#REF!</definedName>
    <definedName name="PSWInput_0_88" localSheetId="9" hidden="1">'Customer data'!#REF!</definedName>
    <definedName name="PSWInput_0_88" localSheetId="8" hidden="1">'Largest debtors'!#REF!</definedName>
    <definedName name="PSWInput_0_88" localSheetId="11" hidden="1">#REF!</definedName>
    <definedName name="PSWInput_0_88" localSheetId="6" hidden="1">Stock!#REF!</definedName>
    <definedName name="PSWInput_0_88" hidden="1">#REF!</definedName>
    <definedName name="PSWInput_0_89" localSheetId="7" hidden="1">'Aged debtors'!#REF!</definedName>
    <definedName name="PSWInput_0_89" localSheetId="10" hidden="1">#REF!</definedName>
    <definedName name="PSWInput_0_89" localSheetId="12" hidden="1">#REF!</definedName>
    <definedName name="PSWInput_0_89" localSheetId="9" hidden="1">'Customer data'!#REF!</definedName>
    <definedName name="PSWInput_0_89" localSheetId="8" hidden="1">'Largest debtors'!#REF!</definedName>
    <definedName name="PSWInput_0_89" localSheetId="11" hidden="1">#REF!</definedName>
    <definedName name="PSWInput_0_89" localSheetId="6" hidden="1">Stock!#REF!</definedName>
    <definedName name="PSWInput_0_89" hidden="1">#REF!</definedName>
    <definedName name="PSWInput_0_9" localSheetId="7" hidden="1">'Aged debtors'!#REF!</definedName>
    <definedName name="PSWInput_0_9" localSheetId="10" hidden="1">#REF!</definedName>
    <definedName name="PSWInput_0_9" localSheetId="12" hidden="1">#REF!</definedName>
    <definedName name="PSWInput_0_9" localSheetId="9" hidden="1">'Customer data'!#REF!</definedName>
    <definedName name="PSWInput_0_9" localSheetId="8" hidden="1">'Largest debtors'!#REF!</definedName>
    <definedName name="PSWInput_0_9" localSheetId="11" hidden="1">#REF!</definedName>
    <definedName name="PSWInput_0_9" localSheetId="6" hidden="1">Stock!#REF!</definedName>
    <definedName name="PSWInput_0_9" hidden="1">#REF!</definedName>
    <definedName name="PSWInput_0_90" localSheetId="7" hidden="1">'Aged debtors'!#REF!</definedName>
    <definedName name="PSWInput_0_90" localSheetId="10" hidden="1">#REF!</definedName>
    <definedName name="PSWInput_0_90" localSheetId="12" hidden="1">#REF!</definedName>
    <definedName name="PSWInput_0_90" localSheetId="9" hidden="1">'Customer data'!#REF!</definedName>
    <definedName name="PSWInput_0_90" localSheetId="8" hidden="1">'Largest debtors'!#REF!</definedName>
    <definedName name="PSWInput_0_90" localSheetId="11" hidden="1">#REF!</definedName>
    <definedName name="PSWInput_0_90" localSheetId="6" hidden="1">Stock!#REF!</definedName>
    <definedName name="PSWInput_0_90" hidden="1">#REF!</definedName>
    <definedName name="PSWInput_0_91" localSheetId="7" hidden="1">'Aged debtors'!#REF!</definedName>
    <definedName name="PSWInput_0_91" localSheetId="10" hidden="1">#REF!</definedName>
    <definedName name="PSWInput_0_91" localSheetId="12" hidden="1">#REF!</definedName>
    <definedName name="PSWInput_0_91" localSheetId="9" hidden="1">'Customer data'!#REF!</definedName>
    <definedName name="PSWInput_0_91" localSheetId="8" hidden="1">'Largest debtors'!#REF!</definedName>
    <definedName name="PSWInput_0_91" localSheetId="11" hidden="1">#REF!</definedName>
    <definedName name="PSWInput_0_91" localSheetId="6" hidden="1">Stock!#REF!</definedName>
    <definedName name="PSWInput_0_91" hidden="1">#REF!</definedName>
    <definedName name="PSWInput_0_92" localSheetId="7" hidden="1">'Aged debtors'!#REF!</definedName>
    <definedName name="PSWInput_0_92" localSheetId="10" hidden="1">#REF!</definedName>
    <definedName name="PSWInput_0_92" localSheetId="12" hidden="1">#REF!</definedName>
    <definedName name="PSWInput_0_92" localSheetId="9" hidden="1">'Customer data'!#REF!</definedName>
    <definedName name="PSWInput_0_92" localSheetId="8" hidden="1">'Largest debtors'!#REF!</definedName>
    <definedName name="PSWInput_0_92" localSheetId="11" hidden="1">#REF!</definedName>
    <definedName name="PSWInput_0_92" localSheetId="6" hidden="1">Stock!#REF!</definedName>
    <definedName name="PSWInput_0_92" hidden="1">#REF!</definedName>
    <definedName name="PSWInput_0_93" localSheetId="7" hidden="1">'Aged debtors'!#REF!</definedName>
    <definedName name="PSWInput_0_93" localSheetId="10" hidden="1">#REF!</definedName>
    <definedName name="PSWInput_0_93" localSheetId="12" hidden="1">#REF!</definedName>
    <definedName name="PSWInput_0_93" localSheetId="9" hidden="1">'Customer data'!#REF!</definedName>
    <definedName name="PSWInput_0_93" localSheetId="8" hidden="1">'Largest debtors'!#REF!</definedName>
    <definedName name="PSWInput_0_93" localSheetId="11" hidden="1">#REF!</definedName>
    <definedName name="PSWInput_0_93" localSheetId="6" hidden="1">Stock!#REF!</definedName>
    <definedName name="PSWInput_0_93" hidden="1">#REF!</definedName>
    <definedName name="PSWInput_0_94" localSheetId="7" hidden="1">'Aged debtors'!#REF!</definedName>
    <definedName name="PSWInput_0_94" localSheetId="10" hidden="1">#REF!</definedName>
    <definedName name="PSWInput_0_94" localSheetId="12" hidden="1">#REF!</definedName>
    <definedName name="PSWInput_0_94" localSheetId="9" hidden="1">'Customer data'!#REF!</definedName>
    <definedName name="PSWInput_0_94" localSheetId="8" hidden="1">'Largest debtors'!#REF!</definedName>
    <definedName name="PSWInput_0_94" localSheetId="11" hidden="1">#REF!</definedName>
    <definedName name="PSWInput_0_94" localSheetId="6" hidden="1">Stock!#REF!</definedName>
    <definedName name="PSWInput_0_94" hidden="1">#REF!</definedName>
    <definedName name="PSWInput_0_95" localSheetId="7" hidden="1">'Aged debtors'!#REF!</definedName>
    <definedName name="PSWInput_0_95" localSheetId="10" hidden="1">#REF!</definedName>
    <definedName name="PSWInput_0_95" localSheetId="12" hidden="1">#REF!</definedName>
    <definedName name="PSWInput_0_95" localSheetId="9" hidden="1">'Customer data'!#REF!</definedName>
    <definedName name="PSWInput_0_95" localSheetId="8" hidden="1">'Largest debtors'!#REF!</definedName>
    <definedName name="PSWInput_0_95" localSheetId="11" hidden="1">#REF!</definedName>
    <definedName name="PSWInput_0_95" localSheetId="6" hidden="1">Stock!#REF!</definedName>
    <definedName name="PSWInput_0_95" hidden="1">#REF!</definedName>
    <definedName name="PSWInput_0_96" localSheetId="7" hidden="1">'Aged debtors'!#REF!</definedName>
    <definedName name="PSWInput_0_96" localSheetId="10" hidden="1">#REF!</definedName>
    <definedName name="PSWInput_0_96" localSheetId="12" hidden="1">#REF!</definedName>
    <definedName name="PSWInput_0_96" localSheetId="9" hidden="1">'Customer data'!#REF!</definedName>
    <definedName name="PSWInput_0_96" localSheetId="8" hidden="1">'Largest debtors'!#REF!</definedName>
    <definedName name="PSWInput_0_96" localSheetId="11" hidden="1">#REF!</definedName>
    <definedName name="PSWInput_0_96" localSheetId="6" hidden="1">Stock!#REF!</definedName>
    <definedName name="PSWInput_0_96" hidden="1">#REF!</definedName>
    <definedName name="PSWInput_0_97" localSheetId="7" hidden="1">'Aged debtors'!#REF!</definedName>
    <definedName name="PSWInput_0_97" localSheetId="10" hidden="1">#REF!</definedName>
    <definedName name="PSWInput_0_97" localSheetId="12" hidden="1">#REF!</definedName>
    <definedName name="PSWInput_0_97" localSheetId="9" hidden="1">'Customer data'!#REF!</definedName>
    <definedName name="PSWInput_0_97" localSheetId="8" hidden="1">'Largest debtors'!#REF!</definedName>
    <definedName name="PSWInput_0_97" localSheetId="11" hidden="1">#REF!</definedName>
    <definedName name="PSWInput_0_97" localSheetId="6" hidden="1">Stock!#REF!</definedName>
    <definedName name="PSWInput_0_97" hidden="1">#REF!</definedName>
    <definedName name="PSWInput_0_98" localSheetId="7" hidden="1">'Aged debtors'!#REF!</definedName>
    <definedName name="PSWInput_0_98" localSheetId="10" hidden="1">#REF!</definedName>
    <definedName name="PSWInput_0_98" localSheetId="12" hidden="1">#REF!</definedName>
    <definedName name="PSWInput_0_98" localSheetId="9" hidden="1">'Customer data'!#REF!</definedName>
    <definedName name="PSWInput_0_98" localSheetId="8" hidden="1">'Largest debtors'!#REF!</definedName>
    <definedName name="PSWInput_0_98" localSheetId="11" hidden="1">#REF!</definedName>
    <definedName name="PSWInput_0_98" localSheetId="6" hidden="1">Stock!#REF!</definedName>
    <definedName name="PSWInput_0_98" hidden="1">#REF!</definedName>
    <definedName name="PSWInput_0_99" localSheetId="7" hidden="1">'Aged debtors'!#REF!</definedName>
    <definedName name="PSWInput_0_99" localSheetId="10" hidden="1">#REF!</definedName>
    <definedName name="PSWInput_0_99" localSheetId="12" hidden="1">#REF!</definedName>
    <definedName name="PSWInput_0_99" localSheetId="9" hidden="1">'Customer data'!#REF!</definedName>
    <definedName name="PSWInput_0_99" localSheetId="8" hidden="1">'Largest debtors'!#REF!</definedName>
    <definedName name="PSWInput_0_99" localSheetId="11" hidden="1">#REF!</definedName>
    <definedName name="PSWInput_0_99" localSheetId="6" hidden="1">Stock!#REF!</definedName>
    <definedName name="PSWInput_0_99" hidden="1">#REF!</definedName>
    <definedName name="PSWOutput_0" localSheetId="7" hidden="1">'Aged debtors'!#REF!</definedName>
    <definedName name="PSWOutput_0" localSheetId="10" hidden="1">#REF!</definedName>
    <definedName name="PSWOutput_0" localSheetId="12" hidden="1">#REF!</definedName>
    <definedName name="PSWOutput_0" localSheetId="9" hidden="1">'Customer data'!#REF!</definedName>
    <definedName name="PSWOutput_0" localSheetId="8" hidden="1">'Largest debtors'!#REF!</definedName>
    <definedName name="PSWOutput_0" localSheetId="11" hidden="1">#REF!</definedName>
    <definedName name="PSWOutput_0" localSheetId="6" hidden="1">Stock!#REF!</definedName>
    <definedName name="PSWOutput_0" hidden="1">#REF!</definedName>
    <definedName name="PSWOutput_1" localSheetId="7" hidden="1">'Aged debtors'!#REF!</definedName>
    <definedName name="PSWOutput_1" localSheetId="10" hidden="1">#REF!</definedName>
    <definedName name="PSWOutput_1" localSheetId="12" hidden="1">#REF!</definedName>
    <definedName name="PSWOutput_1" localSheetId="9" hidden="1">'Customer data'!#REF!</definedName>
    <definedName name="PSWOutput_1" localSheetId="8" hidden="1">'Largest debtors'!#REF!</definedName>
    <definedName name="PSWOutput_1" localSheetId="11" hidden="1">#REF!</definedName>
    <definedName name="PSWOutput_1" localSheetId="6" hidden="1">Stock!#REF!</definedName>
    <definedName name="PSWOutput_1" hidden="1">#REF!</definedName>
    <definedName name="q" localSheetId="7" hidden="1">{"'Daily Rec'!$E$7:$F$12"}</definedName>
    <definedName name="q" localSheetId="10" hidden="1">{"'Daily Rec'!$E$7:$F$12"}</definedName>
    <definedName name="q" localSheetId="9" hidden="1">{"'Daily Rec'!$E$7:$F$12"}</definedName>
    <definedName name="q" localSheetId="3" hidden="1">{"'Daily Rec'!$E$7:$F$12"}</definedName>
    <definedName name="q" localSheetId="8" hidden="1">{"'Daily Rec'!$E$7:$F$12"}</definedName>
    <definedName name="q" localSheetId="11" hidden="1">{"'Daily Rec'!$E$7:$F$12"}</definedName>
    <definedName name="q" localSheetId="4" hidden="1">{"'Daily Rec'!$E$7:$F$12"}</definedName>
    <definedName name="q" localSheetId="6" hidden="1">{"'Daily Rec'!$E$7:$F$12"}</definedName>
    <definedName name="q" hidden="1">{"'Daily Rec'!$E$7:$F$12"}</definedName>
    <definedName name="Range1A" localSheetId="7">'Aged debtors'!#REF!</definedName>
    <definedName name="Range1A" localSheetId="9">'Customer data'!#REF!</definedName>
    <definedName name="Range1A" localSheetId="8">'Largest debtors'!#REF!</definedName>
    <definedName name="Range1A" localSheetId="11">#REF!</definedName>
    <definedName name="Range1A">#REF!</definedName>
    <definedName name="Rate" localSheetId="7">'Aged debtors'!#REF!</definedName>
    <definedName name="Rate" localSheetId="10">#REF!</definedName>
    <definedName name="rate" localSheetId="12">euro</definedName>
    <definedName name="Rate" localSheetId="9">'Customer data'!#REF!</definedName>
    <definedName name="Rate" localSheetId="8">'Largest debtors'!#REF!</definedName>
    <definedName name="Rate" localSheetId="11">#REF!</definedName>
    <definedName name="Rate" localSheetId="6">Stock!#REF!</definedName>
    <definedName name="Rate">#REF!</definedName>
    <definedName name="Rate_T1" localSheetId="7">'Aged debtors'!#REF!</definedName>
    <definedName name="Rate_T1" localSheetId="9">'Customer data'!#REF!</definedName>
    <definedName name="Rate_T1" localSheetId="8">'Largest debtors'!#REF!</definedName>
    <definedName name="Rate_T1" localSheetId="11">#REF!</definedName>
    <definedName name="Rate_T1" localSheetId="6">Stock!#REF!</definedName>
    <definedName name="Rate_T1">#REF!</definedName>
    <definedName name="Rate_T2" localSheetId="7">'Aged debtors'!#REF!</definedName>
    <definedName name="Rate_T2" localSheetId="9">'Customer data'!#REF!</definedName>
    <definedName name="Rate_T2" localSheetId="8">'Largest debtors'!#REF!</definedName>
    <definedName name="Rate_T2" localSheetId="11">#REF!</definedName>
    <definedName name="Rate_T2" localSheetId="6">Stock!#REF!</definedName>
    <definedName name="Rate_T2">#REF!</definedName>
    <definedName name="Rate_T3" localSheetId="7">'Aged debtors'!#REF!</definedName>
    <definedName name="Rate_T3" localSheetId="9">'Customer data'!#REF!</definedName>
    <definedName name="Rate_T3" localSheetId="8">'Largest debtors'!#REF!</definedName>
    <definedName name="Rate_T3" localSheetId="11">#REF!</definedName>
    <definedName name="Rate_T3" localSheetId="6">Stock!#REF!</definedName>
    <definedName name="Rate_T3">#REF!</definedName>
    <definedName name="Ratings_Created" localSheetId="7">'Aged debtors'!#REF!</definedName>
    <definedName name="Ratings_Created" localSheetId="9">'Customer data'!#REF!</definedName>
    <definedName name="Ratings_Created" localSheetId="8">'Largest debtors'!#REF!</definedName>
    <definedName name="Ratings_Created" localSheetId="11">#REF!</definedName>
    <definedName name="Ratings_Created" localSheetId="6">Stock!#REF!</definedName>
    <definedName name="Ratings_Created">#REF!</definedName>
    <definedName name="Ref_Requested_Job" localSheetId="7">'Aged debtors'!#REF!</definedName>
    <definedName name="Ref_Requested_Job" localSheetId="9">'Customer data'!#REF!</definedName>
    <definedName name="Ref_Requested_Job" localSheetId="8">'Largest debtors'!#REF!</definedName>
    <definedName name="Ref_Requested_Job" localSheetId="11">#REF!</definedName>
    <definedName name="Ref_Requested_Job" localSheetId="6">Stock!#REF!</definedName>
    <definedName name="Ref_Requested_Job">#REF!</definedName>
    <definedName name="Referral_accepted" localSheetId="7">'Aged debtors'!#REF!</definedName>
    <definedName name="Referral_accepted" localSheetId="9">'Customer data'!#REF!</definedName>
    <definedName name="Referral_accepted" localSheetId="8">'Largest debtors'!#REF!</definedName>
    <definedName name="Referral_accepted" localSheetId="11">#REF!</definedName>
    <definedName name="Referral_accepted" localSheetId="6">Stock!#REF!</definedName>
    <definedName name="Referral_accepted">#REF!</definedName>
    <definedName name="Referral_Data" localSheetId="7">'Aged debtors'!#REF!</definedName>
    <definedName name="Referral_Data" localSheetId="9">'Customer data'!#REF!</definedName>
    <definedName name="Referral_Data" localSheetId="8">'Largest debtors'!#REF!</definedName>
    <definedName name="Referral_Data" localSheetId="11">#REF!</definedName>
    <definedName name="Referral_Data" localSheetId="6">Stock!#REF!</definedName>
    <definedName name="Referral_Data">#REF!</definedName>
    <definedName name="Referral_JSR_CHART" localSheetId="7">OFFSET('Aged debtors'!#REF!,0,0,1,COUNTIF('Aged debtors'!#REF!,"&gt;0"))</definedName>
    <definedName name="Referral_JSR_CHART" localSheetId="9">OFFSET('Customer data'!#REF!,0,0,1,COUNTIF('Customer data'!#REF!,"&gt;0"))</definedName>
    <definedName name="Referral_JSR_CHART" localSheetId="8">OFFSET('Largest debtors'!#REF!,0,0,1,COUNTIF('Largest debtors'!#REF!,"&gt;0"))</definedName>
    <definedName name="Referral_JSR_CHART" localSheetId="11">OFFSET(#REF!,0,0,1,COUNTIF(#REF!,"&gt;0"))</definedName>
    <definedName name="Referral_JSR_CHART" localSheetId="6">OFFSET(Stock!#REF!,0,0,1,COUNTIF(Stock!#REF!,"&gt;0"))</definedName>
    <definedName name="Referral_JSR_CHART">OFFSET(#REF!,0,0,1,COUNTIF(#REF!,"&gt;0"))</definedName>
    <definedName name="Referral_Revenue" localSheetId="7">'Aged debtors'!#REF!</definedName>
    <definedName name="Referral_Revenue" localSheetId="9">'Customer data'!#REF!</definedName>
    <definedName name="Referral_Revenue" localSheetId="8">'Largest debtors'!#REF!</definedName>
    <definedName name="Referral_Revenue" localSheetId="11">#REF!</definedName>
    <definedName name="Referral_Revenue" localSheetId="6">Stock!#REF!</definedName>
    <definedName name="Referral_Revenue">#REF!</definedName>
    <definedName name="Referral_Visits" localSheetId="7">'Aged debtors'!#REF!</definedName>
    <definedName name="Referral_Visits" localSheetId="10">#REF!</definedName>
    <definedName name="Referral_Visits" localSheetId="9">'Customer data'!#REF!</definedName>
    <definedName name="Referral_Visits" localSheetId="8">'Largest debtors'!#REF!</definedName>
    <definedName name="Referral_Visits" localSheetId="11">#REF!</definedName>
    <definedName name="Referral_Visits" localSheetId="6">Stock!#REF!</definedName>
    <definedName name="Referral_Visits">#REF!</definedName>
    <definedName name="Referrals_Accepted_Chart" localSheetId="7">OFFSET('Aged debtors'!#REF!,0,0,1,COUNTIF('Aged debtors'!#REF!,"&gt;0"))</definedName>
    <definedName name="Referrals_Accepted_Chart" localSheetId="9">OFFSET('Customer data'!#REF!,0,0,1,COUNTIF('Customer data'!#REF!,"&gt;0"))</definedName>
    <definedName name="Referrals_Accepted_Chart" localSheetId="8">OFFSET('Largest debtors'!#REF!,0,0,1,COUNTIF('Largest debtors'!#REF!,"&gt;0"))</definedName>
    <definedName name="Referrals_Accepted_Chart" localSheetId="11">OFFSET(#REF!,0,0,1,COUNTIF(#REF!,"&gt;0"))</definedName>
    <definedName name="Referrals_Accepted_Chart" localSheetId="6">OFFSET(Stock!#REF!,0,0,1,COUNTIF(Stock!#REF!,"&gt;0"))</definedName>
    <definedName name="Referrals_Accepted_Chart">OFFSET(#REF!,0,0,1,COUNTIF(#REF!,"&gt;0"))</definedName>
    <definedName name="Referrals_Accepted_Plan_Chart" localSheetId="7">OFFSET('Aged debtors'!#REF!,0,0,1,COUNTIF('Aged debtors'!#REF!,"&gt;0"))</definedName>
    <definedName name="Referrals_Accepted_Plan_Chart" localSheetId="9">OFFSET('Customer data'!#REF!,0,0,1,COUNTIF('Customer data'!#REF!,"&gt;0"))</definedName>
    <definedName name="Referrals_Accepted_Plan_Chart" localSheetId="8">OFFSET('Largest debtors'!#REF!,0,0,1,COUNTIF('Largest debtors'!#REF!,"&gt;0"))</definedName>
    <definedName name="Referrals_Accepted_Plan_Chart" localSheetId="11">OFFSET(#REF!,0,0,1,COUNTIF(#REF!,"&gt;0"))</definedName>
    <definedName name="Referrals_Accepted_Plan_Chart" localSheetId="6">OFFSET(Stock!#REF!,0,0,1,COUNTIF(Stock!#REF!,"&gt;0"))</definedName>
    <definedName name="Referrals_Accepted_Plan_Chart">OFFSET(#REF!,0,0,1,COUNTIF(#REF!,"&gt;0"))</definedName>
    <definedName name="Refunds" localSheetId="7">'Aged debtors'!#REF!</definedName>
    <definedName name="Refunds" localSheetId="9">'Customer data'!#REF!</definedName>
    <definedName name="Refunds" localSheetId="8">'Largest debtors'!#REF!</definedName>
    <definedName name="Refunds" localSheetId="11">#REF!</definedName>
    <definedName name="Refunds" localSheetId="6">Stock!#REF!</definedName>
    <definedName name="Refunds">#REF!</definedName>
    <definedName name="REGISTERED_NAME" hidden="1">"Andrew Harrison"</definedName>
    <definedName name="RegularPayment" localSheetId="7">'Aged debtors'!#REF!</definedName>
    <definedName name="RegularPayment" localSheetId="9">'Customer data'!#REF!</definedName>
    <definedName name="RegularPayment" localSheetId="8">'Largest debtors'!#REF!</definedName>
    <definedName name="RegularPayment" localSheetId="11">#REF!</definedName>
    <definedName name="RegularPayment" localSheetId="6">Stock!#REF!</definedName>
    <definedName name="RegularPayment">#REF!</definedName>
    <definedName name="RentalFactor" localSheetId="7">'Aged debtors'!#REF!</definedName>
    <definedName name="RentalFactor" localSheetId="10">#REF!</definedName>
    <definedName name="RentalFactor" localSheetId="9">'Customer data'!#REF!</definedName>
    <definedName name="RentalFactor" localSheetId="8">'Largest debtors'!#REF!</definedName>
    <definedName name="RentalFactor" localSheetId="11">#REF!</definedName>
    <definedName name="RentalFactor" localSheetId="6">Stock!#REF!</definedName>
    <definedName name="RentalFactor">#REF!</definedName>
    <definedName name="RentalFactor2" localSheetId="7">'Aged debtors'!#REF!</definedName>
    <definedName name="RentalFactor2" localSheetId="10">#REF!</definedName>
    <definedName name="RentalFactor2" localSheetId="9">'Customer data'!#REF!</definedName>
    <definedName name="RentalFactor2" localSheetId="8">'Largest debtors'!#REF!</definedName>
    <definedName name="RentalFactor2" localSheetId="11">#REF!</definedName>
    <definedName name="RentalFactor2" localSheetId="6">Stock!#REF!</definedName>
    <definedName name="RentalFactor2">#REF!</definedName>
    <definedName name="RentalFactor3" localSheetId="7">'Aged debtors'!#REF!</definedName>
    <definedName name="RentalFactor3" localSheetId="10">#REF!</definedName>
    <definedName name="RentalFactor3" localSheetId="9">'Customer data'!#REF!</definedName>
    <definedName name="RentalFactor3" localSheetId="8">'Largest debtors'!#REF!</definedName>
    <definedName name="RentalFactor3" localSheetId="11">#REF!</definedName>
    <definedName name="RentalFactor3" localSheetId="6">Stock!#REF!</definedName>
    <definedName name="RentalFactor3">#REF!</definedName>
    <definedName name="Repayment" localSheetId="7">'Aged debtors'!#REF!</definedName>
    <definedName name="Repayment" localSheetId="10">#REF!</definedName>
    <definedName name="Repayment" localSheetId="9">'Customer data'!#REF!</definedName>
    <definedName name="Repayment" localSheetId="8">'Largest debtors'!#REF!</definedName>
    <definedName name="Repayment" localSheetId="11">#REF!</definedName>
    <definedName name="Repayment" localSheetId="6">Stock!#REF!</definedName>
    <definedName name="Repayment">#REF!</definedName>
    <definedName name="Repayment2" localSheetId="7">'Aged debtors'!#REF!</definedName>
    <definedName name="Repayment2" localSheetId="10">#REF!</definedName>
    <definedName name="Repayment2" localSheetId="9">'Customer data'!#REF!</definedName>
    <definedName name="Repayment2" localSheetId="8">'Largest debtors'!#REF!</definedName>
    <definedName name="Repayment2" localSheetId="11">#REF!</definedName>
    <definedName name="Repayment2" localSheetId="6">Stock!#REF!</definedName>
    <definedName name="Repayment2">#REF!</definedName>
    <definedName name="Repayment3" localSheetId="7">'Aged debtors'!#REF!</definedName>
    <definedName name="Repayment3" localSheetId="10">#REF!</definedName>
    <definedName name="Repayment3" localSheetId="9">'Customer data'!#REF!</definedName>
    <definedName name="Repayment3" localSheetId="8">'Largest debtors'!#REF!</definedName>
    <definedName name="Repayment3" localSheetId="11">#REF!</definedName>
    <definedName name="Repayment3" localSheetId="6">Stock!#REF!</definedName>
    <definedName name="Repayment3">#REF!</definedName>
    <definedName name="Restr_Bal" localSheetId="7">'Aged debtors'!#REF!</definedName>
    <definedName name="Restr_Bal" localSheetId="10">#REF!</definedName>
    <definedName name="Restr_Bal" localSheetId="9">'Customer data'!#REF!</definedName>
    <definedName name="Restr_Bal" localSheetId="8">'Largest debtors'!#REF!</definedName>
    <definedName name="Restr_Bal" localSheetId="11">#REF!</definedName>
    <definedName name="Restr_Bal" localSheetId="6">Stock!#REF!</definedName>
    <definedName name="Restr_Bal">#REF!</definedName>
    <definedName name="Restr_Cash" localSheetId="7">'Aged debtors'!#REF!</definedName>
    <definedName name="Restr_Cash" localSheetId="10">#REF!</definedName>
    <definedName name="Restr_Cash" localSheetId="9">'Customer data'!#REF!</definedName>
    <definedName name="Restr_Cash" localSheetId="8">'Largest debtors'!#REF!</definedName>
    <definedName name="Restr_Cash" localSheetId="11">#REF!</definedName>
    <definedName name="Restr_Cash" localSheetId="6">Stock!#REF!</definedName>
    <definedName name="Restr_Cash">#REF!</definedName>
    <definedName name="Restr_Prof" localSheetId="7">'Aged debtors'!#REF!</definedName>
    <definedName name="Restr_Prof" localSheetId="10">#REF!</definedName>
    <definedName name="Restr_Prof" localSheetId="9">'Customer data'!#REF!</definedName>
    <definedName name="Restr_Prof" localSheetId="8">'Largest debtors'!#REF!</definedName>
    <definedName name="Restr_Prof" localSheetId="11">#REF!</definedName>
    <definedName name="Restr_Prof" localSheetId="6">Stock!#REF!</definedName>
    <definedName name="Restr_Prof">#REF!</definedName>
    <definedName name="RetRel_Bal" localSheetId="7">'Aged debtors'!#REF!</definedName>
    <definedName name="RetRel_Bal" localSheetId="10">#REF!</definedName>
    <definedName name="RetRel_Bal" localSheetId="9">'Customer data'!#REF!</definedName>
    <definedName name="RetRel_Bal" localSheetId="8">'Largest debtors'!#REF!</definedName>
    <definedName name="RetRel_Bal" localSheetId="11">#REF!</definedName>
    <definedName name="RetRel_Bal" localSheetId="6">Stock!#REF!</definedName>
    <definedName name="RetRel_Bal">#REF!</definedName>
    <definedName name="RetRel_Cash" localSheetId="7">'Aged debtors'!#REF!</definedName>
    <definedName name="RetRel_Cash" localSheetId="10">#REF!</definedName>
    <definedName name="RetRel_Cash" localSheetId="9">'Customer data'!#REF!</definedName>
    <definedName name="RetRel_Cash" localSheetId="8">'Largest debtors'!#REF!</definedName>
    <definedName name="RetRel_Cash" localSheetId="11">#REF!</definedName>
    <definedName name="RetRel_Cash" localSheetId="6">Stock!#REF!</definedName>
    <definedName name="RetRel_Cash">#REF!</definedName>
    <definedName name="RetRel_Int" localSheetId="7">'Aged debtors'!#REF!</definedName>
    <definedName name="RetRel_Int" localSheetId="10">#REF!</definedName>
    <definedName name="RetRel_Int" localSheetId="9">'Customer data'!#REF!</definedName>
    <definedName name="RetRel_Int" localSheetId="8">'Largest debtors'!#REF!</definedName>
    <definedName name="RetRel_Int" localSheetId="11">#REF!</definedName>
    <definedName name="RetRel_Int" localSheetId="6">Stock!#REF!</definedName>
    <definedName name="RetRel_Int">#REF!</definedName>
    <definedName name="RetRel_Nonop" localSheetId="7">'Aged debtors'!#REF!</definedName>
    <definedName name="RetRel_Nonop" localSheetId="10">#REF!</definedName>
    <definedName name="RetRel_Nonop" localSheetId="9">'Customer data'!#REF!</definedName>
    <definedName name="RetRel_Nonop" localSheetId="8">'Largest debtors'!#REF!</definedName>
    <definedName name="RetRel_Nonop" localSheetId="11">#REF!</definedName>
    <definedName name="RetRel_Nonop" localSheetId="6">Stock!#REF!</definedName>
    <definedName name="RetRel_Nonop">#REF!</definedName>
    <definedName name="RetRelA_Bal" localSheetId="7">'Aged debtors'!#REF!</definedName>
    <definedName name="RetRelA_Bal" localSheetId="10">#REF!</definedName>
    <definedName name="RetRelA_Bal" localSheetId="9">'Customer data'!#REF!</definedName>
    <definedName name="RetRelA_Bal" localSheetId="8">'Largest debtors'!#REF!</definedName>
    <definedName name="RetRelA_Bal" localSheetId="11">#REF!</definedName>
    <definedName name="RetRelA_Bal" localSheetId="6">Stock!#REF!</definedName>
    <definedName name="RetRelA_Bal">#REF!</definedName>
    <definedName name="RetRelA_Cash" localSheetId="7">'Aged debtors'!#REF!</definedName>
    <definedName name="RetRelA_Cash" localSheetId="10">#REF!</definedName>
    <definedName name="RetRelA_Cash" localSheetId="9">'Customer data'!#REF!</definedName>
    <definedName name="RetRelA_Cash" localSheetId="8">'Largest debtors'!#REF!</definedName>
    <definedName name="RetRelA_Cash" localSheetId="11">#REF!</definedName>
    <definedName name="RetRelA_Cash" localSheetId="6">Stock!#REF!</definedName>
    <definedName name="RetRelA_Cash">#REF!</definedName>
    <definedName name="Rev" localSheetId="7">'Aged debtors'!#REF!</definedName>
    <definedName name="Rev" localSheetId="10">#REF!</definedName>
    <definedName name="Rev" localSheetId="9">'Customer data'!#REF!</definedName>
    <definedName name="Rev" localSheetId="8">'Largest debtors'!#REF!</definedName>
    <definedName name="Rev" localSheetId="11">#REF!</definedName>
    <definedName name="Rev" localSheetId="6">Stock!#REF!</definedName>
    <definedName name="Rev">#REF!</definedName>
    <definedName name="Rev_P2" localSheetId="7">'Aged debtors'!#REF!</definedName>
    <definedName name="Rev_P2" localSheetId="10">#REF!</definedName>
    <definedName name="Rev_P2" localSheetId="9">'Customer data'!#REF!</definedName>
    <definedName name="Rev_P2" localSheetId="8">'Largest debtors'!#REF!</definedName>
    <definedName name="Rev_P2" localSheetId="11">#REF!</definedName>
    <definedName name="Rev_P2" localSheetId="6">Stock!#REF!</definedName>
    <definedName name="Rev_P2">#REF!</definedName>
    <definedName name="Revenuesensitivity" localSheetId="7">'Aged debtors'!#REF!</definedName>
    <definedName name="Revenuesensitivity" localSheetId="9">'Customer data'!#REF!</definedName>
    <definedName name="Revenuesensitivity" localSheetId="8">'Largest debtors'!#REF!</definedName>
    <definedName name="Revenuesensitivity" localSheetId="11">#REF!</definedName>
    <definedName name="Revenuesensitivity" localSheetId="6">Stock!#REF!</definedName>
    <definedName name="Revenuesensitivity">#REF!</definedName>
    <definedName name="Revised" localSheetId="7">'Aged debtors'!#REF!</definedName>
    <definedName name="Revised" localSheetId="10">#REF!</definedName>
    <definedName name="Revised" localSheetId="9">'Customer data'!#REF!</definedName>
    <definedName name="Revised" localSheetId="8">'Largest debtors'!#REF!</definedName>
    <definedName name="Revised" localSheetId="11">#REF!</definedName>
    <definedName name="Revised" localSheetId="6">Stock!#REF!</definedName>
    <definedName name="Revised">#REF!</definedName>
    <definedName name="RevisedTerm" localSheetId="7">'Aged debtors'!#REF!</definedName>
    <definedName name="RevisedTerm" localSheetId="9">'Customer data'!#REF!</definedName>
    <definedName name="RevisedTerm" localSheetId="8">'Largest debtors'!#REF!</definedName>
    <definedName name="RevisedTerm" localSheetId="11">#REF!</definedName>
    <definedName name="RevisedTerm" localSheetId="6">Stock!#REF!</definedName>
    <definedName name="RevisedTerm">#REF!</definedName>
    <definedName name="ROIC" localSheetId="7">'Aged debtors'!#REF!</definedName>
    <definedName name="ROIC" localSheetId="10">#REF!</definedName>
    <definedName name="ROIC" localSheetId="9">'Customer data'!#REF!</definedName>
    <definedName name="ROIC" localSheetId="8">'Largest debtors'!#REF!</definedName>
    <definedName name="ROIC" localSheetId="11">#REF!</definedName>
    <definedName name="ROIC" localSheetId="6">Stock!#REF!</definedName>
    <definedName name="ROIC">#REF!</definedName>
    <definedName name="RV" localSheetId="7">'Aged debtors'!#REF!</definedName>
    <definedName name="RV" localSheetId="10">#REF!</definedName>
    <definedName name="RV" localSheetId="9">'Customer data'!#REF!</definedName>
    <definedName name="RV" localSheetId="8">'Largest debtors'!#REF!</definedName>
    <definedName name="RV" localSheetId="11">#REF!</definedName>
    <definedName name="RV" localSheetId="6">Stock!#REF!</definedName>
    <definedName name="RV">#REF!</definedName>
    <definedName name="RVRate" localSheetId="7">'Aged debtors'!#REF!</definedName>
    <definedName name="RVRate" localSheetId="10">#REF!</definedName>
    <definedName name="RVRate" localSheetId="9">'Customer data'!#REF!</definedName>
    <definedName name="RVRate" localSheetId="8">'Largest debtors'!#REF!</definedName>
    <definedName name="RVRate" localSheetId="11">#REF!</definedName>
    <definedName name="RVRate" localSheetId="6">Stock!#REF!</definedName>
    <definedName name="RVRate">#REF!</definedName>
    <definedName name="Sal_AddSal_Link" localSheetId="7">'Aged debtors'!#REF!</definedName>
    <definedName name="Sal_AddSal_Link" localSheetId="10">#REF!</definedName>
    <definedName name="Sal_AddSal_Link" localSheetId="9">'Customer data'!#REF!</definedName>
    <definedName name="Sal_AddSal_Link" localSheetId="8">'Largest debtors'!#REF!</definedName>
    <definedName name="Sal_AddSal_Link" localSheetId="11">#REF!</definedName>
    <definedName name="Sal_AddSal_Link" localSheetId="6">Stock!#REF!</definedName>
    <definedName name="Sal_AddSal_Link">#REF!</definedName>
    <definedName name="Sal_FTE_Link" localSheetId="7">'Aged debtors'!#REF!</definedName>
    <definedName name="Sal_FTE_Link" localSheetId="10">#REF!</definedName>
    <definedName name="Sal_FTE_Link" localSheetId="9">'Customer data'!#REF!</definedName>
    <definedName name="Sal_FTE_Link" localSheetId="8">'Largest debtors'!#REF!</definedName>
    <definedName name="Sal_FTE_Link" localSheetId="11">#REF!</definedName>
    <definedName name="Sal_FTE_Link" localSheetId="6">Stock!#REF!</definedName>
    <definedName name="Sal_FTE_Link">#REF!</definedName>
    <definedName name="Sal_Sal_Link" localSheetId="7">'Aged debtors'!#REF!</definedName>
    <definedName name="Sal_Sal_Link" localSheetId="10">#REF!</definedName>
    <definedName name="Sal_Sal_Link" localSheetId="9">'Customer data'!#REF!</definedName>
    <definedName name="Sal_Sal_Link" localSheetId="8">'Largest debtors'!#REF!</definedName>
    <definedName name="Sal_Sal_Link" localSheetId="11">#REF!</definedName>
    <definedName name="Sal_Sal_Link" localSheetId="6">Stock!#REF!</definedName>
    <definedName name="Sal_Sal_Link">#REF!</definedName>
    <definedName name="sam" localSheetId="7">'Aged debtors'!#REF!</definedName>
    <definedName name="sam" localSheetId="10">#REF!</definedName>
    <definedName name="sam" localSheetId="9">'Customer data'!#REF!</definedName>
    <definedName name="sam" localSheetId="8">'Largest debtors'!#REF!</definedName>
    <definedName name="sam" localSheetId="11">#REF!</definedName>
    <definedName name="sam" localSheetId="6">Stock!#REF!</definedName>
    <definedName name="sam">#REF!</definedName>
    <definedName name="SAPBEXhrIndnt" hidden="1">"Wide"</definedName>
    <definedName name="SAPsysID" hidden="1">"708C5W7SBKP804JT78WJ0JNKI"</definedName>
    <definedName name="SAPwbID" hidden="1">"ARS"</definedName>
    <definedName name="SCENARIO" localSheetId="7">'Aged debtors'!#REF!</definedName>
    <definedName name="SCENARIO" localSheetId="10">#REF!</definedName>
    <definedName name="SCENARIO" localSheetId="9">'Customer data'!#REF!</definedName>
    <definedName name="SCENARIO" localSheetId="3">#REF!</definedName>
    <definedName name="SCENARIO" localSheetId="8">'Largest debtors'!#REF!</definedName>
    <definedName name="SCENARIO" localSheetId="11">#REF!</definedName>
    <definedName name="SCENARIO" localSheetId="6">Stock!#REF!</definedName>
    <definedName name="SCENARIO">#REF!</definedName>
    <definedName name="ScheduleEndDate" localSheetId="7">'Aged debtors'!#REF!</definedName>
    <definedName name="ScheduleEndDate" localSheetId="10">#REF!</definedName>
    <definedName name="ScheduleEndDate" localSheetId="9">'Customer data'!#REF!</definedName>
    <definedName name="ScheduleEndDate" localSheetId="8">'Largest debtors'!#REF!</definedName>
    <definedName name="ScheduleEndDate" localSheetId="11">#REF!</definedName>
    <definedName name="ScheduleEndDate" localSheetId="6">Stock!#REF!</definedName>
    <definedName name="ScheduleEndDate">#REF!</definedName>
    <definedName name="ScheduleEndDate2" localSheetId="7">'Aged debtors'!#REF!</definedName>
    <definedName name="ScheduleEndDate2" localSheetId="10">#REF!</definedName>
    <definedName name="ScheduleEndDate2" localSheetId="9">'Customer data'!#REF!</definedName>
    <definedName name="ScheduleEndDate2" localSheetId="8">'Largest debtors'!#REF!</definedName>
    <definedName name="ScheduleEndDate2" localSheetId="11">#REF!</definedName>
    <definedName name="ScheduleEndDate2" localSheetId="6">Stock!#REF!</definedName>
    <definedName name="ScheduleEndDate2">#REF!</definedName>
    <definedName name="ScheduleEndDate3" localSheetId="7">'Aged debtors'!#REF!</definedName>
    <definedName name="ScheduleEndDate3" localSheetId="10">#REF!</definedName>
    <definedName name="ScheduleEndDate3" localSheetId="9">'Customer data'!#REF!</definedName>
    <definedName name="ScheduleEndDate3" localSheetId="8">'Largest debtors'!#REF!</definedName>
    <definedName name="ScheduleEndDate3" localSheetId="11">#REF!</definedName>
    <definedName name="ScheduleEndDate3" localSheetId="6">Stock!#REF!</definedName>
    <definedName name="ScheduleEndDate3">#REF!</definedName>
    <definedName name="ScheduleStartDate" localSheetId="7">'Aged debtors'!#REF!</definedName>
    <definedName name="ScheduleStartDate" localSheetId="10">#REF!</definedName>
    <definedName name="ScheduleStartDate" localSheetId="9">'Customer data'!#REF!</definedName>
    <definedName name="ScheduleStartDate" localSheetId="8">'Largest debtors'!#REF!</definedName>
    <definedName name="ScheduleStartDate" localSheetId="11">#REF!</definedName>
    <definedName name="ScheduleStartDate" localSheetId="6">Stock!#REF!</definedName>
    <definedName name="ScheduleStartDate">#REF!</definedName>
    <definedName name="ScheduleStartDate2" localSheetId="7">'Aged debtors'!#REF!</definedName>
    <definedName name="ScheduleStartDate2" localSheetId="10">#REF!</definedName>
    <definedName name="ScheduleStartDate2" localSheetId="9">'Customer data'!#REF!</definedName>
    <definedName name="ScheduleStartDate2" localSheetId="8">'Largest debtors'!#REF!</definedName>
    <definedName name="ScheduleStartDate2" localSheetId="11">#REF!</definedName>
    <definedName name="ScheduleStartDate2" localSheetId="6">Stock!#REF!</definedName>
    <definedName name="ScheduleStartDate2">#REF!</definedName>
    <definedName name="ScheduleStartDate3" localSheetId="7">'Aged debtors'!#REF!</definedName>
    <definedName name="ScheduleStartDate3" localSheetId="10">#REF!</definedName>
    <definedName name="ScheduleStartDate3" localSheetId="9">'Customer data'!#REF!</definedName>
    <definedName name="ScheduleStartDate3" localSheetId="8">'Largest debtors'!#REF!</definedName>
    <definedName name="ScheduleStartDate3" localSheetId="11">#REF!</definedName>
    <definedName name="ScheduleStartDate3" localSheetId="6">Stock!#REF!</definedName>
    <definedName name="ScheduleStartDate3">#REF!</definedName>
    <definedName name="ScheduleTerm" localSheetId="7">'Aged debtors'!#REF!</definedName>
    <definedName name="ScheduleTerm" localSheetId="10">#REF!</definedName>
    <definedName name="ScheduleTerm" localSheetId="9">'Customer data'!#REF!</definedName>
    <definedName name="ScheduleTerm" localSheetId="8">'Largest debtors'!#REF!</definedName>
    <definedName name="ScheduleTerm" localSheetId="11">#REF!</definedName>
    <definedName name="ScheduleTerm" localSheetId="6">Stock!#REF!</definedName>
    <definedName name="ScheduleTerm">#REF!</definedName>
    <definedName name="ScheduleTerm2" localSheetId="7">'Aged debtors'!#REF!</definedName>
    <definedName name="ScheduleTerm2" localSheetId="10">#REF!</definedName>
    <definedName name="ScheduleTerm2" localSheetId="9">'Customer data'!#REF!</definedName>
    <definedName name="ScheduleTerm2" localSheetId="8">'Largest debtors'!#REF!</definedName>
    <definedName name="ScheduleTerm2" localSheetId="11">#REF!</definedName>
    <definedName name="ScheduleTerm2" localSheetId="6">Stock!#REF!</definedName>
    <definedName name="ScheduleTerm2">#REF!</definedName>
    <definedName name="ScheduleTerm3" localSheetId="7">'Aged debtors'!#REF!</definedName>
    <definedName name="ScheduleTerm3" localSheetId="10">#REF!</definedName>
    <definedName name="ScheduleTerm3" localSheetId="9">'Customer data'!#REF!</definedName>
    <definedName name="ScheduleTerm3" localSheetId="8">'Largest debtors'!#REF!</definedName>
    <definedName name="ScheduleTerm3" localSheetId="11">#REF!</definedName>
    <definedName name="ScheduleTerm3" localSheetId="6">Stock!#REF!</definedName>
    <definedName name="ScheduleTerm3">#REF!</definedName>
    <definedName name="Sept_Reforecast" localSheetId="7">'Aged debtors'!#REF!</definedName>
    <definedName name="Sept_Reforecast" localSheetId="9">'Customer data'!#REF!</definedName>
    <definedName name="Sept_Reforecast" localSheetId="8">'Largest debtors'!#REF!</definedName>
    <definedName name="Sept_Reforecast" localSheetId="11">#REF!</definedName>
    <definedName name="Sept_Reforecast" localSheetId="6">Stock!#REF!</definedName>
    <definedName name="Sept_Reforecast">#REF!</definedName>
    <definedName name="Serviced_Job_ref_Rate_Chart" localSheetId="7">OFFSET('Aged debtors'!#REF!,0,0,1,COUNTIF('Aged debtors'!#REF!,"&gt;0"))</definedName>
    <definedName name="Serviced_Job_ref_Rate_Chart" localSheetId="9">OFFSET('Customer data'!#REF!,0,0,1,COUNTIF('Customer data'!#REF!,"&gt;0"))</definedName>
    <definedName name="Serviced_Job_ref_Rate_Chart" localSheetId="8">OFFSET('Largest debtors'!#REF!,0,0,1,COUNTIF('Largest debtors'!#REF!,"&gt;0"))</definedName>
    <definedName name="Serviced_Job_ref_Rate_Chart" localSheetId="11">OFFSET(#REF!,0,0,1,COUNTIF(#REF!,"&gt;0"))</definedName>
    <definedName name="Serviced_Job_ref_Rate_Chart" localSheetId="6">OFFSET(Stock!#REF!,0,0,1,COUNTIF(Stock!#REF!,"&gt;0"))</definedName>
    <definedName name="Serviced_Job_ref_Rate_Chart">OFFSET(#REF!,0,0,1,COUNTIF(#REF!,"&gt;0"))</definedName>
    <definedName name="SGA" localSheetId="7">'Aged debtors'!#REF!</definedName>
    <definedName name="SGA" localSheetId="10">#REF!</definedName>
    <definedName name="SGA" localSheetId="9">'Customer data'!#REF!</definedName>
    <definedName name="SGA" localSheetId="8">'Largest debtors'!#REF!</definedName>
    <definedName name="SGA" localSheetId="11">#REF!</definedName>
    <definedName name="SGA" localSheetId="6">Stock!#REF!</definedName>
    <definedName name="SGA">#REF!</definedName>
    <definedName name="Shares_Av" localSheetId="7">'Aged debtors'!#REF!</definedName>
    <definedName name="Shares_Av" localSheetId="10">#REF!</definedName>
    <definedName name="Shares_Av" localSheetId="9">'Customer data'!#REF!</definedName>
    <definedName name="Shares_Av" localSheetId="8">'Largest debtors'!#REF!</definedName>
    <definedName name="Shares_Av" localSheetId="11">#REF!</definedName>
    <definedName name="Shares_Av" localSheetId="6">Stock!#REF!</definedName>
    <definedName name="Shares_Av">#REF!</definedName>
    <definedName name="Shares_FD_Av" localSheetId="7">'Aged debtors'!#REF!</definedName>
    <definedName name="Shares_FD_Av" localSheetId="10">#REF!</definedName>
    <definedName name="Shares_FD_Av" localSheetId="9">'Customer data'!#REF!</definedName>
    <definedName name="Shares_FD_Av" localSheetId="8">'Largest debtors'!#REF!</definedName>
    <definedName name="Shares_FD_Av" localSheetId="11">#REF!</definedName>
    <definedName name="Shares_FD_Av" localSheetId="6">Stock!#REF!</definedName>
    <definedName name="Shares_FD_Av">#REF!</definedName>
    <definedName name="Shares_FD_YE" localSheetId="7">'Aged debtors'!#REF!</definedName>
    <definedName name="Shares_FD_YE" localSheetId="10">#REF!</definedName>
    <definedName name="Shares_FD_YE" localSheetId="9">'Customer data'!#REF!</definedName>
    <definedName name="Shares_FD_YE" localSheetId="8">'Largest debtors'!#REF!</definedName>
    <definedName name="Shares_FD_YE" localSheetId="11">#REF!</definedName>
    <definedName name="Shares_FD_YE" localSheetId="6">Stock!#REF!</definedName>
    <definedName name="Shares_FD_YE">#REF!</definedName>
    <definedName name="Shares_YE" localSheetId="7">'Aged debtors'!#REF!</definedName>
    <definedName name="Shares_YE" localSheetId="10">#REF!</definedName>
    <definedName name="Shares_YE" localSheetId="9">'Customer data'!#REF!</definedName>
    <definedName name="Shares_YE" localSheetId="8">'Largest debtors'!#REF!</definedName>
    <definedName name="Shares_YE" localSheetId="11">#REF!</definedName>
    <definedName name="Shares_YE" localSheetId="6">Stock!#REF!</definedName>
    <definedName name="Shares_YE">#REF!</definedName>
    <definedName name="Shares1" localSheetId="7">'Aged debtors'!#REF!</definedName>
    <definedName name="Shares1" localSheetId="10">#REF!</definedName>
    <definedName name="Shares1" localSheetId="9">'Customer data'!#REF!</definedName>
    <definedName name="Shares1" localSheetId="8">'Largest debtors'!#REF!</definedName>
    <definedName name="Shares1" localSheetId="11">#REF!</definedName>
    <definedName name="Shares1" localSheetId="6">Stock!#REF!</definedName>
    <definedName name="Shares1">#REF!</definedName>
    <definedName name="Shares2" localSheetId="7">'Aged debtors'!#REF!</definedName>
    <definedName name="Shares2" localSheetId="10">#REF!</definedName>
    <definedName name="Shares2" localSheetId="9">'Customer data'!#REF!</definedName>
    <definedName name="Shares2" localSheetId="8">'Largest debtors'!#REF!</definedName>
    <definedName name="Shares2" localSheetId="11">#REF!</definedName>
    <definedName name="Shares2" localSheetId="6">Stock!#REF!</definedName>
    <definedName name="Shares2">#REF!</definedName>
    <definedName name="Shares3" localSheetId="7">'Aged debtors'!#REF!</definedName>
    <definedName name="Shares3" localSheetId="10">#REF!</definedName>
    <definedName name="Shares3" localSheetId="9">'Customer data'!#REF!</definedName>
    <definedName name="Shares3" localSheetId="8">'Largest debtors'!#REF!</definedName>
    <definedName name="Shares3" localSheetId="11">#REF!</definedName>
    <definedName name="Shares3" localSheetId="6">Stock!#REF!</definedName>
    <definedName name="Shares3">#REF!</definedName>
    <definedName name="SL_Match" localSheetId="7">'Aged debtors'!#REF!</definedName>
    <definedName name="SL_Match" localSheetId="9">'Customer data'!#REF!</definedName>
    <definedName name="SL_Match" localSheetId="8">'Largest debtors'!#REF!</definedName>
    <definedName name="SL_Match" localSheetId="11">#REF!</definedName>
    <definedName name="SL_Match" localSheetId="6">Stock!#REF!</definedName>
    <definedName name="SL_Match">#REF!</definedName>
    <definedName name="SL_Values" localSheetId="7">'Aged debtors'!#REF!</definedName>
    <definedName name="SL_Values" localSheetId="9">'Customer data'!#REF!</definedName>
    <definedName name="SL_Values" localSheetId="8">'Largest debtors'!#REF!</definedName>
    <definedName name="SL_Values" localSheetId="11">#REF!</definedName>
    <definedName name="SL_Values" localSheetId="6">Stock!#REF!</definedName>
    <definedName name="SL_Values">#REF!</definedName>
    <definedName name="SMS_Data" localSheetId="7">'Aged debtors'!#REF!</definedName>
    <definedName name="SMS_Data" localSheetId="9">'Customer data'!#REF!</definedName>
    <definedName name="SMS_Data" localSheetId="8">'Largest debtors'!#REF!</definedName>
    <definedName name="SMS_Data" localSheetId="11">#REF!</definedName>
    <definedName name="SMS_Data" localSheetId="6">Stock!#REF!</definedName>
    <definedName name="SMS_Data">#REF!</definedName>
    <definedName name="spainprice" localSheetId="7">'Aged debtors'!#REF!</definedName>
    <definedName name="spainprice" localSheetId="9">'Customer data'!#REF!</definedName>
    <definedName name="spainprice" localSheetId="8">'Largest debtors'!#REF!</definedName>
    <definedName name="spainprice" localSheetId="11">#REF!</definedName>
    <definedName name="spainprice" localSheetId="6">Stock!#REF!</definedName>
    <definedName name="spainprice">#REF!</definedName>
    <definedName name="SpecItem" localSheetId="7">'Aged debtors'!#REF!</definedName>
    <definedName name="SpecItem" localSheetId="10">#REF!</definedName>
    <definedName name="SpecItem" localSheetId="9">'Customer data'!#REF!</definedName>
    <definedName name="SpecItem" localSheetId="8">'Largest debtors'!#REF!</definedName>
    <definedName name="SpecItem" localSheetId="11">#REF!</definedName>
    <definedName name="SpecItem" localSheetId="6">Stock!#REF!</definedName>
    <definedName name="SpecItem">#REF!</definedName>
    <definedName name="SPWS_WBID">"FF2F8A43-5A64-4DCD-BC03-1C90566C04FC"</definedName>
    <definedName name="sss" localSheetId="7" hidden="1">{"Revenue",#N/A,FALSE,"Revenue"}</definedName>
    <definedName name="sss" localSheetId="10" hidden="1">{"Revenue",#N/A,FALSE,"Revenue"}</definedName>
    <definedName name="sss" localSheetId="12" hidden="1">{"Revenue",#N/A,FALSE,"Revenue"}</definedName>
    <definedName name="sss" localSheetId="9" hidden="1">{"Revenue",#N/A,FALSE,"Revenue"}</definedName>
    <definedName name="sss" localSheetId="3" hidden="1">{"Revenue",#N/A,FALSE,"Revenue"}</definedName>
    <definedName name="sss" localSheetId="8" hidden="1">{"Revenue",#N/A,FALSE,"Revenue"}</definedName>
    <definedName name="sss" localSheetId="11" hidden="1">{"Revenue",#N/A,FALSE,"Revenue"}</definedName>
    <definedName name="sss" localSheetId="4" hidden="1">{"Revenue",#N/A,FALSE,"Revenue"}</definedName>
    <definedName name="sss" localSheetId="6" hidden="1">{"Revenue",#N/A,FALSE,"Revenue"}</definedName>
    <definedName name="sss" hidden="1">{"Revenue",#N/A,FALSE,"Revenue"}</definedName>
    <definedName name="STD_Bal" localSheetId="7">'Aged debtors'!#REF!</definedName>
    <definedName name="STD_Bal" localSheetId="10">#REF!</definedName>
    <definedName name="STD_Bal" localSheetId="9">'Customer data'!#REF!</definedName>
    <definedName name="STD_Bal" localSheetId="3">#REF!</definedName>
    <definedName name="STD_Bal" localSheetId="8">'Largest debtors'!#REF!</definedName>
    <definedName name="STD_Bal" localSheetId="11">#REF!</definedName>
    <definedName name="STD_Bal" localSheetId="6">Stock!#REF!</definedName>
    <definedName name="STD_Bal">#REF!</definedName>
    <definedName name="STD_Cash" localSheetId="7">'Aged debtors'!#REF!</definedName>
    <definedName name="STD_Cash" localSheetId="10">#REF!</definedName>
    <definedName name="STD_Cash" localSheetId="9">'Customer data'!#REF!</definedName>
    <definedName name="STD_Cash" localSheetId="8">'Largest debtors'!#REF!</definedName>
    <definedName name="STD_Cash" localSheetId="11">#REF!</definedName>
    <definedName name="STD_Cash" localSheetId="6">Stock!#REF!</definedName>
    <definedName name="STD_Cash">#REF!</definedName>
    <definedName name="Supplier_Cancellations" localSheetId="7">'Aged debtors'!#REF!</definedName>
    <definedName name="Supplier_Cancellations" localSheetId="9">'Customer data'!#REF!</definedName>
    <definedName name="Supplier_Cancellations" localSheetId="8">'Largest debtors'!#REF!</definedName>
    <definedName name="Supplier_Cancellations" localSheetId="11">#REF!</definedName>
    <definedName name="Supplier_Cancellations" localSheetId="6">Stock!#REF!</definedName>
    <definedName name="Supplier_Cancellations">#REF!</definedName>
    <definedName name="Supplier_Renewals" localSheetId="7">'Aged debtors'!#REF!</definedName>
    <definedName name="Supplier_Renewals" localSheetId="9">'Customer data'!#REF!</definedName>
    <definedName name="Supplier_Renewals" localSheetId="8">'Largest debtors'!#REF!</definedName>
    <definedName name="Supplier_Renewals" localSheetId="11">#REF!</definedName>
    <definedName name="Supplier_Renewals" localSheetId="6">Stock!#REF!</definedName>
    <definedName name="Supplier_Renewals">#REF!</definedName>
    <definedName name="SV_DBTYPE">"3"</definedName>
    <definedName name="SV_ENCPT_LOGON_PWD" hidden="1">"078104085088070"</definedName>
    <definedName name="SV_ENCPT_LOGON_USER" hidden="1">"095094088070084084080096087083073084"</definedName>
    <definedName name="SV_REPORT_CODE">""</definedName>
    <definedName name="SV_REPORT_ID">"7"</definedName>
    <definedName name="SV_REPOSCODE">""</definedName>
    <definedName name="SV_SOLUTION_ID">"33"</definedName>
    <definedName name="Tax_Charge" localSheetId="7">'Aged debtors'!#REF!</definedName>
    <definedName name="Tax_Charge" localSheetId="10">#REF!</definedName>
    <definedName name="Tax_Charge" localSheetId="9">'Customer data'!#REF!</definedName>
    <definedName name="Tax_Charge" localSheetId="3">#REF!</definedName>
    <definedName name="Tax_Charge" localSheetId="8">'Largest debtors'!#REF!</definedName>
    <definedName name="Tax_Charge" localSheetId="11">#REF!</definedName>
    <definedName name="Tax_Charge" localSheetId="6">Stock!#REF!</definedName>
    <definedName name="Tax_Charge">#REF!</definedName>
    <definedName name="Tax_Cred_Bal" localSheetId="7">'Aged debtors'!#REF!</definedName>
    <definedName name="Tax_Cred_Bal" localSheetId="10">#REF!</definedName>
    <definedName name="Tax_Cred_Bal" localSheetId="9">'Customer data'!#REF!</definedName>
    <definedName name="Tax_Cred_Bal" localSheetId="8">'Largest debtors'!#REF!</definedName>
    <definedName name="Tax_Cred_Bal" localSheetId="11">#REF!</definedName>
    <definedName name="Tax_Cred_Bal" localSheetId="6">Stock!#REF!</definedName>
    <definedName name="Tax_Cred_Bal">#REF!</definedName>
    <definedName name="Tax_Cred_Delta" localSheetId="7">'Aged debtors'!#REF!</definedName>
    <definedName name="Tax_Cred_Delta" localSheetId="10">#REF!</definedName>
    <definedName name="Tax_Cred_Delta" localSheetId="9">'Customer data'!#REF!</definedName>
    <definedName name="Tax_Cred_Delta" localSheetId="8">'Largest debtors'!#REF!</definedName>
    <definedName name="Tax_Cred_Delta" localSheetId="11">#REF!</definedName>
    <definedName name="Tax_Cred_Delta" localSheetId="6">Stock!#REF!</definedName>
    <definedName name="Tax_Cred_Delta">#REF!</definedName>
    <definedName name="Tax_Paid" localSheetId="7">'Aged debtors'!#REF!</definedName>
    <definedName name="Tax_Paid" localSheetId="10">#REF!</definedName>
    <definedName name="Tax_Paid" localSheetId="9">'Customer data'!#REF!</definedName>
    <definedName name="Tax_Paid" localSheetId="8">'Largest debtors'!#REF!</definedName>
    <definedName name="Tax_Paid" localSheetId="11">#REF!</definedName>
    <definedName name="Tax_Paid" localSheetId="6">Stock!#REF!</definedName>
    <definedName name="Tax_Paid">#REF!</definedName>
    <definedName name="TaxRateMarg" localSheetId="7">'Aged debtors'!#REF!</definedName>
    <definedName name="TaxRateMarg" localSheetId="10">#REF!</definedName>
    <definedName name="TaxRateMarg" localSheetId="9">'Customer data'!#REF!</definedName>
    <definedName name="TaxRateMarg" localSheetId="8">'Largest debtors'!#REF!</definedName>
    <definedName name="TaxRateMarg" localSheetId="11">#REF!</definedName>
    <definedName name="TaxRateMarg" localSheetId="6">Stock!#REF!</definedName>
    <definedName name="TaxRateMarg">#REF!</definedName>
    <definedName name="TBXRCK" hidden="1">"53|11757824,1|0,52|6780672,51|4204747,49|6697881,55|7929855,11|12632256,56|16777215"</definedName>
    <definedName name="test" localSheetId="7">'Aged debtors'!#REF!</definedName>
    <definedName name="test" localSheetId="10">#REF!</definedName>
    <definedName name="test" localSheetId="9">'Customer data'!#REF!</definedName>
    <definedName name="test" localSheetId="3">#REF!</definedName>
    <definedName name="test" localSheetId="8">'Largest debtors'!#REF!</definedName>
    <definedName name="test" localSheetId="11">#REF!</definedName>
    <definedName name="test" localSheetId="6">Stock!#REF!</definedName>
    <definedName name="test">#REF!</definedName>
    <definedName name="Tooling" localSheetId="7">'Aged debtors'!#REF!</definedName>
    <definedName name="Tooling" localSheetId="10">#REF!</definedName>
    <definedName name="Tooling" localSheetId="0">#REF!</definedName>
    <definedName name="Tooling" localSheetId="9">'Customer data'!#REF!</definedName>
    <definedName name="Tooling" localSheetId="8">'Largest debtors'!#REF!</definedName>
    <definedName name="Tooling" localSheetId="11">#REF!</definedName>
    <definedName name="Tooling" localSheetId="6">Stock!#REF!</definedName>
    <definedName name="Tooling">#REF!</definedName>
    <definedName name="Tot_SharesAndOptions_Bb" localSheetId="7">'Aged debtors'!#REF!</definedName>
    <definedName name="Tot_SharesAndOptions_Bb" localSheetId="9">'Customer data'!#REF!</definedName>
    <definedName name="Tot_SharesAndOptions_Bb" localSheetId="8">'Largest debtors'!#REF!</definedName>
    <definedName name="Tot_SharesAndOptions_Bb" localSheetId="11">#REF!</definedName>
    <definedName name="Tot_SharesAndOptions_Bb" localSheetId="6">Stock!#REF!</definedName>
    <definedName name="Tot_SharesAndOptions_Bb">#REF!</definedName>
    <definedName name="TOTAL" localSheetId="7">'Aged debtors'!#REF!</definedName>
    <definedName name="TOTAL" localSheetId="10">#REF!</definedName>
    <definedName name="TOTAL" localSheetId="0">#REF!</definedName>
    <definedName name="TOTAL" localSheetId="9">'Customer data'!#REF!</definedName>
    <definedName name="TOTAL" localSheetId="8">'Largest debtors'!#REF!</definedName>
    <definedName name="TOTAL" localSheetId="11">#REF!</definedName>
    <definedName name="TOTAL" localSheetId="6">Stock!#REF!</definedName>
    <definedName name="TOTAL">#REF!</definedName>
    <definedName name="Total_Suppliers_Chart" localSheetId="7">OFFSET('Aged debtors'!#REF!,0,0,1,COUNTIF('Aged debtors'!#REF!,"&gt;0"))</definedName>
    <definedName name="Total_Suppliers_Chart" localSheetId="9">OFFSET('Customer data'!#REF!,0,0,1,COUNTIF('Customer data'!#REF!,"&gt;0"))</definedName>
    <definedName name="Total_Suppliers_Chart" localSheetId="8">OFFSET('Largest debtors'!#REF!,0,0,1,COUNTIF('Largest debtors'!#REF!,"&gt;0"))</definedName>
    <definedName name="Total_Suppliers_Chart" localSheetId="11">OFFSET(#REF!,0,0,1,COUNTIF(#REF!,"&gt;0"))</definedName>
    <definedName name="Total_Suppliers_Chart" localSheetId="6">OFFSET(Stock!#REF!,0,0,1,COUNTIF(Stock!#REF!,"&gt;0"))</definedName>
    <definedName name="Total_Suppliers_Chart">OFFSET(#REF!,0,0,1,COUNTIF(#REF!,"&gt;0"))</definedName>
    <definedName name="Total_Suppliers_plan_Chart" localSheetId="7">OFFSET('Aged debtors'!#REF!,0,0,1,COUNTIF('Aged debtors'!#REF!,"&gt;0"))</definedName>
    <definedName name="Total_Suppliers_plan_Chart" localSheetId="9">OFFSET('Customer data'!#REF!,0,0,1,COUNTIF('Customer data'!#REF!,"&gt;0"))</definedName>
    <definedName name="Total_Suppliers_plan_Chart" localSheetId="8">OFFSET('Largest debtors'!#REF!,0,0,1,COUNTIF('Largest debtors'!#REF!,"&gt;0"))</definedName>
    <definedName name="Total_Suppliers_plan_Chart" localSheetId="11">OFFSET(#REF!,0,0,1,COUNTIF(#REF!,"&gt;0"))</definedName>
    <definedName name="Total_Suppliers_plan_Chart" localSheetId="6">OFFSET(Stock!#REF!,0,0,1,COUNTIF(Stock!#REF!,"&gt;0"))</definedName>
    <definedName name="Total_Suppliers_plan_Chart">OFFSET(#REF!,0,0,1,COUNTIF(#REF!,"&gt;0"))</definedName>
    <definedName name="TradCred" localSheetId="7">'Aged debtors'!#REF!</definedName>
    <definedName name="TradCred" localSheetId="10">#REF!</definedName>
    <definedName name="TradCred" localSheetId="9">'Customer data'!#REF!</definedName>
    <definedName name="TradCred" localSheetId="8">'Largest debtors'!#REF!</definedName>
    <definedName name="TradCred" localSheetId="11">#REF!</definedName>
    <definedName name="TradCred" localSheetId="6">Stock!#REF!</definedName>
    <definedName name="TradCred">#REF!</definedName>
    <definedName name="TradDebt" localSheetId="7">'Aged debtors'!#REF!</definedName>
    <definedName name="TradDebt" localSheetId="10">#REF!</definedName>
    <definedName name="TradDebt" localSheetId="9">'Customer data'!#REF!</definedName>
    <definedName name="TradDebt" localSheetId="8">'Largest debtors'!#REF!</definedName>
    <definedName name="TradDebt" localSheetId="11">#REF!</definedName>
    <definedName name="TradDebt" localSheetId="6">Stock!#REF!</definedName>
    <definedName name="TradDebt">#REF!</definedName>
    <definedName name="TransactionFee" localSheetId="7">'Aged debtors'!#REF!</definedName>
    <definedName name="TransactionFee" localSheetId="10">#REF!</definedName>
    <definedName name="TransactionFee" localSheetId="9">'Customer data'!#REF!</definedName>
    <definedName name="TransactionFee" localSheetId="8">'Largest debtors'!#REF!</definedName>
    <definedName name="TransactionFee" localSheetId="11">#REF!</definedName>
    <definedName name="TransactionFee" localSheetId="6">Stock!#REF!</definedName>
    <definedName name="TransactionFee">#REF!</definedName>
    <definedName name="TransactionFeeRate" localSheetId="7">'Aged debtors'!#REF!</definedName>
    <definedName name="TransactionFeeRate" localSheetId="10">#REF!</definedName>
    <definedName name="TransactionFeeRate" localSheetId="9">'Customer data'!#REF!</definedName>
    <definedName name="TransactionFeeRate" localSheetId="8">'Largest debtors'!#REF!</definedName>
    <definedName name="TransactionFeeRate" localSheetId="11">#REF!</definedName>
    <definedName name="TransactionFeeRate" localSheetId="6">Stock!#REF!</definedName>
    <definedName name="TransactionFeeRate">#REF!</definedName>
    <definedName name="Translation" localSheetId="7">'Aged debtors'!#REF!</definedName>
    <definedName name="Translation" localSheetId="10">#REF!</definedName>
    <definedName name="Translation" localSheetId="9">'Customer data'!#REF!</definedName>
    <definedName name="Translation" localSheetId="8">'Largest debtors'!#REF!</definedName>
    <definedName name="Translation" localSheetId="11">#REF!</definedName>
    <definedName name="Translation" localSheetId="6">Stock!#REF!</definedName>
    <definedName name="Translation">#REF!</definedName>
    <definedName name="Trial_Membership" localSheetId="7">'Aged debtors'!#REF!</definedName>
    <definedName name="Trial_Membership" localSheetId="9">'Customer data'!#REF!</definedName>
    <definedName name="Trial_Membership" localSheetId="8">'Largest debtors'!#REF!</definedName>
    <definedName name="Trial_Membership" localSheetId="11">#REF!</definedName>
    <definedName name="Trial_Membership" localSheetId="6">Stock!#REF!</definedName>
    <definedName name="Trial_Membership">#REF!</definedName>
    <definedName name="TW_PLAN" localSheetId="7">'Aged debtors'!#REF!</definedName>
    <definedName name="TW_PLAN" localSheetId="9">'Customer data'!#REF!</definedName>
    <definedName name="TW_PLAN" localSheetId="8">'Largest debtors'!#REF!</definedName>
    <definedName name="TW_PLAN" localSheetId="11">#REF!</definedName>
    <definedName name="TW_PLAN" localSheetId="6">Stock!#REF!</definedName>
    <definedName name="TW_PLAN">#REF!</definedName>
    <definedName name="Type_emboursement" localSheetId="7">'Aged debtors'!#REF!</definedName>
    <definedName name="Type_emboursement" localSheetId="10">#REF!</definedName>
    <definedName name="Type_emboursement" localSheetId="9">'Customer data'!#REF!</definedName>
    <definedName name="Type_emboursement" localSheetId="8">'Largest debtors'!#REF!</definedName>
    <definedName name="Type_emboursement" localSheetId="11">#REF!</definedName>
    <definedName name="Type_emboursement" localSheetId="6">Stock!#REF!</definedName>
    <definedName name="Type_emboursement">#REF!</definedName>
    <definedName name="Type_Remboursement" localSheetId="7">'Aged debtors'!#REF!</definedName>
    <definedName name="Type_Remboursement" localSheetId="9">'Customer data'!#REF!</definedName>
    <definedName name="Type_Remboursement" localSheetId="8">'Largest debtors'!#REF!</definedName>
    <definedName name="Type_Remboursement" localSheetId="11">#REF!</definedName>
    <definedName name="Type_Remboursement" localSheetId="6">Stock!#REF!</definedName>
    <definedName name="Type_Remboursement">#REF!</definedName>
    <definedName name="Unit_label" localSheetId="7">'Aged debtors'!#REF!</definedName>
    <definedName name="Unit_label" localSheetId="10">#REF!</definedName>
    <definedName name="Unit_label" localSheetId="9">'Customer data'!#REF!</definedName>
    <definedName name="Unit_label" localSheetId="8">'Largest debtors'!#REF!</definedName>
    <definedName name="Unit_label" localSheetId="11">#REF!</definedName>
    <definedName name="Unit_label" localSheetId="6">Stock!#REF!</definedName>
    <definedName name="Unit_label">#REF!</definedName>
    <definedName name="Units" localSheetId="7">'Aged debtors'!#REF!</definedName>
    <definedName name="Units" localSheetId="10">#REF!</definedName>
    <definedName name="Units" localSheetId="9">'Customer data'!#REF!</definedName>
    <definedName name="Units" localSheetId="8">'Largest debtors'!#REF!</definedName>
    <definedName name="Units" localSheetId="11">#REF!</definedName>
    <definedName name="Units" localSheetId="6">Stock!#REF!</definedName>
    <definedName name="Units">#REF!</definedName>
    <definedName name="Val_Date" localSheetId="7">'Aged debtors'!#REF!</definedName>
    <definedName name="Val_Date" localSheetId="10">#REF!</definedName>
    <definedName name="Val_Date" localSheetId="9">'Customer data'!#REF!</definedName>
    <definedName name="Val_Date" localSheetId="8">'Largest debtors'!#REF!</definedName>
    <definedName name="Val_Date" localSheetId="11">#REF!</definedName>
    <definedName name="Val_Date" localSheetId="6">Stock!#REF!</definedName>
    <definedName name="Val_Date">#REF!</definedName>
    <definedName name="VATApplicable" localSheetId="7">'Aged debtors'!#REF!</definedName>
    <definedName name="VATApplicable" localSheetId="10">#REF!</definedName>
    <definedName name="VATApplicable" localSheetId="9">'Customer data'!#REF!</definedName>
    <definedName name="VATApplicable" localSheetId="8">'Largest debtors'!#REF!</definedName>
    <definedName name="VATApplicable" localSheetId="11">#REF!</definedName>
    <definedName name="VATApplicable" localSheetId="6">Stock!#REF!</definedName>
    <definedName name="VATApplicable">#REF!</definedName>
    <definedName name="VATRate" localSheetId="7">'Aged debtors'!#REF!</definedName>
    <definedName name="VATRate" localSheetId="10">#REF!</definedName>
    <definedName name="VATRate" localSheetId="9">'Customer data'!#REF!</definedName>
    <definedName name="VATRate" localSheetId="8">'Largest debtors'!#REF!</definedName>
    <definedName name="VATRate" localSheetId="11">#REF!</definedName>
    <definedName name="VATRate" localSheetId="6">Stock!#REF!</definedName>
    <definedName name="VATRate">#REF!</definedName>
    <definedName name="versionlist" localSheetId="7">OFFSET('Aged debtors'!#REF!,0,12,'Aged debtors'!#REF!,1)</definedName>
    <definedName name="versionlist" localSheetId="10">OFFSET(#REF!,0,12,#REF!,1)</definedName>
    <definedName name="versionlist" localSheetId="9">OFFSET('Customer data'!#REF!,0,12,'Customer data'!#REF!,1)</definedName>
    <definedName name="versionlist" localSheetId="8">OFFSET('Largest debtors'!#REF!,0,12,'Largest debtors'!#REF!,1)</definedName>
    <definedName name="versionlist" localSheetId="11">OFFSET(#REF!,0,12,#REF!,1)</definedName>
    <definedName name="versionlist" localSheetId="6">OFFSET(Stock!#REF!,0,12,Stock!#REF!,1)</definedName>
    <definedName name="versionlist">OFFSET(#REF!,0,12,#REF!,1)</definedName>
    <definedName name="visits_chart" localSheetId="7">OFFSET('Aged debtors'!#REF!,0,0,1,COUNTIF('Aged debtors'!#REF!,"&gt;0"))</definedName>
    <definedName name="visits_chart" localSheetId="9">OFFSET('Customer data'!#REF!,0,0,1,COUNTIF('Customer data'!#REF!,"&gt;0"))</definedName>
    <definedName name="visits_chart" localSheetId="8">OFFSET('Largest debtors'!#REF!,0,0,1,COUNTIF('Largest debtors'!#REF!,"&gt;0"))</definedName>
    <definedName name="visits_chart" localSheetId="11">OFFSET(#REF!,0,0,1,COUNTIF(#REF!,"&gt;0"))</definedName>
    <definedName name="visits_chart" localSheetId="6">OFFSET(Stock!#REF!,0,0,1,COUNTIF(Stock!#REF!,"&gt;0"))</definedName>
    <definedName name="visits_chart">OFFSET(#REF!,0,0,1,COUNTIF(#REF!,"&gt;0"))</definedName>
    <definedName name="Visits_plan_Chart" localSheetId="7">OFFSET('Aged debtors'!#REF!,0,0,1,COUNTIF('Aged debtors'!#REF!,"&gt;0"))</definedName>
    <definedName name="Visits_plan_Chart" localSheetId="9">OFFSET('Customer data'!#REF!,0,0,1,COUNTIF('Customer data'!#REF!,"&gt;0"))</definedName>
    <definedName name="Visits_plan_Chart" localSheetId="8">OFFSET('Largest debtors'!#REF!,0,0,1,COUNTIF('Largest debtors'!#REF!,"&gt;0"))</definedName>
    <definedName name="Visits_plan_Chart" localSheetId="11">OFFSET(#REF!,0,0,1,COUNTIF(#REF!,"&gt;0"))</definedName>
    <definedName name="Visits_plan_Chart" localSheetId="6">OFFSET(Stock!#REF!,0,0,1,COUNTIF(Stock!#REF!,"&gt;0"))</definedName>
    <definedName name="Visits_plan_Chart">OFFSET(#REF!,0,0,1,COUNTIF(#REF!,"&gt;0"))</definedName>
    <definedName name="WACC" localSheetId="7">'Aged debtors'!#REF!</definedName>
    <definedName name="WACC" localSheetId="10">#REF!</definedName>
    <definedName name="WACC" localSheetId="9">'Customer data'!#REF!</definedName>
    <definedName name="WACC" localSheetId="8">'Largest debtors'!#REF!</definedName>
    <definedName name="WACC" localSheetId="11">#REF!</definedName>
    <definedName name="WACC" localSheetId="6">Stock!#REF!</definedName>
    <definedName name="WACC">#REF!</definedName>
    <definedName name="WACCF" localSheetId="7">'Aged debtors'!#REF!</definedName>
    <definedName name="WACCF" localSheetId="10">#REF!</definedName>
    <definedName name="WACCF" localSheetId="9">'Customer data'!#REF!</definedName>
    <definedName name="WACCF" localSheetId="8">'Largest debtors'!#REF!</definedName>
    <definedName name="WACCF" localSheetId="11">#REF!</definedName>
    <definedName name="WACCF" localSheetId="6">Stock!#REF!</definedName>
    <definedName name="WACCF">#REF!</definedName>
    <definedName name="WC_Bal" localSheetId="7">'Aged debtors'!#REF!</definedName>
    <definedName name="WC_Bal" localSheetId="10">#REF!</definedName>
    <definedName name="WC_Bal" localSheetId="9">'Customer data'!#REF!</definedName>
    <definedName name="WC_Bal" localSheetId="8">'Largest debtors'!#REF!</definedName>
    <definedName name="WC_Bal" localSheetId="11">#REF!</definedName>
    <definedName name="WC_Bal" localSheetId="6">Stock!#REF!</definedName>
    <definedName name="WC_Bal">#REF!</definedName>
    <definedName name="WC_Delta" localSheetId="7">'Aged debtors'!#REF!</definedName>
    <definedName name="WC_Delta" localSheetId="10">#REF!</definedName>
    <definedName name="WC_Delta" localSheetId="9">'Customer data'!#REF!</definedName>
    <definedName name="WC_Delta" localSheetId="8">'Largest debtors'!#REF!</definedName>
    <definedName name="WC_Delta" localSheetId="11">#REF!</definedName>
    <definedName name="WC_Delta" localSheetId="6">Stock!#REF!</definedName>
    <definedName name="WC_Delta">#REF!</definedName>
    <definedName name="Week_Ave" localSheetId="7">'Aged debtors'!#REF!</definedName>
    <definedName name="Week_Ave" localSheetId="9">'Customer data'!#REF!</definedName>
    <definedName name="Week_Ave" localSheetId="8">'Largest debtors'!#REF!</definedName>
    <definedName name="Week_Ave" localSheetId="11">#REF!</definedName>
    <definedName name="Week_Ave" localSheetId="6">Stock!#REF!</definedName>
    <definedName name="Week_Ave">#REF!</definedName>
    <definedName name="Weekly_data" localSheetId="7">'Aged debtors'!#REF!</definedName>
    <definedName name="Weekly_data" localSheetId="9">'Customer data'!#REF!</definedName>
    <definedName name="Weekly_data" localSheetId="8">'Largest debtors'!#REF!</definedName>
    <definedName name="Weekly_data" localSheetId="11">#REF!</definedName>
    <definedName name="Weekly_data" localSheetId="6">Stock!#REF!</definedName>
    <definedName name="Weekly_data">#REF!</definedName>
    <definedName name="wrn.Print._.All._.A4." localSheetId="7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10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9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3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8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11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6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7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10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9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3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8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11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6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Results._.A4." localSheetId="7" hidden="1">{"Valuation",#N/A,TRUE,"Valuation Summary";"Financial Statements",#N/A,TRUE,"Results";"Results",#N/A,TRUE,"Results";"Ratios",#N/A,TRUE,"Results";"P2 Summary",#N/A,TRUE,"Results"}</definedName>
    <definedName name="wrn.Print._.Results._.A4." localSheetId="10" hidden="1">{"Valuation",#N/A,TRUE,"Valuation Summary";"Financial Statements",#N/A,TRUE,"Results";"Results",#N/A,TRUE,"Results";"Ratios",#N/A,TRUE,"Results";"P2 Summary",#N/A,TRUE,"Results"}</definedName>
    <definedName name="wrn.Print._.Results._.A4." localSheetId="9" hidden="1">{"Valuation",#N/A,TRUE,"Valuation Summary";"Financial Statements",#N/A,TRUE,"Results";"Results",#N/A,TRUE,"Results";"Ratios",#N/A,TRUE,"Results";"P2 Summary",#N/A,TRUE,"Results"}</definedName>
    <definedName name="wrn.Print._.Results._.A4." localSheetId="3" hidden="1">{"Valuation",#N/A,TRUE,"Valuation Summary";"Financial Statements",#N/A,TRUE,"Results";"Results",#N/A,TRUE,"Results";"Ratios",#N/A,TRUE,"Results";"P2 Summary",#N/A,TRUE,"Results"}</definedName>
    <definedName name="wrn.Print._.Results._.A4." localSheetId="8" hidden="1">{"Valuation",#N/A,TRUE,"Valuation Summary";"Financial Statements",#N/A,TRUE,"Results";"Results",#N/A,TRUE,"Results";"Ratios",#N/A,TRUE,"Results";"P2 Summary",#N/A,TRUE,"Results"}</definedName>
    <definedName name="wrn.Print._.Results._.A4." localSheetId="11" hidden="1">{"Valuation",#N/A,TRUE,"Valuation Summary";"Financial Statements",#N/A,TRUE,"Results";"Results",#N/A,TRUE,"Results";"Ratios",#N/A,TRUE,"Results";"P2 Summary",#N/A,TRUE,"Results"}</definedName>
    <definedName name="wrn.Print._.Results._.A4." localSheetId="4" hidden="1">{"Valuation",#N/A,TRUE,"Valuation Summary";"Financial Statements",#N/A,TRUE,"Results";"Results",#N/A,TRUE,"Results";"Ratios",#N/A,TRUE,"Results";"P2 Summary",#N/A,TRUE,"Results"}</definedName>
    <definedName name="wrn.Print._.Results._.A4." localSheetId="6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7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10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9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3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8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11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6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Short." localSheetId="7" hidden="1">{"Revenue",#N/A,FALSE,"Revenue"}</definedName>
    <definedName name="wrn.Short." localSheetId="10" hidden="1">{"Revenue",#N/A,FALSE,"Revenue"}</definedName>
    <definedName name="wrn.Short." localSheetId="12" hidden="1">{"Revenue",#N/A,FALSE,"Revenue"}</definedName>
    <definedName name="wrn.Short." localSheetId="9" hidden="1">{"Revenue",#N/A,FALSE,"Revenue"}</definedName>
    <definedName name="wrn.Short." localSheetId="3" hidden="1">{"Revenue",#N/A,FALSE,"Revenue"}</definedName>
    <definedName name="wrn.Short." localSheetId="8" hidden="1">{"Revenue",#N/A,FALSE,"Revenue"}</definedName>
    <definedName name="wrn.Short." localSheetId="11" hidden="1">{"Revenue",#N/A,FALSE,"Revenue"}</definedName>
    <definedName name="wrn.Short." localSheetId="4" hidden="1">{"Revenue",#N/A,FALSE,"Revenue"}</definedName>
    <definedName name="wrn.Short." localSheetId="6" hidden="1">{"Revenue",#N/A,FALSE,"Revenue"}</definedName>
    <definedName name="wrn.Short." hidden="1">{"Revenue",#N/A,FALSE,"Revenue"}</definedName>
    <definedName name="wrn.Summary." localSheetId="7" hidden="1">{"Balance",#N/A,FALSE,"Balance Sheet";"PandL",#N/A,FALSE,"P&amp;L";"Costs",#N/A,FALSE,"Costs";"Cashflow",#N/A,FALSE,"Cashflow";"CashFlow_Monthly",#N/A,FALSE,"Cash flow curve - monthly";"Funding",#N/A,FALSE,"Funding Schedule";"Revenue",#N/A,FALSE,"Revenue"}</definedName>
    <definedName name="wrn.Summary." localSheetId="10" hidden="1">{"Balance",#N/A,FALSE,"Balance Sheet";"PandL",#N/A,FALSE,"P&amp;L";"Costs",#N/A,FALSE,"Costs";"Cashflow",#N/A,FALSE,"Cashflow";"CashFlow_Monthly",#N/A,FALSE,"Cash flow curve - monthly";"Funding",#N/A,FALSE,"Funding Schedule";"Revenue",#N/A,FALSE,"Revenue"}</definedName>
    <definedName name="wrn.Summary." localSheetId="12" hidden="1">{"Balance",#N/A,FALSE,"Balance Sheet";"PandL",#N/A,FALSE,"P&amp;L";"Costs",#N/A,FALSE,"Costs";"Cashflow",#N/A,FALSE,"Cashflow";"CashFlow_Monthly",#N/A,FALSE,"Cash flow curve - monthly";"Funding",#N/A,FALSE,"Funding Schedule";"Revenue",#N/A,FALSE,"Revenue"}</definedName>
    <definedName name="wrn.Summary." localSheetId="9" hidden="1">{"Balance",#N/A,FALSE,"Balance Sheet";"PandL",#N/A,FALSE,"P&amp;L";"Costs",#N/A,FALSE,"Costs";"Cashflow",#N/A,FALSE,"Cashflow";"CashFlow_Monthly",#N/A,FALSE,"Cash flow curve - monthly";"Funding",#N/A,FALSE,"Funding Schedule";"Revenue",#N/A,FALSE,"Revenue"}</definedName>
    <definedName name="wrn.Summary." localSheetId="3" hidden="1">{"Balance",#N/A,FALSE,"Balance Sheet";"PandL",#N/A,FALSE,"P&amp;L";"Costs",#N/A,FALSE,"Costs";"Cashflow",#N/A,FALSE,"Cashflow";"CashFlow_Monthly",#N/A,FALSE,"Cash flow curve - monthly";"Funding",#N/A,FALSE,"Funding Schedule";"Revenue",#N/A,FALSE,"Revenue"}</definedName>
    <definedName name="wrn.Summary." localSheetId="8" hidden="1">{"Balance",#N/A,FALSE,"Balance Sheet";"PandL",#N/A,FALSE,"P&amp;L";"Costs",#N/A,FALSE,"Costs";"Cashflow",#N/A,FALSE,"Cashflow";"CashFlow_Monthly",#N/A,FALSE,"Cash flow curve - monthly";"Funding",#N/A,FALSE,"Funding Schedule";"Revenue",#N/A,FALSE,"Revenue"}</definedName>
    <definedName name="wrn.Summary." localSheetId="11" hidden="1">{"Balance",#N/A,FALSE,"Balance Sheet";"PandL",#N/A,FALSE,"P&amp;L";"Costs",#N/A,FALSE,"Costs";"Cashflow",#N/A,FALSE,"Cashflow";"CashFlow_Monthly",#N/A,FALSE,"Cash flow curve - monthly";"Funding",#N/A,FALSE,"Funding Schedule";"Revenue",#N/A,FALSE,"Revenue"}</definedName>
    <definedName name="wrn.Summary." localSheetId="4" hidden="1">{"Balance",#N/A,FALSE,"Balance Sheet";"PandL",#N/A,FALSE,"P&amp;L";"Costs",#N/A,FALSE,"Costs";"Cashflow",#N/A,FALSE,"Cashflow";"CashFlow_Monthly",#N/A,FALSE,"Cash flow curve - monthly";"Funding",#N/A,FALSE,"Funding Schedule";"Revenue",#N/A,FALSE,"Revenue"}</definedName>
    <definedName name="wrn.Summary." localSheetId="6" hidden="1">{"Balance",#N/A,FALSE,"Balance Sheet";"PandL",#N/A,FALSE,"P&amp;L";"Costs",#N/A,FALSE,"Costs";"Cashflow",#N/A,FALSE,"Cashflow";"CashFlow_Monthly",#N/A,FALSE,"Cash flow curve - monthly";"Funding",#N/A,FALSE,"Funding Schedule";"Revenue",#N/A,FALSE,"Revenue"}</definedName>
    <definedName name="wrn.Summary." hidden="1">{"Balance",#N/A,FALSE,"Balance Sheet";"PandL",#N/A,FALSE,"P&amp;L";"Costs",#N/A,FALSE,"Costs";"Cashflow",#N/A,FALSE,"Cashflow";"CashFlow_Monthly",#N/A,FALSE,"Cash flow curve - monthly";"Funding",#N/A,FALSE,"Funding Schedule";"Revenue",#N/A,FALSE,"Revenue"}</definedName>
    <definedName name="xxx" localSheetId="7" hidden="1">'Aged debtors'!#REF!</definedName>
    <definedName name="xxx" localSheetId="10" hidden="1">#REF!</definedName>
    <definedName name="xxx" localSheetId="9" hidden="1">'Customer data'!#REF!</definedName>
    <definedName name="xxx" localSheetId="3" hidden="1">#REF!</definedName>
    <definedName name="xxx" localSheetId="8" hidden="1">'Largest debtors'!#REF!</definedName>
    <definedName name="xxx" localSheetId="11" hidden="1">#REF!</definedName>
    <definedName name="xxx" localSheetId="6" hidden="1">Stock!#REF!</definedName>
    <definedName name="xxx" hidden="1">#REF!</definedName>
    <definedName name="xxxxxx" localSheetId="7" hidden="1">'Aged debtors'!#REF!</definedName>
    <definedName name="xxxxxx" localSheetId="10" hidden="1">#REF!</definedName>
    <definedName name="xxxxxx" localSheetId="12" hidden="1">#REF!</definedName>
    <definedName name="xxxxxx" localSheetId="9" hidden="1">'Customer data'!#REF!</definedName>
    <definedName name="xxxxxx" localSheetId="8" hidden="1">'Largest debtors'!#REF!</definedName>
    <definedName name="xxxxxx" localSheetId="11" hidden="1">#REF!</definedName>
    <definedName name="xxxxxx" localSheetId="6" hidden="1">Stock!#REF!</definedName>
    <definedName name="xxxxxx" hidden="1">#REF!</definedName>
    <definedName name="yahoo_cpc_data" localSheetId="7">'Aged debtors'!#REF!</definedName>
    <definedName name="yahoo_cpc_data" localSheetId="9">'Customer data'!#REF!</definedName>
    <definedName name="yahoo_cpc_data" localSheetId="8">'Largest debtors'!#REF!</definedName>
    <definedName name="yahoo_cpc_data" localSheetId="11">#REF!</definedName>
    <definedName name="yahoo_cpc_data" localSheetId="6">Stock!#REF!</definedName>
    <definedName name="yahoo_cpc_data">#REF!</definedName>
    <definedName name="Ye" localSheetId="7">'Aged debtors'!#REF!</definedName>
    <definedName name="Ye" localSheetId="10">#REF!</definedName>
    <definedName name="Ye" localSheetId="9">'Customer data'!#REF!</definedName>
    <definedName name="Ye" localSheetId="8">'Largest debtors'!#REF!</definedName>
    <definedName name="Ye" localSheetId="11">#REF!</definedName>
    <definedName name="Ye" localSheetId="6">Stock!#REF!</definedName>
    <definedName name="Ye">#REF!</definedName>
    <definedName name="Year" localSheetId="7">'Aged debtors'!#REF!</definedName>
    <definedName name="Year" localSheetId="10">#REF!</definedName>
    <definedName name="Year" localSheetId="9">'Customer data'!#REF!</definedName>
    <definedName name="Year" localSheetId="8">'Largest debtors'!#REF!</definedName>
    <definedName name="Year" localSheetId="11">#REF!</definedName>
    <definedName name="Year" localSheetId="6">Stock!#REF!</definedName>
    <definedName name="Year">#REF!</definedName>
    <definedName name="YTD" localSheetId="7">'Aged debtors'!#REF!</definedName>
    <definedName name="YTD" localSheetId="9">'Customer data'!#REF!</definedName>
    <definedName name="YTD" localSheetId="8">'Largest debtors'!#REF!</definedName>
    <definedName name="YTD" localSheetId="11">#REF!</definedName>
    <definedName name="YTD" localSheetId="6">Stock!#REF!</definedName>
    <definedName name="YTD">#REF!</definedName>
    <definedName name="YTD_PLAN" localSheetId="7">'Aged debtors'!#REF!</definedName>
    <definedName name="YTD_PLAN" localSheetId="9">'Customer data'!#REF!</definedName>
    <definedName name="YTD_PLAN" localSheetId="8">'Largest debtors'!#REF!</definedName>
    <definedName name="YTD_PLAN" localSheetId="11">#REF!</definedName>
    <definedName name="YTD_PLAN" localSheetId="6">Stock!#REF!</definedName>
    <definedName name="YTD_PLAN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225" l="1"/>
  <c r="FK83" i="5"/>
  <c r="FK81" i="5"/>
  <c r="CX19" i="25"/>
  <c r="DB24" i="12"/>
  <c r="DB23" i="12"/>
  <c r="DB22" i="12"/>
  <c r="DB21" i="12"/>
  <c r="DB19" i="12"/>
  <c r="DB18" i="12"/>
  <c r="DB16" i="12"/>
  <c r="DB15" i="12"/>
  <c r="DB13" i="12"/>
  <c r="DB5" i="12"/>
  <c r="DA16" i="12"/>
  <c r="CX5" i="12"/>
  <c r="BA112" i="5"/>
  <c r="AZ112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S112" i="5"/>
  <c r="R112" i="5"/>
  <c r="BB111" i="5"/>
  <c r="BA111" i="5"/>
  <c r="AZ111" i="5"/>
  <c r="AY111" i="5"/>
  <c r="AX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T111" i="5"/>
  <c r="S111" i="5"/>
  <c r="R111" i="5"/>
  <c r="P111" i="5"/>
  <c r="BB110" i="5"/>
  <c r="BA110" i="5"/>
  <c r="AZ110" i="5"/>
  <c r="AY110" i="5"/>
  <c r="AX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T110" i="5"/>
  <c r="S110" i="5"/>
  <c r="R110" i="5"/>
  <c r="P110" i="5"/>
  <c r="BB109" i="5"/>
  <c r="BA109" i="5"/>
  <c r="AZ109" i="5"/>
  <c r="AY109" i="5"/>
  <c r="AX109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T109" i="5"/>
  <c r="S109" i="5"/>
  <c r="R109" i="5"/>
  <c r="P109" i="5"/>
  <c r="BB108" i="5"/>
  <c r="BA108" i="5"/>
  <c r="AZ108" i="5"/>
  <c r="AY108" i="5"/>
  <c r="AX108" i="5"/>
  <c r="AW108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S108" i="5"/>
  <c r="R108" i="5"/>
  <c r="P108" i="5"/>
  <c r="BB107" i="5"/>
  <c r="BA107" i="5"/>
  <c r="AZ107" i="5"/>
  <c r="AY107" i="5"/>
  <c r="AX107" i="5"/>
  <c r="AW107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P107" i="5"/>
  <c r="BB106" i="5"/>
  <c r="BA106" i="5"/>
  <c r="AZ106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S106" i="5"/>
  <c r="R106" i="5"/>
  <c r="P106" i="5"/>
  <c r="BB105" i="5"/>
  <c r="BA105" i="5"/>
  <c r="AZ105" i="5"/>
  <c r="AY105" i="5"/>
  <c r="AX105" i="5"/>
  <c r="AW105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S105" i="5"/>
  <c r="R105" i="5"/>
  <c r="P105" i="5"/>
  <c r="BB104" i="5"/>
  <c r="BA104" i="5"/>
  <c r="AZ104" i="5"/>
  <c r="AY104" i="5"/>
  <c r="AX104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S104" i="5"/>
  <c r="R104" i="5"/>
  <c r="P104" i="5"/>
  <c r="BA103" i="5"/>
  <c r="AZ103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BB101" i="5"/>
  <c r="P101" i="5"/>
  <c r="P93" i="5"/>
  <c r="P92" i="5"/>
  <c r="P91" i="5"/>
  <c r="P90" i="5"/>
  <c r="P88" i="5"/>
  <c r="P87" i="5"/>
  <c r="P85" i="5"/>
  <c r="P84" i="5"/>
  <c r="P83" i="5"/>
  <c r="P82" i="5"/>
  <c r="P81" i="5"/>
  <c r="P80" i="5"/>
  <c r="P79" i="5"/>
  <c r="P78" i="5"/>
  <c r="P77" i="5"/>
  <c r="P76" i="5"/>
  <c r="P75" i="5"/>
  <c r="P73" i="5"/>
  <c r="P69" i="5"/>
  <c r="P67" i="5"/>
  <c r="P66" i="5"/>
  <c r="P65" i="5"/>
  <c r="P64" i="5"/>
  <c r="P63" i="5"/>
  <c r="P61" i="5"/>
  <c r="P59" i="5"/>
  <c r="P58" i="5"/>
  <c r="P57" i="5"/>
  <c r="P56" i="5"/>
  <c r="P55" i="5"/>
  <c r="P54" i="5"/>
  <c r="P53" i="5"/>
  <c r="P52" i="5"/>
  <c r="P51" i="5"/>
  <c r="P50" i="5"/>
  <c r="P49" i="5"/>
  <c r="P48" i="5"/>
  <c r="P47" i="5"/>
  <c r="P46" i="5"/>
  <c r="P36" i="5"/>
  <c r="P34" i="5"/>
  <c r="P33" i="5"/>
  <c r="P28" i="5"/>
  <c r="BB128" i="5"/>
  <c r="BB127" i="5"/>
  <c r="BB126" i="5"/>
  <c r="BB124" i="5"/>
  <c r="BB123" i="5"/>
  <c r="P124" i="5"/>
  <c r="P126" i="5"/>
  <c r="P127" i="5"/>
  <c r="P128" i="5"/>
  <c r="P123" i="5"/>
  <c r="O123" i="5"/>
  <c r="BB114" i="5"/>
  <c r="BB93" i="5"/>
  <c r="BB92" i="5"/>
  <c r="BB91" i="5"/>
  <c r="BB88" i="5"/>
  <c r="BB87" i="5"/>
  <c r="BB85" i="5"/>
  <c r="BB84" i="5"/>
  <c r="BB83" i="5"/>
  <c r="BB82" i="5"/>
  <c r="BB81" i="5"/>
  <c r="BB80" i="5"/>
  <c r="BB79" i="5"/>
  <c r="BB78" i="5"/>
  <c r="BB77" i="5"/>
  <c r="BB76" i="5"/>
  <c r="BB75" i="5"/>
  <c r="BB73" i="5"/>
  <c r="BB69" i="5"/>
  <c r="BB67" i="5"/>
  <c r="BB66" i="5"/>
  <c r="BB65" i="5"/>
  <c r="BB64" i="5"/>
  <c r="BB63" i="5"/>
  <c r="BB61" i="5"/>
  <c r="BB59" i="5"/>
  <c r="BB58" i="5"/>
  <c r="BB57" i="5"/>
  <c r="BB56" i="5"/>
  <c r="BB55" i="5"/>
  <c r="BB54" i="5"/>
  <c r="BB53" i="5"/>
  <c r="BB52" i="5"/>
  <c r="BB51" i="5"/>
  <c r="BB50" i="5"/>
  <c r="BB49" i="5"/>
  <c r="BB48" i="5"/>
  <c r="BB47" i="5"/>
  <c r="BB46" i="5"/>
  <c r="BB34" i="5"/>
  <c r="BB33" i="5"/>
  <c r="BB14" i="5"/>
  <c r="BB13" i="5"/>
  <c r="BB7" i="5"/>
  <c r="BB29" i="5"/>
  <c r="BB28" i="5"/>
  <c r="BB30" i="5"/>
  <c r="BB17" i="5"/>
  <c r="BB18" i="5"/>
  <c r="BB19" i="5"/>
  <c r="BB20" i="5"/>
  <c r="BB21" i="5"/>
  <c r="BB22" i="5"/>
  <c r="BB23" i="5"/>
  <c r="BB24" i="5"/>
  <c r="BB16" i="5"/>
  <c r="BB25" i="5"/>
  <c r="FK127" i="5"/>
  <c r="FJ124" i="5"/>
  <c r="FJ91" i="5"/>
  <c r="P7" i="5" l="1"/>
  <c r="FK110" i="5"/>
  <c r="FK125" i="5"/>
  <c r="FJ83" i="5"/>
  <c r="FJ94" i="5"/>
  <c r="P125" i="5" l="1"/>
  <c r="FK129" i="5"/>
  <c r="BB125" i="5"/>
  <c r="P129" i="5" l="1"/>
  <c r="BB129" i="5"/>
  <c r="FJ127" i="5" l="1"/>
  <c r="CY21" i="12"/>
  <c r="CZ23" i="12"/>
  <c r="CZ21" i="12"/>
  <c r="CZ5" i="12"/>
  <c r="DB9" i="12"/>
  <c r="DB12" i="12"/>
  <c r="DA5" i="12"/>
  <c r="DA6" i="12"/>
  <c r="DA7" i="12"/>
  <c r="DA8" i="12"/>
  <c r="DA10" i="12"/>
  <c r="DA13" i="12"/>
  <c r="DA14" i="12"/>
  <c r="DA15" i="12"/>
  <c r="CZ6" i="12"/>
  <c r="CZ7" i="12"/>
  <c r="CZ10" i="12"/>
  <c r="CZ13" i="12"/>
  <c r="CZ15" i="12"/>
  <c r="CY15" i="12"/>
  <c r="CX6" i="12"/>
  <c r="CX7" i="12"/>
  <c r="CX10" i="12"/>
  <c r="CX13" i="12"/>
  <c r="CX15" i="12"/>
  <c r="CZ8" i="12" l="1"/>
  <c r="CZ14" i="12"/>
  <c r="CZ16" i="12" s="1"/>
  <c r="CX14" i="12"/>
  <c r="CX16" i="12" s="1"/>
  <c r="CX8" i="12"/>
  <c r="FK124" i="5"/>
  <c r="FJ54" i="5"/>
  <c r="FK85" i="5" l="1"/>
  <c r="FT54" i="5" l="1"/>
  <c r="FV54" i="5" s="1"/>
  <c r="FT46" i="5"/>
  <c r="FV61" i="5"/>
  <c r="FV58" i="5"/>
  <c r="FV57" i="5"/>
  <c r="FV56" i="5"/>
  <c r="FV55" i="5"/>
  <c r="FV53" i="5"/>
  <c r="FV47" i="5"/>
  <c r="FV46" i="5"/>
  <c r="FV40" i="5"/>
  <c r="FV38" i="5"/>
  <c r="FV36" i="5"/>
  <c r="FV34" i="5"/>
  <c r="FV33" i="5"/>
  <c r="FV29" i="5"/>
  <c r="FV28" i="5"/>
  <c r="FV25" i="5"/>
  <c r="FU54" i="5"/>
  <c r="FU55" i="5"/>
  <c r="FU56" i="5"/>
  <c r="FU57" i="5"/>
  <c r="FU58" i="5"/>
  <c r="FU59" i="5"/>
  <c r="FU60" i="5"/>
  <c r="FU61" i="5"/>
  <c r="FU62" i="5"/>
  <c r="FU53" i="5"/>
  <c r="FU46" i="5"/>
  <c r="FU44" i="5"/>
  <c r="FU25" i="5"/>
  <c r="FU42" i="5"/>
  <c r="FU41" i="5"/>
  <c r="FU40" i="5"/>
  <c r="FT40" i="5"/>
  <c r="FU39" i="5"/>
  <c r="FT39" i="5"/>
  <c r="FV39" i="5" s="1"/>
  <c r="FU38" i="5"/>
  <c r="FT38" i="5"/>
  <c r="FU34" i="5"/>
  <c r="FU35" i="5"/>
  <c r="FU36" i="5"/>
  <c r="FU33" i="5"/>
  <c r="FU29" i="5"/>
  <c r="FU30" i="5"/>
  <c r="FU28" i="5"/>
  <c r="FV13" i="5"/>
  <c r="FV14" i="5"/>
  <c r="FU14" i="5"/>
  <c r="FU13" i="5"/>
  <c r="FT8" i="5"/>
  <c r="FT9" i="5"/>
  <c r="FT10" i="5"/>
  <c r="FT11" i="5"/>
  <c r="FT12" i="5"/>
  <c r="FT13" i="5"/>
  <c r="FT14" i="5"/>
  <c r="FT15" i="5"/>
  <c r="FT16" i="5"/>
  <c r="FT17" i="5"/>
  <c r="FT18" i="5"/>
  <c r="FT19" i="5"/>
  <c r="FT20" i="5"/>
  <c r="FT21" i="5"/>
  <c r="FT22" i="5"/>
  <c r="FT23" i="5"/>
  <c r="FT24" i="5"/>
  <c r="FT25" i="5"/>
  <c r="FT28" i="5"/>
  <c r="FT29" i="5"/>
  <c r="FT30" i="5"/>
  <c r="FV30" i="5" s="1"/>
  <c r="FT33" i="5"/>
  <c r="FT34" i="5"/>
  <c r="FT36" i="5"/>
  <c r="FT43" i="5"/>
  <c r="FT45" i="5"/>
  <c r="FT47" i="5"/>
  <c r="FT48" i="5"/>
  <c r="FV48" i="5" s="1"/>
  <c r="FT49" i="5"/>
  <c r="FV49" i="5" s="1"/>
  <c r="FT53" i="5"/>
  <c r="FT55" i="5"/>
  <c r="FT56" i="5"/>
  <c r="FT57" i="5"/>
  <c r="FT58" i="5"/>
  <c r="FT61" i="5"/>
  <c r="FV7" i="5"/>
  <c r="FU7" i="5"/>
  <c r="FT7" i="5"/>
  <c r="FN39" i="5"/>
  <c r="FS43" i="5"/>
  <c r="FS24" i="5"/>
  <c r="FS23" i="5"/>
  <c r="FS22" i="5"/>
  <c r="FS21" i="5"/>
  <c r="FS20" i="5"/>
  <c r="FS19" i="5"/>
  <c r="FS18" i="5"/>
  <c r="FS17" i="5"/>
  <c r="FS16" i="5"/>
  <c r="FS15" i="5"/>
  <c r="FS12" i="5"/>
  <c r="FS11" i="5"/>
  <c r="FS10" i="5"/>
  <c r="FS9" i="5"/>
  <c r="FS8" i="5"/>
  <c r="CR22" i="188" l="1"/>
  <c r="CS22" i="188"/>
  <c r="CR21" i="188"/>
  <c r="CS21" i="188"/>
  <c r="CS6" i="188"/>
  <c r="CS7" i="188"/>
  <c r="CS8" i="188"/>
  <c r="CS9" i="188"/>
  <c r="CS10" i="188"/>
  <c r="CS11" i="188"/>
  <c r="CS12" i="188"/>
  <c r="CS33" i="188" s="1"/>
  <c r="CS39" i="188" s="1"/>
  <c r="CS13" i="188"/>
  <c r="CS34" i="188" s="1"/>
  <c r="CS14" i="188"/>
  <c r="CS15" i="188"/>
  <c r="CS16" i="188"/>
  <c r="CS17" i="188"/>
  <c r="CS18" i="188"/>
  <c r="CS19" i="188"/>
  <c r="CS20" i="188"/>
  <c r="CS26" i="188"/>
  <c r="CS27" i="188"/>
  <c r="CS28" i="188"/>
  <c r="CS32" i="188"/>
  <c r="CS38" i="188"/>
  <c r="CS50" i="188"/>
  <c r="CS52" i="188"/>
  <c r="CS53" i="188"/>
  <c r="CS54" i="188"/>
  <c r="CS55" i="188"/>
  <c r="CS56" i="188"/>
  <c r="CS43" i="188" l="1"/>
  <c r="CS40" i="188"/>
  <c r="CS23" i="188"/>
  <c r="CS41" i="188" s="1"/>
  <c r="CS51" i="188"/>
  <c r="CS57" i="188" s="1"/>
  <c r="FO7" i="5" l="1"/>
  <c r="FR7" i="5" s="1"/>
  <c r="FN7" i="5"/>
  <c r="FS7" i="5" s="1"/>
  <c r="FP15" i="5"/>
  <c r="FP16" i="5"/>
  <c r="FP17" i="5"/>
  <c r="FP18" i="5"/>
  <c r="FP19" i="5"/>
  <c r="FP20" i="5"/>
  <c r="FP21" i="5"/>
  <c r="FP22" i="5"/>
  <c r="FP23" i="5"/>
  <c r="FP24" i="5"/>
  <c r="FO8" i="5"/>
  <c r="FO9" i="5"/>
  <c r="FO10" i="5"/>
  <c r="FO11" i="5"/>
  <c r="FO12" i="5"/>
  <c r="FO13" i="5"/>
  <c r="FR13" i="5" s="1"/>
  <c r="FO14" i="5"/>
  <c r="FR14" i="5" s="1"/>
  <c r="FO15" i="5"/>
  <c r="FR15" i="5" s="1"/>
  <c r="FO16" i="5"/>
  <c r="FR16" i="5" s="1"/>
  <c r="FO17" i="5"/>
  <c r="FR17" i="5" s="1"/>
  <c r="FO18" i="5"/>
  <c r="FR18" i="5" s="1"/>
  <c r="FO19" i="5"/>
  <c r="FR19" i="5" s="1"/>
  <c r="FO20" i="5"/>
  <c r="FR20" i="5" s="1"/>
  <c r="FO21" i="5"/>
  <c r="FR21" i="5" s="1"/>
  <c r="FO22" i="5"/>
  <c r="FR22" i="5" s="1"/>
  <c r="FO23" i="5"/>
  <c r="FR23" i="5" s="1"/>
  <c r="FO24" i="5"/>
  <c r="FR24" i="5" s="1"/>
  <c r="FO28" i="5"/>
  <c r="FR28" i="5" s="1"/>
  <c r="FO29" i="5"/>
  <c r="FR29" i="5" s="1"/>
  <c r="FO30" i="5"/>
  <c r="FR30" i="5" s="1"/>
  <c r="FO48" i="5"/>
  <c r="FR48" i="5" s="1"/>
  <c r="FO49" i="5"/>
  <c r="FR49" i="5" s="1"/>
  <c r="FO53" i="5"/>
  <c r="FR53" i="5" s="1"/>
  <c r="FO54" i="5"/>
  <c r="FR54" i="5" s="1"/>
  <c r="FO55" i="5"/>
  <c r="FR55" i="5" s="1"/>
  <c r="FO56" i="5"/>
  <c r="FR56" i="5" s="1"/>
  <c r="FO57" i="5"/>
  <c r="FR57" i="5" s="1"/>
  <c r="FO58" i="5"/>
  <c r="FR58" i="5" s="1"/>
  <c r="FO61" i="5"/>
  <c r="FR61" i="5" s="1"/>
  <c r="FP7" i="5"/>
  <c r="FN13" i="5"/>
  <c r="FN14" i="5"/>
  <c r="FN25" i="5"/>
  <c r="FN28" i="5"/>
  <c r="FN29" i="5"/>
  <c r="FN30" i="5"/>
  <c r="FN33" i="5"/>
  <c r="FN34" i="5"/>
  <c r="FN40" i="5" s="1"/>
  <c r="FN35" i="5"/>
  <c r="FN41" i="5" s="1"/>
  <c r="FN46" i="5"/>
  <c r="FN47" i="5"/>
  <c r="FN48" i="5"/>
  <c r="FN49" i="5"/>
  <c r="FN53" i="5"/>
  <c r="FN54" i="5"/>
  <c r="FS54" i="5" s="1"/>
  <c r="FN55" i="5"/>
  <c r="FN56" i="5"/>
  <c r="FN57" i="5"/>
  <c r="FN58" i="5"/>
  <c r="FN60" i="5"/>
  <c r="FN61" i="5"/>
  <c r="FK87" i="5"/>
  <c r="FP49" i="5" l="1"/>
  <c r="FS49" i="5"/>
  <c r="FP58" i="5"/>
  <c r="FS58" i="5"/>
  <c r="FP29" i="5"/>
  <c r="FS29" i="5"/>
  <c r="FP57" i="5"/>
  <c r="FS57" i="5"/>
  <c r="FP28" i="5"/>
  <c r="FS28" i="5"/>
  <c r="FP55" i="5"/>
  <c r="FS55" i="5"/>
  <c r="FP14" i="5"/>
  <c r="FS14" i="5"/>
  <c r="FP48" i="5"/>
  <c r="FS48" i="5"/>
  <c r="FP61" i="5"/>
  <c r="FS61" i="5"/>
  <c r="FN38" i="5"/>
  <c r="FN42" i="5"/>
  <c r="FP56" i="5"/>
  <c r="FS56" i="5"/>
  <c r="FP13" i="5"/>
  <c r="FS13" i="5"/>
  <c r="FP30" i="5"/>
  <c r="FS30" i="5"/>
  <c r="FP53" i="5"/>
  <c r="FS53" i="5"/>
  <c r="FP54" i="5"/>
  <c r="FN59" i="5"/>
  <c r="FN62" i="5"/>
  <c r="FN44" i="5"/>
  <c r="CV5" i="12" l="1"/>
  <c r="CV6" i="12"/>
  <c r="CV7" i="12"/>
  <c r="CV15" i="12"/>
  <c r="CV21" i="12"/>
  <c r="CV22" i="12"/>
  <c r="CV23" i="12"/>
  <c r="CV24" i="12"/>
  <c r="CV27" i="12"/>
  <c r="CV28" i="12"/>
  <c r="CV29" i="12"/>
  <c r="CV30" i="12"/>
  <c r="CV31" i="12"/>
  <c r="CV36" i="12"/>
  <c r="CV38" i="12" s="1"/>
  <c r="CV39" i="12" s="1"/>
  <c r="FK39" i="5" s="1"/>
  <c r="FS39" i="5" s="1"/>
  <c r="FK107" i="5"/>
  <c r="FK108" i="5"/>
  <c r="DH33" i="185" l="1"/>
  <c r="DH46" i="185"/>
  <c r="DH23" i="185"/>
  <c r="DH24" i="185"/>
  <c r="DH25" i="185"/>
  <c r="DH26" i="185"/>
  <c r="DH18" i="185"/>
  <c r="DH10" i="185"/>
  <c r="FK123" i="5" l="1"/>
  <c r="FK126" i="5"/>
  <c r="FK117" i="5"/>
  <c r="CX9" i="25" s="1"/>
  <c r="FK105" i="5"/>
  <c r="FK86" i="5"/>
  <c r="FK79" i="5"/>
  <c r="FK46" i="5"/>
  <c r="FS46" i="5" s="1"/>
  <c r="FK47" i="5"/>
  <c r="FS47" i="5" s="1"/>
  <c r="BB86" i="5" l="1"/>
  <c r="P86" i="5"/>
  <c r="FP47" i="5"/>
  <c r="FP46" i="5"/>
  <c r="FK89" i="5"/>
  <c r="BB89" i="5" l="1"/>
  <c r="P89" i="5"/>
  <c r="FK59" i="5"/>
  <c r="FS59" i="5" s="1"/>
  <c r="FK33" i="5"/>
  <c r="FS33" i="5" s="1"/>
  <c r="FK34" i="5"/>
  <c r="FS34" i="5" s="1"/>
  <c r="FK35" i="5"/>
  <c r="FK25" i="5"/>
  <c r="FS25" i="5" s="1"/>
  <c r="DC263" i="249"/>
  <c r="DD263" i="249"/>
  <c r="DE263" i="249"/>
  <c r="DE258" i="249"/>
  <c r="DE260" i="249"/>
  <c r="DE266" i="249" s="1"/>
  <c r="DE262" i="249"/>
  <c r="FS35" i="5" l="1"/>
  <c r="P35" i="5"/>
  <c r="BB35" i="5"/>
  <c r="FT35" i="5"/>
  <c r="FK44" i="5"/>
  <c r="FK60" i="5" s="1"/>
  <c r="CV8" i="12"/>
  <c r="FP25" i="5"/>
  <c r="FK41" i="5"/>
  <c r="FS41" i="5" s="1"/>
  <c r="FP35" i="5"/>
  <c r="FK40" i="5"/>
  <c r="FS40" i="5" s="1"/>
  <c r="FP34" i="5"/>
  <c r="FP33" i="5"/>
  <c r="CV13" i="12"/>
  <c r="FP59" i="5"/>
  <c r="FK38" i="5"/>
  <c r="FS38" i="5" s="1"/>
  <c r="FK42" i="5"/>
  <c r="FS42" i="5" s="1"/>
  <c r="DE265" i="249"/>
  <c r="DI12" i="244"/>
  <c r="FS60" i="5" l="1"/>
  <c r="BB60" i="5"/>
  <c r="P60" i="5"/>
  <c r="FP44" i="5"/>
  <c r="FS44" i="5"/>
  <c r="BB44" i="5"/>
  <c r="FT44" i="5"/>
  <c r="FV44" i="5" s="1"/>
  <c r="CV10" i="12"/>
  <c r="FV35" i="5"/>
  <c r="FT42" i="5"/>
  <c r="FV42" i="5" s="1"/>
  <c r="FT41" i="5"/>
  <c r="FV41" i="5" s="1"/>
  <c r="CV14" i="12"/>
  <c r="CV16" i="12" s="1"/>
  <c r="FP40" i="5"/>
  <c r="FP41" i="5"/>
  <c r="FK62" i="5"/>
  <c r="FP60" i="5"/>
  <c r="FP42" i="5"/>
  <c r="FP38" i="5"/>
  <c r="DI64" i="244"/>
  <c r="FS62" i="5" l="1"/>
  <c r="P62" i="5"/>
  <c r="BB62" i="5"/>
  <c r="FK101" i="5"/>
  <c r="FK68" i="5"/>
  <c r="FP62" i="5"/>
  <c r="DI18" i="244"/>
  <c r="DI9" i="244"/>
  <c r="DI8" i="244"/>
  <c r="DI7" i="244"/>
  <c r="DI6" i="244"/>
  <c r="DI5" i="244"/>
  <c r="FK70" i="5" l="1"/>
  <c r="P68" i="5"/>
  <c r="BB68" i="5"/>
  <c r="DI13" i="244"/>
  <c r="DI19" i="244" s="1"/>
  <c r="DI63" i="244"/>
  <c r="DI65" i="244" s="1"/>
  <c r="P70" i="5" l="1"/>
  <c r="BB70" i="5"/>
  <c r="DI66" i="244"/>
  <c r="CW15" i="246" l="1"/>
  <c r="CW23" i="246"/>
  <c r="CW34" i="246"/>
  <c r="CW41" i="246" s="1"/>
  <c r="CW52" i="246"/>
  <c r="CW85" i="246" s="1"/>
  <c r="CW57" i="246"/>
  <c r="CW67" i="246" s="1"/>
  <c r="CW58" i="246"/>
  <c r="CW59" i="246"/>
  <c r="CW69" i="246" s="1"/>
  <c r="CW60" i="246"/>
  <c r="CW70" i="246" s="1"/>
  <c r="CW61" i="246"/>
  <c r="CW68" i="246"/>
  <c r="CW71" i="246"/>
  <c r="CW72" i="246"/>
  <c r="CW77" i="246"/>
  <c r="CW78" i="246"/>
  <c r="CW79" i="246"/>
  <c r="CW80" i="246"/>
  <c r="CW81" i="246"/>
  <c r="CW82" i="246"/>
  <c r="CW26" i="246" l="1"/>
  <c r="CW88" i="246"/>
  <c r="CW89" i="246" s="1"/>
  <c r="CW63" i="246"/>
  <c r="CW73" i="246" s="1"/>
  <c r="CW83" i="246"/>
  <c r="G33" i="248" l="1"/>
  <c r="C37" i="248"/>
  <c r="D36" i="248"/>
  <c r="C36" i="248"/>
  <c r="E35" i="248"/>
  <c r="C35" i="248"/>
  <c r="D34" i="248"/>
  <c r="C34" i="248"/>
  <c r="E33" i="248"/>
  <c r="D33" i="248"/>
  <c r="C33" i="248"/>
  <c r="H12" i="248"/>
  <c r="C25" i="248" l="1"/>
  <c r="C24" i="248"/>
  <c r="G23" i="248"/>
  <c r="C23" i="248"/>
  <c r="G22" i="248"/>
  <c r="F22" i="248"/>
  <c r="D22" i="248"/>
  <c r="C22" i="248"/>
  <c r="G21" i="248"/>
  <c r="E21" i="248"/>
  <c r="D21" i="248"/>
  <c r="C21" i="248"/>
  <c r="F20" i="248"/>
  <c r="E20" i="248"/>
  <c r="D20" i="248"/>
  <c r="C20" i="248"/>
  <c r="D19" i="248"/>
  <c r="C19" i="248"/>
  <c r="F18" i="248"/>
  <c r="E18" i="248"/>
  <c r="C18" i="248"/>
  <c r="D17" i="248"/>
  <c r="C17" i="248"/>
  <c r="E16" i="248"/>
  <c r="D16" i="248"/>
  <c r="C16" i="248"/>
  <c r="G15" i="248"/>
  <c r="E15" i="248"/>
  <c r="D15" i="248"/>
  <c r="C15" i="248"/>
  <c r="G14" i="248"/>
  <c r="F14" i="248"/>
  <c r="E14" i="248"/>
  <c r="D14" i="248"/>
  <c r="C14" i="248"/>
  <c r="E13" i="248"/>
  <c r="D13" i="248"/>
  <c r="C13" i="248"/>
  <c r="G12" i="248"/>
  <c r="F12" i="248"/>
  <c r="C12" i="248"/>
  <c r="E11" i="248"/>
  <c r="D11" i="248"/>
  <c r="C11" i="248"/>
  <c r="C10" i="248"/>
  <c r="F9" i="248"/>
  <c r="E9" i="248"/>
  <c r="D9" i="248"/>
  <c r="C9" i="248"/>
  <c r="G8" i="248"/>
  <c r="E8" i="248"/>
  <c r="D8" i="248"/>
  <c r="C8" i="248"/>
  <c r="E7" i="248"/>
  <c r="G6" i="248"/>
  <c r="D7" i="248"/>
  <c r="C7" i="248"/>
  <c r="C6" i="248"/>
  <c r="H27" i="248" l="1"/>
  <c r="G27" i="248"/>
  <c r="F27" i="248"/>
  <c r="E27" i="248"/>
  <c r="D27" i="248"/>
  <c r="C27" i="248"/>
  <c r="H39" i="248"/>
  <c r="G39" i="248"/>
  <c r="F39" i="248"/>
  <c r="E39" i="248"/>
  <c r="D39" i="248"/>
  <c r="C39" i="248"/>
  <c r="I39" i="248" s="1"/>
  <c r="CY89" i="247"/>
  <c r="CX5" i="247"/>
  <c r="I27" i="248" l="1"/>
  <c r="CX63" i="247"/>
  <c r="CX61" i="247"/>
  <c r="CX60" i="247"/>
  <c r="CX59" i="247"/>
  <c r="CX55" i="247"/>
  <c r="CX54" i="247"/>
  <c r="CX53" i="247"/>
  <c r="CX52" i="247"/>
  <c r="CX51" i="247"/>
  <c r="CX50" i="247"/>
  <c r="CX46" i="247"/>
  <c r="CX45" i="247"/>
  <c r="CX44" i="247"/>
  <c r="CX43" i="247"/>
  <c r="CX42" i="247"/>
  <c r="CX41" i="247"/>
  <c r="CX37" i="247" l="1"/>
  <c r="CX36" i="247"/>
  <c r="CX35" i="247"/>
  <c r="CX34" i="247"/>
  <c r="CX33" i="247"/>
  <c r="CX32" i="247"/>
  <c r="CX28" i="247"/>
  <c r="CX27" i="247"/>
  <c r="CX26" i="247"/>
  <c r="CX25" i="247"/>
  <c r="CX24" i="247"/>
  <c r="CX23" i="247"/>
  <c r="CX10" i="247"/>
  <c r="CX9" i="247"/>
  <c r="CX8" i="247"/>
  <c r="CX7" i="247"/>
  <c r="CX6" i="247"/>
  <c r="CX11" i="247" l="1"/>
  <c r="CX12" i="247" s="1"/>
  <c r="CX20" i="247"/>
  <c r="CX29" i="247"/>
  <c r="CX30" i="247" s="1"/>
  <c r="CX38" i="247"/>
  <c r="CX39" i="247" s="1"/>
  <c r="CX47" i="247"/>
  <c r="CX48" i="247" s="1"/>
  <c r="CX56" i="247"/>
  <c r="CX57" i="247"/>
  <c r="CX65" i="247"/>
  <c r="CX66" i="247" s="1"/>
  <c r="CX74" i="247"/>
  <c r="CX77" i="247"/>
  <c r="CX78" i="247"/>
  <c r="CX79" i="247"/>
  <c r="CX80" i="247"/>
  <c r="CX81" i="247"/>
  <c r="CX82" i="247"/>
  <c r="CY97" i="247"/>
  <c r="CX14" i="25"/>
  <c r="L21" i="12"/>
  <c r="M21" i="12"/>
  <c r="N21" i="12"/>
  <c r="O21" i="12"/>
  <c r="P21" i="12"/>
  <c r="Q21" i="12"/>
  <c r="R21" i="12"/>
  <c r="S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AJ21" i="12"/>
  <c r="C22" i="12"/>
  <c r="D22" i="12"/>
  <c r="E22" i="12"/>
  <c r="F22" i="12"/>
  <c r="G22" i="12"/>
  <c r="H22" i="12"/>
  <c r="I22" i="12"/>
  <c r="J22" i="12"/>
  <c r="K22" i="12"/>
  <c r="L22" i="12"/>
  <c r="M22" i="12"/>
  <c r="N22" i="12"/>
  <c r="O22" i="12"/>
  <c r="P22" i="12"/>
  <c r="Q22" i="12"/>
  <c r="R22" i="12"/>
  <c r="S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AJ22" i="12"/>
  <c r="C23" i="12"/>
  <c r="D23" i="12"/>
  <c r="E23" i="12"/>
  <c r="F23" i="12"/>
  <c r="G23" i="12"/>
  <c r="H23" i="12"/>
  <c r="I23" i="12"/>
  <c r="J23" i="12"/>
  <c r="K23" i="12"/>
  <c r="L23" i="12"/>
  <c r="M23" i="12"/>
  <c r="N23" i="12"/>
  <c r="O23" i="12"/>
  <c r="P23" i="12"/>
  <c r="Q23" i="12"/>
  <c r="R23" i="12"/>
  <c r="S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AJ23" i="12"/>
  <c r="C24" i="12"/>
  <c r="D24" i="12"/>
  <c r="E24" i="12"/>
  <c r="F24" i="12"/>
  <c r="G24" i="12"/>
  <c r="H24" i="12"/>
  <c r="I24" i="12"/>
  <c r="J24" i="12"/>
  <c r="K24" i="12"/>
  <c r="L24" i="12"/>
  <c r="M24" i="12"/>
  <c r="N24" i="12"/>
  <c r="O24" i="12"/>
  <c r="P24" i="12"/>
  <c r="Q24" i="12"/>
  <c r="R24" i="12"/>
  <c r="S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AJ24" i="12"/>
  <c r="AK21" i="12"/>
  <c r="AK22" i="12"/>
  <c r="AL22" i="12"/>
  <c r="AK23" i="12"/>
  <c r="AL23" i="12"/>
  <c r="AK24" i="12"/>
  <c r="AL24" i="12"/>
  <c r="CU36" i="12"/>
  <c r="BB102" i="5"/>
  <c r="BB100" i="5"/>
  <c r="BB99" i="5"/>
  <c r="BB98" i="5"/>
  <c r="BB96" i="5"/>
  <c r="BB74" i="5"/>
  <c r="BB72" i="5"/>
  <c r="BB71" i="5"/>
  <c r="BB45" i="5"/>
  <c r="BB43" i="5"/>
  <c r="BB27" i="5"/>
  <c r="BB26" i="5"/>
  <c r="P74" i="5"/>
  <c r="P32" i="5"/>
  <c r="P31" i="5"/>
  <c r="P30" i="5"/>
  <c r="P29" i="5"/>
  <c r="P27" i="5"/>
  <c r="P26" i="5"/>
  <c r="P24" i="5"/>
  <c r="P23" i="5"/>
  <c r="P22" i="5"/>
  <c r="P21" i="5"/>
  <c r="P20" i="5"/>
  <c r="P19" i="5"/>
  <c r="P18" i="5"/>
  <c r="P17" i="5"/>
  <c r="P16" i="5"/>
  <c r="P14" i="5"/>
  <c r="P13" i="5"/>
  <c r="AH48" i="188"/>
  <c r="AG48" i="188"/>
  <c r="AF48" i="188"/>
  <c r="AE48" i="188"/>
  <c r="AH47" i="188"/>
  <c r="AG47" i="188"/>
  <c r="AF47" i="188"/>
  <c r="AE47" i="188"/>
  <c r="AH46" i="188"/>
  <c r="AG46" i="188"/>
  <c r="AF46" i="188"/>
  <c r="AE46" i="188"/>
  <c r="AH45" i="188"/>
  <c r="AG45" i="188"/>
  <c r="AG50" i="188" s="1"/>
  <c r="AF45" i="188"/>
  <c r="AE45" i="188"/>
  <c r="AE35" i="188"/>
  <c r="AF35" i="188"/>
  <c r="AG35" i="188"/>
  <c r="AH35" i="188"/>
  <c r="AH29" i="188"/>
  <c r="AG29" i="188"/>
  <c r="AF29" i="188"/>
  <c r="AE29" i="188"/>
  <c r="CR35" i="188"/>
  <c r="AH50" i="188" l="1"/>
  <c r="AE50" i="188"/>
  <c r="AF50" i="188"/>
  <c r="CX83" i="247"/>
  <c r="CX84" i="247" s="1"/>
  <c r="DG46" i="185"/>
  <c r="DG33" i="185" l="1"/>
  <c r="DG23" i="185"/>
  <c r="DG24" i="185"/>
  <c r="DG25" i="185"/>
  <c r="DG26" i="185"/>
  <c r="DG18" i="185"/>
  <c r="DG10" i="185"/>
  <c r="P28" i="215"/>
  <c r="P27" i="215"/>
  <c r="P20" i="215"/>
  <c r="BE57" i="215"/>
  <c r="BD57" i="215"/>
  <c r="BC57" i="215"/>
  <c r="BB57" i="215"/>
  <c r="BE56" i="215"/>
  <c r="BD56" i="215"/>
  <c r="BC56" i="215"/>
  <c r="BB56" i="215"/>
  <c r="BE55" i="215"/>
  <c r="BD55" i="215"/>
  <c r="BC55" i="215"/>
  <c r="BB55" i="215"/>
  <c r="BE54" i="215"/>
  <c r="BD54" i="215"/>
  <c r="BC54" i="215"/>
  <c r="BB54" i="215"/>
  <c r="BE53" i="215"/>
  <c r="BD53" i="215"/>
  <c r="BC53" i="215"/>
  <c r="BB53" i="215"/>
  <c r="BE52" i="215"/>
  <c r="BD52" i="215"/>
  <c r="BC52" i="215"/>
  <c r="BB52" i="215"/>
  <c r="BE51" i="215"/>
  <c r="BD51" i="215"/>
  <c r="BC51" i="215"/>
  <c r="BB51" i="215"/>
  <c r="BE50" i="215"/>
  <c r="BD50" i="215"/>
  <c r="BC50" i="215"/>
  <c r="BB50" i="215"/>
  <c r="BE49" i="215"/>
  <c r="BD49" i="215"/>
  <c r="BC49" i="215"/>
  <c r="BB49" i="215"/>
  <c r="BE48" i="215"/>
  <c r="BD48" i="215"/>
  <c r="BC48" i="215"/>
  <c r="BB48" i="215"/>
  <c r="BE47" i="215"/>
  <c r="BD47" i="215"/>
  <c r="BC47" i="215"/>
  <c r="BB47" i="215"/>
  <c r="BE46" i="215"/>
  <c r="BD46" i="215"/>
  <c r="BC46" i="215"/>
  <c r="BB46" i="215"/>
  <c r="BE45" i="215"/>
  <c r="BD45" i="215"/>
  <c r="BC45" i="215"/>
  <c r="BB45" i="215"/>
  <c r="BE44" i="215"/>
  <c r="BD44" i="215"/>
  <c r="BC44" i="215"/>
  <c r="BB44" i="215"/>
  <c r="BE43" i="215"/>
  <c r="BD43" i="215"/>
  <c r="BC43" i="215"/>
  <c r="BB43" i="215"/>
  <c r="BE42" i="215"/>
  <c r="BD42" i="215"/>
  <c r="BC42" i="215"/>
  <c r="BB42" i="215"/>
  <c r="BE41" i="215"/>
  <c r="BD41" i="215"/>
  <c r="BC41" i="215"/>
  <c r="BB41" i="215"/>
  <c r="BE40" i="215"/>
  <c r="BD40" i="215"/>
  <c r="BC40" i="215"/>
  <c r="BB40" i="215"/>
  <c r="BE39" i="215"/>
  <c r="BD39" i="215"/>
  <c r="BC39" i="215"/>
  <c r="BB39" i="215"/>
  <c r="BE38" i="215"/>
  <c r="BD38" i="215"/>
  <c r="BC38" i="215"/>
  <c r="BB38" i="215"/>
  <c r="BE31" i="215"/>
  <c r="BD31" i="215"/>
  <c r="BC31" i="215"/>
  <c r="BB31" i="215"/>
  <c r="BE30" i="215"/>
  <c r="BD30" i="215"/>
  <c r="BC30" i="215"/>
  <c r="BB30" i="215"/>
  <c r="BE29" i="215"/>
  <c r="BD29" i="215"/>
  <c r="BC29" i="215"/>
  <c r="BB29" i="215"/>
  <c r="BE26" i="215"/>
  <c r="BD26" i="215"/>
  <c r="BC26" i="215"/>
  <c r="BB26" i="215"/>
  <c r="BE25" i="215"/>
  <c r="BD25" i="215"/>
  <c r="BC25" i="215"/>
  <c r="BB25" i="215"/>
  <c r="BE24" i="215"/>
  <c r="BD24" i="215"/>
  <c r="BC24" i="215"/>
  <c r="BB24" i="215"/>
  <c r="BE23" i="215"/>
  <c r="BD23" i="215"/>
  <c r="BC23" i="215"/>
  <c r="BB23" i="215"/>
  <c r="BE22" i="215"/>
  <c r="BD22" i="215"/>
  <c r="BC22" i="215"/>
  <c r="BB22" i="215"/>
  <c r="BE21" i="215"/>
  <c r="BD21" i="215"/>
  <c r="BC21" i="215"/>
  <c r="BB21" i="215"/>
  <c r="BE19" i="215"/>
  <c r="BD19" i="215"/>
  <c r="BC19" i="215"/>
  <c r="BB19" i="215"/>
  <c r="BE18" i="215"/>
  <c r="BD18" i="215"/>
  <c r="BC18" i="215"/>
  <c r="BB18" i="215"/>
  <c r="BE37" i="215" l="1"/>
  <c r="P23" i="215"/>
  <c r="P19" i="215"/>
  <c r="P29" i="215"/>
  <c r="BE36" i="215"/>
  <c r="BD37" i="215"/>
  <c r="BB36" i="215"/>
  <c r="BC36" i="215"/>
  <c r="BD36" i="215"/>
  <c r="BB37" i="215"/>
  <c r="BC37" i="215"/>
  <c r="P39" i="215"/>
  <c r="P46" i="215"/>
  <c r="P53" i="215"/>
  <c r="P42" i="215"/>
  <c r="P49" i="215"/>
  <c r="P56" i="215"/>
  <c r="P50" i="215"/>
  <c r="P44" i="215"/>
  <c r="P22" i="215"/>
  <c r="P31" i="215"/>
  <c r="P41" i="215"/>
  <c r="P48" i="215"/>
  <c r="P55" i="215"/>
  <c r="P24" i="215"/>
  <c r="P18" i="215"/>
  <c r="P26" i="215"/>
  <c r="P38" i="215"/>
  <c r="P45" i="215"/>
  <c r="P52" i="215"/>
  <c r="P43" i="215"/>
  <c r="P57" i="215"/>
  <c r="P30" i="215"/>
  <c r="P40" i="215"/>
  <c r="P47" i="215"/>
  <c r="P54" i="215"/>
  <c r="P21" i="215"/>
  <c r="P25" i="215"/>
  <c r="P51" i="215"/>
  <c r="P37" i="215" l="1"/>
  <c r="P36" i="215"/>
  <c r="BB8" i="215" l="1"/>
  <c r="BB35" i="215" s="1"/>
  <c r="BC8" i="215"/>
  <c r="BC35" i="215" s="1"/>
  <c r="BD8" i="215"/>
  <c r="BD35" i="215" s="1"/>
  <c r="BE8" i="215"/>
  <c r="BE35" i="215" s="1"/>
  <c r="P8" i="215" l="1"/>
  <c r="P35" i="215" s="1"/>
  <c r="CU5" i="12" l="1"/>
  <c r="CU6" i="12"/>
  <c r="CU7" i="12"/>
  <c r="CU15" i="12"/>
  <c r="CU21" i="12"/>
  <c r="CU27" i="12"/>
  <c r="CU28" i="12"/>
  <c r="CU29" i="12"/>
  <c r="CU30" i="12"/>
  <c r="CU31" i="12"/>
  <c r="CU38" i="12"/>
  <c r="CU39" i="12" s="1"/>
  <c r="FJ39" i="5" s="1"/>
  <c r="FO39" i="5" s="1"/>
  <c r="FK103" i="5"/>
  <c r="FJ81" i="5"/>
  <c r="F14" i="225"/>
  <c r="P103" i="5" l="1"/>
  <c r="BB103" i="5"/>
  <c r="FK112" i="5"/>
  <c r="CV18" i="12"/>
  <c r="BB112" i="5" l="1"/>
  <c r="P112" i="5"/>
  <c r="FQ61" i="5"/>
  <c r="FQ49" i="5"/>
  <c r="FQ48" i="5"/>
  <c r="FQ58" i="5"/>
  <c r="FQ57" i="5"/>
  <c r="FQ56" i="5"/>
  <c r="FQ55" i="5"/>
  <c r="FQ54" i="5"/>
  <c r="FQ53" i="5"/>
  <c r="FQ30" i="5"/>
  <c r="FQ29" i="5"/>
  <c r="FQ28" i="5"/>
  <c r="FQ7" i="5"/>
  <c r="FQ24" i="5"/>
  <c r="FQ23" i="5"/>
  <c r="FQ22" i="5"/>
  <c r="FQ21" i="5"/>
  <c r="FQ20" i="5"/>
  <c r="FQ19" i="5"/>
  <c r="FQ18" i="5"/>
  <c r="FQ17" i="5"/>
  <c r="FQ15" i="5"/>
  <c r="FQ14" i="5"/>
  <c r="FQ13" i="5"/>
  <c r="EQ35" i="188"/>
  <c r="ER35" i="188"/>
  <c r="ES35" i="188"/>
  <c r="ET35" i="188"/>
  <c r="EU35" i="188"/>
  <c r="EV35" i="188"/>
  <c r="EW35" i="188"/>
  <c r="EX35" i="188"/>
  <c r="EY35" i="188"/>
  <c r="EZ35" i="188"/>
  <c r="FA35" i="188"/>
  <c r="FB35" i="188"/>
  <c r="EQ6" i="188" l="1"/>
  <c r="ER6" i="188"/>
  <c r="ES6" i="188"/>
  <c r="ET6" i="188"/>
  <c r="EU6" i="188"/>
  <c r="EV6" i="188"/>
  <c r="EW6" i="188"/>
  <c r="EX6" i="188"/>
  <c r="EY6" i="188"/>
  <c r="EZ6" i="188"/>
  <c r="EZ32" i="188" s="1"/>
  <c r="FA6" i="188"/>
  <c r="FA32" i="188" s="1"/>
  <c r="FB6" i="188"/>
  <c r="EQ12" i="188"/>
  <c r="ER12" i="188"/>
  <c r="ES12" i="188"/>
  <c r="ET12" i="188"/>
  <c r="EU12" i="188"/>
  <c r="EV12" i="188"/>
  <c r="EW12" i="188"/>
  <c r="EX12" i="188"/>
  <c r="EY12" i="188"/>
  <c r="EZ12" i="188"/>
  <c r="FA12" i="188"/>
  <c r="FB12" i="188"/>
  <c r="FB33" i="188" s="1"/>
  <c r="FB39" i="188" s="1"/>
  <c r="EQ13" i="188"/>
  <c r="EQ34" i="188" s="1"/>
  <c r="EQ40" i="188" s="1"/>
  <c r="ER13" i="188"/>
  <c r="ER34" i="188" s="1"/>
  <c r="ER40" i="188" s="1"/>
  <c r="ES13" i="188"/>
  <c r="ES34" i="188" s="1"/>
  <c r="ES40" i="188" s="1"/>
  <c r="ET13" i="188"/>
  <c r="ET34" i="188" s="1"/>
  <c r="ET40" i="188" s="1"/>
  <c r="EU13" i="188"/>
  <c r="EU34" i="188" s="1"/>
  <c r="EU40" i="188" s="1"/>
  <c r="EV13" i="188"/>
  <c r="EW13" i="188"/>
  <c r="EX13" i="188"/>
  <c r="EX34" i="188" s="1"/>
  <c r="EX40" i="188" s="1"/>
  <c r="EY13" i="188"/>
  <c r="EY34" i="188" s="1"/>
  <c r="EY40" i="188" s="1"/>
  <c r="EZ13" i="188"/>
  <c r="EZ34" i="188" s="1"/>
  <c r="EZ40" i="188" s="1"/>
  <c r="FA13" i="188"/>
  <c r="FA34" i="188" s="1"/>
  <c r="FA40" i="188" s="1"/>
  <c r="FB13" i="188"/>
  <c r="FB34" i="188" s="1"/>
  <c r="FB40" i="188" s="1"/>
  <c r="EQ23" i="188"/>
  <c r="ER23" i="188"/>
  <c r="ES23" i="188"/>
  <c r="ET23" i="188"/>
  <c r="EU23" i="188"/>
  <c r="EV23" i="188"/>
  <c r="EW23" i="188"/>
  <c r="EX23" i="188"/>
  <c r="EY23" i="188"/>
  <c r="EZ23" i="188"/>
  <c r="FA23" i="188"/>
  <c r="FB23" i="188"/>
  <c r="EQ26" i="188"/>
  <c r="ER26" i="188"/>
  <c r="ER32" i="188" s="1"/>
  <c r="ES26" i="188"/>
  <c r="ES32" i="188" s="1"/>
  <c r="ET26" i="188"/>
  <c r="ET32" i="188" s="1"/>
  <c r="EU26" i="188"/>
  <c r="EU32" i="188" s="1"/>
  <c r="EU38" i="188" s="1"/>
  <c r="EV26" i="188"/>
  <c r="EW26" i="188"/>
  <c r="EX26" i="188"/>
  <c r="EY26" i="188"/>
  <c r="EZ26" i="188"/>
  <c r="FA26" i="188"/>
  <c r="FB26" i="188"/>
  <c r="EQ27" i="188"/>
  <c r="ER27" i="188"/>
  <c r="ES27" i="188"/>
  <c r="ET27" i="188"/>
  <c r="ET33" i="188" s="1"/>
  <c r="ET39" i="188" s="1"/>
  <c r="EU27" i="188"/>
  <c r="EU33" i="188" s="1"/>
  <c r="EU39" i="188" s="1"/>
  <c r="EV27" i="188"/>
  <c r="EV33" i="188" s="1"/>
  <c r="EV39" i="188" s="1"/>
  <c r="EW27" i="188"/>
  <c r="EW33" i="188" s="1"/>
  <c r="EW39" i="188" s="1"/>
  <c r="EX27" i="188"/>
  <c r="EY27" i="188"/>
  <c r="EZ27" i="188"/>
  <c r="FA27" i="188"/>
  <c r="FB27" i="188"/>
  <c r="EV34" i="188"/>
  <c r="EV40" i="188" s="1"/>
  <c r="EW34" i="188"/>
  <c r="EW40" i="188" s="1"/>
  <c r="EQ50" i="188"/>
  <c r="ER50" i="188"/>
  <c r="ES50" i="188"/>
  <c r="ET50" i="188"/>
  <c r="EU50" i="188"/>
  <c r="EV50" i="188"/>
  <c r="EW50" i="188"/>
  <c r="EX50" i="188"/>
  <c r="EY50" i="188"/>
  <c r="EZ50" i="188"/>
  <c r="FA50" i="188"/>
  <c r="FB50" i="188"/>
  <c r="F10" i="225"/>
  <c r="FB32" i="188" l="1"/>
  <c r="EQ33" i="188"/>
  <c r="EQ39" i="188" s="1"/>
  <c r="EV32" i="188"/>
  <c r="EV41" i="188" s="1"/>
  <c r="EZ33" i="188"/>
  <c r="EZ39" i="188" s="1"/>
  <c r="EX32" i="188"/>
  <c r="ES33" i="188"/>
  <c r="ES39" i="188" s="1"/>
  <c r="EQ32" i="188"/>
  <c r="EQ41" i="188" s="1"/>
  <c r="EY33" i="188"/>
  <c r="EY39" i="188" s="1"/>
  <c r="EW32" i="188"/>
  <c r="EW43" i="188" s="1"/>
  <c r="EW51" i="188" s="1"/>
  <c r="EY32" i="188"/>
  <c r="ER33" i="188"/>
  <c r="ER39" i="188" s="1"/>
  <c r="EX33" i="188"/>
  <c r="EX39" i="188" s="1"/>
  <c r="FA33" i="188"/>
  <c r="FA39" i="188" s="1"/>
  <c r="EZ38" i="188"/>
  <c r="ES38" i="188"/>
  <c r="ET38" i="188"/>
  <c r="ET43" i="188"/>
  <c r="ET51" i="188" s="1"/>
  <c r="ET41" i="188"/>
  <c r="ER38" i="188"/>
  <c r="FA38" i="188"/>
  <c r="FB43" i="188"/>
  <c r="FB51" i="188" s="1"/>
  <c r="FB41" i="188"/>
  <c r="FB38" i="188"/>
  <c r="EU41" i="188"/>
  <c r="EU43" i="188"/>
  <c r="EU51" i="188" s="1"/>
  <c r="EV43" i="188"/>
  <c r="EV51" i="188" s="1"/>
  <c r="EY43" i="188" l="1"/>
  <c r="EY51" i="188" s="1"/>
  <c r="EV38" i="188"/>
  <c r="ER43" i="188"/>
  <c r="ER51" i="188" s="1"/>
  <c r="EX43" i="188"/>
  <c r="EX51" i="188" s="1"/>
  <c r="EQ43" i="188"/>
  <c r="EQ51" i="188" s="1"/>
  <c r="EX38" i="188"/>
  <c r="EQ38" i="188"/>
  <c r="EW38" i="188"/>
  <c r="EW41" i="188"/>
  <c r="EY38" i="188"/>
  <c r="ES43" i="188"/>
  <c r="ES51" i="188" s="1"/>
  <c r="EY41" i="188"/>
  <c r="EZ43" i="188"/>
  <c r="EZ51" i="188" s="1"/>
  <c r="ER41" i="188"/>
  <c r="FA43" i="188"/>
  <c r="FA51" i="188" s="1"/>
  <c r="FA41" i="188"/>
  <c r="EX41" i="188"/>
  <c r="EZ41" i="188"/>
  <c r="ES41" i="188"/>
  <c r="CR26" i="188" l="1"/>
  <c r="CR27" i="188"/>
  <c r="CR28" i="188"/>
  <c r="CR50" i="188"/>
  <c r="CR52" i="188"/>
  <c r="CR53" i="188"/>
  <c r="CR54" i="188"/>
  <c r="CR55" i="188"/>
  <c r="CR56" i="188"/>
  <c r="CR6" i="188"/>
  <c r="CR32" i="188" s="1"/>
  <c r="CR38" i="188" s="1"/>
  <c r="CR7" i="188"/>
  <c r="CR8" i="188"/>
  <c r="CR9" i="188"/>
  <c r="CR10" i="188"/>
  <c r="CR11" i="188"/>
  <c r="CR12" i="188"/>
  <c r="CR13" i="188"/>
  <c r="CR14" i="188"/>
  <c r="CR15" i="188"/>
  <c r="CR16" i="188"/>
  <c r="CR17" i="188"/>
  <c r="CR18" i="188"/>
  <c r="CR19" i="188"/>
  <c r="CR20" i="188"/>
  <c r="CR23" i="188" l="1"/>
  <c r="CR34" i="188"/>
  <c r="CR40" i="188" s="1"/>
  <c r="CR33" i="188"/>
  <c r="CR39" i="188" s="1"/>
  <c r="CR43" i="188" l="1"/>
  <c r="CR51" i="188" s="1"/>
  <c r="CR57" i="188" s="1"/>
  <c r="CR41" i="188"/>
  <c r="DC262" i="249" l="1"/>
  <c r="DC265" i="249" s="1"/>
  <c r="DD262" i="249"/>
  <c r="DC266" i="249"/>
  <c r="DC258" i="249"/>
  <c r="DD258" i="249"/>
  <c r="DC260" i="249"/>
  <c r="DD260" i="249"/>
  <c r="CU22" i="12" s="1"/>
  <c r="FJ85" i="5"/>
  <c r="FI85" i="5"/>
  <c r="FJ87" i="5"/>
  <c r="FJ79" i="5"/>
  <c r="FI123" i="5"/>
  <c r="FI124" i="5"/>
  <c r="FJ46" i="5"/>
  <c r="FO46" i="5" s="1"/>
  <c r="FR46" i="5" s="1"/>
  <c r="FJ47" i="5"/>
  <c r="CZ22" i="12" l="1"/>
  <c r="FO47" i="5"/>
  <c r="FR47" i="5" s="1"/>
  <c r="DD266" i="249"/>
  <c r="CU24" i="12" s="1"/>
  <c r="DD265" i="249"/>
  <c r="CU23" i="12" s="1"/>
  <c r="FJ105" i="5"/>
  <c r="FJ108" i="5"/>
  <c r="FJ117" i="5"/>
  <c r="CW9" i="25" s="1"/>
  <c r="FJ123" i="5"/>
  <c r="FJ126" i="5"/>
  <c r="FJ136" i="5"/>
  <c r="FJ86" i="5"/>
  <c r="FJ59" i="5"/>
  <c r="FJ33" i="5"/>
  <c r="FO33" i="5" s="1"/>
  <c r="FR33" i="5" s="1"/>
  <c r="FJ34" i="5"/>
  <c r="FO34" i="5" s="1"/>
  <c r="FR34" i="5" s="1"/>
  <c r="FJ35" i="5"/>
  <c r="FO35" i="5" s="1"/>
  <c r="FR35" i="5" s="1"/>
  <c r="FJ25" i="5"/>
  <c r="CW5" i="247"/>
  <c r="FJ89" i="5" l="1"/>
  <c r="CZ24" i="12"/>
  <c r="FO59" i="5"/>
  <c r="FR59" i="5" s="1"/>
  <c r="FT59" i="5"/>
  <c r="FV59" i="5" s="1"/>
  <c r="FO25" i="5"/>
  <c r="FR25" i="5" s="1"/>
  <c r="P41" i="5"/>
  <c r="BB41" i="5"/>
  <c r="P40" i="5"/>
  <c r="BB40" i="5"/>
  <c r="BB38" i="5"/>
  <c r="CU8" i="12"/>
  <c r="P25" i="5"/>
  <c r="P38" i="5"/>
  <c r="P42" i="5"/>
  <c r="CU13" i="12"/>
  <c r="FJ40" i="5"/>
  <c r="FO40" i="5" s="1"/>
  <c r="FR40" i="5" s="1"/>
  <c r="FJ38" i="5"/>
  <c r="FO38" i="5" s="1"/>
  <c r="FR38" i="5" s="1"/>
  <c r="FJ42" i="5"/>
  <c r="FJ107" i="5"/>
  <c r="FJ44" i="5"/>
  <c r="FO44" i="5" s="1"/>
  <c r="FR44" i="5" s="1"/>
  <c r="FJ41" i="5"/>
  <c r="FO41" i="5" s="1"/>
  <c r="FR41" i="5" s="1"/>
  <c r="DH63" i="244"/>
  <c r="DH65" i="244" s="1"/>
  <c r="DH18" i="244"/>
  <c r="DH12" i="244"/>
  <c r="DH9" i="244"/>
  <c r="DH8" i="244"/>
  <c r="DH7" i="244"/>
  <c r="DH6" i="244"/>
  <c r="DH5" i="244"/>
  <c r="DH13" i="244" s="1"/>
  <c r="DH19" i="244" s="1"/>
  <c r="CV72" i="246"/>
  <c r="CV77" i="246"/>
  <c r="CV78" i="246"/>
  <c r="CV79" i="246"/>
  <c r="CV80" i="246"/>
  <c r="CV81" i="246"/>
  <c r="CV82" i="246"/>
  <c r="CV57" i="246"/>
  <c r="CV67" i="246" s="1"/>
  <c r="CV58" i="246"/>
  <c r="CV68" i="246" s="1"/>
  <c r="CV59" i="246"/>
  <c r="CV69" i="246" s="1"/>
  <c r="CV60" i="246"/>
  <c r="CV70" i="246" s="1"/>
  <c r="CV61" i="246"/>
  <c r="CV71" i="246" s="1"/>
  <c r="CV52" i="246"/>
  <c r="CV85" i="246" s="1"/>
  <c r="CV34" i="246"/>
  <c r="CV41" i="246" s="1"/>
  <c r="CV23" i="246"/>
  <c r="CV15" i="246"/>
  <c r="BB42" i="5" l="1"/>
  <c r="FO42" i="5"/>
  <c r="FR42" i="5" s="1"/>
  <c r="P44" i="5"/>
  <c r="CU10" i="12"/>
  <c r="CU14" i="12" s="1"/>
  <c r="CU16" i="12" s="1"/>
  <c r="FJ60" i="5"/>
  <c r="DH66" i="244"/>
  <c r="CV83" i="246"/>
  <c r="CV26" i="246"/>
  <c r="CV63" i="246"/>
  <c r="CV73" i="246" s="1"/>
  <c r="CV88" i="246"/>
  <c r="CV89" i="246" s="1"/>
  <c r="FO60" i="5" l="1"/>
  <c r="FR60" i="5" s="1"/>
  <c r="FT60" i="5"/>
  <c r="FV60" i="5" s="1"/>
  <c r="FJ62" i="5"/>
  <c r="FO62" i="5" l="1"/>
  <c r="FR62" i="5" s="1"/>
  <c r="FT62" i="5"/>
  <c r="FV62" i="5" s="1"/>
  <c r="FJ101" i="5"/>
  <c r="FJ68" i="5"/>
  <c r="CX89" i="247"/>
  <c r="CX97" i="247"/>
  <c r="CW63" i="247"/>
  <c r="CW61" i="247"/>
  <c r="CW60" i="247"/>
  <c r="CW59" i="247"/>
  <c r="CW55" i="247"/>
  <c r="CW54" i="247"/>
  <c r="CW53" i="247"/>
  <c r="CW52" i="247"/>
  <c r="CW51" i="247"/>
  <c r="CW50" i="247"/>
  <c r="CW45" i="247"/>
  <c r="CW44" i="247"/>
  <c r="CW43" i="247"/>
  <c r="CW42" i="247"/>
  <c r="CW41" i="247"/>
  <c r="CW46" i="247"/>
  <c r="CW37" i="247"/>
  <c r="CW36" i="247"/>
  <c r="CW35" i="247"/>
  <c r="CW34" i="247"/>
  <c r="CW33" i="247"/>
  <c r="CW32" i="247"/>
  <c r="CW28" i="247"/>
  <c r="CW27" i="247"/>
  <c r="CW26" i="247"/>
  <c r="CW25" i="247"/>
  <c r="CW24" i="247"/>
  <c r="CW23" i="247"/>
  <c r="CW10" i="247"/>
  <c r="CW9" i="247"/>
  <c r="CW8" i="247"/>
  <c r="CW7" i="247"/>
  <c r="CW6" i="247"/>
  <c r="FJ70" i="5" l="1"/>
  <c r="CW11" i="247" l="1"/>
  <c r="CW12" i="247" s="1"/>
  <c r="CW20" i="247"/>
  <c r="CW29" i="247"/>
  <c r="CW30" i="247" s="1"/>
  <c r="CW38" i="247"/>
  <c r="CW39" i="247" s="1"/>
  <c r="CW81" i="247"/>
  <c r="CW47" i="247"/>
  <c r="CW48" i="247" s="1"/>
  <c r="CW79" i="247"/>
  <c r="CW80" i="247"/>
  <c r="CW56" i="247"/>
  <c r="CW57" i="247" s="1"/>
  <c r="CW65" i="247"/>
  <c r="CW66" i="247" s="1"/>
  <c r="CW74" i="247"/>
  <c r="CW77" i="247"/>
  <c r="CW78" i="247"/>
  <c r="CW82" i="247"/>
  <c r="CW83" i="247" l="1"/>
  <c r="CW84" i="247" s="1"/>
  <c r="FI126" i="5" l="1"/>
  <c r="FI108" i="5" l="1"/>
  <c r="BA93" i="5"/>
  <c r="BA92" i="5"/>
  <c r="BA91" i="5"/>
  <c r="BA88" i="5"/>
  <c r="BA85" i="5"/>
  <c r="BA84" i="5"/>
  <c r="BA82" i="5"/>
  <c r="BA80" i="5"/>
  <c r="BA78" i="5"/>
  <c r="BA77" i="5"/>
  <c r="BA76" i="5"/>
  <c r="BA75" i="5"/>
  <c r="BA73" i="5"/>
  <c r="BA7" i="5"/>
  <c r="D8" i="225"/>
  <c r="DE46" i="185"/>
  <c r="DE33" i="185"/>
  <c r="FI83" i="5"/>
  <c r="FJ125" i="5" s="1"/>
  <c r="FI81" i="5"/>
  <c r="BA81" i="5" s="1"/>
  <c r="FJ129" i="5" l="1"/>
  <c r="BA83" i="5"/>
  <c r="EZ83" i="5"/>
  <c r="FI46" i="5"/>
  <c r="FQ46" i="5" s="1"/>
  <c r="FJ103" i="5" l="1"/>
  <c r="CT36" i="12"/>
  <c r="CT38" i="12" s="1"/>
  <c r="CT39" i="12" s="1"/>
  <c r="FI39" i="5" s="1"/>
  <c r="CT5" i="12"/>
  <c r="CT6" i="12"/>
  <c r="CT7" i="12"/>
  <c r="CT15" i="12"/>
  <c r="CT21" i="12"/>
  <c r="CT22" i="12"/>
  <c r="CT23" i="12"/>
  <c r="CT24" i="12"/>
  <c r="CT27" i="12"/>
  <c r="CT28" i="12"/>
  <c r="CT29" i="12"/>
  <c r="CT30" i="12"/>
  <c r="CT31" i="12"/>
  <c r="CQ26" i="188"/>
  <c r="CQ27" i="188"/>
  <c r="CQ28" i="188"/>
  <c r="CQ50" i="188"/>
  <c r="CQ52" i="188"/>
  <c r="CQ53" i="188"/>
  <c r="CQ54" i="188"/>
  <c r="CQ55" i="188"/>
  <c r="CQ56" i="188"/>
  <c r="CQ6" i="188"/>
  <c r="CQ7" i="188"/>
  <c r="CQ8" i="188"/>
  <c r="CQ9" i="188"/>
  <c r="CQ10" i="188"/>
  <c r="CQ11" i="188"/>
  <c r="CQ12" i="188"/>
  <c r="CQ13" i="188"/>
  <c r="CQ14" i="188"/>
  <c r="CQ16" i="188"/>
  <c r="CQ17" i="188"/>
  <c r="CQ18" i="188"/>
  <c r="CQ19" i="188"/>
  <c r="CQ20" i="188"/>
  <c r="CU18" i="12" l="1"/>
  <c r="FJ112" i="5"/>
  <c r="CQ23" i="188"/>
  <c r="CQ32" i="188"/>
  <c r="CQ38" i="188" s="1"/>
  <c r="CQ34" i="188"/>
  <c r="CQ40" i="188" s="1"/>
  <c r="CQ33" i="188"/>
  <c r="CQ39" i="188" s="1"/>
  <c r="CZ18" i="12" l="1"/>
  <c r="CQ43" i="188"/>
  <c r="CQ51" i="188" s="1"/>
  <c r="CQ57" i="188" s="1"/>
  <c r="CQ41" i="188"/>
  <c r="FI105" i="5" l="1"/>
  <c r="FI136" i="5"/>
  <c r="FI127" i="5" s="1"/>
  <c r="FI47" i="5"/>
  <c r="FQ47" i="5" s="1"/>
  <c r="FI117" i="5"/>
  <c r="CV9" i="25" s="1"/>
  <c r="FI87" i="5"/>
  <c r="BA87" i="5" s="1"/>
  <c r="FH85" i="5"/>
  <c r="FI16" i="5"/>
  <c r="FQ16" i="5" s="1"/>
  <c r="CQ15" i="188" l="1"/>
  <c r="FI107" i="5"/>
  <c r="DE23" i="185"/>
  <c r="DE24" i="185"/>
  <c r="DE25" i="185"/>
  <c r="DE18" i="185"/>
  <c r="DE26" i="185" s="1"/>
  <c r="DE10" i="185"/>
  <c r="H38" i="248"/>
  <c r="C38" i="248"/>
  <c r="I37" i="248"/>
  <c r="G38" i="248"/>
  <c r="I36" i="248"/>
  <c r="F38" i="248"/>
  <c r="I35" i="248"/>
  <c r="I34" i="248"/>
  <c r="E38" i="248"/>
  <c r="I33" i="248"/>
  <c r="H26" i="248"/>
  <c r="G26" i="248"/>
  <c r="F26" i="248"/>
  <c r="I25" i="248"/>
  <c r="I24" i="248"/>
  <c r="I23" i="248"/>
  <c r="I22" i="248"/>
  <c r="I21" i="248"/>
  <c r="I20" i="248"/>
  <c r="I19" i="248"/>
  <c r="I18" i="248"/>
  <c r="I17" i="248"/>
  <c r="I16" i="248"/>
  <c r="I15" i="248"/>
  <c r="I14" i="248"/>
  <c r="I13" i="248"/>
  <c r="I12" i="248"/>
  <c r="I11" i="248"/>
  <c r="I10" i="248"/>
  <c r="I9" i="248"/>
  <c r="E26" i="248"/>
  <c r="D26" i="248"/>
  <c r="C26" i="248"/>
  <c r="I7" i="248"/>
  <c r="I6" i="248"/>
  <c r="CW97" i="247"/>
  <c r="CW89" i="247"/>
  <c r="CV79" i="247"/>
  <c r="CV74" i="247"/>
  <c r="CV63" i="247"/>
  <c r="CV60" i="247"/>
  <c r="CV78" i="247" s="1"/>
  <c r="CV59" i="247"/>
  <c r="CV55" i="247"/>
  <c r="CV54" i="247"/>
  <c r="CV53" i="247"/>
  <c r="CV52" i="247"/>
  <c r="CV51" i="247"/>
  <c r="CV50" i="247"/>
  <c r="CV56" i="247" s="1"/>
  <c r="CV57" i="247" s="1"/>
  <c r="CV46" i="247"/>
  <c r="CV45" i="247"/>
  <c r="CV47" i="247" s="1"/>
  <c r="CV48" i="247" s="1"/>
  <c r="CV44" i="247"/>
  <c r="CV43" i="247"/>
  <c r="CV42" i="247"/>
  <c r="CV41" i="247"/>
  <c r="CV38" i="247"/>
  <c r="CV39" i="247" s="1"/>
  <c r="CV37" i="247"/>
  <c r="CV36" i="247"/>
  <c r="CV35" i="247"/>
  <c r="CV34" i="247"/>
  <c r="CV33" i="247"/>
  <c r="CV32" i="247"/>
  <c r="CV28" i="247"/>
  <c r="CV27" i="247"/>
  <c r="CV26" i="247"/>
  <c r="CV25" i="247"/>
  <c r="CV24" i="247"/>
  <c r="CV23" i="247"/>
  <c r="CV29" i="247" s="1"/>
  <c r="CV30" i="247" s="1"/>
  <c r="CV20" i="247"/>
  <c r="CV10" i="247"/>
  <c r="CV82" i="247" s="1"/>
  <c r="CV9" i="247"/>
  <c r="CV81" i="247" s="1"/>
  <c r="CV8" i="247"/>
  <c r="CV80" i="247" s="1"/>
  <c r="CV7" i="247"/>
  <c r="CV11" i="247" s="1"/>
  <c r="CV12" i="247" s="1"/>
  <c r="CV6" i="247"/>
  <c r="CV5" i="247"/>
  <c r="DF64" i="244"/>
  <c r="DF63" i="244"/>
  <c r="DF65" i="244" s="1"/>
  <c r="DF18" i="244"/>
  <c r="DF12" i="244"/>
  <c r="DF9" i="244"/>
  <c r="DF8" i="244"/>
  <c r="DF7" i="244"/>
  <c r="DF6" i="244"/>
  <c r="DF13" i="244" s="1"/>
  <c r="DF5" i="244"/>
  <c r="CU88" i="246"/>
  <c r="CU89" i="246" s="1"/>
  <c r="CU85" i="246"/>
  <c r="CU82" i="246"/>
  <c r="CU81" i="246"/>
  <c r="CU80" i="246"/>
  <c r="CU79" i="246"/>
  <c r="CU78" i="246"/>
  <c r="CU77" i="246"/>
  <c r="CU72" i="246"/>
  <c r="CU61" i="246"/>
  <c r="CU71" i="246" s="1"/>
  <c r="CU60" i="246"/>
  <c r="CU70" i="246" s="1"/>
  <c r="CU59" i="246"/>
  <c r="CU69" i="246" s="1"/>
  <c r="CU58" i="246"/>
  <c r="CU68" i="246" s="1"/>
  <c r="CU57" i="246"/>
  <c r="CU67" i="246" s="1"/>
  <c r="CU52" i="246"/>
  <c r="CU34" i="246"/>
  <c r="CU41" i="246" s="1"/>
  <c r="CU23" i="246"/>
  <c r="CU15" i="246"/>
  <c r="CU83" i="246" s="1"/>
  <c r="FI79" i="5"/>
  <c r="BA79" i="5" s="1"/>
  <c r="FI59" i="5"/>
  <c r="FQ59" i="5" s="1"/>
  <c r="FI33" i="5"/>
  <c r="FQ33" i="5" s="1"/>
  <c r="FI34" i="5"/>
  <c r="FQ34" i="5" s="1"/>
  <c r="FI35" i="5"/>
  <c r="FQ35" i="5" s="1"/>
  <c r="FI25" i="5"/>
  <c r="FQ25" i="5" s="1"/>
  <c r="FH124" i="5"/>
  <c r="DF19" i="244" l="1"/>
  <c r="DF66" i="244" s="1"/>
  <c r="CT8" i="12"/>
  <c r="FI38" i="5"/>
  <c r="FI40" i="5"/>
  <c r="FI41" i="5"/>
  <c r="I38" i="248"/>
  <c r="CT13" i="12"/>
  <c r="I26" i="248"/>
  <c r="CV65" i="247"/>
  <c r="CV66" i="247" s="1"/>
  <c r="D38" i="248"/>
  <c r="CV77" i="247"/>
  <c r="CV83" i="247" s="1"/>
  <c r="CV84" i="247" s="1"/>
  <c r="I8" i="248"/>
  <c r="CU63" i="246"/>
  <c r="CU73" i="246" s="1"/>
  <c r="CU26" i="246"/>
  <c r="FI42" i="5"/>
  <c r="FQ42" i="5" s="1"/>
  <c r="FI44" i="5"/>
  <c r="FQ44" i="5" s="1"/>
  <c r="FQ38" i="5" l="1"/>
  <c r="FQ41" i="5"/>
  <c r="FQ40" i="5"/>
  <c r="CT10" i="12"/>
  <c r="CT14" i="12" s="1"/>
  <c r="CT16" i="12" s="1"/>
  <c r="FI60" i="5"/>
  <c r="FQ60" i="5" s="1"/>
  <c r="FH81" i="5"/>
  <c r="FH117" i="5" s="1"/>
  <c r="CU9" i="25" s="1"/>
  <c r="DD46" i="185"/>
  <c r="DD40" i="185"/>
  <c r="DD33" i="185"/>
  <c r="DD23" i="185"/>
  <c r="DD24" i="185"/>
  <c r="DD25" i="185"/>
  <c r="DD10" i="185"/>
  <c r="DD18" i="185"/>
  <c r="CP6" i="188"/>
  <c r="CP7" i="188"/>
  <c r="CP8" i="188"/>
  <c r="CP9" i="188"/>
  <c r="CP10" i="188"/>
  <c r="CP11" i="188"/>
  <c r="CP12" i="188"/>
  <c r="CP13" i="188"/>
  <c r="CP14" i="188"/>
  <c r="CP15" i="188"/>
  <c r="CP16" i="188"/>
  <c r="CP17" i="188"/>
  <c r="CP18" i="188"/>
  <c r="CP19" i="188"/>
  <c r="CP20" i="188"/>
  <c r="CP26" i="188"/>
  <c r="CP27" i="188"/>
  <c r="CP28" i="188"/>
  <c r="CP50" i="188"/>
  <c r="CP52" i="188"/>
  <c r="CP53" i="188"/>
  <c r="CP54" i="188"/>
  <c r="CP55" i="188"/>
  <c r="CP56" i="188"/>
  <c r="FH108" i="5"/>
  <c r="CS36" i="12"/>
  <c r="CS38" i="12" s="1"/>
  <c r="CS39" i="12" s="1"/>
  <c r="FH39" i="5" s="1"/>
  <c r="CS5" i="12"/>
  <c r="CS6" i="12"/>
  <c r="CS7" i="12"/>
  <c r="CS15" i="12"/>
  <c r="CS21" i="12"/>
  <c r="CS22" i="12"/>
  <c r="CS23" i="12"/>
  <c r="CS24" i="12"/>
  <c r="CS27" i="12"/>
  <c r="CS28" i="12"/>
  <c r="CS29" i="12"/>
  <c r="CS30" i="12"/>
  <c r="CS31" i="12"/>
  <c r="FH126" i="5"/>
  <c r="FH47" i="5"/>
  <c r="FH46" i="5"/>
  <c r="FH136" i="5"/>
  <c r="FH127" i="5" s="1"/>
  <c r="FH87" i="5"/>
  <c r="FH86" i="5"/>
  <c r="FH123" i="5"/>
  <c r="FH105" i="5"/>
  <c r="FG85" i="5"/>
  <c r="FH79" i="5"/>
  <c r="FH33" i="5"/>
  <c r="FH34" i="5"/>
  <c r="FH35" i="5"/>
  <c r="FH25" i="5"/>
  <c r="CU6" i="247"/>
  <c r="CU5" i="247"/>
  <c r="DD26" i="185" l="1"/>
  <c r="FH41" i="5"/>
  <c r="FH40" i="5"/>
  <c r="CS8" i="12"/>
  <c r="CP34" i="188"/>
  <c r="CP40" i="188" s="1"/>
  <c r="FI62" i="5"/>
  <c r="FQ62" i="5" s="1"/>
  <c r="CP32" i="188"/>
  <c r="CP38" i="188" s="1"/>
  <c r="CP23" i="188"/>
  <c r="FH89" i="5"/>
  <c r="CP33" i="188"/>
  <c r="CP39" i="188" s="1"/>
  <c r="FI125" i="5"/>
  <c r="FH44" i="5"/>
  <c r="FH59" i="5"/>
  <c r="FH107" i="5"/>
  <c r="FH38" i="5"/>
  <c r="FH42" i="5"/>
  <c r="CY263" i="249"/>
  <c r="CZ263" i="249"/>
  <c r="DA263" i="249"/>
  <c r="DB263" i="249"/>
  <c r="DB258" i="249"/>
  <c r="CS10" i="12" l="1"/>
  <c r="FI101" i="5"/>
  <c r="FI68" i="5"/>
  <c r="FI70" i="5" s="1"/>
  <c r="FI129" i="5"/>
  <c r="FI103" i="5" s="1"/>
  <c r="CP43" i="188"/>
  <c r="CP51" i="188" s="1"/>
  <c r="CP57" i="188" s="1"/>
  <c r="CP41" i="188"/>
  <c r="CS13" i="12"/>
  <c r="FH60" i="5"/>
  <c r="DB260" i="249"/>
  <c r="DB266" i="249" s="1"/>
  <c r="DB262" i="249"/>
  <c r="FI112" i="5" l="1"/>
  <c r="CT18" i="12"/>
  <c r="CS14" i="12"/>
  <c r="CS16" i="12" s="1"/>
  <c r="FH62" i="5"/>
  <c r="DB265" i="249"/>
  <c r="FH101" i="5" l="1"/>
  <c r="FH68" i="5"/>
  <c r="FH70" i="5" s="1"/>
  <c r="CT15" i="246"/>
  <c r="CT23" i="246"/>
  <c r="CT26" i="246"/>
  <c r="CT34" i="246"/>
  <c r="CT41" i="246" s="1"/>
  <c r="CT52" i="246"/>
  <c r="CT85" i="246" s="1"/>
  <c r="CT57" i="246"/>
  <c r="CT58" i="246"/>
  <c r="CT59" i="246"/>
  <c r="CT60" i="246"/>
  <c r="CT61" i="246"/>
  <c r="CT63" i="246"/>
  <c r="CT67" i="246"/>
  <c r="CT68" i="246"/>
  <c r="CT69" i="246"/>
  <c r="CT70" i="246"/>
  <c r="CT71" i="246"/>
  <c r="CT72" i="246"/>
  <c r="CT77" i="246"/>
  <c r="CT78" i="246"/>
  <c r="CT79" i="246"/>
  <c r="CT80" i="246"/>
  <c r="CT81" i="246"/>
  <c r="CT82" i="246"/>
  <c r="CT73" i="246" l="1"/>
  <c r="CT83" i="246"/>
  <c r="CT88" i="246"/>
  <c r="CT89" i="246" s="1"/>
  <c r="DE64" i="244" l="1"/>
  <c r="DE18" i="244" l="1"/>
  <c r="DE12" i="244"/>
  <c r="DE9" i="244"/>
  <c r="DE8" i="244"/>
  <c r="DE7" i="244"/>
  <c r="DE6" i="244"/>
  <c r="DE5" i="244"/>
  <c r="DE13" i="244" s="1"/>
  <c r="DE63" i="244"/>
  <c r="DE65" i="244" s="1"/>
  <c r="CV89" i="247"/>
  <c r="CU32" i="247"/>
  <c r="CU64" i="247"/>
  <c r="CU55" i="247"/>
  <c r="CU46" i="247"/>
  <c r="CU37" i="247"/>
  <c r="CU28" i="247"/>
  <c r="CU10" i="247"/>
  <c r="CU63" i="247"/>
  <c r="CU62" i="247"/>
  <c r="CU61" i="247"/>
  <c r="CU60" i="247"/>
  <c r="CU59" i="247"/>
  <c r="CU54" i="247"/>
  <c r="CU53" i="247"/>
  <c r="CU52" i="247"/>
  <c r="CU51" i="247"/>
  <c r="CU50" i="247"/>
  <c r="CU45" i="247"/>
  <c r="CU44" i="247"/>
  <c r="CU43" i="247"/>
  <c r="CU42" i="247"/>
  <c r="CU41" i="247"/>
  <c r="CU36" i="247"/>
  <c r="CU35" i="247"/>
  <c r="CU34" i="247"/>
  <c r="CU33" i="247"/>
  <c r="CU27" i="247"/>
  <c r="CU26" i="247"/>
  <c r="CU25" i="247"/>
  <c r="CU24" i="247"/>
  <c r="CU23" i="247"/>
  <c r="CU9" i="247"/>
  <c r="CU8" i="247"/>
  <c r="CU7" i="247"/>
  <c r="DE19" i="244" l="1"/>
  <c r="DE66" i="244"/>
  <c r="CV97" i="247" l="1"/>
  <c r="CU77" i="247"/>
  <c r="CU78" i="247"/>
  <c r="CU79" i="247"/>
  <c r="CU80" i="247"/>
  <c r="CU81" i="247"/>
  <c r="CU82" i="247"/>
  <c r="CU11" i="247"/>
  <c r="CU12" i="247" s="1"/>
  <c r="CU20" i="247"/>
  <c r="CU29" i="247"/>
  <c r="CU30" i="247" s="1"/>
  <c r="CU38" i="247"/>
  <c r="CU39" i="247" s="1"/>
  <c r="CU47" i="247"/>
  <c r="CU48" i="247" s="1"/>
  <c r="CU56" i="247"/>
  <c r="CU57" i="247" s="1"/>
  <c r="CU65" i="247"/>
  <c r="CU66" i="247" s="1"/>
  <c r="CU74" i="247"/>
  <c r="AX128" i="5"/>
  <c r="AY128" i="5"/>
  <c r="AZ128" i="5"/>
  <c r="BA128" i="5"/>
  <c r="O75" i="5"/>
  <c r="O76" i="5"/>
  <c r="O77" i="5"/>
  <c r="O78" i="5"/>
  <c r="O80" i="5"/>
  <c r="O82" i="5"/>
  <c r="O84" i="5"/>
  <c r="O85" i="5"/>
  <c r="O88" i="5"/>
  <c r="O90" i="5"/>
  <c r="O91" i="5"/>
  <c r="O92" i="5"/>
  <c r="O93" i="5"/>
  <c r="O73" i="5"/>
  <c r="BA30" i="5"/>
  <c r="AZ30" i="5"/>
  <c r="AY30" i="5"/>
  <c r="AX30" i="5"/>
  <c r="BA69" i="5"/>
  <c r="AZ69" i="5"/>
  <c r="BA67" i="5"/>
  <c r="AZ67" i="5"/>
  <c r="BA66" i="5"/>
  <c r="AZ66" i="5"/>
  <c r="BA65" i="5"/>
  <c r="AZ65" i="5"/>
  <c r="BA64" i="5"/>
  <c r="AZ64" i="5"/>
  <c r="BA63" i="5"/>
  <c r="AZ63" i="5"/>
  <c r="BA61" i="5"/>
  <c r="AZ61" i="5"/>
  <c r="AZ54" i="5"/>
  <c r="BA54" i="5"/>
  <c r="AZ55" i="5"/>
  <c r="BA55" i="5"/>
  <c r="AZ56" i="5"/>
  <c r="BA56" i="5"/>
  <c r="AZ57" i="5"/>
  <c r="BA57" i="5"/>
  <c r="AZ58" i="5"/>
  <c r="BA58" i="5"/>
  <c r="BA53" i="5"/>
  <c r="AZ53" i="5"/>
  <c r="BA46" i="5"/>
  <c r="BA14" i="5"/>
  <c r="AZ14" i="5"/>
  <c r="BA13" i="5"/>
  <c r="AZ13" i="5"/>
  <c r="AZ7" i="5"/>
  <c r="BA28" i="5"/>
  <c r="AZ28" i="5"/>
  <c r="AW61" i="5"/>
  <c r="AV61" i="5"/>
  <c r="AU61" i="5"/>
  <c r="AT61" i="5"/>
  <c r="CW38" i="25"/>
  <c r="CX38" i="25"/>
  <c r="CY38" i="25"/>
  <c r="CZ38" i="25"/>
  <c r="DA38" i="25"/>
  <c r="DB38" i="25"/>
  <c r="CV43" i="25"/>
  <c r="CY43" i="25" s="1"/>
  <c r="DB43" i="25" s="1"/>
  <c r="CY29" i="25"/>
  <c r="CZ29" i="25"/>
  <c r="DA29" i="25"/>
  <c r="DB29" i="25"/>
  <c r="CY11" i="25"/>
  <c r="CZ11" i="25"/>
  <c r="DA11" i="25"/>
  <c r="DB11" i="25"/>
  <c r="DA8" i="25"/>
  <c r="DA18" i="25" s="1"/>
  <c r="DA24" i="25" s="1"/>
  <c r="DB8" i="25"/>
  <c r="DB18" i="25" s="1"/>
  <c r="DB24" i="25" s="1"/>
  <c r="CY8" i="25"/>
  <c r="CY18" i="25" s="1"/>
  <c r="CY24" i="25" s="1"/>
  <c r="CZ8" i="25"/>
  <c r="CZ18" i="25" s="1"/>
  <c r="CZ24" i="25" s="1"/>
  <c r="O30" i="5" l="1"/>
  <c r="CU83" i="247"/>
  <c r="CU84" i="247" s="1"/>
  <c r="N61" i="5"/>
  <c r="DB4" i="25" l="1"/>
  <c r="DB5" i="25"/>
  <c r="CY4" i="25"/>
  <c r="CZ4" i="25" s="1"/>
  <c r="CY5" i="25"/>
  <c r="DA4" i="25" l="1"/>
  <c r="DA5" i="25" s="1"/>
  <c r="CZ5" i="25"/>
  <c r="BA47" i="5" l="1"/>
  <c r="BA48" i="5"/>
  <c r="BA49" i="5"/>
  <c r="BA50" i="5"/>
  <c r="BA51" i="5"/>
  <c r="BA52" i="5"/>
  <c r="BA29" i="5"/>
  <c r="BA9" i="5"/>
  <c r="BA10" i="5"/>
  <c r="BA11" i="5"/>
  <c r="BA12" i="5"/>
  <c r="BA8" i="5"/>
  <c r="AZ9" i="5"/>
  <c r="AZ10" i="5"/>
  <c r="AZ11" i="5"/>
  <c r="AZ12" i="5"/>
  <c r="AZ8" i="5"/>
  <c r="FH125" i="5"/>
  <c r="FG81" i="5"/>
  <c r="FH129" i="5" l="1"/>
  <c r="FH103" i="5" s="1"/>
  <c r="O83" i="5"/>
  <c r="FG117" i="5"/>
  <c r="CT9" i="25" s="1"/>
  <c r="O81" i="5"/>
  <c r="FG126" i="5"/>
  <c r="BA126" i="5" s="1"/>
  <c r="FH112" i="5" l="1"/>
  <c r="CS18" i="12"/>
  <c r="CR5" i="12" l="1"/>
  <c r="CR6" i="12"/>
  <c r="CR7" i="12"/>
  <c r="CR15" i="12"/>
  <c r="CR21" i="12"/>
  <c r="CR22" i="12"/>
  <c r="CR23" i="12"/>
  <c r="CR24" i="12"/>
  <c r="CR27" i="12"/>
  <c r="CR28" i="12"/>
  <c r="CR29" i="12"/>
  <c r="CR30" i="12"/>
  <c r="CR31" i="12"/>
  <c r="CR36" i="12"/>
  <c r="CR38" i="12" s="1"/>
  <c r="CR39" i="12" s="1"/>
  <c r="FG39" i="5" s="1"/>
  <c r="DD5" i="244" l="1"/>
  <c r="DC46" i="185"/>
  <c r="CO6" i="188"/>
  <c r="AH6" i="188" s="1"/>
  <c r="CO7" i="188"/>
  <c r="CO8" i="188"/>
  <c r="CO9" i="188"/>
  <c r="CO10" i="188"/>
  <c r="CO11" i="188"/>
  <c r="CO12" i="188"/>
  <c r="AH12" i="188" s="1"/>
  <c r="CO13" i="188"/>
  <c r="AH13" i="188" s="1"/>
  <c r="CO14" i="188"/>
  <c r="CO15" i="188"/>
  <c r="CO16" i="188"/>
  <c r="CO17" i="188"/>
  <c r="CO18" i="188"/>
  <c r="CO19" i="188"/>
  <c r="CO20" i="188"/>
  <c r="CO26" i="188"/>
  <c r="AH26" i="188" s="1"/>
  <c r="CO27" i="188"/>
  <c r="AH27" i="188" s="1"/>
  <c r="CO28" i="188"/>
  <c r="AH28" i="188" s="1"/>
  <c r="CO50" i="188"/>
  <c r="CO52" i="188"/>
  <c r="AH52" i="188" s="1"/>
  <c r="CO53" i="188"/>
  <c r="AH53" i="188" s="1"/>
  <c r="CO54" i="188"/>
  <c r="AH54" i="188" s="1"/>
  <c r="CO55" i="188"/>
  <c r="AH55" i="188" s="1"/>
  <c r="CO56" i="188"/>
  <c r="AH56" i="188" s="1"/>
  <c r="CO32" i="188" l="1"/>
  <c r="CO38" i="188" s="1"/>
  <c r="CO23" i="188"/>
  <c r="CO34" i="188"/>
  <c r="CO40" i="188" s="1"/>
  <c r="CO33" i="188"/>
  <c r="CO39" i="188" s="1"/>
  <c r="CO43" i="188" l="1"/>
  <c r="CO51" i="188" s="1"/>
  <c r="CO57" i="188" s="1"/>
  <c r="CO41" i="188"/>
  <c r="DD64" i="244"/>
  <c r="DD63" i="244"/>
  <c r="DD65" i="244" s="1"/>
  <c r="DD18" i="244"/>
  <c r="DD12" i="244"/>
  <c r="DD9" i="244"/>
  <c r="DD8" i="244"/>
  <c r="DD7" i="244"/>
  <c r="DD6" i="244"/>
  <c r="DD13" i="244"/>
  <c r="DD19" i="244" s="1"/>
  <c r="FG87" i="5"/>
  <c r="FG86" i="5"/>
  <c r="FG25" i="5"/>
  <c r="FG33" i="5"/>
  <c r="FG34" i="5"/>
  <c r="FG35" i="5"/>
  <c r="FG41" i="5" s="1"/>
  <c r="FG59" i="5"/>
  <c r="FG79" i="5"/>
  <c r="FG105" i="5"/>
  <c r="FG108" i="5"/>
  <c r="FG123" i="5"/>
  <c r="BA123" i="5" s="1"/>
  <c r="FG124" i="5"/>
  <c r="BA124" i="5" s="1"/>
  <c r="FG136" i="5"/>
  <c r="FG127" i="5" s="1"/>
  <c r="BA127" i="5" s="1"/>
  <c r="CS82" i="246"/>
  <c r="CS81" i="246"/>
  <c r="CS80" i="246"/>
  <c r="CS79" i="246"/>
  <c r="CS78" i="246"/>
  <c r="CS77" i="246"/>
  <c r="CS72" i="246"/>
  <c r="CS61" i="246"/>
  <c r="CS71" i="246" s="1"/>
  <c r="CS60" i="246"/>
  <c r="CS70" i="246" s="1"/>
  <c r="CS59" i="246"/>
  <c r="CS69" i="246" s="1"/>
  <c r="CS58" i="246"/>
  <c r="CS68" i="246" s="1"/>
  <c r="CS57" i="246"/>
  <c r="CS63" i="246" s="1"/>
  <c r="CS52" i="246"/>
  <c r="CS83" i="246" s="1"/>
  <c r="CS34" i="246"/>
  <c r="CS41" i="246" s="1"/>
  <c r="CS26" i="246"/>
  <c r="CS23" i="246"/>
  <c r="CS15" i="246"/>
  <c r="CU89" i="247"/>
  <c r="CU97" i="247" s="1"/>
  <c r="CT81" i="247"/>
  <c r="CT78" i="247"/>
  <c r="CT74" i="247"/>
  <c r="CT64" i="247"/>
  <c r="CT63" i="247"/>
  <c r="CT62" i="247"/>
  <c r="CT61" i="247"/>
  <c r="CT60" i="247"/>
  <c r="CT59" i="247"/>
  <c r="CT65" i="247" s="1"/>
  <c r="CT66" i="247" s="1"/>
  <c r="CT55" i="247"/>
  <c r="CT54" i="247"/>
  <c r="CT53" i="247"/>
  <c r="CT52" i="247"/>
  <c r="CT51" i="247"/>
  <c r="CT50" i="247"/>
  <c r="CT56" i="247" s="1"/>
  <c r="CT57" i="247" s="1"/>
  <c r="CT47" i="247"/>
  <c r="CT48" i="247" s="1"/>
  <c r="CT46" i="247"/>
  <c r="CT45" i="247"/>
  <c r="CT44" i="247"/>
  <c r="CT43" i="247"/>
  <c r="CT42" i="247"/>
  <c r="CT41" i="247"/>
  <c r="CT37" i="247"/>
  <c r="CT36" i="247"/>
  <c r="CT35" i="247"/>
  <c r="CT34" i="247"/>
  <c r="CT33" i="247"/>
  <c r="CT32" i="247"/>
  <c r="CT38" i="247" s="1"/>
  <c r="CT39" i="247" s="1"/>
  <c r="CT28" i="247"/>
  <c r="CT82" i="247" s="1"/>
  <c r="CT27" i="247"/>
  <c r="CT26" i="247"/>
  <c r="CT80" i="247" s="1"/>
  <c r="CT25" i="247"/>
  <c r="CT79" i="247" s="1"/>
  <c r="CT24" i="247"/>
  <c r="CT23" i="247"/>
  <c r="CT20" i="247"/>
  <c r="CT10" i="247"/>
  <c r="CT9" i="247"/>
  <c r="CT8" i="247"/>
  <c r="CT7" i="247"/>
  <c r="CT6" i="247"/>
  <c r="CT5" i="247"/>
  <c r="CT77" i="247" s="1"/>
  <c r="CT83" i="247" s="1"/>
  <c r="DA262" i="249"/>
  <c r="DA258" i="249"/>
  <c r="DA260" i="249" s="1"/>
  <c r="DA266" i="249" s="1"/>
  <c r="CS73" i="246" l="1"/>
  <c r="BA25" i="5"/>
  <c r="BA59" i="5"/>
  <c r="O87" i="5"/>
  <c r="O86" i="5"/>
  <c r="BA33" i="5"/>
  <c r="FG38" i="5"/>
  <c r="FG42" i="5"/>
  <c r="BA34" i="5"/>
  <c r="BA40" i="5" s="1"/>
  <c r="FG40" i="5"/>
  <c r="BA35" i="5"/>
  <c r="BA41" i="5" s="1"/>
  <c r="O79" i="5"/>
  <c r="CR8" i="12"/>
  <c r="CR13" i="12"/>
  <c r="FG107" i="5"/>
  <c r="DD66" i="244"/>
  <c r="FG89" i="5"/>
  <c r="FG44" i="5"/>
  <c r="CS85" i="246"/>
  <c r="CS67" i="246"/>
  <c r="CS88" i="246"/>
  <c r="CS89" i="246" s="1"/>
  <c r="CT84" i="247"/>
  <c r="CT11" i="247"/>
  <c r="CT12" i="247" s="1"/>
  <c r="CT29" i="247"/>
  <c r="CT30" i="247" s="1"/>
  <c r="DA265" i="249"/>
  <c r="BA44" i="5" l="1"/>
  <c r="O89" i="5"/>
  <c r="BA38" i="5"/>
  <c r="FG60" i="5"/>
  <c r="CR10" i="12"/>
  <c r="CR14" i="12" s="1"/>
  <c r="CR16" i="12" s="1"/>
  <c r="BA60" i="5" l="1"/>
  <c r="FG62" i="5"/>
  <c r="DC40" i="185"/>
  <c r="DC33" i="185"/>
  <c r="DC18" i="185"/>
  <c r="DC10" i="185"/>
  <c r="DC26" i="185"/>
  <c r="DC23" i="185"/>
  <c r="DC24" i="185"/>
  <c r="DC25" i="185"/>
  <c r="FG101" i="5" l="1"/>
  <c r="BA101" i="5" s="1"/>
  <c r="BA62" i="5"/>
  <c r="FG68" i="5"/>
  <c r="BA68" i="5" s="1"/>
  <c r="CS84" i="247"/>
  <c r="CS83" i="247"/>
  <c r="FG70" i="5" l="1"/>
  <c r="BA70" i="5" s="1"/>
  <c r="CN28" i="188"/>
  <c r="AG28" i="188" s="1"/>
  <c r="CN6" i="188"/>
  <c r="CN7" i="188"/>
  <c r="CN8" i="188"/>
  <c r="CN9" i="188"/>
  <c r="CN10" i="188"/>
  <c r="CN11" i="188"/>
  <c r="CN12" i="188"/>
  <c r="CN13" i="188"/>
  <c r="CN14" i="188"/>
  <c r="CN15" i="188"/>
  <c r="CN16" i="188"/>
  <c r="CN17" i="188"/>
  <c r="CN18" i="188"/>
  <c r="CN19" i="188"/>
  <c r="CN20" i="188"/>
  <c r="CN26" i="188"/>
  <c r="CN27" i="188"/>
  <c r="CN50" i="188"/>
  <c r="CN52" i="188"/>
  <c r="CN53" i="188"/>
  <c r="CN54" i="188"/>
  <c r="CN55" i="188"/>
  <c r="CN56" i="188"/>
  <c r="CN34" i="188" l="1"/>
  <c r="CN40" i="188" s="1"/>
  <c r="CN23" i="188"/>
  <c r="CN32" i="188"/>
  <c r="CN38" i="188" s="1"/>
  <c r="CN33" i="188"/>
  <c r="CN39" i="188" s="1"/>
  <c r="CN43" i="188" l="1"/>
  <c r="CN51" i="188" s="1"/>
  <c r="CN57" i="188" s="1"/>
  <c r="CN41" i="188"/>
  <c r="AZ93" i="5" l="1"/>
  <c r="AZ92" i="5"/>
  <c r="AZ91" i="5"/>
  <c r="AZ88" i="5"/>
  <c r="AZ84" i="5"/>
  <c r="AZ82" i="5"/>
  <c r="AZ80" i="5"/>
  <c r="AZ78" i="5"/>
  <c r="AZ77" i="5"/>
  <c r="AZ76" i="5"/>
  <c r="AZ75" i="5"/>
  <c r="AZ73" i="5"/>
  <c r="FF47" i="5"/>
  <c r="FF46" i="5"/>
  <c r="CS5" i="247" l="1"/>
  <c r="DB46" i="185"/>
  <c r="DB10" i="185" l="1"/>
  <c r="DB40" i="185"/>
  <c r="DB33" i="185"/>
  <c r="DB23" i="185"/>
  <c r="DB24" i="185"/>
  <c r="DB25" i="185"/>
  <c r="DB18" i="185"/>
  <c r="DB26" i="185" s="1"/>
  <c r="CQ5" i="12" l="1"/>
  <c r="CQ6" i="12"/>
  <c r="CQ7" i="12"/>
  <c r="CQ15" i="12"/>
  <c r="CQ21" i="12"/>
  <c r="CQ22" i="12"/>
  <c r="CQ23" i="12"/>
  <c r="CQ24" i="12"/>
  <c r="CQ27" i="12"/>
  <c r="CQ28" i="12"/>
  <c r="CQ29" i="12"/>
  <c r="CQ30" i="12"/>
  <c r="CQ36" i="12"/>
  <c r="CQ38" i="12" s="1"/>
  <c r="CQ39" i="12" s="1"/>
  <c r="FF39" i="5" s="1"/>
  <c r="CT89" i="247"/>
  <c r="CT97" i="247" s="1"/>
  <c r="CS80" i="247"/>
  <c r="CS77" i="247"/>
  <c r="CS74" i="247"/>
  <c r="CS64" i="247"/>
  <c r="CS63" i="247"/>
  <c r="CS61" i="247"/>
  <c r="CS60" i="247"/>
  <c r="CS59" i="247"/>
  <c r="CS65" i="247" s="1"/>
  <c r="CS66" i="247" s="1"/>
  <c r="CS55" i="247"/>
  <c r="CS54" i="247"/>
  <c r="CS53" i="247"/>
  <c r="CS52" i="247"/>
  <c r="CS51" i="247"/>
  <c r="CS78" i="247" s="1"/>
  <c r="CS50" i="247"/>
  <c r="CS56" i="247" s="1"/>
  <c r="CS57" i="247" s="1"/>
  <c r="CS46" i="247"/>
  <c r="CS82" i="247" s="1"/>
  <c r="CS45" i="247"/>
  <c r="CS47" i="247" s="1"/>
  <c r="CS48" i="247" s="1"/>
  <c r="CS44" i="247"/>
  <c r="CS43" i="247"/>
  <c r="CS42" i="247"/>
  <c r="CS41" i="247"/>
  <c r="CS37" i="247"/>
  <c r="CS36" i="247"/>
  <c r="CS35" i="247"/>
  <c r="CS34" i="247"/>
  <c r="CS33" i="247"/>
  <c r="CS32" i="247"/>
  <c r="CS38" i="247" s="1"/>
  <c r="CS39" i="247" s="1"/>
  <c r="CS28" i="247"/>
  <c r="CS27" i="247"/>
  <c r="CS81" i="247" s="1"/>
  <c r="CS26" i="247"/>
  <c r="CS25" i="247"/>
  <c r="CS79" i="247" s="1"/>
  <c r="CS24" i="247"/>
  <c r="CS23" i="247"/>
  <c r="CS29" i="247" s="1"/>
  <c r="CS30" i="247" s="1"/>
  <c r="CS20" i="247"/>
  <c r="CS10" i="247"/>
  <c r="CS9" i="247"/>
  <c r="CS8" i="247"/>
  <c r="CS7" i="247"/>
  <c r="CS6" i="247"/>
  <c r="CS11" i="247"/>
  <c r="CS12" i="247" s="1"/>
  <c r="DC64" i="244"/>
  <c r="DC63" i="244"/>
  <c r="DC65" i="244" s="1"/>
  <c r="DC18" i="244"/>
  <c r="DC12" i="244"/>
  <c r="DC9" i="244"/>
  <c r="DC8" i="244"/>
  <c r="DC7" i="244"/>
  <c r="DC6" i="244"/>
  <c r="DC5" i="244"/>
  <c r="DC13" i="244" s="1"/>
  <c r="CR82" i="246"/>
  <c r="CR81" i="246"/>
  <c r="CR80" i="246"/>
  <c r="CR79" i="246"/>
  <c r="CR78" i="246"/>
  <c r="CR77" i="246"/>
  <c r="CR72" i="246"/>
  <c r="CR70" i="246"/>
  <c r="CR69" i="246"/>
  <c r="CR63" i="246"/>
  <c r="CR61" i="246"/>
  <c r="CR71" i="246" s="1"/>
  <c r="CR60" i="246"/>
  <c r="CR59" i="246"/>
  <c r="CR58" i="246"/>
  <c r="CR68" i="246" s="1"/>
  <c r="CR57" i="246"/>
  <c r="CR67" i="246" s="1"/>
  <c r="CR52" i="246"/>
  <c r="CR85" i="246" s="1"/>
  <c r="CR34" i="246"/>
  <c r="CR41" i="246" s="1"/>
  <c r="CR23" i="246"/>
  <c r="CR15" i="246"/>
  <c r="CR26" i="246" s="1"/>
  <c r="CZ262" i="249"/>
  <c r="CZ258" i="249"/>
  <c r="CZ260" i="249" s="1"/>
  <c r="CZ266" i="249" s="1"/>
  <c r="FF108" i="5"/>
  <c r="DC19" i="244" l="1"/>
  <c r="DC66" i="244" s="1"/>
  <c r="CR73" i="246"/>
  <c r="CQ31" i="12" s="1"/>
  <c r="CR88" i="246"/>
  <c r="CR89" i="246" s="1"/>
  <c r="CR83" i="246"/>
  <c r="CZ265" i="249"/>
  <c r="FE108" i="5"/>
  <c r="FF81" i="5" l="1"/>
  <c r="AZ81" i="5" s="1"/>
  <c r="FG125" i="5" l="1"/>
  <c r="AZ83" i="5"/>
  <c r="FF25" i="5"/>
  <c r="FF117" i="5"/>
  <c r="CS9" i="25" s="1"/>
  <c r="FG129" i="5" l="1"/>
  <c r="BA125" i="5"/>
  <c r="CQ8" i="12"/>
  <c r="FF136" i="5"/>
  <c r="FF127" i="5" s="1"/>
  <c r="FF123" i="5"/>
  <c r="FF124" i="5"/>
  <c r="FF126" i="5"/>
  <c r="FF105" i="5"/>
  <c r="FF87" i="5"/>
  <c r="AZ87" i="5" s="1"/>
  <c r="FF85" i="5"/>
  <c r="AZ85" i="5" s="1"/>
  <c r="FE85" i="5"/>
  <c r="BA129" i="5" l="1"/>
  <c r="FG103" i="5"/>
  <c r="FF107" i="5"/>
  <c r="FG112" i="5" l="1"/>
  <c r="CR18" i="12"/>
  <c r="FF86" i="5"/>
  <c r="AZ86" i="5" s="1"/>
  <c r="FF79" i="5"/>
  <c r="AZ79" i="5" s="1"/>
  <c r="FF89" i="5" l="1"/>
  <c r="AZ89" i="5" s="1"/>
  <c r="FF59" i="5"/>
  <c r="FF33" i="5"/>
  <c r="FF34" i="5"/>
  <c r="FF35" i="5"/>
  <c r="CW29" i="25"/>
  <c r="CX29" i="25"/>
  <c r="CW5" i="25"/>
  <c r="CX5" i="25"/>
  <c r="CW4" i="25"/>
  <c r="CX4" i="25"/>
  <c r="FF38" i="5" l="1"/>
  <c r="FF42" i="5"/>
  <c r="FF40" i="5"/>
  <c r="FF41" i="5"/>
  <c r="CQ13" i="12"/>
  <c r="FF44" i="5"/>
  <c r="CQ10" i="12" l="1"/>
  <c r="CQ14" i="12" s="1"/>
  <c r="CQ16" i="12" s="1"/>
  <c r="FF60" i="5"/>
  <c r="FE124" i="5"/>
  <c r="FE46" i="5"/>
  <c r="FF62" i="5" l="1"/>
  <c r="FF68" i="5" s="1"/>
  <c r="FF70" i="5" s="1"/>
  <c r="CY262" i="249"/>
  <c r="CX262" i="249"/>
  <c r="CP22" i="12"/>
  <c r="FF101" i="5" l="1"/>
  <c r="CP36" i="12"/>
  <c r="CP38" i="12" s="1"/>
  <c r="CP39" i="12" s="1"/>
  <c r="FE39" i="5" s="1"/>
  <c r="CP28" i="12"/>
  <c r="CP29" i="12"/>
  <c r="CP30" i="12"/>
  <c r="CP21" i="12"/>
  <c r="CP15" i="12"/>
  <c r="CP5" i="12"/>
  <c r="CP6" i="12"/>
  <c r="CP7" i="12"/>
  <c r="CM50" i="188"/>
  <c r="CM52" i="188"/>
  <c r="CM53" i="188"/>
  <c r="CM54" i="188"/>
  <c r="CM55" i="188"/>
  <c r="CM56" i="188"/>
  <c r="CM26" i="188"/>
  <c r="CM27" i="188"/>
  <c r="CM6" i="188"/>
  <c r="CM7" i="188"/>
  <c r="CM8" i="188"/>
  <c r="CM9" i="188"/>
  <c r="CM10" i="188"/>
  <c r="CM11" i="188"/>
  <c r="CM12" i="188"/>
  <c r="CM13" i="188"/>
  <c r="CM34" i="188" s="1"/>
  <c r="CM40" i="188" s="1"/>
  <c r="CM14" i="188"/>
  <c r="CM15" i="188"/>
  <c r="CM16" i="188"/>
  <c r="CM17" i="188"/>
  <c r="CM18" i="188"/>
  <c r="CM19" i="188"/>
  <c r="CM20" i="188"/>
  <c r="AY63" i="5"/>
  <c r="AZ17" i="5"/>
  <c r="AZ18" i="5"/>
  <c r="AZ19" i="5"/>
  <c r="AZ20" i="5"/>
  <c r="AZ21" i="5"/>
  <c r="AZ22" i="5"/>
  <c r="AZ23" i="5"/>
  <c r="AZ26" i="5"/>
  <c r="AZ29" i="5"/>
  <c r="CY258" i="249"/>
  <c r="DB64" i="244"/>
  <c r="DB63" i="244"/>
  <c r="DB65" i="244" s="1"/>
  <c r="DB18" i="244"/>
  <c r="DB12" i="244"/>
  <c r="DB9" i="244"/>
  <c r="DB8" i="244"/>
  <c r="DB7" i="244"/>
  <c r="DB6" i="244"/>
  <c r="DB5" i="244"/>
  <c r="CY260" i="249"/>
  <c r="CS89" i="247"/>
  <c r="CS97" i="247" s="1"/>
  <c r="CR74" i="247"/>
  <c r="CR64" i="247"/>
  <c r="CR63" i="247"/>
  <c r="CR60" i="247"/>
  <c r="CR59" i="247"/>
  <c r="CR65" i="247" s="1"/>
  <c r="CR66" i="247" s="1"/>
  <c r="CR56" i="247"/>
  <c r="CR57" i="247" s="1"/>
  <c r="CR55" i="247"/>
  <c r="CR54" i="247"/>
  <c r="CR53" i="247"/>
  <c r="CR52" i="247"/>
  <c r="CR51" i="247"/>
  <c r="CR50" i="247"/>
  <c r="CR46" i="247"/>
  <c r="CR45" i="247"/>
  <c r="CR44" i="247"/>
  <c r="CR43" i="247"/>
  <c r="CR42" i="247"/>
  <c r="CR41" i="247"/>
  <c r="CR47" i="247" s="1"/>
  <c r="CR48" i="247" s="1"/>
  <c r="CR38" i="247"/>
  <c r="CR39" i="247" s="1"/>
  <c r="CR37" i="247"/>
  <c r="CR36" i="247"/>
  <c r="CR34" i="247"/>
  <c r="CR33" i="247"/>
  <c r="CR32" i="247"/>
  <c r="CR28" i="247"/>
  <c r="CR27" i="247"/>
  <c r="CR26" i="247"/>
  <c r="CR25" i="247"/>
  <c r="CR24" i="247"/>
  <c r="CR23" i="247"/>
  <c r="CR29" i="247" s="1"/>
  <c r="CR30" i="247" s="1"/>
  <c r="CR20" i="247"/>
  <c r="CR10" i="247"/>
  <c r="CR82" i="247" s="1"/>
  <c r="CR9" i="247"/>
  <c r="CR81" i="247" s="1"/>
  <c r="CR8" i="247"/>
  <c r="CR80" i="247" s="1"/>
  <c r="CR7" i="247"/>
  <c r="CR79" i="247" s="1"/>
  <c r="CR6" i="247"/>
  <c r="CR78" i="247" s="1"/>
  <c r="CR5" i="247"/>
  <c r="CR77" i="247" s="1"/>
  <c r="CR83" i="247" s="1"/>
  <c r="CR84" i="247" s="1"/>
  <c r="CQ82" i="246"/>
  <c r="CP82" i="246"/>
  <c r="CQ81" i="246"/>
  <c r="CP81" i="246"/>
  <c r="CQ80" i="246"/>
  <c r="CP80" i="246"/>
  <c r="CQ79" i="246"/>
  <c r="CP79" i="246"/>
  <c r="CQ78" i="246"/>
  <c r="CP78" i="246"/>
  <c r="CQ77" i="246"/>
  <c r="CP77" i="246"/>
  <c r="CQ72" i="246"/>
  <c r="CP72" i="246"/>
  <c r="CQ71" i="246"/>
  <c r="CP68" i="246"/>
  <c r="CQ67" i="246"/>
  <c r="CP27" i="12" s="1"/>
  <c r="CP67" i="246"/>
  <c r="CQ63" i="246"/>
  <c r="CQ61" i="246"/>
  <c r="CP61" i="246"/>
  <c r="CP71" i="246" s="1"/>
  <c r="CQ60" i="246"/>
  <c r="CQ70" i="246" s="1"/>
  <c r="CP60" i="246"/>
  <c r="CP70" i="246" s="1"/>
  <c r="CQ59" i="246"/>
  <c r="CQ69" i="246" s="1"/>
  <c r="CP59" i="246"/>
  <c r="CP69" i="246" s="1"/>
  <c r="CQ58" i="246"/>
  <c r="CQ68" i="246" s="1"/>
  <c r="CP58" i="246"/>
  <c r="CP63" i="246" s="1"/>
  <c r="CQ57" i="246"/>
  <c r="CP57" i="246"/>
  <c r="CQ52" i="246"/>
  <c r="CP52" i="246"/>
  <c r="CP85" i="246" s="1"/>
  <c r="CQ34" i="246"/>
  <c r="CQ41" i="246" s="1"/>
  <c r="CP34" i="246"/>
  <c r="CP41" i="246" s="1"/>
  <c r="CP26" i="246"/>
  <c r="CQ23" i="246"/>
  <c r="CQ26" i="246" s="1"/>
  <c r="CP23" i="246"/>
  <c r="CQ15" i="246"/>
  <c r="CP15" i="246"/>
  <c r="FF125" i="5"/>
  <c r="FF129" i="5" s="1"/>
  <c r="FE81" i="5"/>
  <c r="F11" i="225"/>
  <c r="F12" i="225"/>
  <c r="F13" i="225"/>
  <c r="D19" i="225"/>
  <c r="F15" i="225"/>
  <c r="F16" i="225"/>
  <c r="F17" i="225"/>
  <c r="F18" i="225"/>
  <c r="DB13" i="244" l="1"/>
  <c r="DB19" i="244" s="1"/>
  <c r="DB66" i="244" s="1"/>
  <c r="D21" i="225"/>
  <c r="FF103" i="5"/>
  <c r="FF112" i="5" s="1"/>
  <c r="CP88" i="246"/>
  <c r="CP89" i="246" s="1"/>
  <c r="CP83" i="246"/>
  <c r="CP73" i="246"/>
  <c r="CM32" i="188"/>
  <c r="CM38" i="188" s="1"/>
  <c r="CQ83" i="246"/>
  <c r="CQ88" i="246"/>
  <c r="CQ89" i="246" s="1"/>
  <c r="CQ85" i="246"/>
  <c r="CQ73" i="246"/>
  <c r="CP31" i="12" s="1"/>
  <c r="CM33" i="188"/>
  <c r="CM39" i="188" s="1"/>
  <c r="CM23" i="188"/>
  <c r="CY265" i="249"/>
  <c r="CP23" i="12" s="1"/>
  <c r="CY266" i="249"/>
  <c r="CP24" i="12" s="1"/>
  <c r="CR11" i="247"/>
  <c r="CR12" i="247" s="1"/>
  <c r="FE105" i="5"/>
  <c r="FE117" i="5"/>
  <c r="CR9" i="25" s="1"/>
  <c r="FE123" i="5"/>
  <c r="FE126" i="5"/>
  <c r="FE136" i="5"/>
  <c r="FE107" i="5" s="1"/>
  <c r="CQ18" i="12" l="1"/>
  <c r="CM41" i="188"/>
  <c r="FE127" i="5"/>
  <c r="CM43" i="188"/>
  <c r="CM51" i="188" s="1"/>
  <c r="CM57" i="188" s="1"/>
  <c r="FD85" i="5" l="1"/>
  <c r="FE87" i="5"/>
  <c r="FE86" i="5"/>
  <c r="FE79" i="5"/>
  <c r="FE59" i="5"/>
  <c r="FE33" i="5"/>
  <c r="FE34" i="5"/>
  <c r="FE40" i="5" s="1"/>
  <c r="FE35" i="5"/>
  <c r="FE41" i="5" s="1"/>
  <c r="FE25" i="5"/>
  <c r="BA42" i="5" s="1"/>
  <c r="FE38" i="5" l="1"/>
  <c r="FE42" i="5"/>
  <c r="CP8" i="12"/>
  <c r="CP13" i="12"/>
  <c r="FE89" i="5"/>
  <c r="FE44" i="5"/>
  <c r="FE60" i="5" l="1"/>
  <c r="CP10" i="12"/>
  <c r="CP14" i="12" s="1"/>
  <c r="CP16" i="12" s="1"/>
  <c r="FE62" i="5" l="1"/>
  <c r="FE101" i="5" s="1"/>
  <c r="DA46" i="185"/>
  <c r="FE68" i="5" l="1"/>
  <c r="FE70" i="5" s="1"/>
  <c r="DA40" i="185"/>
  <c r="DA33" i="185"/>
  <c r="DA23" i="185"/>
  <c r="DA24" i="185"/>
  <c r="DA25" i="185"/>
  <c r="DA18" i="185"/>
  <c r="DA10" i="185"/>
  <c r="FD46" i="5"/>
  <c r="AZ46" i="5" s="1"/>
  <c r="DA26" i="185" l="1"/>
  <c r="CO15" i="12"/>
  <c r="FD124" i="5"/>
  <c r="AZ124" i="5" s="1"/>
  <c r="AZ52" i="5"/>
  <c r="AZ51" i="5"/>
  <c r="AZ50" i="5"/>
  <c r="AZ49" i="5"/>
  <c r="AZ48" i="5"/>
  <c r="AZ45" i="5"/>
  <c r="AZ43" i="5"/>
  <c r="FE125" i="5"/>
  <c r="FE129" i="5" s="1"/>
  <c r="FE103" i="5" s="1"/>
  <c r="FD81" i="5"/>
  <c r="FE112" i="5" l="1"/>
  <c r="CP18" i="12"/>
  <c r="FD117" i="5"/>
  <c r="CL6" i="188"/>
  <c r="AG6" i="188" s="1"/>
  <c r="CL7" i="188"/>
  <c r="CL8" i="188"/>
  <c r="CL9" i="188"/>
  <c r="CL10" i="188"/>
  <c r="CL11" i="188"/>
  <c r="CL12" i="188"/>
  <c r="AG12" i="188" s="1"/>
  <c r="CL13" i="188"/>
  <c r="CL14" i="188"/>
  <c r="CL16" i="188"/>
  <c r="CL17" i="188"/>
  <c r="CL18" i="188"/>
  <c r="CL19" i="188"/>
  <c r="CL20" i="188"/>
  <c r="CL26" i="188"/>
  <c r="AG26" i="188" s="1"/>
  <c r="CL27" i="188"/>
  <c r="AG27" i="188" s="1"/>
  <c r="CL50" i="188"/>
  <c r="CL52" i="188"/>
  <c r="AG52" i="188" s="1"/>
  <c r="CL53" i="188"/>
  <c r="AG53" i="188" s="1"/>
  <c r="CL54" i="188"/>
  <c r="AG54" i="188" s="1"/>
  <c r="CL55" i="188"/>
  <c r="AG55" i="188" s="1"/>
  <c r="CL56" i="188"/>
  <c r="AG56" i="188" s="1"/>
  <c r="CL34" i="188" l="1"/>
  <c r="CL40" i="188" s="1"/>
  <c r="AG13" i="188"/>
  <c r="CL32" i="188"/>
  <c r="CL38" i="188" s="1"/>
  <c r="CL23" i="188"/>
  <c r="CL33" i="188"/>
  <c r="CL39" i="188" s="1"/>
  <c r="CL41" i="188" l="1"/>
  <c r="CL43" i="188"/>
  <c r="CL51" i="188" s="1"/>
  <c r="CL57" i="188" s="1"/>
  <c r="CZ10" i="185"/>
  <c r="CZ18" i="185"/>
  <c r="CZ23" i="185"/>
  <c r="CZ24" i="185"/>
  <c r="CZ25" i="185"/>
  <c r="CZ33" i="185"/>
  <c r="CZ40" i="185"/>
  <c r="CZ46" i="185"/>
  <c r="L263" i="249"/>
  <c r="M263" i="249"/>
  <c r="N263" i="249"/>
  <c r="O263" i="249"/>
  <c r="P263" i="249"/>
  <c r="Q263" i="249"/>
  <c r="R263" i="249"/>
  <c r="S263" i="249"/>
  <c r="T263" i="249"/>
  <c r="U263" i="249"/>
  <c r="V263" i="249"/>
  <c r="W263" i="249"/>
  <c r="X263" i="249"/>
  <c r="Y263" i="249"/>
  <c r="Z263" i="249"/>
  <c r="AA263" i="249"/>
  <c r="AB263" i="249"/>
  <c r="AC263" i="249"/>
  <c r="AD263" i="249"/>
  <c r="AE263" i="249"/>
  <c r="AF263" i="249"/>
  <c r="AG263" i="249"/>
  <c r="AH263" i="249"/>
  <c r="AI263" i="249"/>
  <c r="AJ263" i="249"/>
  <c r="AK263" i="249"/>
  <c r="AL263" i="249"/>
  <c r="AM263" i="249"/>
  <c r="AN263" i="249"/>
  <c r="AO263" i="249"/>
  <c r="AP263" i="249"/>
  <c r="AQ263" i="249"/>
  <c r="AR263" i="249"/>
  <c r="AS263" i="249"/>
  <c r="AT263" i="249"/>
  <c r="CZ26" i="185" l="1"/>
  <c r="AU263" i="249"/>
  <c r="AV263" i="249"/>
  <c r="AW263" i="249"/>
  <c r="AX263" i="249"/>
  <c r="AY263" i="249"/>
  <c r="AZ263" i="249"/>
  <c r="BA263" i="249"/>
  <c r="BB263" i="249"/>
  <c r="BC263" i="249"/>
  <c r="BD263" i="249"/>
  <c r="BE263" i="249"/>
  <c r="BF263" i="249"/>
  <c r="BG263" i="249"/>
  <c r="BH263" i="249"/>
  <c r="BI263" i="249"/>
  <c r="BJ263" i="249"/>
  <c r="BK263" i="249"/>
  <c r="BL263" i="249"/>
  <c r="BM263" i="249"/>
  <c r="BN263" i="249"/>
  <c r="BO263" i="249"/>
  <c r="BP263" i="249"/>
  <c r="BQ263" i="249"/>
  <c r="BR263" i="249"/>
  <c r="BS263" i="249"/>
  <c r="BT263" i="249"/>
  <c r="BU263" i="249"/>
  <c r="BV263" i="249"/>
  <c r="BW263" i="249"/>
  <c r="BX263" i="249"/>
  <c r="BY263" i="249"/>
  <c r="BZ263" i="249"/>
  <c r="CA263" i="249"/>
  <c r="CB263" i="249"/>
  <c r="CC263" i="249"/>
  <c r="CD263" i="249"/>
  <c r="CE263" i="249"/>
  <c r="CF263" i="249"/>
  <c r="CG263" i="249"/>
  <c r="CH263" i="249"/>
  <c r="CI263" i="249"/>
  <c r="CJ263" i="249"/>
  <c r="CK263" i="249"/>
  <c r="CL263" i="249"/>
  <c r="CM263" i="249"/>
  <c r="CN263" i="249"/>
  <c r="CO263" i="249"/>
  <c r="CP263" i="249"/>
  <c r="CQ263" i="249"/>
  <c r="CR263" i="249"/>
  <c r="CS263" i="249"/>
  <c r="CT263" i="249"/>
  <c r="CU263" i="249"/>
  <c r="CV263" i="249"/>
  <c r="CW263" i="249"/>
  <c r="CX263" i="249"/>
  <c r="CO36" i="12" l="1"/>
  <c r="CO38" i="12" s="1"/>
  <c r="CO39" i="12" s="1"/>
  <c r="FD39" i="5" s="1"/>
  <c r="CO5" i="12"/>
  <c r="CO6" i="12"/>
  <c r="CO7" i="12"/>
  <c r="CO21" i="12"/>
  <c r="CO27" i="12"/>
  <c r="CO28" i="12"/>
  <c r="CO29" i="12"/>
  <c r="CO30" i="12"/>
  <c r="CO31" i="12"/>
  <c r="FD16" i="5"/>
  <c r="AZ16" i="5" l="1"/>
  <c r="CL15" i="188"/>
  <c r="CQ5" i="247" l="1"/>
  <c r="DA12" i="244"/>
  <c r="DA9" i="244"/>
  <c r="FD136" i="5" l="1"/>
  <c r="FD127" i="5" s="1"/>
  <c r="AZ127" i="5" s="1"/>
  <c r="CQ9" i="25"/>
  <c r="FD123" i="5" l="1"/>
  <c r="AZ123" i="5" s="1"/>
  <c r="FD126" i="5"/>
  <c r="AZ126" i="5" s="1"/>
  <c r="FD105" i="5"/>
  <c r="FD107" i="5"/>
  <c r="FD108" i="5"/>
  <c r="FD87" i="5" l="1"/>
  <c r="FD86" i="5" l="1"/>
  <c r="AS22" i="12"/>
  <c r="AX22" i="12"/>
  <c r="BA22" i="12"/>
  <c r="BI22" i="12"/>
  <c r="BN22" i="12"/>
  <c r="BY22" i="12"/>
  <c r="CD22" i="12"/>
  <c r="CG22" i="12"/>
  <c r="CL22" i="12"/>
  <c r="CM23" i="12"/>
  <c r="AL21" i="12"/>
  <c r="AM21" i="12"/>
  <c r="AN21" i="12"/>
  <c r="AO21" i="12"/>
  <c r="AP21" i="12"/>
  <c r="AQ21" i="12"/>
  <c r="AR21" i="12"/>
  <c r="AS21" i="12"/>
  <c r="AT21" i="12"/>
  <c r="AU21" i="12"/>
  <c r="AV21" i="12"/>
  <c r="AW21" i="12"/>
  <c r="AX21" i="12"/>
  <c r="AY21" i="12"/>
  <c r="AZ21" i="12"/>
  <c r="BA21" i="12"/>
  <c r="BB21" i="12"/>
  <c r="BC21" i="12"/>
  <c r="BD21" i="12"/>
  <c r="BE21" i="12"/>
  <c r="BF21" i="12"/>
  <c r="BG21" i="12"/>
  <c r="BH21" i="12"/>
  <c r="BI21" i="12"/>
  <c r="BJ21" i="12"/>
  <c r="BK21" i="12"/>
  <c r="BL21" i="12"/>
  <c r="BM21" i="12"/>
  <c r="BN21" i="12"/>
  <c r="BO21" i="12"/>
  <c r="BP21" i="12"/>
  <c r="BQ21" i="12"/>
  <c r="BR21" i="12"/>
  <c r="BS21" i="12"/>
  <c r="BT21" i="12"/>
  <c r="BU21" i="12"/>
  <c r="BV21" i="12"/>
  <c r="BW21" i="12"/>
  <c r="BX21" i="12"/>
  <c r="BY21" i="12"/>
  <c r="BZ21" i="12"/>
  <c r="CA21" i="12"/>
  <c r="CB21" i="12"/>
  <c r="CC21" i="12"/>
  <c r="CD21" i="12"/>
  <c r="CE21" i="12"/>
  <c r="CF21" i="12"/>
  <c r="CG21" i="12"/>
  <c r="CH21" i="12"/>
  <c r="CI21" i="12"/>
  <c r="CJ21" i="12"/>
  <c r="CK21" i="12"/>
  <c r="CL21" i="12"/>
  <c r="CM21" i="12"/>
  <c r="CN21" i="12"/>
  <c r="Y265" i="249"/>
  <c r="AU266" i="249"/>
  <c r="L262" i="249"/>
  <c r="L265" i="249" s="1"/>
  <c r="M262" i="249"/>
  <c r="N262" i="249"/>
  <c r="O262" i="249"/>
  <c r="P262" i="249"/>
  <c r="Q262" i="249"/>
  <c r="R262" i="249"/>
  <c r="R265" i="249" s="1"/>
  <c r="S262" i="249"/>
  <c r="T262" i="249"/>
  <c r="T265" i="249" s="1"/>
  <c r="U262" i="249"/>
  <c r="V262" i="249"/>
  <c r="W262" i="249"/>
  <c r="X262" i="249"/>
  <c r="Y262" i="249"/>
  <c r="Z262" i="249"/>
  <c r="Z265" i="249" s="1"/>
  <c r="AA262" i="249"/>
  <c r="AA265" i="249" s="1"/>
  <c r="AB262" i="249"/>
  <c r="AB265" i="249" s="1"/>
  <c r="AC262" i="249"/>
  <c r="AC265" i="249" s="1"/>
  <c r="AD262" i="249"/>
  <c r="AD265" i="249" s="1"/>
  <c r="AE262" i="249"/>
  <c r="AE265" i="249" s="1"/>
  <c r="AF262" i="249"/>
  <c r="AG262" i="249"/>
  <c r="AH262" i="249"/>
  <c r="AH265" i="249" s="1"/>
  <c r="AI262" i="249"/>
  <c r="AJ262" i="249"/>
  <c r="AJ265" i="249" s="1"/>
  <c r="AK262" i="249"/>
  <c r="AL262" i="249"/>
  <c r="AM262" i="249"/>
  <c r="AN262" i="249"/>
  <c r="AO262" i="249"/>
  <c r="AO265" i="249" s="1"/>
  <c r="AP262" i="249"/>
  <c r="AP265" i="249" s="1"/>
  <c r="AQ262" i="249"/>
  <c r="AR262" i="249"/>
  <c r="AR265" i="249" s="1"/>
  <c r="AS262" i="249"/>
  <c r="AT262" i="249"/>
  <c r="AU262" i="249"/>
  <c r="AU265" i="249" s="1"/>
  <c r="AV262" i="249"/>
  <c r="AW262" i="249"/>
  <c r="AX262" i="249"/>
  <c r="AX265" i="249" s="1"/>
  <c r="AO23" i="12" s="1"/>
  <c r="AY262" i="249"/>
  <c r="AZ262" i="249"/>
  <c r="BA262" i="249"/>
  <c r="BB262" i="249"/>
  <c r="BC262" i="249"/>
  <c r="BC265" i="249" s="1"/>
  <c r="AT23" i="12" s="1"/>
  <c r="BD262" i="249"/>
  <c r="BE262" i="249"/>
  <c r="BF262" i="249"/>
  <c r="BF265" i="249" s="1"/>
  <c r="AW23" i="12" s="1"/>
  <c r="BG262" i="249"/>
  <c r="BH262" i="249"/>
  <c r="BH265" i="249" s="1"/>
  <c r="AY23" i="12" s="1"/>
  <c r="BI262" i="249"/>
  <c r="BJ262" i="249"/>
  <c r="BK262" i="249"/>
  <c r="BK265" i="249" s="1"/>
  <c r="BB23" i="12" s="1"/>
  <c r="BL262" i="249"/>
  <c r="BM262" i="249"/>
  <c r="BN262" i="249"/>
  <c r="BO262" i="249"/>
  <c r="BP262" i="249"/>
  <c r="BQ262" i="249"/>
  <c r="BR262" i="249"/>
  <c r="BS262" i="249"/>
  <c r="BS265" i="249" s="1"/>
  <c r="BJ23" i="12" s="1"/>
  <c r="BT262" i="249"/>
  <c r="BT265" i="249" s="1"/>
  <c r="BK23" i="12" s="1"/>
  <c r="BU262" i="249"/>
  <c r="BV262" i="249"/>
  <c r="BV265" i="249" s="1"/>
  <c r="BM23" i="12" s="1"/>
  <c r="BW262" i="249"/>
  <c r="BX262" i="249"/>
  <c r="BX265" i="249" s="1"/>
  <c r="BO23" i="12" s="1"/>
  <c r="BY262" i="249"/>
  <c r="BZ262" i="249"/>
  <c r="CA262" i="249"/>
  <c r="CB262" i="249"/>
  <c r="CC262" i="249"/>
  <c r="CD262" i="249"/>
  <c r="CD265" i="249" s="1"/>
  <c r="BU23" i="12" s="1"/>
  <c r="CE262" i="249"/>
  <c r="CE265" i="249" s="1"/>
  <c r="BV23" i="12" s="1"/>
  <c r="CF262" i="249"/>
  <c r="CF265" i="249" s="1"/>
  <c r="BW23" i="12" s="1"/>
  <c r="CG262" i="249"/>
  <c r="CH262" i="249"/>
  <c r="CI262" i="249"/>
  <c r="CI265" i="249" s="1"/>
  <c r="BZ23" i="12" s="1"/>
  <c r="CJ262" i="249"/>
  <c r="CK262" i="249"/>
  <c r="CL262" i="249"/>
  <c r="CL265" i="249" s="1"/>
  <c r="CC23" i="12" s="1"/>
  <c r="CM262" i="249"/>
  <c r="CN262" i="249"/>
  <c r="CN265" i="249" s="1"/>
  <c r="CE23" i="12" s="1"/>
  <c r="CO262" i="249"/>
  <c r="CP262" i="249"/>
  <c r="CQ262" i="249"/>
  <c r="CR262" i="249"/>
  <c r="CS262" i="249"/>
  <c r="CT262" i="249"/>
  <c r="CU262" i="249"/>
  <c r="CV262" i="249"/>
  <c r="CV265" i="249" s="1"/>
  <c r="CW262" i="249"/>
  <c r="L266" i="249"/>
  <c r="O266" i="249"/>
  <c r="Y266" i="249"/>
  <c r="AA266" i="249"/>
  <c r="AG266" i="249"/>
  <c r="AJ266" i="249"/>
  <c r="AX266" i="249"/>
  <c r="AO24" i="12" s="1"/>
  <c r="BB266" i="249"/>
  <c r="AS24" i="12" s="1"/>
  <c r="BH266" i="249"/>
  <c r="AY24" i="12" s="1"/>
  <c r="BK266" i="249"/>
  <c r="BB24" i="12" s="1"/>
  <c r="CM266" i="249"/>
  <c r="CD24" i="12" s="1"/>
  <c r="CX266" i="249"/>
  <c r="CO24" i="12" s="1"/>
  <c r="Q258" i="249"/>
  <c r="Q260" i="249" s="1"/>
  <c r="R258" i="249"/>
  <c r="R260" i="249" s="1"/>
  <c r="R266" i="249" s="1"/>
  <c r="S258" i="249"/>
  <c r="S260" i="249" s="1"/>
  <c r="S266" i="249" s="1"/>
  <c r="T258" i="249"/>
  <c r="T260" i="249" s="1"/>
  <c r="T266" i="249" s="1"/>
  <c r="U258" i="249"/>
  <c r="U260" i="249" s="1"/>
  <c r="U266" i="249" s="1"/>
  <c r="V258" i="249"/>
  <c r="W258" i="249"/>
  <c r="X258" i="249"/>
  <c r="X260" i="249" s="1"/>
  <c r="Y258" i="249"/>
  <c r="Z258" i="249"/>
  <c r="AA258" i="249"/>
  <c r="AB258" i="249"/>
  <c r="AC258" i="249"/>
  <c r="AC260" i="249" s="1"/>
  <c r="AD258" i="249"/>
  <c r="AD260" i="249" s="1"/>
  <c r="AE258" i="249"/>
  <c r="AE260" i="249" s="1"/>
  <c r="AF258" i="249"/>
  <c r="AF260" i="249" s="1"/>
  <c r="AF266" i="249" s="1"/>
  <c r="AG258" i="249"/>
  <c r="AG260" i="249" s="1"/>
  <c r="AH258" i="249"/>
  <c r="AH260" i="249" s="1"/>
  <c r="AH266" i="249" s="1"/>
  <c r="AI258" i="249"/>
  <c r="AI260" i="249" s="1"/>
  <c r="AI266" i="249" s="1"/>
  <c r="AJ258" i="249"/>
  <c r="AK258" i="249"/>
  <c r="AK260" i="249" s="1"/>
  <c r="AK266" i="249" s="1"/>
  <c r="AL258" i="249"/>
  <c r="AM258" i="249"/>
  <c r="AN258" i="249"/>
  <c r="AN260" i="249" s="1"/>
  <c r="AO258" i="249"/>
  <c r="AP258" i="249"/>
  <c r="AP260" i="249" s="1"/>
  <c r="AP266" i="249" s="1"/>
  <c r="AQ258" i="249"/>
  <c r="AQ260" i="249" s="1"/>
  <c r="AR258" i="249"/>
  <c r="AR260" i="249" s="1"/>
  <c r="AS258" i="249"/>
  <c r="AS260" i="249" s="1"/>
  <c r="AT258" i="249"/>
  <c r="AT260" i="249" s="1"/>
  <c r="AT266" i="249" s="1"/>
  <c r="AU258" i="249"/>
  <c r="AU260" i="249" s="1"/>
  <c r="AV258" i="249"/>
  <c r="AV260" i="249" s="1"/>
  <c r="AM22" i="12" s="1"/>
  <c r="AW258" i="249"/>
  <c r="AW260" i="249" s="1"/>
  <c r="AN22" i="12" s="1"/>
  <c r="AX258" i="249"/>
  <c r="AY258" i="249"/>
  <c r="AZ258" i="249"/>
  <c r="BA258" i="249"/>
  <c r="BB258" i="249"/>
  <c r="BC258" i="249"/>
  <c r="BD258" i="249"/>
  <c r="BE258" i="249"/>
  <c r="BE260" i="249" s="1"/>
  <c r="AV22" i="12" s="1"/>
  <c r="BF258" i="249"/>
  <c r="BF260" i="249" s="1"/>
  <c r="AW22" i="12" s="1"/>
  <c r="BG258" i="249"/>
  <c r="BG260" i="249" s="1"/>
  <c r="BH258" i="249"/>
  <c r="BH260" i="249" s="1"/>
  <c r="AY22" i="12" s="1"/>
  <c r="BI258" i="249"/>
  <c r="BI260" i="249" s="1"/>
  <c r="BI266" i="249" s="1"/>
  <c r="AZ24" i="12" s="1"/>
  <c r="BJ258" i="249"/>
  <c r="BJ260" i="249" s="1"/>
  <c r="BJ266" i="249" s="1"/>
  <c r="BA24" i="12" s="1"/>
  <c r="BK258" i="249"/>
  <c r="BK260" i="249" s="1"/>
  <c r="BB22" i="12" s="1"/>
  <c r="BL258" i="249"/>
  <c r="BL260" i="249" s="1"/>
  <c r="BM258" i="249"/>
  <c r="BN258" i="249"/>
  <c r="BN260" i="249" s="1"/>
  <c r="BO258" i="249"/>
  <c r="BP258" i="249"/>
  <c r="BQ258" i="249"/>
  <c r="BQ260" i="249" s="1"/>
  <c r="BR258" i="249"/>
  <c r="BS258" i="249"/>
  <c r="BS260" i="249" s="1"/>
  <c r="BJ22" i="12" s="1"/>
  <c r="BT258" i="249"/>
  <c r="BT260" i="249" s="1"/>
  <c r="BK22" i="12" s="1"/>
  <c r="BU258" i="249"/>
  <c r="BU260" i="249" s="1"/>
  <c r="BL22" i="12" s="1"/>
  <c r="BV258" i="249"/>
  <c r="BV260" i="249" s="1"/>
  <c r="BV266" i="249" s="1"/>
  <c r="BM24" i="12" s="1"/>
  <c r="BW258" i="249"/>
  <c r="BW260" i="249" s="1"/>
  <c r="BX258" i="249"/>
  <c r="BX260" i="249" s="1"/>
  <c r="BO22" i="12" s="1"/>
  <c r="BY258" i="249"/>
  <c r="BY260" i="249" s="1"/>
  <c r="BY266" i="249" s="1"/>
  <c r="BP24" i="12" s="1"/>
  <c r="BZ258" i="249"/>
  <c r="CA258" i="249"/>
  <c r="CB258" i="249"/>
  <c r="CB260" i="249" s="1"/>
  <c r="BS22" i="12" s="1"/>
  <c r="CC258" i="249"/>
  <c r="CD258" i="249"/>
  <c r="CD260" i="249" s="1"/>
  <c r="CE258" i="249"/>
  <c r="CF258" i="249"/>
  <c r="CG258" i="249"/>
  <c r="CG260" i="249" s="1"/>
  <c r="BX22" i="12" s="1"/>
  <c r="CH258" i="249"/>
  <c r="CH260" i="249" s="1"/>
  <c r="CI258" i="249"/>
  <c r="CI260" i="249" s="1"/>
  <c r="BZ22" i="12" s="1"/>
  <c r="CJ258" i="249"/>
  <c r="CJ260" i="249" s="1"/>
  <c r="CA22" i="12" s="1"/>
  <c r="CK258" i="249"/>
  <c r="CK260" i="249" s="1"/>
  <c r="CB22" i="12" s="1"/>
  <c r="CL258" i="249"/>
  <c r="CL260" i="249" s="1"/>
  <c r="CC22" i="12" s="1"/>
  <c r="CM258" i="249"/>
  <c r="CM260" i="249" s="1"/>
  <c r="CN258" i="249"/>
  <c r="CO258" i="249"/>
  <c r="CP258" i="249"/>
  <c r="CQ258" i="249"/>
  <c r="CR258" i="249"/>
  <c r="CR260" i="249" s="1"/>
  <c r="CS258" i="249"/>
  <c r="CT258" i="249"/>
  <c r="CT260" i="249" s="1"/>
  <c r="CU258" i="249"/>
  <c r="CU260" i="249" s="1"/>
  <c r="CV258" i="249"/>
  <c r="CV260" i="249" s="1"/>
  <c r="CM22" i="12" s="1"/>
  <c r="CW258" i="249"/>
  <c r="CW260" i="249" s="1"/>
  <c r="CN22" i="12" s="1"/>
  <c r="CX258" i="249"/>
  <c r="CX260" i="249" s="1"/>
  <c r="CO22" i="12" s="1"/>
  <c r="L260" i="249"/>
  <c r="M260" i="249"/>
  <c r="M266" i="249" s="1"/>
  <c r="N260" i="249"/>
  <c r="N266" i="249" s="1"/>
  <c r="O260" i="249"/>
  <c r="P260" i="249"/>
  <c r="P266" i="249" s="1"/>
  <c r="V260" i="249"/>
  <c r="V266" i="249" s="1"/>
  <c r="W260" i="249"/>
  <c r="W266" i="249" s="1"/>
  <c r="Y260" i="249"/>
  <c r="Z260" i="249"/>
  <c r="Z266" i="249" s="1"/>
  <c r="AA260" i="249"/>
  <c r="AB260" i="249"/>
  <c r="AB266" i="249" s="1"/>
  <c r="AJ260" i="249"/>
  <c r="AL260" i="249"/>
  <c r="AL266" i="249" s="1"/>
  <c r="AM260" i="249"/>
  <c r="AM266" i="249" s="1"/>
  <c r="AO260" i="249"/>
  <c r="AO266" i="249" s="1"/>
  <c r="AX260" i="249"/>
  <c r="AO22" i="12" s="1"/>
  <c r="AY260" i="249"/>
  <c r="AP22" i="12" s="1"/>
  <c r="AZ260" i="249"/>
  <c r="AQ22" i="12" s="1"/>
  <c r="BA260" i="249"/>
  <c r="AR22" i="12" s="1"/>
  <c r="BB260" i="249"/>
  <c r="BC260" i="249"/>
  <c r="BC266" i="249" s="1"/>
  <c r="AT24" i="12" s="1"/>
  <c r="BD260" i="249"/>
  <c r="AU22" i="12" s="1"/>
  <c r="BM260" i="249"/>
  <c r="BM266" i="249" s="1"/>
  <c r="BD24" i="12" s="1"/>
  <c r="BO260" i="249"/>
  <c r="BO266" i="249" s="1"/>
  <c r="BF24" i="12" s="1"/>
  <c r="BP260" i="249"/>
  <c r="BP265" i="249" s="1"/>
  <c r="BG23" i="12" s="1"/>
  <c r="BR260" i="249"/>
  <c r="BR265" i="249" s="1"/>
  <c r="BI23" i="12" s="1"/>
  <c r="BZ260" i="249"/>
  <c r="BQ22" i="12" s="1"/>
  <c r="CA260" i="249"/>
  <c r="BR22" i="12" s="1"/>
  <c r="CC260" i="249"/>
  <c r="BT22" i="12" s="1"/>
  <c r="CE260" i="249"/>
  <c r="CE266" i="249" s="1"/>
  <c r="BV24" i="12" s="1"/>
  <c r="CF260" i="249"/>
  <c r="CF266" i="249" s="1"/>
  <c r="BW24" i="12" s="1"/>
  <c r="CN260" i="249"/>
  <c r="CE22" i="12" s="1"/>
  <c r="CO260" i="249"/>
  <c r="CO266" i="249" s="1"/>
  <c r="CF24" i="12" s="1"/>
  <c r="CP260" i="249"/>
  <c r="CP266" i="249" s="1"/>
  <c r="CG24" i="12" s="1"/>
  <c r="CQ260" i="249"/>
  <c r="CQ266" i="249" s="1"/>
  <c r="CH24" i="12" s="1"/>
  <c r="CS260" i="249"/>
  <c r="CJ22" i="12" s="1"/>
  <c r="CY22" i="12" s="1"/>
  <c r="L250" i="249"/>
  <c r="M250" i="249"/>
  <c r="N250" i="249"/>
  <c r="O250" i="249"/>
  <c r="P250" i="249"/>
  <c r="Q250" i="249"/>
  <c r="R250" i="249"/>
  <c r="S250" i="249"/>
  <c r="T250" i="249"/>
  <c r="U250" i="249"/>
  <c r="V250" i="249"/>
  <c r="W250" i="249"/>
  <c r="X250" i="249"/>
  <c r="Y250" i="249"/>
  <c r="Z250" i="249"/>
  <c r="AA250" i="249"/>
  <c r="AC250" i="249"/>
  <c r="AD250" i="249"/>
  <c r="AE250" i="249"/>
  <c r="AF250" i="249"/>
  <c r="AG250" i="249"/>
  <c r="AH250" i="249"/>
  <c r="AI250" i="249"/>
  <c r="AJ250" i="249"/>
  <c r="AK250" i="249"/>
  <c r="AL250" i="249"/>
  <c r="AM250" i="249"/>
  <c r="AN250" i="249"/>
  <c r="AO250" i="249"/>
  <c r="AP250" i="249"/>
  <c r="AQ250" i="249"/>
  <c r="AR250" i="249"/>
  <c r="AS250" i="249"/>
  <c r="AT250" i="249"/>
  <c r="AU250" i="249"/>
  <c r="AV250" i="249"/>
  <c r="AW250" i="249"/>
  <c r="AX250" i="249"/>
  <c r="AY250" i="249"/>
  <c r="AZ250" i="249"/>
  <c r="BA250" i="249"/>
  <c r="BB250" i="249"/>
  <c r="BC250" i="249"/>
  <c r="BD250" i="249"/>
  <c r="BE250" i="249"/>
  <c r="BF250" i="249"/>
  <c r="BG250" i="249"/>
  <c r="BH250" i="249"/>
  <c r="BI250" i="249"/>
  <c r="BJ250" i="249"/>
  <c r="BK250" i="249"/>
  <c r="BL250" i="249"/>
  <c r="BM250" i="249"/>
  <c r="BN250" i="249"/>
  <c r="BO250" i="249"/>
  <c r="BP250" i="249"/>
  <c r="BQ250" i="249"/>
  <c r="BR250" i="249"/>
  <c r="BS250" i="249"/>
  <c r="BT250" i="249"/>
  <c r="BU250" i="249"/>
  <c r="BV250" i="249"/>
  <c r="BW250" i="249"/>
  <c r="L251" i="249"/>
  <c r="M251" i="249"/>
  <c r="N251" i="249"/>
  <c r="O251" i="249"/>
  <c r="P251" i="249"/>
  <c r="Q251" i="249"/>
  <c r="R251" i="249"/>
  <c r="S251" i="249"/>
  <c r="T251" i="249"/>
  <c r="U251" i="249"/>
  <c r="V251" i="249"/>
  <c r="W251" i="249"/>
  <c r="X251" i="249"/>
  <c r="Y251" i="249"/>
  <c r="Z251" i="249"/>
  <c r="AA251" i="249"/>
  <c r="AC251" i="249"/>
  <c r="AD251" i="249"/>
  <c r="AE251" i="249"/>
  <c r="AF251" i="249"/>
  <c r="AG251" i="249"/>
  <c r="AH251" i="249"/>
  <c r="AI251" i="249"/>
  <c r="AJ251" i="249"/>
  <c r="AK251" i="249"/>
  <c r="AL251" i="249"/>
  <c r="AM251" i="249"/>
  <c r="AN251" i="249"/>
  <c r="AO251" i="249"/>
  <c r="AP251" i="249"/>
  <c r="AQ251" i="249"/>
  <c r="AR251" i="249"/>
  <c r="AS251" i="249"/>
  <c r="AT251" i="249"/>
  <c r="AU251" i="249"/>
  <c r="AV251" i="249"/>
  <c r="AW251" i="249"/>
  <c r="AX251" i="249"/>
  <c r="AY251" i="249"/>
  <c r="AZ251" i="249"/>
  <c r="BA251" i="249"/>
  <c r="BB251" i="249"/>
  <c r="BC251" i="249"/>
  <c r="BD251" i="249"/>
  <c r="BE251" i="249"/>
  <c r="BF251" i="249"/>
  <c r="BG251" i="249"/>
  <c r="BH251" i="249"/>
  <c r="BI251" i="249"/>
  <c r="BJ251" i="249"/>
  <c r="BK251" i="249"/>
  <c r="BL251" i="249"/>
  <c r="BM251" i="249"/>
  <c r="BN251" i="249"/>
  <c r="BO251" i="249"/>
  <c r="BP251" i="249"/>
  <c r="BQ251" i="249"/>
  <c r="BR251" i="249"/>
  <c r="BS251" i="249"/>
  <c r="BT251" i="249"/>
  <c r="L252" i="249"/>
  <c r="M252" i="249"/>
  <c r="N252" i="249"/>
  <c r="O252" i="249"/>
  <c r="P252" i="249"/>
  <c r="Q252" i="249"/>
  <c r="R252" i="249"/>
  <c r="S252" i="249"/>
  <c r="T252" i="249"/>
  <c r="U252" i="249"/>
  <c r="V252" i="249"/>
  <c r="W252" i="249"/>
  <c r="X252" i="249"/>
  <c r="Y252" i="249"/>
  <c r="Z252" i="249"/>
  <c r="AA252" i="249"/>
  <c r="AC252" i="249"/>
  <c r="AD252" i="249"/>
  <c r="AE252" i="249"/>
  <c r="AF252" i="249"/>
  <c r="AG252" i="249"/>
  <c r="AH252" i="249"/>
  <c r="AI252" i="249"/>
  <c r="AJ252" i="249"/>
  <c r="AK252" i="249"/>
  <c r="AL252" i="249"/>
  <c r="AM252" i="249"/>
  <c r="AN252" i="249"/>
  <c r="AO252" i="249"/>
  <c r="AP252" i="249"/>
  <c r="AQ252" i="249"/>
  <c r="AR252" i="249"/>
  <c r="AS252" i="249"/>
  <c r="AT252" i="249"/>
  <c r="AU252" i="249"/>
  <c r="AV252" i="249"/>
  <c r="AW252" i="249"/>
  <c r="AX252" i="249"/>
  <c r="AY252" i="249"/>
  <c r="AZ252" i="249"/>
  <c r="BA252" i="249"/>
  <c r="BB252" i="249"/>
  <c r="BC252" i="249"/>
  <c r="BD252" i="249"/>
  <c r="BE252" i="249"/>
  <c r="BF252" i="249"/>
  <c r="BG252" i="249"/>
  <c r="BH252" i="249"/>
  <c r="BI252" i="249"/>
  <c r="BJ252" i="249"/>
  <c r="BK252" i="249"/>
  <c r="BL252" i="249"/>
  <c r="BM252" i="249"/>
  <c r="BN252" i="249"/>
  <c r="BO252" i="249"/>
  <c r="BP252" i="249"/>
  <c r="BQ252" i="249"/>
  <c r="BR252" i="249"/>
  <c r="BS252" i="249"/>
  <c r="BT252" i="249"/>
  <c r="L253" i="249"/>
  <c r="M253" i="249"/>
  <c r="N253" i="249"/>
  <c r="O253" i="249"/>
  <c r="P253" i="249"/>
  <c r="Q253" i="249"/>
  <c r="R253" i="249"/>
  <c r="S253" i="249"/>
  <c r="T253" i="249"/>
  <c r="U253" i="249"/>
  <c r="V253" i="249"/>
  <c r="W253" i="249"/>
  <c r="X253" i="249"/>
  <c r="Y253" i="249"/>
  <c r="Z253" i="249"/>
  <c r="AA253" i="249"/>
  <c r="AC253" i="249"/>
  <c r="AD253" i="249"/>
  <c r="AE253" i="249"/>
  <c r="AF253" i="249"/>
  <c r="AG253" i="249"/>
  <c r="AH253" i="249"/>
  <c r="AI253" i="249"/>
  <c r="AJ253" i="249"/>
  <c r="AK253" i="249"/>
  <c r="AL253" i="249"/>
  <c r="AM253" i="249"/>
  <c r="AN253" i="249"/>
  <c r="AO253" i="249"/>
  <c r="AP253" i="249"/>
  <c r="AQ253" i="249"/>
  <c r="AR253" i="249"/>
  <c r="AS253" i="249"/>
  <c r="AT253" i="249"/>
  <c r="AU253" i="249"/>
  <c r="AV253" i="249"/>
  <c r="AW253" i="249"/>
  <c r="AX253" i="249"/>
  <c r="AY253" i="249"/>
  <c r="AZ253" i="249"/>
  <c r="BA253" i="249"/>
  <c r="BB253" i="249"/>
  <c r="BC253" i="249"/>
  <c r="BD253" i="249"/>
  <c r="BE253" i="249"/>
  <c r="BF253" i="249"/>
  <c r="BG253" i="249"/>
  <c r="BH253" i="249"/>
  <c r="BI253" i="249"/>
  <c r="BJ253" i="249"/>
  <c r="BK253" i="249"/>
  <c r="BL253" i="249"/>
  <c r="BM253" i="249"/>
  <c r="BN253" i="249"/>
  <c r="BO253" i="249"/>
  <c r="BP253" i="249"/>
  <c r="BQ253" i="249"/>
  <c r="BR253" i="249"/>
  <c r="BS253" i="249"/>
  <c r="BT253" i="249"/>
  <c r="L254" i="249"/>
  <c r="M254" i="249"/>
  <c r="N254" i="249"/>
  <c r="O254" i="249"/>
  <c r="P254" i="249"/>
  <c r="Q254" i="249"/>
  <c r="R254" i="249"/>
  <c r="S254" i="249"/>
  <c r="T254" i="249"/>
  <c r="U254" i="249"/>
  <c r="V254" i="249"/>
  <c r="W254" i="249"/>
  <c r="X254" i="249"/>
  <c r="Y254" i="249"/>
  <c r="Z254" i="249"/>
  <c r="AA254" i="249"/>
  <c r="AC254" i="249"/>
  <c r="AD254" i="249"/>
  <c r="AE254" i="249"/>
  <c r="AF254" i="249"/>
  <c r="AG254" i="249"/>
  <c r="AH254" i="249"/>
  <c r="AI254" i="249"/>
  <c r="AJ254" i="249"/>
  <c r="AK254" i="249"/>
  <c r="AL254" i="249"/>
  <c r="AM254" i="249"/>
  <c r="AN254" i="249"/>
  <c r="AO254" i="249"/>
  <c r="AP254" i="249"/>
  <c r="AQ254" i="249"/>
  <c r="AR254" i="249"/>
  <c r="AS254" i="249"/>
  <c r="AT254" i="249"/>
  <c r="AU254" i="249"/>
  <c r="AV254" i="249"/>
  <c r="AW254" i="249"/>
  <c r="AX254" i="249"/>
  <c r="AY254" i="249"/>
  <c r="AZ254" i="249"/>
  <c r="BA254" i="249"/>
  <c r="BB254" i="249"/>
  <c r="BC254" i="249"/>
  <c r="BD254" i="249"/>
  <c r="BE254" i="249"/>
  <c r="BF254" i="249"/>
  <c r="BG254" i="249"/>
  <c r="BH254" i="249"/>
  <c r="BI254" i="249"/>
  <c r="BJ254" i="249"/>
  <c r="BK254" i="249"/>
  <c r="BL254" i="249"/>
  <c r="BM254" i="249"/>
  <c r="BN254" i="249"/>
  <c r="BO254" i="249"/>
  <c r="BP254" i="249"/>
  <c r="BQ254" i="249"/>
  <c r="BR254" i="249"/>
  <c r="BS254" i="249"/>
  <c r="BT254" i="249"/>
  <c r="AB211" i="249"/>
  <c r="AB251" i="249" s="1"/>
  <c r="FC87" i="5"/>
  <c r="FC85" i="5"/>
  <c r="FD79" i="5"/>
  <c r="FD47" i="5"/>
  <c r="FD33" i="5"/>
  <c r="AZ33" i="5" s="1"/>
  <c r="AZ38" i="5" s="1"/>
  <c r="FD34" i="5"/>
  <c r="AZ34" i="5" s="1"/>
  <c r="AZ40" i="5" s="1"/>
  <c r="FD35" i="5"/>
  <c r="AZ35" i="5" s="1"/>
  <c r="AZ41" i="5" s="1"/>
  <c r="FD25" i="5"/>
  <c r="AZ25" i="5" s="1"/>
  <c r="DA64" i="244"/>
  <c r="FD40" i="5" l="1"/>
  <c r="AZ47" i="5"/>
  <c r="FD89" i="5"/>
  <c r="CO8" i="12"/>
  <c r="BC22" i="12"/>
  <c r="BL266" i="249"/>
  <c r="BC24" i="12" s="1"/>
  <c r="BQ265" i="249"/>
  <c r="BH23" i="12" s="1"/>
  <c r="BQ266" i="249"/>
  <c r="BH24" i="12" s="1"/>
  <c r="BH22" i="12"/>
  <c r="CR265" i="249"/>
  <c r="CI23" i="12" s="1"/>
  <c r="CI22" i="12"/>
  <c r="CR266" i="249"/>
  <c r="CI24" i="12" s="1"/>
  <c r="AN266" i="249"/>
  <c r="AN265" i="249"/>
  <c r="CK22" i="12"/>
  <c r="CT266" i="249"/>
  <c r="CK24" i="12" s="1"/>
  <c r="CD266" i="249"/>
  <c r="BU24" i="12" s="1"/>
  <c r="BU22" i="12"/>
  <c r="BN266" i="249"/>
  <c r="BE24" i="12" s="1"/>
  <c r="BE22" i="12"/>
  <c r="CN266" i="249"/>
  <c r="CE24" i="12" s="1"/>
  <c r="CC266" i="249"/>
  <c r="BT24" i="12" s="1"/>
  <c r="BA266" i="249"/>
  <c r="AR24" i="12" s="1"/>
  <c r="CU265" i="249"/>
  <c r="CL23" i="12" s="1"/>
  <c r="CM265" i="249"/>
  <c r="CD23" i="12" s="1"/>
  <c r="BW265" i="249"/>
  <c r="BN23" i="12" s="1"/>
  <c r="BG265" i="249"/>
  <c r="AX23" i="12" s="1"/>
  <c r="AQ265" i="249"/>
  <c r="AI265" i="249"/>
  <c r="S265" i="249"/>
  <c r="AV266" i="249"/>
  <c r="AM24" i="12" s="1"/>
  <c r="CH22" i="12"/>
  <c r="AT22" i="12"/>
  <c r="BZ266" i="249"/>
  <c r="BQ24" i="12" s="1"/>
  <c r="CT265" i="249"/>
  <c r="CK23" i="12" s="1"/>
  <c r="AB253" i="249"/>
  <c r="CL266" i="249"/>
  <c r="CC24" i="12" s="1"/>
  <c r="BR266" i="249"/>
  <c r="BI24" i="12" s="1"/>
  <c r="AW266" i="249"/>
  <c r="AN24" i="12" s="1"/>
  <c r="CS265" i="249"/>
  <c r="CJ23" i="12" s="1"/>
  <c r="CY23" i="12" s="1"/>
  <c r="CK265" i="249"/>
  <c r="CB23" i="12" s="1"/>
  <c r="CC265" i="249"/>
  <c r="BT23" i="12" s="1"/>
  <c r="BU265" i="249"/>
  <c r="BL23" i="12" s="1"/>
  <c r="BE265" i="249"/>
  <c r="AV23" i="12" s="1"/>
  <c r="AW265" i="249"/>
  <c r="AN23" i="12" s="1"/>
  <c r="AG265" i="249"/>
  <c r="Q265" i="249"/>
  <c r="CF22" i="12"/>
  <c r="BP22" i="12"/>
  <c r="AZ22" i="12"/>
  <c r="AB250" i="249"/>
  <c r="CS266" i="249"/>
  <c r="CJ24" i="12" s="1"/>
  <c r="CY24" i="12" s="1"/>
  <c r="CK266" i="249"/>
  <c r="CB24" i="12" s="1"/>
  <c r="CJ265" i="249"/>
  <c r="CA23" i="12" s="1"/>
  <c r="BL265" i="249"/>
  <c r="BC23" i="12" s="1"/>
  <c r="BD265" i="249"/>
  <c r="AU23" i="12" s="1"/>
  <c r="AV265" i="249"/>
  <c r="AM23" i="12" s="1"/>
  <c r="AF265" i="249"/>
  <c r="P265" i="249"/>
  <c r="BW22" i="12"/>
  <c r="BG22" i="12"/>
  <c r="CJ266" i="249"/>
  <c r="CA24" i="12" s="1"/>
  <c r="BP266" i="249"/>
  <c r="BG24" i="12" s="1"/>
  <c r="CQ265" i="249"/>
  <c r="CH23" i="12" s="1"/>
  <c r="O265" i="249"/>
  <c r="BV22" i="12"/>
  <c r="BF22" i="12"/>
  <c r="BD266" i="249"/>
  <c r="AU24" i="12" s="1"/>
  <c r="CX265" i="249"/>
  <c r="CO23" i="12" s="1"/>
  <c r="CH265" i="249"/>
  <c r="BY23" i="12" s="1"/>
  <c r="BZ265" i="249"/>
  <c r="BQ23" i="12" s="1"/>
  <c r="BJ265" i="249"/>
  <c r="BA23" i="12" s="1"/>
  <c r="BB265" i="249"/>
  <c r="AS23" i="12" s="1"/>
  <c r="AT265" i="249"/>
  <c r="V265" i="249"/>
  <c r="N265" i="249"/>
  <c r="BM22" i="12"/>
  <c r="CW265" i="249"/>
  <c r="CN23" i="12" s="1"/>
  <c r="CG265" i="249"/>
  <c r="BX23" i="12" s="1"/>
  <c r="BY265" i="249"/>
  <c r="BP23" i="12" s="1"/>
  <c r="BI265" i="249"/>
  <c r="AZ23" i="12" s="1"/>
  <c r="BA265" i="249"/>
  <c r="AR23" i="12" s="1"/>
  <c r="AS265" i="249"/>
  <c r="U265" i="249"/>
  <c r="M265" i="249"/>
  <c r="BD22" i="12"/>
  <c r="AB252" i="249"/>
  <c r="BX266" i="249"/>
  <c r="BO24" i="12" s="1"/>
  <c r="BW266" i="249"/>
  <c r="BN24" i="12" s="1"/>
  <c r="CA266" i="249"/>
  <c r="BR24" i="12" s="1"/>
  <c r="AY266" i="249"/>
  <c r="AP24" i="12" s="1"/>
  <c r="FD41" i="5"/>
  <c r="FD38" i="5"/>
  <c r="FD59" i="5"/>
  <c r="AZ59" i="5" s="1"/>
  <c r="T268" i="249"/>
  <c r="K21" i="12" s="1"/>
  <c r="R268" i="249"/>
  <c r="I21" i="12" s="1"/>
  <c r="M268" i="249"/>
  <c r="D21" i="12" s="1"/>
  <c r="S268" i="249"/>
  <c r="J21" i="12" s="1"/>
  <c r="N268" i="249"/>
  <c r="E21" i="12" s="1"/>
  <c r="L268" i="249"/>
  <c r="C21" i="12" s="1"/>
  <c r="P268" i="249"/>
  <c r="G21" i="12" s="1"/>
  <c r="CV266" i="249"/>
  <c r="CM24" i="12" s="1"/>
  <c r="CH266" i="249"/>
  <c r="BY24" i="12" s="1"/>
  <c r="BT266" i="249"/>
  <c r="BK24" i="12" s="1"/>
  <c r="BF266" i="249"/>
  <c r="AW24" i="12" s="1"/>
  <c r="AR266" i="249"/>
  <c r="AD266" i="249"/>
  <c r="CO265" i="249"/>
  <c r="CF23" i="12" s="1"/>
  <c r="CA265" i="249"/>
  <c r="BR23" i="12" s="1"/>
  <c r="BM265" i="249"/>
  <c r="BD23" i="12" s="1"/>
  <c r="AY265" i="249"/>
  <c r="AP23" i="12" s="1"/>
  <c r="AK265" i="249"/>
  <c r="W265" i="249"/>
  <c r="CB266" i="249"/>
  <c r="BS24" i="12" s="1"/>
  <c r="AZ266" i="249"/>
  <c r="AQ24" i="12" s="1"/>
  <c r="X266" i="249"/>
  <c r="BO265" i="249"/>
  <c r="BF23" i="12" s="1"/>
  <c r="AM265" i="249"/>
  <c r="Q268" i="249"/>
  <c r="H21" i="12" s="1"/>
  <c r="CW266" i="249"/>
  <c r="CN24" i="12" s="1"/>
  <c r="CI266" i="249"/>
  <c r="BZ24" i="12" s="1"/>
  <c r="BU266" i="249"/>
  <c r="BL24" i="12" s="1"/>
  <c r="BG266" i="249"/>
  <c r="AX24" i="12" s="1"/>
  <c r="AS266" i="249"/>
  <c r="AE266" i="249"/>
  <c r="Q266" i="249"/>
  <c r="CP265" i="249"/>
  <c r="CG23" i="12" s="1"/>
  <c r="CB265" i="249"/>
  <c r="BS23" i="12" s="1"/>
  <c r="BN265" i="249"/>
  <c r="BE23" i="12" s="1"/>
  <c r="AZ265" i="249"/>
  <c r="AQ23" i="12" s="1"/>
  <c r="AL265" i="249"/>
  <c r="X265" i="249"/>
  <c r="O268" i="249"/>
  <c r="F21" i="12" s="1"/>
  <c r="CU266" i="249"/>
  <c r="CL24" i="12" s="1"/>
  <c r="CG266" i="249"/>
  <c r="BX24" i="12" s="1"/>
  <c r="BS266" i="249"/>
  <c r="BJ24" i="12" s="1"/>
  <c r="BE266" i="249"/>
  <c r="AV24" i="12" s="1"/>
  <c r="AQ266" i="249"/>
  <c r="AC266" i="249"/>
  <c r="AB254" i="249"/>
  <c r="FD44" i="5"/>
  <c r="AZ44" i="5" s="1"/>
  <c r="FD42" i="5"/>
  <c r="AZ42" i="5" l="1"/>
  <c r="CO13" i="12"/>
  <c r="CO10" i="12"/>
  <c r="FD60" i="5"/>
  <c r="AZ60" i="5" s="1"/>
  <c r="DA18" i="244"/>
  <c r="DA8" i="244"/>
  <c r="DA7" i="244"/>
  <c r="DA6" i="244"/>
  <c r="DA5" i="244"/>
  <c r="DA63" i="244"/>
  <c r="DA65" i="244" s="1"/>
  <c r="FD62" i="5" l="1"/>
  <c r="AZ62" i="5" s="1"/>
  <c r="CO14" i="12"/>
  <c r="CO16" i="12" s="1"/>
  <c r="DA13" i="244"/>
  <c r="DA19" i="244" s="1"/>
  <c r="DA66" i="244" s="1"/>
  <c r="FD101" i="5" l="1"/>
  <c r="AZ101" i="5" s="1"/>
  <c r="FD68" i="5"/>
  <c r="AZ68" i="5" s="1"/>
  <c r="CQ56" i="247"/>
  <c r="CQ64" i="247"/>
  <c r="CQ63" i="247"/>
  <c r="CQ60" i="247"/>
  <c r="CQ59" i="247"/>
  <c r="CQ55" i="247"/>
  <c r="CQ54" i="247"/>
  <c r="CQ53" i="247"/>
  <c r="CQ52" i="247"/>
  <c r="CQ51" i="247"/>
  <c r="CQ50" i="247"/>
  <c r="CQ46" i="247"/>
  <c r="CQ45" i="247"/>
  <c r="CQ44" i="247"/>
  <c r="CQ43" i="247"/>
  <c r="CQ42" i="247"/>
  <c r="CQ41" i="247"/>
  <c r="CQ37" i="247"/>
  <c r="CQ36" i="247"/>
  <c r="CQ35" i="247"/>
  <c r="CQ34" i="247"/>
  <c r="CQ33" i="247"/>
  <c r="CQ32" i="247"/>
  <c r="CQ28" i="247"/>
  <c r="CQ27" i="247"/>
  <c r="CQ26" i="247"/>
  <c r="CQ25" i="247"/>
  <c r="CQ24" i="247"/>
  <c r="CQ23" i="247"/>
  <c r="CR89" i="247"/>
  <c r="CQ10" i="247"/>
  <c r="CQ9" i="247"/>
  <c r="CQ8" i="247"/>
  <c r="CQ7" i="247"/>
  <c r="CQ6" i="247"/>
  <c r="FD70" i="5" l="1"/>
  <c r="AZ70" i="5" s="1"/>
  <c r="CR97" i="247"/>
  <c r="CQ79" i="247"/>
  <c r="CQ80" i="247"/>
  <c r="CQ82" i="247"/>
  <c r="CQ11" i="247"/>
  <c r="CQ20" i="247"/>
  <c r="CQ29" i="247"/>
  <c r="CQ30" i="247" s="1"/>
  <c r="CQ38" i="247"/>
  <c r="CQ39" i="247" s="1"/>
  <c r="CQ47" i="247"/>
  <c r="CQ48" i="247" s="1"/>
  <c r="CQ57" i="247"/>
  <c r="CQ81" i="247"/>
  <c r="CQ65" i="247"/>
  <c r="CQ66" i="247" s="1"/>
  <c r="CQ74" i="247"/>
  <c r="CQ78" i="247"/>
  <c r="CQ12" i="247" l="1"/>
  <c r="CQ77" i="247"/>
  <c r="CQ83" i="247" s="1"/>
  <c r="CQ84" i="247" s="1"/>
  <c r="EQ59" i="5"/>
  <c r="EY46" i="5"/>
  <c r="FB46" i="5" l="1"/>
  <c r="AY61" i="5"/>
  <c r="AX61" i="5"/>
  <c r="O56" i="215"/>
  <c r="BA56" i="215"/>
  <c r="AZ56" i="215"/>
  <c r="AY56" i="215"/>
  <c r="AX56" i="215"/>
  <c r="EX41" i="215"/>
  <c r="EW41" i="215"/>
  <c r="EV41" i="215"/>
  <c r="EU41" i="215"/>
  <c r="ET41" i="215"/>
  <c r="ES41" i="215"/>
  <c r="ER41" i="215"/>
  <c r="EQ41" i="215"/>
  <c r="EP41" i="215"/>
  <c r="EO41" i="215"/>
  <c r="EN41" i="215"/>
  <c r="EM41" i="215"/>
  <c r="FC46" i="5"/>
  <c r="FA46" i="5"/>
  <c r="EZ46" i="5"/>
  <c r="EZ59" i="5" s="1"/>
  <c r="EY47" i="5"/>
  <c r="EZ47" i="5"/>
  <c r="FA47" i="5"/>
  <c r="FB47" i="5"/>
  <c r="FC47" i="5"/>
  <c r="EX47" i="5"/>
  <c r="FD125" i="5" l="1"/>
  <c r="AZ125" i="5" s="1"/>
  <c r="EX46" i="5"/>
  <c r="FC59" i="5"/>
  <c r="O61" i="5"/>
  <c r="FD129" i="5" l="1"/>
  <c r="AZ129" i="5" s="1"/>
  <c r="CK52" i="188"/>
  <c r="CK53" i="188"/>
  <c r="CK54" i="188"/>
  <c r="CK55" i="188"/>
  <c r="CK56" i="188"/>
  <c r="CK35" i="188"/>
  <c r="CK50" i="188"/>
  <c r="CK6" i="188"/>
  <c r="CK7" i="188"/>
  <c r="CK8" i="188"/>
  <c r="CK9" i="188"/>
  <c r="CK10" i="188"/>
  <c r="CK11" i="188"/>
  <c r="CK12" i="188"/>
  <c r="CK13" i="188"/>
  <c r="CK34" i="188" s="1"/>
  <c r="CK40" i="188" s="1"/>
  <c r="CK14" i="188"/>
  <c r="CK16" i="188"/>
  <c r="CK17" i="188"/>
  <c r="CK18" i="188"/>
  <c r="CK19" i="188"/>
  <c r="CK20" i="188"/>
  <c r="CK26" i="188"/>
  <c r="CK27" i="188"/>
  <c r="CY46" i="185"/>
  <c r="FD103" i="5" l="1"/>
  <c r="CK33" i="188"/>
  <c r="CK39" i="188" s="1"/>
  <c r="CK23" i="188"/>
  <c r="CK32" i="188"/>
  <c r="CK38" i="188" s="1"/>
  <c r="CY40" i="185"/>
  <c r="CY33" i="185"/>
  <c r="CY23" i="185"/>
  <c r="CY24" i="185"/>
  <c r="CY25" i="185"/>
  <c r="CY18" i="185"/>
  <c r="CY10" i="185"/>
  <c r="CQ89" i="247"/>
  <c r="CQ97" i="247" s="1"/>
  <c r="CP74" i="247"/>
  <c r="CP59" i="247"/>
  <c r="CP62" i="247"/>
  <c r="CP63" i="247"/>
  <c r="CP64" i="247"/>
  <c r="CP65" i="247"/>
  <c r="CP66" i="247" s="1"/>
  <c r="CP50" i="247"/>
  <c r="CP51" i="247"/>
  <c r="CP52" i="247"/>
  <c r="CP53" i="247"/>
  <c r="CP54" i="247"/>
  <c r="CP55" i="247"/>
  <c r="CP56" i="247"/>
  <c r="CP57" i="247"/>
  <c r="CP41" i="247"/>
  <c r="CP47" i="247" s="1"/>
  <c r="CP48" i="247" s="1"/>
  <c r="CP42" i="247"/>
  <c r="CP43" i="247"/>
  <c r="CP44" i="247"/>
  <c r="CP45" i="247"/>
  <c r="CP46" i="247"/>
  <c r="CP32" i="247"/>
  <c r="CP33" i="247"/>
  <c r="CP34" i="247"/>
  <c r="CP35" i="247"/>
  <c r="CP36" i="247"/>
  <c r="CP37" i="247"/>
  <c r="CP38" i="247"/>
  <c r="CP39" i="247"/>
  <c r="CP23" i="247"/>
  <c r="CP29" i="247" s="1"/>
  <c r="CP30" i="247" s="1"/>
  <c r="CP24" i="247"/>
  <c r="CP25" i="247"/>
  <c r="CP26" i="247"/>
  <c r="CP27" i="247"/>
  <c r="CP28" i="247"/>
  <c r="CP20" i="247"/>
  <c r="CP5" i="247"/>
  <c r="CP77" i="247" s="1"/>
  <c r="CP6" i="247"/>
  <c r="CP78" i="247" s="1"/>
  <c r="CP7" i="247"/>
  <c r="CP79" i="247" s="1"/>
  <c r="CP8" i="247"/>
  <c r="CP80" i="247" s="1"/>
  <c r="CP9" i="247"/>
  <c r="CP81" i="247" s="1"/>
  <c r="CP10" i="247"/>
  <c r="CP82" i="247" s="1"/>
  <c r="CP11" i="247"/>
  <c r="CP12" i="247"/>
  <c r="CO69" i="246"/>
  <c r="CO72" i="246"/>
  <c r="CO77" i="246"/>
  <c r="CO78" i="246"/>
  <c r="CO79" i="246"/>
  <c r="CO80" i="246"/>
  <c r="CO81" i="246"/>
  <c r="CO82" i="246"/>
  <c r="CO57" i="246"/>
  <c r="CO67" i="246" s="1"/>
  <c r="CO58" i="246"/>
  <c r="CO68" i="246" s="1"/>
  <c r="CO59" i="246"/>
  <c r="CO60" i="246"/>
  <c r="CO70" i="246" s="1"/>
  <c r="CO61" i="246"/>
  <c r="CO71" i="246" s="1"/>
  <c r="CO52" i="246"/>
  <c r="CO85" i="246" s="1"/>
  <c r="CO34" i="246"/>
  <c r="CO41" i="246" s="1"/>
  <c r="CO23" i="246"/>
  <c r="CO26" i="246" s="1"/>
  <c r="CO15" i="246"/>
  <c r="CZ63" i="244"/>
  <c r="CZ64" i="244"/>
  <c r="CZ18" i="244"/>
  <c r="CZ12" i="244"/>
  <c r="CZ5" i="244"/>
  <c r="CZ6" i="244"/>
  <c r="CZ7" i="244"/>
  <c r="CZ8" i="244"/>
  <c r="CZ9" i="244"/>
  <c r="CZ65" i="244" l="1"/>
  <c r="CY26" i="185"/>
  <c r="CZ13" i="244"/>
  <c r="CZ19" i="244" s="1"/>
  <c r="CO83" i="246"/>
  <c r="FD112" i="5"/>
  <c r="CO18" i="12"/>
  <c r="CK43" i="188"/>
  <c r="CK51" i="188" s="1"/>
  <c r="CK57" i="188" s="1"/>
  <c r="CK41" i="188"/>
  <c r="CP83" i="247"/>
  <c r="CP84" i="247" s="1"/>
  <c r="CO63" i="246"/>
  <c r="CO73" i="246" s="1"/>
  <c r="CO88" i="246"/>
  <c r="CO89" i="246" s="1"/>
  <c r="CZ66" i="244"/>
  <c r="CN5" i="12" l="1"/>
  <c r="CN6" i="12"/>
  <c r="CN7" i="12"/>
  <c r="CN13" i="12"/>
  <c r="CN27" i="12"/>
  <c r="CN28" i="12"/>
  <c r="CN29" i="12"/>
  <c r="CN30" i="12"/>
  <c r="CN31" i="12"/>
  <c r="CN36" i="12"/>
  <c r="CN38" i="12" s="1"/>
  <c r="CN39" i="12" s="1"/>
  <c r="FC39" i="5" s="1"/>
  <c r="AY75" i="5"/>
  <c r="AY73" i="5"/>
  <c r="AY93" i="5"/>
  <c r="AY92" i="5"/>
  <c r="AY91" i="5"/>
  <c r="AY88" i="5"/>
  <c r="AY84" i="5"/>
  <c r="AY82" i="5"/>
  <c r="AY80" i="5"/>
  <c r="AY78" i="5"/>
  <c r="AY77" i="5"/>
  <c r="AY76" i="5"/>
  <c r="FC16" i="5"/>
  <c r="AY83" i="5"/>
  <c r="FC81" i="5"/>
  <c r="FC136" i="5"/>
  <c r="FC127" i="5" s="1"/>
  <c r="FC123" i="5"/>
  <c r="FC124" i="5"/>
  <c r="FC126" i="5"/>
  <c r="FC105" i="5"/>
  <c r="FC108" i="5"/>
  <c r="CK15" i="188" l="1"/>
  <c r="AY81" i="5"/>
  <c r="FC117" i="5"/>
  <c r="FC107" i="5"/>
  <c r="FC79" i="5" l="1"/>
  <c r="AY79" i="5" s="1"/>
  <c r="AY87" i="5" l="1"/>
  <c r="FC33" i="5"/>
  <c r="FC38" i="5" s="1"/>
  <c r="FC34" i="5"/>
  <c r="FC40" i="5" s="1"/>
  <c r="FC35" i="5"/>
  <c r="FC41" i="5" s="1"/>
  <c r="FC25" i="5"/>
  <c r="FC44" i="5" l="1"/>
  <c r="CN10" i="12" s="1"/>
  <c r="CN14" i="12" s="1"/>
  <c r="CN16" i="12" s="1"/>
  <c r="CN8" i="12"/>
  <c r="FC42" i="5"/>
  <c r="AY85" i="5"/>
  <c r="FC86" i="5"/>
  <c r="FB124" i="5"/>
  <c r="FC60" i="5" l="1"/>
  <c r="FC62" i="5" s="1"/>
  <c r="FC101" i="5" s="1"/>
  <c r="AY86" i="5"/>
  <c r="FC89" i="5"/>
  <c r="FA108" i="5"/>
  <c r="FB108" i="5"/>
  <c r="FB126" i="5"/>
  <c r="EY127" i="5"/>
  <c r="EY126" i="5"/>
  <c r="EX127" i="5"/>
  <c r="EX108" i="5"/>
  <c r="EW126" i="5"/>
  <c r="CS43" i="25"/>
  <c r="CP43" i="25"/>
  <c r="CQ38" i="25"/>
  <c r="CR38" i="25"/>
  <c r="CS38" i="25"/>
  <c r="CT38" i="25"/>
  <c r="CU38" i="25"/>
  <c r="CV38" i="25"/>
  <c r="CQ14" i="25"/>
  <c r="CR14" i="25" s="1"/>
  <c r="CS14" i="25" s="1"/>
  <c r="CT14" i="25" s="1"/>
  <c r="CU14" i="25" s="1"/>
  <c r="CV14" i="25" s="1"/>
  <c r="CW14" i="25" s="1"/>
  <c r="CY14" i="25" s="1"/>
  <c r="CQ29" i="25"/>
  <c r="CR29" i="25"/>
  <c r="CS29" i="25"/>
  <c r="CT29" i="25"/>
  <c r="CU29" i="25"/>
  <c r="CV29" i="25"/>
  <c r="CZ14" i="25" l="1"/>
  <c r="CY16" i="25"/>
  <c r="FC68" i="5"/>
  <c r="FC70" i="5" s="1"/>
  <c r="AY89" i="5"/>
  <c r="CJ14" i="188"/>
  <c r="CJ15" i="188"/>
  <c r="CJ16" i="188"/>
  <c r="CJ17" i="188"/>
  <c r="CJ18" i="188"/>
  <c r="CJ19" i="188"/>
  <c r="CJ20" i="188"/>
  <c r="FB81" i="5"/>
  <c r="AY7" i="5"/>
  <c r="DA14" i="25" l="1"/>
  <c r="CZ16" i="25"/>
  <c r="CL36" i="12"/>
  <c r="CL38" i="12" s="1"/>
  <c r="CM5" i="12"/>
  <c r="CM6" i="12"/>
  <c r="CM7" i="12"/>
  <c r="CM27" i="12"/>
  <c r="CM28" i="12"/>
  <c r="CM29" i="12"/>
  <c r="CM36" i="12"/>
  <c r="CM38" i="12" s="1"/>
  <c r="CM39" i="12" s="1"/>
  <c r="FB39" i="5" s="1"/>
  <c r="DB14" i="25" l="1"/>
  <c r="DB16" i="25" s="1"/>
  <c r="DA16" i="25"/>
  <c r="CJ52" i="188"/>
  <c r="CJ53" i="188"/>
  <c r="CJ54" i="188"/>
  <c r="CJ55" i="188"/>
  <c r="CJ56" i="188"/>
  <c r="CJ50" i="188"/>
  <c r="CJ26" i="188"/>
  <c r="CJ27" i="188"/>
  <c r="CP89" i="247"/>
  <c r="CP97" i="247" s="1"/>
  <c r="CO74" i="247"/>
  <c r="CO64" i="247"/>
  <c r="CO63" i="247"/>
  <c r="CO61" i="247"/>
  <c r="CO60" i="247"/>
  <c r="CO59" i="247"/>
  <c r="CO65" i="247" s="1"/>
  <c r="CO66" i="247" s="1"/>
  <c r="CO55" i="247"/>
  <c r="CO54" i="247"/>
  <c r="CO53" i="247"/>
  <c r="CO52" i="247"/>
  <c r="CO51" i="247"/>
  <c r="CO50" i="247"/>
  <c r="CO56" i="247" s="1"/>
  <c r="CO57" i="247" s="1"/>
  <c r="CO47" i="247"/>
  <c r="CO48" i="247" s="1"/>
  <c r="CO46" i="247"/>
  <c r="CO45" i="247"/>
  <c r="CO44" i="247"/>
  <c r="CO43" i="247"/>
  <c r="CO42" i="247"/>
  <c r="CO41" i="247"/>
  <c r="CO37" i="247"/>
  <c r="CO36" i="247"/>
  <c r="CO35" i="247"/>
  <c r="CO34" i="247"/>
  <c r="CO33" i="247"/>
  <c r="CO32" i="247"/>
  <c r="CO38" i="247" s="1"/>
  <c r="CO39" i="247" s="1"/>
  <c r="CO28" i="247"/>
  <c r="CO82" i="247" s="1"/>
  <c r="CO27" i="247"/>
  <c r="CO81" i="247" s="1"/>
  <c r="CO26" i="247"/>
  <c r="CO80" i="247" s="1"/>
  <c r="CO25" i="247"/>
  <c r="CO29" i="247" s="1"/>
  <c r="CO30" i="247" s="1"/>
  <c r="CO24" i="247"/>
  <c r="CO23" i="247"/>
  <c r="CO20" i="247"/>
  <c r="CO10" i="247"/>
  <c r="CO9" i="247"/>
  <c r="CO8" i="247"/>
  <c r="CO7" i="247"/>
  <c r="CO6" i="247"/>
  <c r="CO78" i="247" s="1"/>
  <c r="CO5" i="247"/>
  <c r="CO77" i="247" s="1"/>
  <c r="CN82" i="246"/>
  <c r="CN81" i="246"/>
  <c r="CN80" i="246"/>
  <c r="CN79" i="246"/>
  <c r="CN78" i="246"/>
  <c r="CN77" i="246"/>
  <c r="CN72" i="246"/>
  <c r="CN71" i="246"/>
  <c r="CN70" i="246"/>
  <c r="CM30" i="12" s="1"/>
  <c r="CN69" i="246"/>
  <c r="CN68" i="246"/>
  <c r="CN67" i="246"/>
  <c r="CN63" i="246"/>
  <c r="CN73" i="246" s="1"/>
  <c r="CM31" i="12" s="1"/>
  <c r="CN61" i="246"/>
  <c r="CN60" i="246"/>
  <c r="CN59" i="246"/>
  <c r="CN58" i="246"/>
  <c r="CN57" i="246"/>
  <c r="CN52" i="246"/>
  <c r="CN88" i="246" s="1"/>
  <c r="CN89" i="246" s="1"/>
  <c r="CN34" i="246"/>
  <c r="CN41" i="246" s="1"/>
  <c r="CN26" i="246"/>
  <c r="CN23" i="246"/>
  <c r="CN15" i="246"/>
  <c r="CY63" i="244"/>
  <c r="CY65" i="244" s="1"/>
  <c r="CY18" i="244"/>
  <c r="CY12" i="244"/>
  <c r="CY9" i="244"/>
  <c r="CY8" i="244"/>
  <c r="CY7" i="244"/>
  <c r="CY6" i="244"/>
  <c r="CY5" i="244"/>
  <c r="CY13" i="244" s="1"/>
  <c r="CY19" i="244" s="1"/>
  <c r="FB84" i="5"/>
  <c r="FC125" i="5" s="1"/>
  <c r="FC129" i="5" s="1"/>
  <c r="FC103" i="5" s="1"/>
  <c r="AY46" i="5" l="1"/>
  <c r="FC112" i="5"/>
  <c r="CN18" i="12"/>
  <c r="CY66" i="244"/>
  <c r="CN85" i="246"/>
  <c r="CN83" i="246"/>
  <c r="CO83" i="247"/>
  <c r="CO84" i="247" s="1"/>
  <c r="CO79" i="247"/>
  <c r="CO11" i="247"/>
  <c r="CO12" i="247" s="1"/>
  <c r="CJ6" i="188"/>
  <c r="CJ32" i="188" s="1"/>
  <c r="CJ7" i="188"/>
  <c r="CJ8" i="188"/>
  <c r="CJ9" i="188"/>
  <c r="CJ10" i="188"/>
  <c r="CJ11" i="188"/>
  <c r="CJ12" i="188"/>
  <c r="CJ13" i="188"/>
  <c r="CJ34" i="188" s="1"/>
  <c r="CJ40" i="188" s="1"/>
  <c r="CQ4" i="25"/>
  <c r="CR4" i="25"/>
  <c r="CR5" i="25" s="1"/>
  <c r="CS4" i="25"/>
  <c r="CT4" i="25" s="1"/>
  <c r="CQ5" i="25"/>
  <c r="CS5" i="25"/>
  <c r="FB35" i="5"/>
  <c r="CJ38" i="188" l="1"/>
  <c r="CJ23" i="188"/>
  <c r="CJ33" i="188"/>
  <c r="CJ39" i="188" s="1"/>
  <c r="CU4" i="25"/>
  <c r="CT5" i="25"/>
  <c r="FB123" i="5"/>
  <c r="FB136" i="5"/>
  <c r="FB127" i="5" s="1"/>
  <c r="FB105" i="5"/>
  <c r="FB79" i="5"/>
  <c r="FB87" i="5"/>
  <c r="FB85" i="5"/>
  <c r="FB59" i="5"/>
  <c r="FB33" i="5"/>
  <c r="FB34" i="5"/>
  <c r="FB25" i="5"/>
  <c r="FB86" i="5" l="1"/>
  <c r="CM13" i="12"/>
  <c r="CM8" i="12"/>
  <c r="FB107" i="5"/>
  <c r="CJ43" i="188"/>
  <c r="CJ51" i="188" s="1"/>
  <c r="CJ57" i="188" s="1"/>
  <c r="CJ41" i="188"/>
  <c r="CU5" i="25"/>
  <c r="CV4" i="25"/>
  <c r="FB40" i="5"/>
  <c r="FB41" i="5"/>
  <c r="FB38" i="5"/>
  <c r="FB44" i="5"/>
  <c r="FB60" i="5" s="1"/>
  <c r="FB42" i="5"/>
  <c r="FB62" i="5" l="1"/>
  <c r="FB68" i="5" s="1"/>
  <c r="FB70" i="5" s="1"/>
  <c r="FB89" i="5"/>
  <c r="CM10" i="12"/>
  <c r="CM14" i="12" s="1"/>
  <c r="CM16" i="12" s="1"/>
  <c r="CV5" i="25"/>
  <c r="FB101" i="5" l="1"/>
  <c r="CX46" i="185"/>
  <c r="CX40" i="185"/>
  <c r="CX33" i="185"/>
  <c r="CX23" i="185"/>
  <c r="CX24" i="185"/>
  <c r="CX25" i="185"/>
  <c r="CX10" i="185"/>
  <c r="CX18" i="185"/>
  <c r="CX26" i="185" s="1"/>
  <c r="FA126" i="5" l="1"/>
  <c r="AY126" i="5" s="1"/>
  <c r="FA124" i="5"/>
  <c r="AY124" i="5" s="1"/>
  <c r="FA123" i="5"/>
  <c r="AY123" i="5" s="1"/>
  <c r="AX7" i="5"/>
  <c r="O7" i="5" l="1"/>
  <c r="AX73" i="5"/>
  <c r="AY69" i="5"/>
  <c r="AX69" i="5"/>
  <c r="AX64" i="5"/>
  <c r="AX65" i="5"/>
  <c r="AX66" i="5"/>
  <c r="AX67" i="5"/>
  <c r="AX63" i="5"/>
  <c r="AY64" i="5"/>
  <c r="AY65" i="5"/>
  <c r="AY66" i="5"/>
  <c r="AY67" i="5"/>
  <c r="AY47" i="5"/>
  <c r="AY48" i="5"/>
  <c r="AY49" i="5"/>
  <c r="AY50" i="5"/>
  <c r="AY51" i="5"/>
  <c r="AY52" i="5"/>
  <c r="AY53" i="5"/>
  <c r="AY54" i="5"/>
  <c r="AY55" i="5"/>
  <c r="AY56" i="5"/>
  <c r="AY57" i="5"/>
  <c r="AY58" i="5"/>
  <c r="AX47" i="5"/>
  <c r="AX48" i="5"/>
  <c r="AX49" i="5"/>
  <c r="AX50" i="5"/>
  <c r="AX51" i="5"/>
  <c r="AX52" i="5"/>
  <c r="AX53" i="5"/>
  <c r="AX54" i="5"/>
  <c r="AX55" i="5"/>
  <c r="AX56" i="5"/>
  <c r="AX57" i="5"/>
  <c r="AX58" i="5"/>
  <c r="AX46" i="5"/>
  <c r="AX29" i="5"/>
  <c r="AX28" i="5"/>
  <c r="AX14" i="5"/>
  <c r="AX13" i="5"/>
  <c r="AX9" i="5"/>
  <c r="AX10" i="5"/>
  <c r="AX11" i="5"/>
  <c r="AX12" i="5"/>
  <c r="AX8" i="5"/>
  <c r="AY29" i="5"/>
  <c r="AY28" i="5"/>
  <c r="AY13" i="5"/>
  <c r="AY14" i="5"/>
  <c r="AY8" i="5"/>
  <c r="AY9" i="5"/>
  <c r="AY10" i="5"/>
  <c r="AY11" i="5"/>
  <c r="AY12" i="5"/>
  <c r="FA117" i="5"/>
  <c r="O28" i="5" l="1"/>
  <c r="O8" i="5"/>
  <c r="O12" i="5"/>
  <c r="O10" i="5"/>
  <c r="O11" i="5"/>
  <c r="O9" i="5"/>
  <c r="O13" i="5"/>
  <c r="FB125" i="5" l="1"/>
  <c r="FB129" i="5" s="1"/>
  <c r="FB103" i="5" s="1"/>
  <c r="FB112" i="5" s="1"/>
  <c r="FA81" i="5"/>
  <c r="CW46" i="185"/>
  <c r="CW23" i="185"/>
  <c r="CW24" i="185"/>
  <c r="CW25" i="185"/>
  <c r="CW10" i="185"/>
  <c r="CW18" i="185"/>
  <c r="CW40" i="185"/>
  <c r="CW33" i="185"/>
  <c r="CI19" i="188"/>
  <c r="CI16" i="188"/>
  <c r="CI20" i="188"/>
  <c r="CI15" i="188"/>
  <c r="CM18" i="12" l="1"/>
  <c r="CW26" i="185"/>
  <c r="FA87" i="5"/>
  <c r="FA85" i="5"/>
  <c r="EZ20" i="5"/>
  <c r="CI14" i="188"/>
  <c r="CI17" i="188"/>
  <c r="CI18" i="188"/>
  <c r="CH17" i="188"/>
  <c r="CH20" i="188"/>
  <c r="EZ16" i="5"/>
  <c r="CI6" i="188"/>
  <c r="AF6" i="188" s="1"/>
  <c r="CI7" i="188"/>
  <c r="CI8" i="188"/>
  <c r="CI9" i="188"/>
  <c r="CI10" i="188"/>
  <c r="CI11" i="188"/>
  <c r="CI12" i="188"/>
  <c r="AF12" i="188" s="1"/>
  <c r="CI13" i="188"/>
  <c r="AF13" i="188" s="1"/>
  <c r="CI26" i="188"/>
  <c r="AF26" i="188" s="1"/>
  <c r="CI27" i="188"/>
  <c r="AF27" i="188" s="1"/>
  <c r="CI28" i="188"/>
  <c r="AF28" i="188" s="1"/>
  <c r="CI50" i="188"/>
  <c r="CI52" i="188"/>
  <c r="AF52" i="188" s="1"/>
  <c r="CI53" i="188"/>
  <c r="AF53" i="188" s="1"/>
  <c r="CI54" i="188"/>
  <c r="AF54" i="188" s="1"/>
  <c r="CI55" i="188"/>
  <c r="AF55" i="188" s="1"/>
  <c r="CI56" i="188"/>
  <c r="AF56" i="188" s="1"/>
  <c r="CH19" i="188" l="1"/>
  <c r="CH15" i="188"/>
  <c r="CI34" i="188"/>
  <c r="CI40" i="188" s="1"/>
  <c r="CI33" i="188"/>
  <c r="CI39" i="188" s="1"/>
  <c r="CI32" i="188"/>
  <c r="CI23" i="188"/>
  <c r="CI41" i="188" l="1"/>
  <c r="CI43" i="188"/>
  <c r="CI51" i="188" s="1"/>
  <c r="CI57" i="188" s="1"/>
  <c r="CI38" i="188"/>
  <c r="Y4" i="225" l="1"/>
  <c r="X4" i="225"/>
  <c r="W4" i="225"/>
  <c r="V4" i="225"/>
  <c r="U4" i="225"/>
  <c r="T4" i="225"/>
  <c r="S4" i="225"/>
  <c r="Q4" i="225"/>
  <c r="O4" i="225"/>
  <c r="N4" i="225"/>
  <c r="M4" i="225"/>
  <c r="K4" i="225"/>
  <c r="J4" i="225"/>
  <c r="I4" i="225"/>
  <c r="H4" i="225"/>
  <c r="G4" i="225"/>
  <c r="Y3" i="225"/>
  <c r="X3" i="225"/>
  <c r="W3" i="225"/>
  <c r="V3" i="225"/>
  <c r="U3" i="225"/>
  <c r="T3" i="225"/>
  <c r="S3" i="225"/>
  <c r="Q3" i="225"/>
  <c r="P3" i="225"/>
  <c r="O3" i="225"/>
  <c r="N3" i="225"/>
  <c r="M3" i="225"/>
  <c r="L3" i="225"/>
  <c r="K3" i="225"/>
  <c r="J3" i="225"/>
  <c r="I3" i="225"/>
  <c r="H3" i="225"/>
  <c r="D25" i="225" l="1"/>
  <c r="D27" i="225" s="1"/>
  <c r="CP9" i="25"/>
  <c r="CQ8" i="25" s="1"/>
  <c r="CN9" i="25" l="1"/>
  <c r="CO8" i="25" s="1"/>
  <c r="CO9" i="25"/>
  <c r="FA105" i="5"/>
  <c r="FA136" i="5"/>
  <c r="FA127" i="5" s="1"/>
  <c r="AY127" i="5" l="1"/>
  <c r="FA107" i="5"/>
  <c r="FA86" i="5"/>
  <c r="CL5" i="12"/>
  <c r="CL6" i="12"/>
  <c r="CL7" i="12"/>
  <c r="CL28" i="12"/>
  <c r="CL29" i="12"/>
  <c r="CL30" i="12"/>
  <c r="CL39" i="12"/>
  <c r="FA39" i="5" s="1"/>
  <c r="FA79" i="5"/>
  <c r="FA59" i="5"/>
  <c r="FA33" i="5"/>
  <c r="FA34" i="5"/>
  <c r="FA35" i="5"/>
  <c r="FA25" i="5"/>
  <c r="AY59" i="5" l="1"/>
  <c r="AY25" i="5"/>
  <c r="AY34" i="5"/>
  <c r="AY40" i="5" s="1"/>
  <c r="AY33" i="5"/>
  <c r="AY38" i="5" s="1"/>
  <c r="AY35" i="5"/>
  <c r="AY41" i="5" s="1"/>
  <c r="CL13" i="12"/>
  <c r="CL8" i="12"/>
  <c r="FA41" i="5"/>
  <c r="FA40" i="5"/>
  <c r="FA38" i="5"/>
  <c r="FA89" i="5"/>
  <c r="FA42" i="5"/>
  <c r="FA44" i="5"/>
  <c r="FA60" i="5" s="1"/>
  <c r="FA62" i="5" l="1"/>
  <c r="AY62" i="5" s="1"/>
  <c r="AY60" i="5"/>
  <c r="AY42" i="5"/>
  <c r="AY44" i="5"/>
  <c r="CL10" i="12"/>
  <c r="CL14" i="12" s="1"/>
  <c r="CL16" i="12" s="1"/>
  <c r="FA68" i="5" l="1"/>
  <c r="FA101" i="5"/>
  <c r="AY101" i="5" s="1"/>
  <c r="FA70" i="5" l="1"/>
  <c r="AY70" i="5" s="1"/>
  <c r="AY68" i="5"/>
  <c r="CX64" i="244" l="1"/>
  <c r="CX18" i="244" l="1"/>
  <c r="CX12" i="244"/>
  <c r="CX9" i="244"/>
  <c r="CX8" i="244"/>
  <c r="CX7" i="244"/>
  <c r="CX6" i="244"/>
  <c r="CX5" i="244" l="1"/>
  <c r="CX13" i="244" l="1"/>
  <c r="CX63" i="244"/>
  <c r="CX65" i="244" s="1"/>
  <c r="CX19" i="244"/>
  <c r="CX66" i="244" l="1"/>
  <c r="CM57" i="246"/>
  <c r="CM58" i="246"/>
  <c r="CM68" i="246" s="1"/>
  <c r="CM59" i="246"/>
  <c r="CM69" i="246" s="1"/>
  <c r="CM60" i="246"/>
  <c r="CM70" i="246" s="1"/>
  <c r="CM61" i="246"/>
  <c r="CM71" i="246" s="1"/>
  <c r="CM77" i="246"/>
  <c r="CM78" i="246"/>
  <c r="CM79" i="246"/>
  <c r="CM80" i="246"/>
  <c r="CM81" i="246"/>
  <c r="CM82" i="246"/>
  <c r="CM67" i="246"/>
  <c r="CL27" i="12" s="1"/>
  <c r="CM72" i="246"/>
  <c r="CM52" i="246"/>
  <c r="CM88" i="246" s="1"/>
  <c r="CM89" i="246" s="1"/>
  <c r="CM34" i="246"/>
  <c r="CM41" i="246" s="1"/>
  <c r="CM23" i="246"/>
  <c r="CM15" i="246"/>
  <c r="CM26" i="246" l="1"/>
  <c r="CM63" i="246"/>
  <c r="CM73" i="246" s="1"/>
  <c r="CL31" i="12" s="1"/>
  <c r="CM83" i="246"/>
  <c r="CM85" i="246"/>
  <c r="CO89" i="247" l="1"/>
  <c r="CN34" i="247"/>
  <c r="CN36" i="247"/>
  <c r="CN64" i="247" l="1"/>
  <c r="CN63" i="247"/>
  <c r="CN61" i="247"/>
  <c r="CN60" i="247"/>
  <c r="CN59" i="247"/>
  <c r="CN55" i="247"/>
  <c r="CN54" i="247"/>
  <c r="CN53" i="247"/>
  <c r="CN52" i="247"/>
  <c r="CN51" i="247"/>
  <c r="CN50" i="247"/>
  <c r="CN46" i="247"/>
  <c r="CN45" i="247"/>
  <c r="CN44" i="247"/>
  <c r="CN43" i="247"/>
  <c r="CN42" i="247"/>
  <c r="CN41" i="247"/>
  <c r="CN37" i="247"/>
  <c r="CN35" i="247"/>
  <c r="CN33" i="247"/>
  <c r="CN32" i="247"/>
  <c r="CN28" i="247"/>
  <c r="CN27" i="247"/>
  <c r="CN26" i="247"/>
  <c r="CN25" i="247"/>
  <c r="CN24" i="247"/>
  <c r="CN23" i="247"/>
  <c r="CN10" i="247"/>
  <c r="CN9" i="247" l="1"/>
  <c r="CN8" i="247"/>
  <c r="CN7" i="247"/>
  <c r="CN6" i="247"/>
  <c r="CN5" i="247"/>
  <c r="CO97" i="247" l="1"/>
  <c r="CN11" i="247"/>
  <c r="CN12" i="247" s="1"/>
  <c r="CN78" i="247"/>
  <c r="CN79" i="247"/>
  <c r="CN80" i="247"/>
  <c r="CN20" i="247"/>
  <c r="CN29" i="247"/>
  <c r="CN30" i="247" s="1"/>
  <c r="CN38" i="247"/>
  <c r="CN39" i="247" s="1"/>
  <c r="CN47" i="247"/>
  <c r="CN48" i="247" s="1"/>
  <c r="CN82" i="247"/>
  <c r="CN56" i="247"/>
  <c r="CN57" i="247" s="1"/>
  <c r="CN65" i="247"/>
  <c r="CN66" i="247" s="1"/>
  <c r="CN81" i="247"/>
  <c r="CN74" i="247"/>
  <c r="CN77" i="247"/>
  <c r="CN83" i="247" l="1"/>
  <c r="CN84" i="247" s="1"/>
  <c r="EU123" i="5"/>
  <c r="EZ81" i="5" l="1"/>
  <c r="AX81" i="5" s="1"/>
  <c r="AW46" i="5"/>
  <c r="AW8" i="215"/>
  <c r="EZ127" i="5" l="1"/>
  <c r="AX127" i="5" s="1"/>
  <c r="CJ84" i="247" l="1"/>
  <c r="CJ83" i="247"/>
  <c r="CW12" i="244"/>
  <c r="CW8" i="244"/>
  <c r="CM43" i="25"/>
  <c r="CW5" i="244" l="1"/>
  <c r="D27" i="12"/>
  <c r="E27" i="12"/>
  <c r="D28" i="12"/>
  <c r="E28" i="12"/>
  <c r="D29" i="12"/>
  <c r="E29" i="12"/>
  <c r="D30" i="12"/>
  <c r="E30" i="12"/>
  <c r="C30" i="12"/>
  <c r="C29" i="12"/>
  <c r="C28" i="12"/>
  <c r="C27" i="12"/>
  <c r="AX93" i="5" l="1"/>
  <c r="AX92" i="5"/>
  <c r="AX91" i="5"/>
  <c r="AX90" i="5"/>
  <c r="AX88" i="5"/>
  <c r="AX84" i="5"/>
  <c r="AX82" i="5"/>
  <c r="AX80" i="5"/>
  <c r="AX78" i="5"/>
  <c r="AX77" i="5"/>
  <c r="AX76" i="5"/>
  <c r="AX75" i="5"/>
  <c r="CH6" i="188" l="1"/>
  <c r="CH7" i="188"/>
  <c r="CH8" i="188"/>
  <c r="CH9" i="188"/>
  <c r="CH10" i="188"/>
  <c r="CH11" i="188"/>
  <c r="CH12" i="188"/>
  <c r="CH13" i="188"/>
  <c r="CH14" i="188"/>
  <c r="CH16" i="188"/>
  <c r="CH18" i="188"/>
  <c r="CH26" i="188"/>
  <c r="CH27" i="188"/>
  <c r="CH28" i="188"/>
  <c r="CH50" i="188"/>
  <c r="CH52" i="188"/>
  <c r="CH53" i="188"/>
  <c r="CH54" i="188"/>
  <c r="CH55" i="188"/>
  <c r="CH56" i="188"/>
  <c r="CH34" i="188" l="1"/>
  <c r="CH40" i="188" s="1"/>
  <c r="CH23" i="188"/>
  <c r="CH32" i="188"/>
  <c r="CH38" i="188" s="1"/>
  <c r="CH33" i="188"/>
  <c r="CH39" i="188" s="1"/>
  <c r="CH43" i="188" l="1"/>
  <c r="CH51" i="188" s="1"/>
  <c r="CH57" i="188" s="1"/>
  <c r="CH41" i="188"/>
  <c r="FA125" i="5" l="1"/>
  <c r="AY125" i="5" s="1"/>
  <c r="AX83" i="5" l="1"/>
  <c r="FA129" i="5"/>
  <c r="AY129" i="5" s="1"/>
  <c r="FA103" i="5" l="1"/>
  <c r="CL18" i="12" l="1"/>
  <c r="FA112" i="5"/>
  <c r="CN97" i="247"/>
  <c r="CI97" i="247"/>
  <c r="CH97" i="247"/>
  <c r="CF97" i="247"/>
  <c r="CD97" i="247"/>
  <c r="CC97" i="247"/>
  <c r="BZ97" i="247"/>
  <c r="BY97" i="247"/>
  <c r="BX97" i="247"/>
  <c r="BU97" i="247"/>
  <c r="BR97" i="247"/>
  <c r="BP97" i="247"/>
  <c r="BO97" i="247"/>
  <c r="BL97" i="247"/>
  <c r="BK97" i="247"/>
  <c r="BI97" i="247"/>
  <c r="BG97" i="247"/>
  <c r="BF97" i="247"/>
  <c r="BD97" i="247"/>
  <c r="BA97" i="247"/>
  <c r="AZ97" i="247"/>
  <c r="AW97" i="247"/>
  <c r="AR97" i="247"/>
  <c r="AP97" i="247"/>
  <c r="AM97" i="247"/>
  <c r="AJ97" i="247"/>
  <c r="AI97" i="247"/>
  <c r="AH97" i="247"/>
  <c r="AD97" i="247"/>
  <c r="AB97" i="247"/>
  <c r="Y97" i="247"/>
  <c r="X97" i="247"/>
  <c r="T97" i="247"/>
  <c r="P97" i="247"/>
  <c r="K97" i="247"/>
  <c r="J97" i="247"/>
  <c r="H97" i="247"/>
  <c r="G97" i="247"/>
  <c r="D95" i="247"/>
  <c r="Q93" i="247"/>
  <c r="CJ92" i="247"/>
  <c r="AL91" i="247"/>
  <c r="AL97" i="247" s="1"/>
  <c r="AG91" i="247"/>
  <c r="V91" i="247"/>
  <c r="U91" i="247"/>
  <c r="U97" i="247" s="1"/>
  <c r="T91" i="247"/>
  <c r="CN89" i="247"/>
  <c r="CM89" i="247"/>
  <c r="CM97" i="247" s="1"/>
  <c r="CL89" i="247"/>
  <c r="CL97" i="247" s="1"/>
  <c r="CK89" i="247"/>
  <c r="CK97" i="247" s="1"/>
  <c r="CJ89" i="247"/>
  <c r="CJ97" i="247" s="1"/>
  <c r="CI89" i="247"/>
  <c r="CH89" i="247"/>
  <c r="CG89" i="247"/>
  <c r="CG97" i="247" s="1"/>
  <c r="CF89" i="247"/>
  <c r="CE89" i="247"/>
  <c r="CE97" i="247" s="1"/>
  <c r="CD89" i="247"/>
  <c r="CC89" i="247"/>
  <c r="CB89" i="247"/>
  <c r="CB97" i="247" s="1"/>
  <c r="CA89" i="247"/>
  <c r="CA97" i="247" s="1"/>
  <c r="BZ89" i="247"/>
  <c r="BY89" i="247"/>
  <c r="BX89" i="247"/>
  <c r="BW89" i="247"/>
  <c r="BW97" i="247" s="1"/>
  <c r="BV89" i="247"/>
  <c r="BV97" i="247" s="1"/>
  <c r="BU89" i="247"/>
  <c r="BT89" i="247"/>
  <c r="BT97" i="247" s="1"/>
  <c r="BS89" i="247"/>
  <c r="BS97" i="247" s="1"/>
  <c r="BR89" i="247"/>
  <c r="BQ89" i="247"/>
  <c r="BQ97" i="247" s="1"/>
  <c r="BP89" i="247"/>
  <c r="BO89" i="247"/>
  <c r="BN89" i="247"/>
  <c r="BM89" i="247"/>
  <c r="BM97" i="247" s="1"/>
  <c r="BL89" i="247"/>
  <c r="BK89" i="247"/>
  <c r="BJ89" i="247"/>
  <c r="BJ97" i="247" s="1"/>
  <c r="BI89" i="247"/>
  <c r="BH89" i="247"/>
  <c r="BH97" i="247" s="1"/>
  <c r="BG89" i="247"/>
  <c r="BF89" i="247"/>
  <c r="BE89" i="247"/>
  <c r="BE97" i="247" s="1"/>
  <c r="BC89" i="247"/>
  <c r="BC97" i="247" s="1"/>
  <c r="BB89" i="247"/>
  <c r="BB97" i="247" s="1"/>
  <c r="BA89" i="247"/>
  <c r="AZ89" i="247"/>
  <c r="AY89" i="247"/>
  <c r="AX89" i="247"/>
  <c r="AX97" i="247" s="1"/>
  <c r="AW89" i="247"/>
  <c r="AV89" i="247"/>
  <c r="AV97" i="247" s="1"/>
  <c r="AU89" i="247"/>
  <c r="AU97" i="247" s="1"/>
  <c r="AT89" i="247"/>
  <c r="AT97" i="247" s="1"/>
  <c r="AS89" i="247"/>
  <c r="AS97" i="247" s="1"/>
  <c r="AR89" i="247"/>
  <c r="AQ89" i="247"/>
  <c r="AQ97" i="247" s="1"/>
  <c r="AP89" i="247"/>
  <c r="AO89" i="247"/>
  <c r="AO97" i="247" s="1"/>
  <c r="AN89" i="247"/>
  <c r="AN97" i="247" s="1"/>
  <c r="AM89" i="247"/>
  <c r="AL89" i="247"/>
  <c r="AK89" i="247"/>
  <c r="AK97" i="247" s="1"/>
  <c r="AJ89" i="247"/>
  <c r="AI89" i="247"/>
  <c r="AH89" i="247"/>
  <c r="AG89" i="247"/>
  <c r="AG97" i="247" s="1"/>
  <c r="AF89" i="247"/>
  <c r="AF97" i="247" s="1"/>
  <c r="AE89" i="247"/>
  <c r="AE97" i="247" s="1"/>
  <c r="AD89" i="247"/>
  <c r="AC89" i="247"/>
  <c r="AC97" i="247" s="1"/>
  <c r="AB89" i="247"/>
  <c r="AA89" i="247"/>
  <c r="AA97" i="247" s="1"/>
  <c r="Z89" i="247"/>
  <c r="Z97" i="247" s="1"/>
  <c r="Y89" i="247"/>
  <c r="X89" i="247"/>
  <c r="W89" i="247"/>
  <c r="W97" i="247" s="1"/>
  <c r="V89" i="247"/>
  <c r="V97" i="247" s="1"/>
  <c r="U89" i="247"/>
  <c r="T89" i="247"/>
  <c r="S89" i="247"/>
  <c r="S97" i="247" s="1"/>
  <c r="R89" i="247"/>
  <c r="R97" i="247" s="1"/>
  <c r="Q89" i="247"/>
  <c r="P89" i="247"/>
  <c r="O89" i="247"/>
  <c r="O97" i="247" s="1"/>
  <c r="N89" i="247"/>
  <c r="N97" i="247" s="1"/>
  <c r="M89" i="247"/>
  <c r="M97" i="247" s="1"/>
  <c r="L89" i="247"/>
  <c r="L97" i="247" s="1"/>
  <c r="K89" i="247"/>
  <c r="J89" i="247"/>
  <c r="I89" i="247"/>
  <c r="I97" i="247" s="1"/>
  <c r="H89" i="247"/>
  <c r="G89" i="247"/>
  <c r="F89" i="247"/>
  <c r="F97" i="247" s="1"/>
  <c r="E89" i="247"/>
  <c r="E97" i="247" s="1"/>
  <c r="D89" i="247"/>
  <c r="D97" i="247" s="1"/>
  <c r="BL84" i="247"/>
  <c r="AX83" i="247"/>
  <c r="AW83" i="247"/>
  <c r="AW84" i="247" s="1"/>
  <c r="AM83" i="247"/>
  <c r="AM84" i="247" s="1"/>
  <c r="H83" i="247"/>
  <c r="BW82" i="247"/>
  <c r="BV82" i="247"/>
  <c r="BU82" i="247"/>
  <c r="BT82" i="247"/>
  <c r="BS82" i="247"/>
  <c r="BR82" i="247"/>
  <c r="BQ82" i="247"/>
  <c r="BP82" i="247"/>
  <c r="BO82" i="247"/>
  <c r="BN82" i="247"/>
  <c r="BM82" i="247"/>
  <c r="BL82" i="247"/>
  <c r="BK82" i="247"/>
  <c r="BJ82" i="247"/>
  <c r="BI82" i="247"/>
  <c r="BH82" i="247"/>
  <c r="BG82" i="247"/>
  <c r="BF82" i="247"/>
  <c r="BE82" i="247"/>
  <c r="BD82" i="247"/>
  <c r="BC82" i="247"/>
  <c r="BB82" i="247"/>
  <c r="BA82" i="247"/>
  <c r="AZ82" i="247"/>
  <c r="AY82" i="247"/>
  <c r="AX82" i="247"/>
  <c r="AW82" i="247"/>
  <c r="AV82" i="247"/>
  <c r="AU82" i="247"/>
  <c r="AT82" i="247"/>
  <c r="AS82" i="247"/>
  <c r="AR82" i="247"/>
  <c r="AR83" i="247" s="1"/>
  <c r="AR84" i="247" s="1"/>
  <c r="AQ82" i="247"/>
  <c r="AP82" i="247"/>
  <c r="AO82" i="247"/>
  <c r="AN82" i="247"/>
  <c r="AM82" i="247"/>
  <c r="AK82" i="247"/>
  <c r="AJ82" i="247"/>
  <c r="AI82" i="247"/>
  <c r="AH82" i="247"/>
  <c r="Z82" i="247"/>
  <c r="X82" i="247"/>
  <c r="W82" i="247"/>
  <c r="V82" i="247"/>
  <c r="U82" i="247"/>
  <c r="S82" i="247"/>
  <c r="O82" i="247"/>
  <c r="N82" i="247"/>
  <c r="J82" i="247"/>
  <c r="I82" i="247"/>
  <c r="G82" i="247"/>
  <c r="F82" i="247"/>
  <c r="E82" i="247"/>
  <c r="D82" i="247"/>
  <c r="CM81" i="247"/>
  <c r="CK81" i="247"/>
  <c r="CH81" i="247"/>
  <c r="CA81" i="247"/>
  <c r="BW81" i="247"/>
  <c r="BV81" i="247"/>
  <c r="BU81" i="247"/>
  <c r="BT81" i="247"/>
  <c r="BS81" i="247"/>
  <c r="BR81" i="247"/>
  <c r="BQ81" i="247"/>
  <c r="BP81" i="247"/>
  <c r="BO81" i="247"/>
  <c r="BN81" i="247"/>
  <c r="BM81" i="247"/>
  <c r="BL81" i="247"/>
  <c r="BK81" i="247"/>
  <c r="BJ81" i="247"/>
  <c r="BI81" i="247"/>
  <c r="BH81" i="247"/>
  <c r="BG81" i="247"/>
  <c r="BF81" i="247"/>
  <c r="BE81" i="247"/>
  <c r="BD81" i="247"/>
  <c r="BC81" i="247"/>
  <c r="BB81" i="247"/>
  <c r="BA81" i="247"/>
  <c r="AZ81" i="247"/>
  <c r="AY81" i="247"/>
  <c r="AX81" i="247"/>
  <c r="AW81" i="247"/>
  <c r="AV81" i="247"/>
  <c r="AU81" i="247"/>
  <c r="AT81" i="247"/>
  <c r="AS81" i="247"/>
  <c r="AR81" i="247"/>
  <c r="AQ81" i="247"/>
  <c r="AP81" i="247"/>
  <c r="AO81" i="247"/>
  <c r="AN81" i="247"/>
  <c r="AM81" i="247"/>
  <c r="AL81" i="247"/>
  <c r="AI81" i="247"/>
  <c r="AH81" i="247"/>
  <c r="AG81" i="247"/>
  <c r="AF81" i="247"/>
  <c r="AA81" i="247"/>
  <c r="X81" i="247"/>
  <c r="V81" i="247"/>
  <c r="U81" i="247"/>
  <c r="T81" i="247"/>
  <c r="S81" i="247"/>
  <c r="R81" i="247"/>
  <c r="Q81" i="247"/>
  <c r="P81" i="247"/>
  <c r="O81" i="247"/>
  <c r="N81" i="247"/>
  <c r="M81" i="247"/>
  <c r="L81" i="247"/>
  <c r="K81" i="247"/>
  <c r="J81" i="247"/>
  <c r="H81" i="247"/>
  <c r="D81" i="247"/>
  <c r="CC80" i="247"/>
  <c r="BW80" i="247"/>
  <c r="BV80" i="247"/>
  <c r="BU80" i="247"/>
  <c r="BT80" i="247"/>
  <c r="BS80" i="247"/>
  <c r="BR80" i="247"/>
  <c r="BQ80" i="247"/>
  <c r="BP80" i="247"/>
  <c r="BO80" i="247"/>
  <c r="BN80" i="247"/>
  <c r="BM80" i="247"/>
  <c r="BL80" i="247"/>
  <c r="BK80" i="247"/>
  <c r="BJ80" i="247"/>
  <c r="BI80" i="247"/>
  <c r="BH80" i="247"/>
  <c r="BG80" i="247"/>
  <c r="BF80" i="247"/>
  <c r="BE80" i="247"/>
  <c r="BD80" i="247"/>
  <c r="BC80" i="247"/>
  <c r="BB80" i="247"/>
  <c r="BA80" i="247"/>
  <c r="AZ80" i="247"/>
  <c r="AY80" i="247"/>
  <c r="AX80" i="247"/>
  <c r="AW80" i="247"/>
  <c r="AV80" i="247"/>
  <c r="AU80" i="247"/>
  <c r="AT80" i="247"/>
  <c r="AS80" i="247"/>
  <c r="AR80" i="247"/>
  <c r="AQ80" i="247"/>
  <c r="AP80" i="247"/>
  <c r="AO80" i="247"/>
  <c r="AN80" i="247"/>
  <c r="AM80" i="247"/>
  <c r="AL80" i="247"/>
  <c r="AK80" i="247"/>
  <c r="AJ80" i="247"/>
  <c r="AI80" i="247"/>
  <c r="AH80" i="247"/>
  <c r="AG80" i="247"/>
  <c r="AF80" i="247"/>
  <c r="AE80" i="247"/>
  <c r="AD80" i="247"/>
  <c r="AB80" i="247"/>
  <c r="AA80" i="247"/>
  <c r="Z80" i="247"/>
  <c r="Y80" i="247"/>
  <c r="X80" i="247"/>
  <c r="W80" i="247"/>
  <c r="V80" i="247"/>
  <c r="T80" i="247"/>
  <c r="S80" i="247"/>
  <c r="R80" i="247"/>
  <c r="Q80" i="247"/>
  <c r="P80" i="247"/>
  <c r="O80" i="247"/>
  <c r="N80" i="247"/>
  <c r="M80" i="247"/>
  <c r="L80" i="247"/>
  <c r="K80" i="247"/>
  <c r="I80" i="247"/>
  <c r="H80" i="247"/>
  <c r="G80" i="247"/>
  <c r="F80" i="247"/>
  <c r="E80" i="247"/>
  <c r="D80" i="247"/>
  <c r="BW79" i="247"/>
  <c r="BW83" i="247" s="1"/>
  <c r="BW84" i="247" s="1"/>
  <c r="BV79" i="247"/>
  <c r="BU79" i="247"/>
  <c r="BT79" i="247"/>
  <c r="BS79" i="247"/>
  <c r="BR79" i="247"/>
  <c r="BQ79" i="247"/>
  <c r="BP79" i="247"/>
  <c r="BO79" i="247"/>
  <c r="BN79" i="247"/>
  <c r="BM79" i="247"/>
  <c r="BL79" i="247"/>
  <c r="BK79" i="247"/>
  <c r="BJ79" i="247"/>
  <c r="BI79" i="247"/>
  <c r="BH79" i="247"/>
  <c r="BG79" i="247"/>
  <c r="BF79" i="247"/>
  <c r="BE79" i="247"/>
  <c r="BD79" i="247"/>
  <c r="BC79" i="247"/>
  <c r="BB79" i="247"/>
  <c r="BA79" i="247"/>
  <c r="AZ79" i="247"/>
  <c r="AY79" i="247"/>
  <c r="AX79" i="247"/>
  <c r="AW79" i="247"/>
  <c r="AV79" i="247"/>
  <c r="AU79" i="247"/>
  <c r="AT79" i="247"/>
  <c r="AS79" i="247"/>
  <c r="AR79" i="247"/>
  <c r="AQ79" i="247"/>
  <c r="AP79" i="247"/>
  <c r="AO79" i="247"/>
  <c r="AN79" i="247"/>
  <c r="AM79" i="247"/>
  <c r="AL79" i="247"/>
  <c r="AK79" i="247"/>
  <c r="AJ79" i="247"/>
  <c r="AI79" i="247"/>
  <c r="AH79" i="247"/>
  <c r="AG79" i="247"/>
  <c r="AF79" i="247"/>
  <c r="AE79" i="247"/>
  <c r="AC79" i="247"/>
  <c r="AA79" i="247"/>
  <c r="Z79" i="247"/>
  <c r="Y79" i="247"/>
  <c r="X79" i="247"/>
  <c r="W79" i="247"/>
  <c r="V79" i="247"/>
  <c r="U79" i="247"/>
  <c r="T79" i="247"/>
  <c r="R79" i="247"/>
  <c r="Q79" i="247"/>
  <c r="P79" i="247"/>
  <c r="O79" i="247"/>
  <c r="N79" i="247"/>
  <c r="M79" i="247"/>
  <c r="L79" i="247"/>
  <c r="K79" i="247"/>
  <c r="J79" i="247"/>
  <c r="I79" i="247"/>
  <c r="H79" i="247"/>
  <c r="G79" i="247"/>
  <c r="F79" i="247"/>
  <c r="E79" i="247"/>
  <c r="D79" i="247"/>
  <c r="BW78" i="247"/>
  <c r="BV78" i="247"/>
  <c r="BU78" i="247"/>
  <c r="BT78" i="247"/>
  <c r="BS78" i="247"/>
  <c r="BR78" i="247"/>
  <c r="BQ78" i="247"/>
  <c r="BP78" i="247"/>
  <c r="BO78" i="247"/>
  <c r="BO83" i="247" s="1"/>
  <c r="BO84" i="247" s="1"/>
  <c r="BN78" i="247"/>
  <c r="BM78" i="247"/>
  <c r="BL78" i="247"/>
  <c r="BK78" i="247"/>
  <c r="BJ78" i="247"/>
  <c r="BI78" i="247"/>
  <c r="BH78" i="247"/>
  <c r="BG78" i="247"/>
  <c r="BF78" i="247"/>
  <c r="BE78" i="247"/>
  <c r="BD78" i="247"/>
  <c r="BC78" i="247"/>
  <c r="BB78" i="247"/>
  <c r="BA78" i="247"/>
  <c r="AZ78" i="247"/>
  <c r="AY78" i="247"/>
  <c r="AX78" i="247"/>
  <c r="AW78" i="247"/>
  <c r="AV78" i="247"/>
  <c r="AU78" i="247"/>
  <c r="AT78" i="247"/>
  <c r="AS78" i="247"/>
  <c r="AR78" i="247"/>
  <c r="AQ78" i="247"/>
  <c r="AP78" i="247"/>
  <c r="AO78" i="247"/>
  <c r="AO83" i="247" s="1"/>
  <c r="AO84" i="247" s="1"/>
  <c r="AN78" i="247"/>
  <c r="AM78" i="247"/>
  <c r="AL78" i="247"/>
  <c r="AI78" i="247"/>
  <c r="AH78" i="247"/>
  <c r="AG78" i="247"/>
  <c r="AF78" i="247"/>
  <c r="AE78" i="247"/>
  <c r="AD78" i="247"/>
  <c r="AC78" i="247"/>
  <c r="AB78" i="247"/>
  <c r="Y78" i="247"/>
  <c r="X78" i="247"/>
  <c r="W78" i="247"/>
  <c r="V78" i="247"/>
  <c r="U78" i="247"/>
  <c r="T78" i="247"/>
  <c r="S78" i="247"/>
  <c r="R78" i="247"/>
  <c r="Q78" i="247"/>
  <c r="P78" i="247"/>
  <c r="O78" i="247"/>
  <c r="N78" i="247"/>
  <c r="N83" i="247" s="1"/>
  <c r="N84" i="247" s="1"/>
  <c r="M78" i="247"/>
  <c r="J78" i="247"/>
  <c r="I78" i="247"/>
  <c r="H78" i="247"/>
  <c r="G78" i="247"/>
  <c r="F78" i="247"/>
  <c r="E78" i="247"/>
  <c r="D78" i="247"/>
  <c r="CL77" i="247"/>
  <c r="BW77" i="247"/>
  <c r="BV77" i="247"/>
  <c r="BU77" i="247"/>
  <c r="BT77" i="247"/>
  <c r="BS77" i="247"/>
  <c r="BS83" i="247" s="1"/>
  <c r="BS84" i="247" s="1"/>
  <c r="BR77" i="247"/>
  <c r="BQ77" i="247"/>
  <c r="BP77" i="247"/>
  <c r="BP83" i="247" s="1"/>
  <c r="BP84" i="247" s="1"/>
  <c r="BO77" i="247"/>
  <c r="BN77" i="247"/>
  <c r="BM77" i="247"/>
  <c r="BL77" i="247"/>
  <c r="BL83" i="247" s="1"/>
  <c r="BK77" i="247"/>
  <c r="BI77" i="247"/>
  <c r="BG77" i="247"/>
  <c r="BF77" i="247"/>
  <c r="BE77" i="247"/>
  <c r="BD77" i="247"/>
  <c r="BC77" i="247"/>
  <c r="BB77" i="247"/>
  <c r="BA77" i="247"/>
  <c r="BA83" i="247" s="1"/>
  <c r="BA84" i="247" s="1"/>
  <c r="AZ77" i="247"/>
  <c r="AY77" i="247"/>
  <c r="AX77" i="247"/>
  <c r="AW77" i="247"/>
  <c r="AV77" i="247"/>
  <c r="AT77" i="247"/>
  <c r="AQ77" i="247"/>
  <c r="AO77" i="247"/>
  <c r="AN77" i="247"/>
  <c r="AM77" i="247"/>
  <c r="N77" i="247"/>
  <c r="L77" i="247"/>
  <c r="L83" i="247" s="1"/>
  <c r="L84" i="247" s="1"/>
  <c r="K77" i="247"/>
  <c r="J77" i="247"/>
  <c r="I77" i="247"/>
  <c r="H77" i="247"/>
  <c r="G77" i="247"/>
  <c r="F77" i="247"/>
  <c r="E77" i="247"/>
  <c r="D77" i="247"/>
  <c r="W75" i="247"/>
  <c r="U75" i="247"/>
  <c r="R75" i="247"/>
  <c r="N75" i="247"/>
  <c r="M75" i="247"/>
  <c r="L75" i="247"/>
  <c r="K75" i="247"/>
  <c r="I75" i="247"/>
  <c r="G75" i="247"/>
  <c r="CM74" i="247"/>
  <c r="CL74" i="247"/>
  <c r="CK74" i="247"/>
  <c r="CJ74" i="247"/>
  <c r="CI74" i="247"/>
  <c r="CH74" i="247"/>
  <c r="CG74" i="247"/>
  <c r="CF74" i="247"/>
  <c r="CE74" i="247"/>
  <c r="CD74" i="247"/>
  <c r="CC74" i="247"/>
  <c r="CB74" i="247"/>
  <c r="CA74" i="247"/>
  <c r="BZ74" i="247"/>
  <c r="BY74" i="247"/>
  <c r="BX74" i="247"/>
  <c r="BW74" i="247"/>
  <c r="BV74" i="247"/>
  <c r="BU74" i="247"/>
  <c r="BT74" i="247"/>
  <c r="BS74" i="247"/>
  <c r="BR74" i="247"/>
  <c r="BQ74" i="247"/>
  <c r="BP74" i="247"/>
  <c r="BO74" i="247"/>
  <c r="BN74" i="247"/>
  <c r="BM74" i="247"/>
  <c r="BL74" i="247"/>
  <c r="BK74" i="247"/>
  <c r="BJ74" i="247"/>
  <c r="BI74" i="247"/>
  <c r="BH74" i="247"/>
  <c r="BG74" i="247"/>
  <c r="BF74" i="247"/>
  <c r="BE74" i="247"/>
  <c r="BD74" i="247"/>
  <c r="BC74" i="247"/>
  <c r="BB74" i="247"/>
  <c r="BA74" i="247"/>
  <c r="AZ74" i="247"/>
  <c r="AY74" i="247"/>
  <c r="AX74" i="247"/>
  <c r="AW74" i="247"/>
  <c r="AV74" i="247"/>
  <c r="AU74" i="247"/>
  <c r="AT74" i="247"/>
  <c r="AS74" i="247"/>
  <c r="AR74" i="247"/>
  <c r="AQ74" i="247"/>
  <c r="AP74" i="247"/>
  <c r="AO74" i="247"/>
  <c r="AN74" i="247"/>
  <c r="AM74" i="247"/>
  <c r="AL74" i="247"/>
  <c r="AK74" i="247"/>
  <c r="AJ74" i="247"/>
  <c r="AI74" i="247"/>
  <c r="AH74" i="247"/>
  <c r="AG74" i="247"/>
  <c r="AF74" i="247"/>
  <c r="AE74" i="247"/>
  <c r="AD74" i="247"/>
  <c r="AC74" i="247"/>
  <c r="AB74" i="247"/>
  <c r="AA74" i="247"/>
  <c r="Z74" i="247"/>
  <c r="Y74" i="247"/>
  <c r="X74" i="247"/>
  <c r="W74" i="247"/>
  <c r="V74" i="247"/>
  <c r="V75" i="247" s="1"/>
  <c r="U74" i="247"/>
  <c r="T74" i="247"/>
  <c r="T75" i="247" s="1"/>
  <c r="S74" i="247"/>
  <c r="S75" i="247" s="1"/>
  <c r="R74" i="247"/>
  <c r="Q74" i="247"/>
  <c r="Q75" i="247" s="1"/>
  <c r="P74" i="247"/>
  <c r="P75" i="247" s="1"/>
  <c r="O74" i="247"/>
  <c r="O75" i="247" s="1"/>
  <c r="N74" i="247"/>
  <c r="M74" i="247"/>
  <c r="L74" i="247"/>
  <c r="K74" i="247"/>
  <c r="J74" i="247"/>
  <c r="J75" i="247" s="1"/>
  <c r="I74" i="247"/>
  <c r="H74" i="247"/>
  <c r="H75" i="247" s="1"/>
  <c r="G74" i="247"/>
  <c r="F74" i="247"/>
  <c r="F75" i="247" s="1"/>
  <c r="E74" i="247"/>
  <c r="E75" i="247" s="1"/>
  <c r="Z72" i="247"/>
  <c r="Z81" i="247" s="1"/>
  <c r="CH66" i="247"/>
  <c r="BV66" i="247"/>
  <c r="BT66" i="247"/>
  <c r="BR66" i="247"/>
  <c r="BP66" i="247"/>
  <c r="BO66" i="247"/>
  <c r="BN66" i="247"/>
  <c r="BM66" i="247"/>
  <c r="BL66" i="247"/>
  <c r="BH66" i="247"/>
  <c r="BF66" i="247"/>
  <c r="BD66" i="247"/>
  <c r="BA66" i="247"/>
  <c r="AT66" i="247"/>
  <c r="AR66" i="247"/>
  <c r="AP66" i="247"/>
  <c r="AM66" i="247"/>
  <c r="AF66" i="247"/>
  <c r="AE66" i="247"/>
  <c r="AD66" i="247"/>
  <c r="AB66" i="247"/>
  <c r="Y66" i="247"/>
  <c r="R66" i="247"/>
  <c r="Q66" i="247"/>
  <c r="P66" i="247"/>
  <c r="N66" i="247"/>
  <c r="K66" i="247"/>
  <c r="I66" i="247"/>
  <c r="CG65" i="247"/>
  <c r="CG66" i="247" s="1"/>
  <c r="CA65" i="247"/>
  <c r="CA66" i="247" s="1"/>
  <c r="BZ65" i="247"/>
  <c r="BZ66" i="247" s="1"/>
  <c r="BY65" i="247"/>
  <c r="BY66" i="247" s="1"/>
  <c r="BW65" i="247"/>
  <c r="BW66" i="247" s="1"/>
  <c r="BV65" i="247"/>
  <c r="BU65" i="247"/>
  <c r="BU66" i="247" s="1"/>
  <c r="BT65" i="247"/>
  <c r="BS65" i="247"/>
  <c r="BS66" i="247" s="1"/>
  <c r="BR65" i="247"/>
  <c r="BQ65" i="247"/>
  <c r="BQ66" i="247" s="1"/>
  <c r="BP65" i="247"/>
  <c r="BO65" i="247"/>
  <c r="BN65" i="247"/>
  <c r="BM65" i="247"/>
  <c r="BL65" i="247"/>
  <c r="BK65" i="247"/>
  <c r="BK66" i="247" s="1"/>
  <c r="BJ65" i="247"/>
  <c r="BJ66" i="247" s="1"/>
  <c r="BI65" i="247"/>
  <c r="BI66" i="247" s="1"/>
  <c r="BH65" i="247"/>
  <c r="BG65" i="247"/>
  <c r="BG66" i="247" s="1"/>
  <c r="BF65" i="247"/>
  <c r="BE65" i="247"/>
  <c r="BE66" i="247" s="1"/>
  <c r="BD65" i="247"/>
  <c r="BC65" i="247"/>
  <c r="BC66" i="247" s="1"/>
  <c r="BB65" i="247"/>
  <c r="BB66" i="247" s="1"/>
  <c r="BA65" i="247"/>
  <c r="AZ65" i="247"/>
  <c r="AZ66" i="247" s="1"/>
  <c r="AY65" i="247"/>
  <c r="AY66" i="247" s="1"/>
  <c r="AX65" i="247"/>
  <c r="AX66" i="247" s="1"/>
  <c r="AW65" i="247"/>
  <c r="AW66" i="247" s="1"/>
  <c r="AV65" i="247"/>
  <c r="AV66" i="247" s="1"/>
  <c r="AU65" i="247"/>
  <c r="AU66" i="247" s="1"/>
  <c r="AT65" i="247"/>
  <c r="AS65" i="247"/>
  <c r="AS66" i="247" s="1"/>
  <c r="AR65" i="247"/>
  <c r="AQ65" i="247"/>
  <c r="AQ66" i="247" s="1"/>
  <c r="AP65" i="247"/>
  <c r="AO65" i="247"/>
  <c r="AO66" i="247" s="1"/>
  <c r="AN65" i="247"/>
  <c r="AN66" i="247" s="1"/>
  <c r="AM65" i="247"/>
  <c r="AL65" i="247"/>
  <c r="AL66" i="247" s="1"/>
  <c r="AK65" i="247"/>
  <c r="AK66" i="247" s="1"/>
  <c r="AJ65" i="247"/>
  <c r="AJ66" i="247" s="1"/>
  <c r="AI65" i="247"/>
  <c r="AI66" i="247" s="1"/>
  <c r="AH65" i="247"/>
  <c r="AH66" i="247" s="1"/>
  <c r="AG65" i="247"/>
  <c r="AG66" i="247" s="1"/>
  <c r="AF65" i="247"/>
  <c r="AE65" i="247"/>
  <c r="AD65" i="247"/>
  <c r="AC65" i="247"/>
  <c r="AC66" i="247" s="1"/>
  <c r="AB65" i="247"/>
  <c r="AA65" i="247"/>
  <c r="AA66" i="247" s="1"/>
  <c r="Z65" i="247"/>
  <c r="Z66" i="247" s="1"/>
  <c r="Y65" i="247"/>
  <c r="X65" i="247"/>
  <c r="X66" i="247" s="1"/>
  <c r="W65" i="247"/>
  <c r="W66" i="247" s="1"/>
  <c r="V65" i="247"/>
  <c r="V66" i="247" s="1"/>
  <c r="U65" i="247"/>
  <c r="U66" i="247" s="1"/>
  <c r="T65" i="247"/>
  <c r="T66" i="247" s="1"/>
  <c r="S65" i="247"/>
  <c r="S66" i="247" s="1"/>
  <c r="R65" i="247"/>
  <c r="Q65" i="247"/>
  <c r="P65" i="247"/>
  <c r="O65" i="247"/>
  <c r="O66" i="247" s="1"/>
  <c r="N65" i="247"/>
  <c r="M65" i="247"/>
  <c r="M66" i="247" s="1"/>
  <c r="L65" i="247"/>
  <c r="L66" i="247" s="1"/>
  <c r="K65" i="247"/>
  <c r="J65" i="247"/>
  <c r="J66" i="247" s="1"/>
  <c r="I65" i="247"/>
  <c r="H65" i="247"/>
  <c r="H66" i="247" s="1"/>
  <c r="G65" i="247"/>
  <c r="G66" i="247" s="1"/>
  <c r="F65" i="247"/>
  <c r="F66" i="247" s="1"/>
  <c r="E65" i="247"/>
  <c r="E66" i="247" s="1"/>
  <c r="CM64" i="247"/>
  <c r="CL64" i="247"/>
  <c r="CK64" i="247"/>
  <c r="CJ64" i="247"/>
  <c r="CM63" i="247"/>
  <c r="CL63" i="247"/>
  <c r="CK63" i="247"/>
  <c r="CG63" i="247"/>
  <c r="CF63" i="247"/>
  <c r="CE63" i="247"/>
  <c r="CD63" i="247"/>
  <c r="CK62" i="247"/>
  <c r="CK80" i="247" s="1"/>
  <c r="CJ62" i="247"/>
  <c r="CF62" i="247"/>
  <c r="CF65" i="247" s="1"/>
  <c r="CF66" i="247" s="1"/>
  <c r="CE62" i="247"/>
  <c r="CD62" i="247"/>
  <c r="CC62" i="247"/>
  <c r="BY62" i="247"/>
  <c r="CK61" i="247"/>
  <c r="CJ61" i="247"/>
  <c r="CI61" i="247"/>
  <c r="CF61" i="247"/>
  <c r="CE61" i="247"/>
  <c r="CD61" i="247"/>
  <c r="CD65" i="247" s="1"/>
  <c r="CD66" i="247" s="1"/>
  <c r="CB61" i="247"/>
  <c r="CB65" i="247" s="1"/>
  <c r="CB66" i="247" s="1"/>
  <c r="CM60" i="247"/>
  <c r="CL60" i="247"/>
  <c r="CK60" i="247"/>
  <c r="CJ60" i="247"/>
  <c r="CI60" i="247"/>
  <c r="CH60" i="247"/>
  <c r="CF60" i="247"/>
  <c r="CE60" i="247"/>
  <c r="CD60" i="247"/>
  <c r="CC60" i="247"/>
  <c r="CB60" i="247"/>
  <c r="CA60" i="247"/>
  <c r="CM59" i="247"/>
  <c r="CL59" i="247"/>
  <c r="CL65" i="247" s="1"/>
  <c r="CL66" i="247" s="1"/>
  <c r="CK59" i="247"/>
  <c r="CJ59" i="247"/>
  <c r="CJ65" i="247" s="1"/>
  <c r="CJ66" i="247" s="1"/>
  <c r="CI59" i="247"/>
  <c r="CI65" i="247" s="1"/>
  <c r="CI66" i="247" s="1"/>
  <c r="CH59" i="247"/>
  <c r="CH65" i="247" s="1"/>
  <c r="CG59" i="247"/>
  <c r="CF59" i="247"/>
  <c r="CE59" i="247"/>
  <c r="CD59" i="247"/>
  <c r="CC59" i="247"/>
  <c r="CB59" i="247"/>
  <c r="CA59" i="247"/>
  <c r="BZ59" i="247"/>
  <c r="BY59" i="247"/>
  <c r="BX59" i="247"/>
  <c r="BX77" i="247" s="1"/>
  <c r="CK57" i="247"/>
  <c r="BW57" i="247"/>
  <c r="BU57" i="247"/>
  <c r="BR57" i="247"/>
  <c r="BQ57" i="247"/>
  <c r="BK57" i="247"/>
  <c r="BI57" i="247"/>
  <c r="BE57" i="247"/>
  <c r="BD57" i="247"/>
  <c r="BC57" i="247"/>
  <c r="BB57" i="247"/>
  <c r="BA57" i="247"/>
  <c r="AZ57" i="247"/>
  <c r="AX57" i="247"/>
  <c r="AW57" i="247"/>
  <c r="AU57" i="247"/>
  <c r="AP57" i="247"/>
  <c r="AO57" i="247"/>
  <c r="AM57" i="247"/>
  <c r="AK57" i="247"/>
  <c r="AJ57" i="247"/>
  <c r="AI57" i="247"/>
  <c r="Z57" i="247"/>
  <c r="X57" i="247"/>
  <c r="W57" i="247"/>
  <c r="V57" i="247"/>
  <c r="U57" i="247"/>
  <c r="T57" i="247"/>
  <c r="S57" i="247"/>
  <c r="O57" i="247"/>
  <c r="J57" i="247"/>
  <c r="G57" i="247"/>
  <c r="F57" i="247"/>
  <c r="E57" i="247"/>
  <c r="CL56" i="247"/>
  <c r="CL57" i="247" s="1"/>
  <c r="CJ56" i="247"/>
  <c r="CJ57" i="247" s="1"/>
  <c r="CI56" i="247"/>
  <c r="CI57" i="247" s="1"/>
  <c r="BW56" i="247"/>
  <c r="BV56" i="247"/>
  <c r="BV57" i="247" s="1"/>
  <c r="BU56" i="247"/>
  <c r="BT56" i="247"/>
  <c r="BT57" i="247" s="1"/>
  <c r="BS56" i="247"/>
  <c r="BS57" i="247" s="1"/>
  <c r="BR56" i="247"/>
  <c r="BQ56" i="247"/>
  <c r="BP56" i="247"/>
  <c r="BP57" i="247" s="1"/>
  <c r="BO56" i="247"/>
  <c r="BO57" i="247" s="1"/>
  <c r="BN56" i="247"/>
  <c r="BN57" i="247" s="1"/>
  <c r="BM56" i="247"/>
  <c r="BM57" i="247" s="1"/>
  <c r="BL56" i="247"/>
  <c r="BL57" i="247" s="1"/>
  <c r="BK56" i="247"/>
  <c r="BI56" i="247"/>
  <c r="BH56" i="247"/>
  <c r="BH57" i="247" s="1"/>
  <c r="BG56" i="247"/>
  <c r="BG57" i="247" s="1"/>
  <c r="BF56" i="247"/>
  <c r="BF57" i="247" s="1"/>
  <c r="BE56" i="247"/>
  <c r="BD56" i="247"/>
  <c r="BC56" i="247"/>
  <c r="BB56" i="247"/>
  <c r="BA56" i="247"/>
  <c r="AZ56" i="247"/>
  <c r="AY56" i="247"/>
  <c r="AY57" i="247" s="1"/>
  <c r="AX56" i="247"/>
  <c r="AW56" i="247"/>
  <c r="AV56" i="247"/>
  <c r="AV57" i="247" s="1"/>
  <c r="AU56" i="247"/>
  <c r="AT56" i="247"/>
  <c r="AT57" i="247" s="1"/>
  <c r="AS56" i="247"/>
  <c r="AS57" i="247" s="1"/>
  <c r="AR56" i="247"/>
  <c r="AR57" i="247" s="1"/>
  <c r="AQ56" i="247"/>
  <c r="AQ57" i="247" s="1"/>
  <c r="AP56" i="247"/>
  <c r="AO56" i="247"/>
  <c r="AN56" i="247"/>
  <c r="AN57" i="247" s="1"/>
  <c r="AM56" i="247"/>
  <c r="AK56" i="247"/>
  <c r="AJ56" i="247"/>
  <c r="AI56" i="247"/>
  <c r="AE56" i="247"/>
  <c r="AE57" i="247" s="1"/>
  <c r="AD56" i="247"/>
  <c r="AD57" i="247" s="1"/>
  <c r="AC56" i="247"/>
  <c r="AC57" i="247" s="1"/>
  <c r="Y56" i="247"/>
  <c r="Y57" i="247" s="1"/>
  <c r="X56" i="247"/>
  <c r="W56" i="247"/>
  <c r="T56" i="247"/>
  <c r="P56" i="247"/>
  <c r="P57" i="247" s="1"/>
  <c r="O56" i="247"/>
  <c r="N56" i="247"/>
  <c r="N57" i="247" s="1"/>
  <c r="M56" i="247"/>
  <c r="M57" i="247" s="1"/>
  <c r="L56" i="247"/>
  <c r="L57" i="247" s="1"/>
  <c r="K56" i="247"/>
  <c r="K57" i="247" s="1"/>
  <c r="J56" i="247"/>
  <c r="I56" i="247"/>
  <c r="I57" i="247" s="1"/>
  <c r="H56" i="247"/>
  <c r="H57" i="247" s="1"/>
  <c r="G56" i="247"/>
  <c r="F56" i="247"/>
  <c r="E56" i="247"/>
  <c r="CM55" i="247"/>
  <c r="CL55" i="247"/>
  <c r="CK55" i="247"/>
  <c r="CJ55" i="247"/>
  <c r="CI55" i="247"/>
  <c r="CH55" i="247"/>
  <c r="CG55" i="247"/>
  <c r="CF55" i="247"/>
  <c r="CE55" i="247"/>
  <c r="CD55" i="247"/>
  <c r="CC55" i="247"/>
  <c r="CB55" i="247"/>
  <c r="CA55" i="247"/>
  <c r="BZ55" i="247"/>
  <c r="BY55" i="247"/>
  <c r="BX55" i="247"/>
  <c r="AF55" i="247"/>
  <c r="AE55" i="247"/>
  <c r="AE82" i="247" s="1"/>
  <c r="AD55" i="247"/>
  <c r="AD82" i="247" s="1"/>
  <c r="AC55" i="247"/>
  <c r="AC82" i="247" s="1"/>
  <c r="AB55" i="247"/>
  <c r="AB82" i="247" s="1"/>
  <c r="AA55" i="247"/>
  <c r="AA82" i="247" s="1"/>
  <c r="Z55" i="247"/>
  <c r="Z56" i="247" s="1"/>
  <c r="Y55" i="247"/>
  <c r="Y82" i="247" s="1"/>
  <c r="Q55" i="247"/>
  <c r="Q56" i="247" s="1"/>
  <c r="Q57" i="247" s="1"/>
  <c r="CM54" i="247"/>
  <c r="CL54" i="247"/>
  <c r="CK54" i="247"/>
  <c r="CJ54" i="247"/>
  <c r="CI54" i="247"/>
  <c r="CH54" i="247"/>
  <c r="CG54" i="247"/>
  <c r="CF54" i="247"/>
  <c r="CE54" i="247"/>
  <c r="CD54" i="247"/>
  <c r="CC54" i="247"/>
  <c r="CB54" i="247"/>
  <c r="BY54" i="247"/>
  <c r="BX54" i="247"/>
  <c r="BX56" i="247" s="1"/>
  <c r="BX57" i="247" s="1"/>
  <c r="Q54" i="247"/>
  <c r="CM53" i="247"/>
  <c r="CL53" i="247"/>
  <c r="CK53" i="247"/>
  <c r="CJ53" i="247"/>
  <c r="CI53" i="247"/>
  <c r="CH53" i="247"/>
  <c r="CG53" i="247"/>
  <c r="CF53" i="247"/>
  <c r="CE53" i="247"/>
  <c r="CC53" i="247"/>
  <c r="CB53" i="247"/>
  <c r="CA53" i="247"/>
  <c r="BY53" i="247"/>
  <c r="BX53" i="247"/>
  <c r="CM52" i="247"/>
  <c r="CL52" i="247"/>
  <c r="CK52" i="247"/>
  <c r="CJ52" i="247"/>
  <c r="CI52" i="247"/>
  <c r="CH52" i="247"/>
  <c r="CG52" i="247"/>
  <c r="CF52" i="247"/>
  <c r="CE52" i="247"/>
  <c r="CD52" i="247"/>
  <c r="CC52" i="247"/>
  <c r="CB52" i="247"/>
  <c r="CA52" i="247"/>
  <c r="CA79" i="247" s="1"/>
  <c r="BZ52" i="247"/>
  <c r="BY52" i="247"/>
  <c r="BX52" i="247"/>
  <c r="CM51" i="247"/>
  <c r="CL51" i="247"/>
  <c r="CK51" i="247"/>
  <c r="CJ51" i="247"/>
  <c r="CI51" i="247"/>
  <c r="CH51" i="247"/>
  <c r="CG51" i="247"/>
  <c r="CG56" i="247" s="1"/>
  <c r="CG57" i="247" s="1"/>
  <c r="CF51" i="247"/>
  <c r="CE51" i="247"/>
  <c r="CC51" i="247"/>
  <c r="CC56" i="247" s="1"/>
  <c r="CC57" i="247" s="1"/>
  <c r="CB51" i="247"/>
  <c r="CA51" i="247"/>
  <c r="BZ51" i="247"/>
  <c r="BY51" i="247"/>
  <c r="BX51" i="247"/>
  <c r="CM50" i="247"/>
  <c r="CL50" i="247"/>
  <c r="CK50" i="247"/>
  <c r="CK56" i="247" s="1"/>
  <c r="CJ50" i="247"/>
  <c r="CI50" i="247"/>
  <c r="CH50" i="247"/>
  <c r="CH56" i="247" s="1"/>
  <c r="CH57" i="247" s="1"/>
  <c r="CG50" i="247"/>
  <c r="CF50" i="247"/>
  <c r="CE50" i="247"/>
  <c r="CE56" i="247" s="1"/>
  <c r="CE57" i="247" s="1"/>
  <c r="CD50" i="247"/>
  <c r="CC50" i="247"/>
  <c r="CB50" i="247"/>
  <c r="CA50" i="247"/>
  <c r="BZ50" i="247"/>
  <c r="BZ56" i="247" s="1"/>
  <c r="BZ57" i="247" s="1"/>
  <c r="BY50" i="247"/>
  <c r="BX50" i="247"/>
  <c r="BJ50" i="247"/>
  <c r="BJ77" i="247" s="1"/>
  <c r="BJ83" i="247" s="1"/>
  <c r="AL50" i="247"/>
  <c r="AL56" i="247" s="1"/>
  <c r="AL57" i="247" s="1"/>
  <c r="AH50" i="247"/>
  <c r="AH56" i="247" s="1"/>
  <c r="AH57" i="247" s="1"/>
  <c r="AG50" i="247"/>
  <c r="AG56" i="247" s="1"/>
  <c r="AG57" i="247" s="1"/>
  <c r="AF50" i="247"/>
  <c r="AF56" i="247" s="1"/>
  <c r="AF57" i="247" s="1"/>
  <c r="AC50" i="247"/>
  <c r="AB50" i="247"/>
  <c r="AB56" i="247" s="1"/>
  <c r="AB57" i="247" s="1"/>
  <c r="AA50" i="247"/>
  <c r="AA56" i="247" s="1"/>
  <c r="AA57" i="247" s="1"/>
  <c r="Z50" i="247"/>
  <c r="Y50" i="247"/>
  <c r="X50" i="247"/>
  <c r="V50" i="247"/>
  <c r="V56" i="247" s="1"/>
  <c r="U50" i="247"/>
  <c r="U56" i="247" s="1"/>
  <c r="T50" i="247"/>
  <c r="S50" i="247"/>
  <c r="S56" i="247" s="1"/>
  <c r="R50" i="247"/>
  <c r="R56" i="247" s="1"/>
  <c r="R57" i="247" s="1"/>
  <c r="CL48" i="247"/>
  <c r="CH48" i="247"/>
  <c r="BW48" i="247"/>
  <c r="BR48" i="247"/>
  <c r="BO48" i="247"/>
  <c r="BN48" i="247"/>
  <c r="BM48" i="247"/>
  <c r="BL48" i="247"/>
  <c r="BK48" i="247"/>
  <c r="BJ48" i="247"/>
  <c r="BI48" i="247"/>
  <c r="BD48" i="247"/>
  <c r="BA48" i="247"/>
  <c r="AZ48" i="247"/>
  <c r="AX48" i="247"/>
  <c r="AW48" i="247"/>
  <c r="AV48" i="247"/>
  <c r="AU48" i="247"/>
  <c r="AM48" i="247"/>
  <c r="AJ48" i="247"/>
  <c r="AI48" i="247"/>
  <c r="AG48" i="247"/>
  <c r="AF48" i="247"/>
  <c r="AE48" i="247"/>
  <c r="AD48" i="247"/>
  <c r="AB48" i="247"/>
  <c r="Z48" i="247"/>
  <c r="Y48" i="247"/>
  <c r="U48" i="247"/>
  <c r="T48" i="247"/>
  <c r="S48" i="247"/>
  <c r="CL47" i="247"/>
  <c r="CJ47" i="247"/>
  <c r="CJ48" i="247" s="1"/>
  <c r="CI47" i="247"/>
  <c r="CI48" i="247" s="1"/>
  <c r="CH47" i="247"/>
  <c r="CG47" i="247"/>
  <c r="CG48" i="247" s="1"/>
  <c r="CF47" i="247"/>
  <c r="CF48" i="247" s="1"/>
  <c r="CE47" i="247"/>
  <c r="CE48" i="247" s="1"/>
  <c r="BW47" i="247"/>
  <c r="BV47" i="247"/>
  <c r="BV48" i="247" s="1"/>
  <c r="BU47" i="247"/>
  <c r="BU48" i="247" s="1"/>
  <c r="BT47" i="247"/>
  <c r="BT48" i="247" s="1"/>
  <c r="BS47" i="247"/>
  <c r="BS48" i="247" s="1"/>
  <c r="BR47" i="247"/>
  <c r="BQ47" i="247"/>
  <c r="BQ48" i="247" s="1"/>
  <c r="BP47" i="247"/>
  <c r="BP48" i="247" s="1"/>
  <c r="BO47" i="247"/>
  <c r="BN47" i="247"/>
  <c r="BM47" i="247"/>
  <c r="BL47" i="247"/>
  <c r="BK47" i="247"/>
  <c r="BJ47" i="247"/>
  <c r="BI47" i="247"/>
  <c r="BH47" i="247"/>
  <c r="BH48" i="247" s="1"/>
  <c r="BG47" i="247"/>
  <c r="BG48" i="247" s="1"/>
  <c r="BF47" i="247"/>
  <c r="BF48" i="247" s="1"/>
  <c r="BE47" i="247"/>
  <c r="BE48" i="247" s="1"/>
  <c r="BD47" i="247"/>
  <c r="BC47" i="247"/>
  <c r="BC48" i="247" s="1"/>
  <c r="BB47" i="247"/>
  <c r="BB48" i="247" s="1"/>
  <c r="BA47" i="247"/>
  <c r="AZ47" i="247"/>
  <c r="AY47" i="247"/>
  <c r="AY48" i="247" s="1"/>
  <c r="AX47" i="247"/>
  <c r="AW47" i="247"/>
  <c r="AV47" i="247"/>
  <c r="AU47" i="247"/>
  <c r="AT47" i="247"/>
  <c r="AT48" i="247" s="1"/>
  <c r="AS47" i="247"/>
  <c r="AS48" i="247" s="1"/>
  <c r="AR47" i="247"/>
  <c r="AR48" i="247" s="1"/>
  <c r="AQ47" i="247"/>
  <c r="AQ48" i="247" s="1"/>
  <c r="AP47" i="247"/>
  <c r="AP48" i="247" s="1"/>
  <c r="AO47" i="247"/>
  <c r="AO48" i="247" s="1"/>
  <c r="AN47" i="247"/>
  <c r="AN48" i="247" s="1"/>
  <c r="AM47" i="247"/>
  <c r="AL47" i="247"/>
  <c r="AL48" i="247" s="1"/>
  <c r="AK47" i="247"/>
  <c r="AK48" i="247" s="1"/>
  <c r="AJ47" i="247"/>
  <c r="AI47" i="247"/>
  <c r="AH47" i="247"/>
  <c r="AH48" i="247" s="1"/>
  <c r="AG47" i="247"/>
  <c r="AF47" i="247"/>
  <c r="AE47" i="247"/>
  <c r="AD47" i="247"/>
  <c r="AB47" i="247"/>
  <c r="AA47" i="247"/>
  <c r="AA48" i="247" s="1"/>
  <c r="Z47" i="247"/>
  <c r="Y47" i="247"/>
  <c r="X47" i="247"/>
  <c r="X48" i="247" s="1"/>
  <c r="W47" i="247"/>
  <c r="W48" i="247" s="1"/>
  <c r="V47" i="247"/>
  <c r="V48" i="247" s="1"/>
  <c r="U47" i="247"/>
  <c r="T47" i="247"/>
  <c r="S47" i="247"/>
  <c r="R47" i="247"/>
  <c r="R48" i="247" s="1"/>
  <c r="Q47" i="247"/>
  <c r="Q48" i="247" s="1"/>
  <c r="P47" i="247"/>
  <c r="P48" i="247" s="1"/>
  <c r="O47" i="247"/>
  <c r="N47" i="247"/>
  <c r="M47" i="247"/>
  <c r="L47" i="247"/>
  <c r="K47" i="247"/>
  <c r="J47" i="247"/>
  <c r="I47" i="247"/>
  <c r="H47" i="247"/>
  <c r="G47" i="247"/>
  <c r="F47" i="247"/>
  <c r="E47" i="247"/>
  <c r="CM46" i="247"/>
  <c r="CL46" i="247"/>
  <c r="CK46" i="247"/>
  <c r="CJ46" i="247"/>
  <c r="CM45" i="247"/>
  <c r="CL45" i="247"/>
  <c r="CK45" i="247"/>
  <c r="CJ45" i="247"/>
  <c r="CI45" i="247"/>
  <c r="CH45" i="247"/>
  <c r="CG45" i="247"/>
  <c r="CF45" i="247"/>
  <c r="CE45" i="247"/>
  <c r="CD45" i="247"/>
  <c r="CC45" i="247"/>
  <c r="CB45" i="247"/>
  <c r="AC45" i="247"/>
  <c r="AC81" i="247" s="1"/>
  <c r="CM44" i="247"/>
  <c r="CL44" i="247"/>
  <c r="CK44" i="247"/>
  <c r="CJ44" i="247"/>
  <c r="CI44" i="247"/>
  <c r="CH44" i="247"/>
  <c r="CG44" i="247"/>
  <c r="CF44" i="247"/>
  <c r="CE44" i="247"/>
  <c r="CD44" i="247"/>
  <c r="CC44" i="247"/>
  <c r="CB44" i="247"/>
  <c r="CA44" i="247"/>
  <c r="BZ44" i="247"/>
  <c r="BY44" i="247"/>
  <c r="BX44" i="247"/>
  <c r="AC44" i="247"/>
  <c r="AC80" i="247" s="1"/>
  <c r="CM43" i="247"/>
  <c r="CL43" i="247"/>
  <c r="CK43" i="247"/>
  <c r="CJ43" i="247"/>
  <c r="CI43" i="247"/>
  <c r="CH43" i="247"/>
  <c r="CG43" i="247"/>
  <c r="CF43" i="247"/>
  <c r="CE43" i="247"/>
  <c r="CD43" i="247"/>
  <c r="CC43" i="247"/>
  <c r="CB43" i="247"/>
  <c r="CA43" i="247"/>
  <c r="BZ43" i="247"/>
  <c r="BY43" i="247"/>
  <c r="BX43" i="247"/>
  <c r="CM42" i="247"/>
  <c r="CL42" i="247"/>
  <c r="CK42" i="247"/>
  <c r="CJ42" i="247"/>
  <c r="CI42" i="247"/>
  <c r="CH42" i="247"/>
  <c r="CG42" i="247"/>
  <c r="CF42" i="247"/>
  <c r="CE42" i="247"/>
  <c r="CD42" i="247"/>
  <c r="CC42" i="247"/>
  <c r="CB42" i="247"/>
  <c r="CA42" i="247"/>
  <c r="CA47" i="247" s="1"/>
  <c r="CA48" i="247" s="1"/>
  <c r="BZ42" i="247"/>
  <c r="BY42" i="247"/>
  <c r="BX42" i="247"/>
  <c r="BX47" i="247" s="1"/>
  <c r="BX48" i="247" s="1"/>
  <c r="CM41" i="247"/>
  <c r="CL41" i="247"/>
  <c r="CK41" i="247"/>
  <c r="CJ41" i="247"/>
  <c r="CI41" i="247"/>
  <c r="CH41" i="247"/>
  <c r="CG41" i="247"/>
  <c r="CF41" i="247"/>
  <c r="CE41" i="247"/>
  <c r="CD41" i="247"/>
  <c r="CC41" i="247"/>
  <c r="CC47" i="247" s="1"/>
  <c r="CC48" i="247" s="1"/>
  <c r="CB41" i="247"/>
  <c r="CA41" i="247"/>
  <c r="BZ41" i="247"/>
  <c r="BZ47" i="247" s="1"/>
  <c r="BZ48" i="247" s="1"/>
  <c r="BY41" i="247"/>
  <c r="BX41" i="247"/>
  <c r="BS39" i="247"/>
  <c r="BR39" i="247"/>
  <c r="BQ39" i="247"/>
  <c r="BP39" i="247"/>
  <c r="BO39" i="247"/>
  <c r="BN39" i="247"/>
  <c r="BK39" i="247"/>
  <c r="BE39" i="247"/>
  <c r="BC39" i="247"/>
  <c r="AZ39" i="247"/>
  <c r="AY39" i="247"/>
  <c r="AT39" i="247"/>
  <c r="AS39" i="247"/>
  <c r="AR39" i="247"/>
  <c r="AQ39" i="247"/>
  <c r="AP39" i="247"/>
  <c r="AO39" i="247"/>
  <c r="AN39" i="247"/>
  <c r="AL39" i="247"/>
  <c r="AD39" i="247"/>
  <c r="AC39" i="247"/>
  <c r="AB39" i="247"/>
  <c r="AA39" i="247"/>
  <c r="Z39" i="247"/>
  <c r="Y39" i="247"/>
  <c r="X39" i="247"/>
  <c r="P39" i="247"/>
  <c r="N39" i="247"/>
  <c r="M39" i="247"/>
  <c r="L39" i="247"/>
  <c r="I39" i="247"/>
  <c r="F39" i="247"/>
  <c r="CM38" i="247"/>
  <c r="CM39" i="247" s="1"/>
  <c r="CE38" i="247"/>
  <c r="CE39" i="247" s="1"/>
  <c r="CD38" i="247"/>
  <c r="CD39" i="247" s="1"/>
  <c r="CC38" i="247"/>
  <c r="CC39" i="247" s="1"/>
  <c r="CA38" i="247"/>
  <c r="CA39" i="247" s="1"/>
  <c r="BX38" i="247"/>
  <c r="BX39" i="247" s="1"/>
  <c r="BW38" i="247"/>
  <c r="BW39" i="247" s="1"/>
  <c r="BV38" i="247"/>
  <c r="BV39" i="247" s="1"/>
  <c r="BU38" i="247"/>
  <c r="BU39" i="247" s="1"/>
  <c r="BT38" i="247"/>
  <c r="BT39" i="247" s="1"/>
  <c r="BS38" i="247"/>
  <c r="BR38" i="247"/>
  <c r="BQ38" i="247"/>
  <c r="BP38" i="247"/>
  <c r="BO38" i="247"/>
  <c r="BN38" i="247"/>
  <c r="BM38" i="247"/>
  <c r="BM39" i="247" s="1"/>
  <c r="BL38" i="247"/>
  <c r="BL39" i="247" s="1"/>
  <c r="BK38" i="247"/>
  <c r="BJ38" i="247"/>
  <c r="BJ39" i="247" s="1"/>
  <c r="BI38" i="247"/>
  <c r="BI39" i="247" s="1"/>
  <c r="BH38" i="247"/>
  <c r="BH39" i="247" s="1"/>
  <c r="BG38" i="247"/>
  <c r="BG39" i="247" s="1"/>
  <c r="BF38" i="247"/>
  <c r="BF39" i="247" s="1"/>
  <c r="BE38" i="247"/>
  <c r="BD38" i="247"/>
  <c r="BD39" i="247" s="1"/>
  <c r="BC38" i="247"/>
  <c r="BB38" i="247"/>
  <c r="BB39" i="247" s="1"/>
  <c r="BA38" i="247"/>
  <c r="BA39" i="247" s="1"/>
  <c r="AZ38" i="247"/>
  <c r="AY38" i="247"/>
  <c r="AX38" i="247"/>
  <c r="AX39" i="247" s="1"/>
  <c r="AW38" i="247"/>
  <c r="AW39" i="247" s="1"/>
  <c r="AV38" i="247"/>
  <c r="AV39" i="247" s="1"/>
  <c r="AU38" i="247"/>
  <c r="AU39" i="247" s="1"/>
  <c r="AT38" i="247"/>
  <c r="AS38" i="247"/>
  <c r="AR38" i="247"/>
  <c r="AQ38" i="247"/>
  <c r="AP38" i="247"/>
  <c r="AO38" i="247"/>
  <c r="AN38" i="247"/>
  <c r="AM38" i="247"/>
  <c r="AM39" i="247" s="1"/>
  <c r="AL38" i="247"/>
  <c r="AK38" i="247"/>
  <c r="AK39" i="247" s="1"/>
  <c r="AJ38" i="247"/>
  <c r="AJ39" i="247" s="1"/>
  <c r="AI38" i="247"/>
  <c r="AI39" i="247" s="1"/>
  <c r="AH38" i="247"/>
  <c r="AH39" i="247" s="1"/>
  <c r="AG38" i="247"/>
  <c r="AG39" i="247" s="1"/>
  <c r="AF38" i="247"/>
  <c r="AF39" i="247" s="1"/>
  <c r="AE38" i="247"/>
  <c r="AE39" i="247" s="1"/>
  <c r="AD38" i="247"/>
  <c r="AC38" i="247"/>
  <c r="AB38" i="247"/>
  <c r="AA38" i="247"/>
  <c r="Z38" i="247"/>
  <c r="Y38" i="247"/>
  <c r="X38" i="247"/>
  <c r="W38" i="247"/>
  <c r="W39" i="247" s="1"/>
  <c r="V38" i="247"/>
  <c r="V39" i="247" s="1"/>
  <c r="U38" i="247"/>
  <c r="U39" i="247" s="1"/>
  <c r="T38" i="247"/>
  <c r="T39" i="247" s="1"/>
  <c r="S38" i="247"/>
  <c r="S39" i="247" s="1"/>
  <c r="R38" i="247"/>
  <c r="R39" i="247" s="1"/>
  <c r="Q38" i="247"/>
  <c r="Q39" i="247" s="1"/>
  <c r="P38" i="247"/>
  <c r="O38" i="247"/>
  <c r="O39" i="247" s="1"/>
  <c r="N38" i="247"/>
  <c r="M38" i="247"/>
  <c r="L38" i="247"/>
  <c r="K38" i="247"/>
  <c r="K39" i="247" s="1"/>
  <c r="I38" i="247"/>
  <c r="H38" i="247"/>
  <c r="H39" i="247" s="1"/>
  <c r="G38" i="247"/>
  <c r="G39" i="247" s="1"/>
  <c r="E38" i="247"/>
  <c r="E39" i="247" s="1"/>
  <c r="CM37" i="247"/>
  <c r="CL37" i="247"/>
  <c r="CL82" i="247" s="1"/>
  <c r="CK37" i="247"/>
  <c r="CJ37" i="247"/>
  <c r="CI37" i="247"/>
  <c r="CH37" i="247"/>
  <c r="CG37" i="247"/>
  <c r="CF37" i="247"/>
  <c r="CE37" i="247"/>
  <c r="CD37" i="247"/>
  <c r="CC37" i="247"/>
  <c r="CB37" i="247"/>
  <c r="CA37" i="247"/>
  <c r="BZ37" i="247"/>
  <c r="BY37" i="247"/>
  <c r="BY38" i="247" s="1"/>
  <c r="BY39" i="247" s="1"/>
  <c r="BX37" i="247"/>
  <c r="CM36" i="247"/>
  <c r="CL36" i="247"/>
  <c r="CK36" i="247"/>
  <c r="CJ36" i="247"/>
  <c r="CI36" i="247"/>
  <c r="CM35" i="247"/>
  <c r="CL35" i="247"/>
  <c r="CK35" i="247"/>
  <c r="CJ35" i="247"/>
  <c r="CI35" i="247"/>
  <c r="CH35" i="247"/>
  <c r="CM34" i="247"/>
  <c r="CL34" i="247"/>
  <c r="CK34" i="247"/>
  <c r="CJ34" i="247"/>
  <c r="CI34" i="247"/>
  <c r="CH34" i="247"/>
  <c r="CG34" i="247"/>
  <c r="CB34" i="247"/>
  <c r="BX34" i="247"/>
  <c r="CM33" i="247"/>
  <c r="CL33" i="247"/>
  <c r="CK33" i="247"/>
  <c r="CJ33" i="247"/>
  <c r="CJ38" i="247" s="1"/>
  <c r="CJ39" i="247" s="1"/>
  <c r="CI33" i="247"/>
  <c r="CH33" i="247"/>
  <c r="CG33" i="247"/>
  <c r="CF33" i="247"/>
  <c r="CE33" i="247"/>
  <c r="CD33" i="247"/>
  <c r="CB33" i="247"/>
  <c r="CA33" i="247"/>
  <c r="BZ33" i="247"/>
  <c r="BY33" i="247"/>
  <c r="BX33" i="247"/>
  <c r="CM32" i="247"/>
  <c r="CL32" i="247"/>
  <c r="CK32" i="247"/>
  <c r="CK38" i="247" s="1"/>
  <c r="CK39" i="247" s="1"/>
  <c r="CJ32" i="247"/>
  <c r="CI32" i="247"/>
  <c r="CH32" i="247"/>
  <c r="CH38" i="247" s="1"/>
  <c r="CH39" i="247" s="1"/>
  <c r="CG32" i="247"/>
  <c r="CF32" i="247"/>
  <c r="CE32" i="247"/>
  <c r="CD32" i="247"/>
  <c r="CC32" i="247"/>
  <c r="CB32" i="247"/>
  <c r="CA32" i="247"/>
  <c r="BZ32" i="247"/>
  <c r="BY32" i="247"/>
  <c r="BX32" i="247"/>
  <c r="BV30" i="247"/>
  <c r="BU30" i="247"/>
  <c r="BT30" i="247"/>
  <c r="BS30" i="247"/>
  <c r="BR30" i="247"/>
  <c r="BQ30" i="247"/>
  <c r="BP30" i="247"/>
  <c r="BO30" i="247"/>
  <c r="BN30" i="247"/>
  <c r="BM30" i="247"/>
  <c r="BE30" i="247"/>
  <c r="BC30" i="247"/>
  <c r="BB30" i="247"/>
  <c r="BA30" i="247"/>
  <c r="AY30" i="247"/>
  <c r="AU30" i="247"/>
  <c r="AR30" i="247"/>
  <c r="AO30" i="247"/>
  <c r="AM30" i="247"/>
  <c r="AL30" i="247"/>
  <c r="AK30" i="247"/>
  <c r="AG30" i="247"/>
  <c r="AF30" i="247"/>
  <c r="AE30" i="247"/>
  <c r="AA30" i="247"/>
  <c r="Q30" i="247"/>
  <c r="P30" i="247"/>
  <c r="O30" i="247"/>
  <c r="L30" i="247"/>
  <c r="K30" i="247"/>
  <c r="J30" i="247"/>
  <c r="I30" i="247"/>
  <c r="G30" i="247"/>
  <c r="BY29" i="247"/>
  <c r="BY30" i="247" s="1"/>
  <c r="BW29" i="247"/>
  <c r="BW30" i="247" s="1"/>
  <c r="BV29" i="247"/>
  <c r="BU29" i="247"/>
  <c r="BT29" i="247"/>
  <c r="BS29" i="247"/>
  <c r="BR29" i="247"/>
  <c r="BQ29" i="247"/>
  <c r="BP29" i="247"/>
  <c r="BO29" i="247"/>
  <c r="BN29" i="247"/>
  <c r="BM29" i="247"/>
  <c r="BL29" i="247"/>
  <c r="BL30" i="247" s="1"/>
  <c r="BK29" i="247"/>
  <c r="BK30" i="247" s="1"/>
  <c r="BJ29" i="247"/>
  <c r="BJ30" i="247" s="1"/>
  <c r="BI29" i="247"/>
  <c r="BI30" i="247" s="1"/>
  <c r="BH29" i="247"/>
  <c r="BH30" i="247" s="1"/>
  <c r="BG29" i="247"/>
  <c r="BG30" i="247" s="1"/>
  <c r="BF29" i="247"/>
  <c r="BF30" i="247" s="1"/>
  <c r="BE29" i="247"/>
  <c r="BD29" i="247"/>
  <c r="BD30" i="247" s="1"/>
  <c r="BC29" i="247"/>
  <c r="BB29" i="247"/>
  <c r="BA29" i="247"/>
  <c r="AZ29" i="247"/>
  <c r="AZ30" i="247" s="1"/>
  <c r="AY29" i="247"/>
  <c r="AX29" i="247"/>
  <c r="AX30" i="247" s="1"/>
  <c r="AW29" i="247"/>
  <c r="AW30" i="247" s="1"/>
  <c r="AV29" i="247"/>
  <c r="AV30" i="247" s="1"/>
  <c r="AU29" i="247"/>
  <c r="AT29" i="247"/>
  <c r="AT30" i="247" s="1"/>
  <c r="AS29" i="247"/>
  <c r="AS30" i="247" s="1"/>
  <c r="AR29" i="247"/>
  <c r="AQ29" i="247"/>
  <c r="AQ30" i="247" s="1"/>
  <c r="AP29" i="247"/>
  <c r="AP30" i="247" s="1"/>
  <c r="AO29" i="247"/>
  <c r="AN29" i="247"/>
  <c r="AN30" i="247" s="1"/>
  <c r="AM29" i="247"/>
  <c r="AL29" i="247"/>
  <c r="AK29" i="247"/>
  <c r="AJ29" i="247"/>
  <c r="AJ30" i="247" s="1"/>
  <c r="AI29" i="247"/>
  <c r="AI30" i="247" s="1"/>
  <c r="AH29" i="247"/>
  <c r="AH30" i="247" s="1"/>
  <c r="AG29" i="247"/>
  <c r="AF29" i="247"/>
  <c r="AE29" i="247"/>
  <c r="AD29" i="247"/>
  <c r="AD30" i="247" s="1"/>
  <c r="AC29" i="247"/>
  <c r="AC30" i="247" s="1"/>
  <c r="AA29" i="247"/>
  <c r="Z29" i="247"/>
  <c r="Z30" i="247" s="1"/>
  <c r="X29" i="247"/>
  <c r="X30" i="247" s="1"/>
  <c r="V29" i="247"/>
  <c r="V30" i="247" s="1"/>
  <c r="T29" i="247"/>
  <c r="T30" i="247" s="1"/>
  <c r="S29" i="247"/>
  <c r="S30" i="247" s="1"/>
  <c r="R29" i="247"/>
  <c r="R30" i="247" s="1"/>
  <c r="Q29" i="247"/>
  <c r="P29" i="247"/>
  <c r="O29" i="247"/>
  <c r="N29" i="247"/>
  <c r="N30" i="247" s="1"/>
  <c r="L29" i="247"/>
  <c r="K29" i="247"/>
  <c r="J29" i="247"/>
  <c r="I29" i="247"/>
  <c r="H29" i="247"/>
  <c r="H30" i="247" s="1"/>
  <c r="G29" i="247"/>
  <c r="F29" i="247"/>
  <c r="F30" i="247" s="1"/>
  <c r="E29" i="247"/>
  <c r="E30" i="247" s="1"/>
  <c r="CM28" i="247"/>
  <c r="CL28" i="247"/>
  <c r="CK28" i="247"/>
  <c r="CJ28" i="247"/>
  <c r="CI28" i="247"/>
  <c r="CH28" i="247"/>
  <c r="CG28" i="247"/>
  <c r="CF28" i="247"/>
  <c r="CE28" i="247"/>
  <c r="CD28" i="247"/>
  <c r="CC28" i="247"/>
  <c r="CB28" i="247"/>
  <c r="CA28" i="247"/>
  <c r="BZ28" i="247"/>
  <c r="BZ29" i="247" s="1"/>
  <c r="BZ30" i="247" s="1"/>
  <c r="BY28" i="247"/>
  <c r="BX28" i="247"/>
  <c r="M28" i="247"/>
  <c r="M29" i="247" s="1"/>
  <c r="M30" i="247" s="1"/>
  <c r="CM27" i="247"/>
  <c r="CL27" i="247"/>
  <c r="CK27" i="247"/>
  <c r="CJ27" i="247"/>
  <c r="CI27" i="247"/>
  <c r="CH27" i="247"/>
  <c r="CG27" i="247"/>
  <c r="CF27" i="247"/>
  <c r="CE27" i="247"/>
  <c r="CD27" i="247"/>
  <c r="CC27" i="247"/>
  <c r="CB27" i="247"/>
  <c r="CA27" i="247"/>
  <c r="BZ27" i="247"/>
  <c r="BY27" i="247"/>
  <c r="BX27" i="247"/>
  <c r="AB27" i="247"/>
  <c r="AB81" i="247" s="1"/>
  <c r="Y27" i="247"/>
  <c r="X27" i="247"/>
  <c r="W27" i="247"/>
  <c r="CM26" i="247"/>
  <c r="CL26" i="247"/>
  <c r="CK26" i="247"/>
  <c r="CJ26" i="247"/>
  <c r="CI26" i="247"/>
  <c r="CH26" i="247"/>
  <c r="CG26" i="247"/>
  <c r="CF26" i="247"/>
  <c r="CE26" i="247"/>
  <c r="CD26" i="247"/>
  <c r="CC26" i="247"/>
  <c r="CB26" i="247"/>
  <c r="CA26" i="247"/>
  <c r="BY26" i="247"/>
  <c r="BX26" i="247"/>
  <c r="U26" i="247"/>
  <c r="U29" i="247" s="1"/>
  <c r="S26" i="247"/>
  <c r="CM25" i="247"/>
  <c r="CL25" i="247"/>
  <c r="CK25" i="247"/>
  <c r="CK29" i="247" s="1"/>
  <c r="CK30" i="247" s="1"/>
  <c r="CJ25" i="247"/>
  <c r="CI25" i="247"/>
  <c r="CH25" i="247"/>
  <c r="CG25" i="247"/>
  <c r="CF25" i="247"/>
  <c r="CE25" i="247"/>
  <c r="CD25" i="247"/>
  <c r="CC25" i="247"/>
  <c r="CB25" i="247"/>
  <c r="CA25" i="247"/>
  <c r="BZ25" i="247"/>
  <c r="BY25" i="247"/>
  <c r="BX25" i="247"/>
  <c r="AB25" i="247"/>
  <c r="AB79" i="247" s="1"/>
  <c r="S25" i="247"/>
  <c r="S79" i="247" s="1"/>
  <c r="CM24" i="247"/>
  <c r="CM29" i="247" s="1"/>
  <c r="CM30" i="247" s="1"/>
  <c r="CL24" i="247"/>
  <c r="CK24" i="247"/>
  <c r="CJ24" i="247"/>
  <c r="CI24" i="247"/>
  <c r="CH24" i="247"/>
  <c r="CG24" i="247"/>
  <c r="CF24" i="247"/>
  <c r="CE24" i="247"/>
  <c r="CD24" i="247"/>
  <c r="CC24" i="247"/>
  <c r="CB24" i="247"/>
  <c r="CA24" i="247"/>
  <c r="BZ24" i="247"/>
  <c r="BY24" i="247"/>
  <c r="BX24" i="247"/>
  <c r="S24" i="247"/>
  <c r="CM23" i="247"/>
  <c r="CL23" i="247"/>
  <c r="CK23" i="247"/>
  <c r="CJ23" i="247"/>
  <c r="CJ29" i="247" s="1"/>
  <c r="CJ30" i="247" s="1"/>
  <c r="CI23" i="247"/>
  <c r="CH23" i="247"/>
  <c r="CH29" i="247" s="1"/>
  <c r="CH30" i="247" s="1"/>
  <c r="CG23" i="247"/>
  <c r="CF23" i="247"/>
  <c r="CF29" i="247" s="1"/>
  <c r="CF30" i="247" s="1"/>
  <c r="CE23" i="247"/>
  <c r="CE29" i="247" s="1"/>
  <c r="CE30" i="247" s="1"/>
  <c r="CD23" i="247"/>
  <c r="CD29" i="247" s="1"/>
  <c r="CD30" i="247" s="1"/>
  <c r="CC23" i="247"/>
  <c r="CB23" i="247"/>
  <c r="CA23" i="247"/>
  <c r="BZ23" i="247"/>
  <c r="BY23" i="247"/>
  <c r="BX23" i="247"/>
  <c r="BH23" i="247"/>
  <c r="R21" i="247"/>
  <c r="P21" i="247"/>
  <c r="K21" i="247"/>
  <c r="J21" i="247"/>
  <c r="H21" i="247"/>
  <c r="G21" i="247"/>
  <c r="F21" i="247"/>
  <c r="CM20" i="247"/>
  <c r="CL20" i="247"/>
  <c r="CK20" i="247"/>
  <c r="CJ20" i="247"/>
  <c r="CI20" i="247"/>
  <c r="CH20" i="247"/>
  <c r="CG20" i="247"/>
  <c r="CF20" i="247"/>
  <c r="CE20" i="247"/>
  <c r="CD20" i="247"/>
  <c r="CC20" i="247"/>
  <c r="CB20" i="247"/>
  <c r="CA20" i="247"/>
  <c r="BZ20" i="247"/>
  <c r="BY20" i="247"/>
  <c r="BX20" i="247"/>
  <c r="BW20" i="247"/>
  <c r="BV20" i="247"/>
  <c r="BU20" i="247"/>
  <c r="BT20" i="247"/>
  <c r="BS20" i="247"/>
  <c r="BR20" i="247"/>
  <c r="BQ20" i="247"/>
  <c r="BP20" i="247"/>
  <c r="BO20" i="247"/>
  <c r="BN20" i="247"/>
  <c r="BM20" i="247"/>
  <c r="BL20" i="247"/>
  <c r="BK20" i="247"/>
  <c r="BJ20" i="247"/>
  <c r="BI20" i="247"/>
  <c r="BH20" i="247"/>
  <c r="BG20" i="247"/>
  <c r="BF20" i="247"/>
  <c r="BE20" i="247"/>
  <c r="BD20" i="247"/>
  <c r="BC20" i="247"/>
  <c r="BB20" i="247"/>
  <c r="BA20" i="247"/>
  <c r="AZ20" i="247"/>
  <c r="AY20" i="247"/>
  <c r="AX20" i="247"/>
  <c r="AW20" i="247"/>
  <c r="AV20" i="247"/>
  <c r="AU20" i="247"/>
  <c r="AT20" i="247"/>
  <c r="AS20" i="247"/>
  <c r="AR20" i="247"/>
  <c r="AQ20" i="247"/>
  <c r="AP20" i="247"/>
  <c r="AO20" i="247"/>
  <c r="AN20" i="247"/>
  <c r="AM20" i="247"/>
  <c r="AL20" i="247"/>
  <c r="AK20" i="247"/>
  <c r="AJ20" i="247"/>
  <c r="AI20" i="247"/>
  <c r="AH20" i="247"/>
  <c r="AG20" i="247"/>
  <c r="AF20" i="247"/>
  <c r="AE20" i="247"/>
  <c r="AD20" i="247"/>
  <c r="AC20" i="247"/>
  <c r="AB20" i="247"/>
  <c r="AA20" i="247"/>
  <c r="Z20" i="247"/>
  <c r="Y20" i="247"/>
  <c r="X20" i="247"/>
  <c r="W20" i="247"/>
  <c r="V20" i="247"/>
  <c r="U20" i="247"/>
  <c r="T20" i="247"/>
  <c r="S20" i="247"/>
  <c r="R20" i="247"/>
  <c r="Q20" i="247"/>
  <c r="Q21" i="247" s="1"/>
  <c r="P20" i="247"/>
  <c r="O20" i="247"/>
  <c r="O21" i="247" s="1"/>
  <c r="N20" i="247"/>
  <c r="N21" i="247" s="1"/>
  <c r="M20" i="247"/>
  <c r="M21" i="247" s="1"/>
  <c r="L20" i="247"/>
  <c r="L21" i="247" s="1"/>
  <c r="K20" i="247"/>
  <c r="I20" i="247"/>
  <c r="I21" i="247" s="1"/>
  <c r="H20" i="247"/>
  <c r="G20" i="247"/>
  <c r="F20" i="247"/>
  <c r="E20" i="247"/>
  <c r="E21" i="247" s="1"/>
  <c r="I18" i="247"/>
  <c r="I81" i="247" s="1"/>
  <c r="J17" i="247"/>
  <c r="J20" i="247" s="1"/>
  <c r="I17" i="247"/>
  <c r="BU12" i="247"/>
  <c r="BS12" i="247"/>
  <c r="BK12" i="247"/>
  <c r="BI12" i="247"/>
  <c r="BG12" i="247"/>
  <c r="BE12" i="247"/>
  <c r="BC12" i="247"/>
  <c r="BA12" i="247"/>
  <c r="AZ12" i="247"/>
  <c r="AW12" i="247"/>
  <c r="AS12" i="247"/>
  <c r="AQ12" i="247"/>
  <c r="AO12" i="247"/>
  <c r="O12" i="247"/>
  <c r="N12" i="247"/>
  <c r="K12" i="247"/>
  <c r="BW11" i="247"/>
  <c r="BW12" i="247" s="1"/>
  <c r="BV11" i="247"/>
  <c r="BV12" i="247" s="1"/>
  <c r="BU11" i="247"/>
  <c r="BT11" i="247"/>
  <c r="BT12" i="247" s="1"/>
  <c r="BS11" i="247"/>
  <c r="BR11" i="247"/>
  <c r="BR12" i="247" s="1"/>
  <c r="BQ11" i="247"/>
  <c r="BQ12" i="247" s="1"/>
  <c r="BP11" i="247"/>
  <c r="BP12" i="247" s="1"/>
  <c r="BO11" i="247"/>
  <c r="BO12" i="247" s="1"/>
  <c r="BN11" i="247"/>
  <c r="BM11" i="247"/>
  <c r="BL11" i="247"/>
  <c r="BL12" i="247" s="1"/>
  <c r="BK11" i="247"/>
  <c r="BJ11" i="247"/>
  <c r="BJ12" i="247" s="1"/>
  <c r="BI11" i="247"/>
  <c r="BH11" i="247"/>
  <c r="BH12" i="247" s="1"/>
  <c r="BG11" i="247"/>
  <c r="BF11" i="247"/>
  <c r="BF12" i="247" s="1"/>
  <c r="BE11" i="247"/>
  <c r="BD11" i="247"/>
  <c r="BD12" i="247" s="1"/>
  <c r="BC11" i="247"/>
  <c r="BB11" i="247"/>
  <c r="BB12" i="247" s="1"/>
  <c r="BA11" i="247"/>
  <c r="AZ11" i="247"/>
  <c r="AY11" i="247"/>
  <c r="AX11" i="247"/>
  <c r="AX12" i="247" s="1"/>
  <c r="AW11" i="247"/>
  <c r="AV11" i="247"/>
  <c r="AV12" i="247" s="1"/>
  <c r="AU11" i="247"/>
  <c r="AU12" i="247" s="1"/>
  <c r="AT11" i="247"/>
  <c r="AT12" i="247" s="1"/>
  <c r="AR11" i="247"/>
  <c r="AR12" i="247" s="1"/>
  <c r="AQ11" i="247"/>
  <c r="AO11" i="247"/>
  <c r="AN11" i="247"/>
  <c r="AN12" i="247" s="1"/>
  <c r="AM11" i="247"/>
  <c r="AM12" i="247" s="1"/>
  <c r="AD11" i="247"/>
  <c r="AD12" i="247" s="1"/>
  <c r="AC11" i="247"/>
  <c r="AC12" i="247" s="1"/>
  <c r="AB11" i="247"/>
  <c r="AB12" i="247" s="1"/>
  <c r="Z11" i="247"/>
  <c r="Z12" i="247" s="1"/>
  <c r="Y11" i="247"/>
  <c r="Y12" i="247" s="1"/>
  <c r="O11" i="247"/>
  <c r="N11" i="247"/>
  <c r="L11" i="247"/>
  <c r="L12" i="247" s="1"/>
  <c r="K11" i="247"/>
  <c r="J11" i="247"/>
  <c r="J12" i="247" s="1"/>
  <c r="I11" i="247"/>
  <c r="I12" i="247" s="1"/>
  <c r="H11" i="247"/>
  <c r="H12" i="247" s="1"/>
  <c r="G11" i="247"/>
  <c r="G12" i="247" s="1"/>
  <c r="CM10" i="247"/>
  <c r="CL10" i="247"/>
  <c r="CK10" i="247"/>
  <c r="CJ10" i="247"/>
  <c r="CI10" i="247"/>
  <c r="CI82" i="247" s="1"/>
  <c r="CH10" i="247"/>
  <c r="CH82" i="247" s="1"/>
  <c r="CG10" i="247"/>
  <c r="CF10" i="247"/>
  <c r="CF82" i="247" s="1"/>
  <c r="CE10" i="247"/>
  <c r="CE82" i="247" s="1"/>
  <c r="CD10" i="247"/>
  <c r="CD82" i="247" s="1"/>
  <c r="CC10" i="247"/>
  <c r="CC82" i="247" s="1"/>
  <c r="CB10" i="247"/>
  <c r="CB82" i="247" s="1"/>
  <c r="CA10" i="247"/>
  <c r="CA82" i="247" s="1"/>
  <c r="BZ10" i="247"/>
  <c r="BY10" i="247"/>
  <c r="BX10" i="247"/>
  <c r="AN10" i="247"/>
  <c r="AL10" i="247"/>
  <c r="AL82" i="247" s="1"/>
  <c r="AG10" i="247"/>
  <c r="AG82" i="247" s="1"/>
  <c r="AF10" i="247"/>
  <c r="AF82" i="247" s="1"/>
  <c r="T10" i="247"/>
  <c r="T82" i="247" s="1"/>
  <c r="S10" i="247"/>
  <c r="R10" i="247"/>
  <c r="Q10" i="247"/>
  <c r="Q82" i="247" s="1"/>
  <c r="P10" i="247"/>
  <c r="P82" i="247" s="1"/>
  <c r="M10" i="247"/>
  <c r="L10" i="247"/>
  <c r="L82" i="247" s="1"/>
  <c r="K10" i="247"/>
  <c r="K82" i="247" s="1"/>
  <c r="I10" i="247"/>
  <c r="H10" i="247"/>
  <c r="H82" i="247" s="1"/>
  <c r="CM9" i="247"/>
  <c r="CL9" i="247"/>
  <c r="CK9" i="247"/>
  <c r="CJ9" i="247"/>
  <c r="CJ81" i="247" s="1"/>
  <c r="CI9" i="247"/>
  <c r="CI81" i="247" s="1"/>
  <c r="CH9" i="247"/>
  <c r="CG9" i="247"/>
  <c r="CG81" i="247" s="1"/>
  <c r="CF9" i="247"/>
  <c r="CF81" i="247" s="1"/>
  <c r="CE9" i="247"/>
  <c r="CE81" i="247" s="1"/>
  <c r="CD9" i="247"/>
  <c r="CC9" i="247"/>
  <c r="CB9" i="247"/>
  <c r="CA9" i="247"/>
  <c r="BZ9" i="247"/>
  <c r="BY9" i="247"/>
  <c r="BX9" i="247"/>
  <c r="AL9" i="247"/>
  <c r="AK9" i="247"/>
  <c r="AK81" i="247" s="1"/>
  <c r="AJ9" i="247"/>
  <c r="AJ81" i="247" s="1"/>
  <c r="AE9" i="247"/>
  <c r="AE81" i="247" s="1"/>
  <c r="AD9" i="247"/>
  <c r="AD81" i="247" s="1"/>
  <c r="G9" i="247"/>
  <c r="G81" i="247" s="1"/>
  <c r="F9" i="247"/>
  <c r="E9" i="247"/>
  <c r="CM8" i="247"/>
  <c r="CM80" i="247" s="1"/>
  <c r="CL8" i="247"/>
  <c r="CL80" i="247" s="1"/>
  <c r="CK8" i="247"/>
  <c r="CJ8" i="247"/>
  <c r="CI8" i="247"/>
  <c r="CH8" i="247"/>
  <c r="CG8" i="247"/>
  <c r="CG80" i="247" s="1"/>
  <c r="CF8" i="247"/>
  <c r="CF80" i="247" s="1"/>
  <c r="CE8" i="247"/>
  <c r="CD8" i="247"/>
  <c r="CD80" i="247" s="1"/>
  <c r="CC8" i="247"/>
  <c r="CB8" i="247"/>
  <c r="CB80" i="247" s="1"/>
  <c r="CA8" i="247"/>
  <c r="CA80" i="247" s="1"/>
  <c r="BZ8" i="247"/>
  <c r="BZ80" i="247" s="1"/>
  <c r="BY8" i="247"/>
  <c r="BY80" i="247" s="1"/>
  <c r="BX8" i="247"/>
  <c r="BX80" i="247" s="1"/>
  <c r="AK8" i="247"/>
  <c r="AJ8" i="247"/>
  <c r="CM7" i="247"/>
  <c r="CL7" i="247"/>
  <c r="CK7" i="247"/>
  <c r="CJ7" i="247"/>
  <c r="CJ79" i="247" s="1"/>
  <c r="CI7" i="247"/>
  <c r="CI79" i="247" s="1"/>
  <c r="CH7" i="247"/>
  <c r="CH79" i="247" s="1"/>
  <c r="CG7" i="247"/>
  <c r="CG79" i="247" s="1"/>
  <c r="CF7" i="247"/>
  <c r="CF79" i="247" s="1"/>
  <c r="CE7" i="247"/>
  <c r="CE79" i="247" s="1"/>
  <c r="CD7" i="247"/>
  <c r="CD79" i="247" s="1"/>
  <c r="CC7" i="247"/>
  <c r="CC79" i="247" s="1"/>
  <c r="CB7" i="247"/>
  <c r="CA7" i="247"/>
  <c r="BZ7" i="247"/>
  <c r="BY7" i="247"/>
  <c r="BX7" i="247"/>
  <c r="AK7" i="247"/>
  <c r="AD7" i="247"/>
  <c r="AD79" i="247" s="1"/>
  <c r="CM6" i="247"/>
  <c r="CL6" i="247"/>
  <c r="CL78" i="247" s="1"/>
  <c r="CK6" i="247"/>
  <c r="CJ6" i="247"/>
  <c r="CJ78" i="247" s="1"/>
  <c r="CI6" i="247"/>
  <c r="CI78" i="247" s="1"/>
  <c r="CH6" i="247"/>
  <c r="CH78" i="247" s="1"/>
  <c r="CG6" i="247"/>
  <c r="CF6" i="247"/>
  <c r="CF78" i="247" s="1"/>
  <c r="CE6" i="247"/>
  <c r="CD6" i="247"/>
  <c r="CC6" i="247"/>
  <c r="CB6" i="247"/>
  <c r="CA6" i="247"/>
  <c r="BZ6" i="247"/>
  <c r="BZ78" i="247" s="1"/>
  <c r="BY6" i="247"/>
  <c r="BY78" i="247" s="1"/>
  <c r="BX6" i="247"/>
  <c r="AK6" i="247"/>
  <c r="AK78" i="247" s="1"/>
  <c r="AJ6" i="247"/>
  <c r="AJ78" i="247" s="1"/>
  <c r="AA6" i="247"/>
  <c r="Z6" i="247"/>
  <c r="Z78" i="247" s="1"/>
  <c r="L6" i="247"/>
  <c r="L78" i="247" s="1"/>
  <c r="K6" i="247"/>
  <c r="K78" i="247" s="1"/>
  <c r="CM5" i="247"/>
  <c r="CL5" i="247"/>
  <c r="CK5" i="247"/>
  <c r="CJ5" i="247"/>
  <c r="CI5" i="247"/>
  <c r="CI11" i="247" s="1"/>
  <c r="CI12" i="247" s="1"/>
  <c r="CH5" i="247"/>
  <c r="CG5" i="247"/>
  <c r="CF5" i="247"/>
  <c r="CE5" i="247"/>
  <c r="CD5" i="247"/>
  <c r="CD77" i="247" s="1"/>
  <c r="CC5" i="247"/>
  <c r="CB5" i="247"/>
  <c r="CA5" i="247"/>
  <c r="CA77" i="247" s="1"/>
  <c r="BZ5" i="247"/>
  <c r="BY5" i="247"/>
  <c r="BH5" i="247"/>
  <c r="BH77" i="247" s="1"/>
  <c r="BH83" i="247" s="1"/>
  <c r="BH84" i="247" s="1"/>
  <c r="AU5" i="247"/>
  <c r="AU77" i="247" s="1"/>
  <c r="AS5" i="247"/>
  <c r="AS11" i="247" s="1"/>
  <c r="AR5" i="247"/>
  <c r="AR77" i="247" s="1"/>
  <c r="AP5" i="247"/>
  <c r="AP77" i="247" s="1"/>
  <c r="AP83" i="247" s="1"/>
  <c r="AP84" i="247" s="1"/>
  <c r="AL5" i="247"/>
  <c r="AK5" i="247"/>
  <c r="AK11" i="247" s="1"/>
  <c r="AK12" i="247" s="1"/>
  <c r="AJ5" i="247"/>
  <c r="AI5" i="247"/>
  <c r="AH5" i="247"/>
  <c r="AG5" i="247"/>
  <c r="AF5" i="247"/>
  <c r="AE5" i="247"/>
  <c r="AD5" i="247"/>
  <c r="AD77" i="247" s="1"/>
  <c r="AC5" i="247"/>
  <c r="AC77" i="247" s="1"/>
  <c r="AB5" i="247"/>
  <c r="AA5" i="247"/>
  <c r="Z5" i="247"/>
  <c r="Z77" i="247" s="1"/>
  <c r="Y5" i="247"/>
  <c r="Y77" i="247" s="1"/>
  <c r="X5" i="247"/>
  <c r="W5" i="247"/>
  <c r="W77" i="247" s="1"/>
  <c r="V5" i="247"/>
  <c r="U5" i="247"/>
  <c r="T5" i="247"/>
  <c r="S5" i="247"/>
  <c r="Q5" i="247"/>
  <c r="P5" i="247"/>
  <c r="O5" i="247"/>
  <c r="O77" i="247" s="1"/>
  <c r="M5" i="247"/>
  <c r="M77" i="247" s="1"/>
  <c r="J5" i="247"/>
  <c r="CL82" i="246"/>
  <c r="CK82" i="246"/>
  <c r="CJ82" i="246"/>
  <c r="CI82" i="246"/>
  <c r="CH82" i="246"/>
  <c r="CG82" i="246"/>
  <c r="CF82" i="246"/>
  <c r="CE82" i="246"/>
  <c r="CD82" i="246"/>
  <c r="CC82" i="246"/>
  <c r="CB82" i="246"/>
  <c r="CA82" i="246"/>
  <c r="BZ82" i="246"/>
  <c r="BY82" i="246"/>
  <c r="BX82" i="246"/>
  <c r="BW82" i="246"/>
  <c r="BV82" i="246"/>
  <c r="BU82" i="246"/>
  <c r="BT82" i="246"/>
  <c r="BS82" i="246"/>
  <c r="BR82" i="246"/>
  <c r="BQ82" i="246"/>
  <c r="BP82" i="246"/>
  <c r="BO82" i="246"/>
  <c r="BN82" i="246"/>
  <c r="BM82" i="246"/>
  <c r="BL82" i="246"/>
  <c r="BK82" i="246"/>
  <c r="BJ82" i="246"/>
  <c r="BI82" i="246"/>
  <c r="BH82" i="246"/>
  <c r="BG82" i="246"/>
  <c r="BF82" i="246"/>
  <c r="BE82" i="246"/>
  <c r="BD82" i="246"/>
  <c r="BC82" i="246"/>
  <c r="BB82" i="246"/>
  <c r="BA82" i="246"/>
  <c r="AZ82" i="246"/>
  <c r="AY82" i="246"/>
  <c r="AX82" i="246"/>
  <c r="AW82" i="246"/>
  <c r="AV82" i="246"/>
  <c r="AU82" i="246"/>
  <c r="AT82" i="246"/>
  <c r="AS82" i="246"/>
  <c r="AR82" i="246"/>
  <c r="AQ82" i="246"/>
  <c r="AP82" i="246"/>
  <c r="AO82" i="246"/>
  <c r="AN82" i="246"/>
  <c r="AM82" i="246"/>
  <c r="AL82" i="246"/>
  <c r="AK82" i="246"/>
  <c r="AJ82" i="246"/>
  <c r="AI82" i="246"/>
  <c r="AH82" i="246"/>
  <c r="AG82" i="246"/>
  <c r="AF82" i="246"/>
  <c r="AE82" i="246"/>
  <c r="AD82" i="246"/>
  <c r="AC82" i="246"/>
  <c r="AB82" i="246"/>
  <c r="AA82" i="246"/>
  <c r="Z82" i="246"/>
  <c r="Y82" i="246"/>
  <c r="X82" i="246"/>
  <c r="W82" i="246"/>
  <c r="V82" i="246"/>
  <c r="U82" i="246"/>
  <c r="T82" i="246"/>
  <c r="S82" i="246"/>
  <c r="R82" i="246"/>
  <c r="Q82" i="246"/>
  <c r="P82" i="246"/>
  <c r="O82" i="246"/>
  <c r="N82" i="246"/>
  <c r="M82" i="246"/>
  <c r="L82" i="246"/>
  <c r="K82" i="246"/>
  <c r="J82" i="246"/>
  <c r="I82" i="246"/>
  <c r="H82" i="246"/>
  <c r="G82" i="246"/>
  <c r="CL81" i="246"/>
  <c r="CK81" i="246"/>
  <c r="CJ81" i="246"/>
  <c r="CI81" i="246"/>
  <c r="CH81" i="246"/>
  <c r="CG81" i="246"/>
  <c r="CF81" i="246"/>
  <c r="CE81" i="246"/>
  <c r="CD81" i="246"/>
  <c r="CC81" i="246"/>
  <c r="CB81" i="246"/>
  <c r="CA81" i="246"/>
  <c r="BZ81" i="246"/>
  <c r="BY81" i="246"/>
  <c r="BX81" i="246"/>
  <c r="BW81" i="246"/>
  <c r="BV81" i="246"/>
  <c r="BU81" i="246"/>
  <c r="BT81" i="246"/>
  <c r="BS81" i="246"/>
  <c r="BR81" i="246"/>
  <c r="BQ81" i="246"/>
  <c r="BP81" i="246"/>
  <c r="BO81" i="246"/>
  <c r="BN81" i="246"/>
  <c r="BM81" i="246"/>
  <c r="BL81" i="246"/>
  <c r="BK81" i="246"/>
  <c r="BJ81" i="246"/>
  <c r="BI81" i="246"/>
  <c r="BH81" i="246"/>
  <c r="BG81" i="246"/>
  <c r="BF81" i="246"/>
  <c r="BE81" i="246"/>
  <c r="BD81" i="246"/>
  <c r="BC81" i="246"/>
  <c r="BB81" i="246"/>
  <c r="BA81" i="246"/>
  <c r="AZ81" i="246"/>
  <c r="AY81" i="246"/>
  <c r="AX81" i="246"/>
  <c r="AW81" i="246"/>
  <c r="AV81" i="246"/>
  <c r="AU81" i="246"/>
  <c r="AT81" i="246"/>
  <c r="AS81" i="246"/>
  <c r="AR81" i="246"/>
  <c r="AQ81" i="246"/>
  <c r="AP81" i="246"/>
  <c r="AO81" i="246"/>
  <c r="AN81" i="246"/>
  <c r="AM81" i="246"/>
  <c r="AL81" i="246"/>
  <c r="AK81" i="246"/>
  <c r="AJ81" i="246"/>
  <c r="AI81" i="246"/>
  <c r="AH81" i="246"/>
  <c r="AG81" i="246"/>
  <c r="AF81" i="246"/>
  <c r="AE81" i="246"/>
  <c r="AD81" i="246"/>
  <c r="AC81" i="246"/>
  <c r="AB81" i="246"/>
  <c r="AA81" i="246"/>
  <c r="Z81" i="246"/>
  <c r="Y81" i="246"/>
  <c r="X81" i="246"/>
  <c r="W81" i="246"/>
  <c r="V81" i="246"/>
  <c r="U81" i="246"/>
  <c r="T81" i="246"/>
  <c r="S81" i="246"/>
  <c r="R81" i="246"/>
  <c r="Q81" i="246"/>
  <c r="P81" i="246"/>
  <c r="O81" i="246"/>
  <c r="N81" i="246"/>
  <c r="M81" i="246"/>
  <c r="L81" i="246"/>
  <c r="K81" i="246"/>
  <c r="J81" i="246"/>
  <c r="I81" i="246"/>
  <c r="H81" i="246"/>
  <c r="G81" i="246"/>
  <c r="CL80" i="246"/>
  <c r="CK80" i="246"/>
  <c r="CJ80" i="246"/>
  <c r="CI80" i="246"/>
  <c r="CH80" i="246"/>
  <c r="CG80" i="246"/>
  <c r="CF80" i="246"/>
  <c r="CE80" i="246"/>
  <c r="CD80" i="246"/>
  <c r="CC80" i="246"/>
  <c r="CB80" i="246"/>
  <c r="CA80" i="246"/>
  <c r="BZ80" i="246"/>
  <c r="BY80" i="246"/>
  <c r="BX80" i="246"/>
  <c r="BW80" i="246"/>
  <c r="BV80" i="246"/>
  <c r="BU80" i="246"/>
  <c r="BT80" i="246"/>
  <c r="BS80" i="246"/>
  <c r="BR80" i="246"/>
  <c r="BQ80" i="246"/>
  <c r="BP80" i="246"/>
  <c r="BO80" i="246"/>
  <c r="BN80" i="246"/>
  <c r="BM80" i="246"/>
  <c r="BL80" i="246"/>
  <c r="BK80" i="246"/>
  <c r="BJ80" i="246"/>
  <c r="BI80" i="246"/>
  <c r="BH80" i="246"/>
  <c r="BG80" i="246"/>
  <c r="BF80" i="246"/>
  <c r="BE80" i="246"/>
  <c r="BD80" i="246"/>
  <c r="BC80" i="246"/>
  <c r="BB80" i="246"/>
  <c r="BA80" i="246"/>
  <c r="AZ80" i="246"/>
  <c r="AY80" i="246"/>
  <c r="AX80" i="246"/>
  <c r="AW80" i="246"/>
  <c r="AV80" i="246"/>
  <c r="AU80" i="246"/>
  <c r="AT80" i="246"/>
  <c r="AS80" i="246"/>
  <c r="AR80" i="246"/>
  <c r="AQ80" i="246"/>
  <c r="AP80" i="246"/>
  <c r="AO80" i="246"/>
  <c r="AN80" i="246"/>
  <c r="AM80" i="246"/>
  <c r="AL80" i="246"/>
  <c r="AK80" i="246"/>
  <c r="AJ80" i="246"/>
  <c r="AI80" i="246"/>
  <c r="AH80" i="246"/>
  <c r="AG80" i="246"/>
  <c r="AF80" i="246"/>
  <c r="AE80" i="246"/>
  <c r="AD80" i="246"/>
  <c r="AC80" i="246"/>
  <c r="AB80" i="246"/>
  <c r="AA80" i="246"/>
  <c r="Z80" i="246"/>
  <c r="Y80" i="246"/>
  <c r="X80" i="246"/>
  <c r="W80" i="246"/>
  <c r="V80" i="246"/>
  <c r="U80" i="246"/>
  <c r="T80" i="246"/>
  <c r="S80" i="246"/>
  <c r="R80" i="246"/>
  <c r="Q80" i="246"/>
  <c r="P80" i="246"/>
  <c r="O80" i="246"/>
  <c r="N80" i="246"/>
  <c r="M80" i="246"/>
  <c r="L80" i="246"/>
  <c r="K80" i="246"/>
  <c r="J80" i="246"/>
  <c r="I80" i="246"/>
  <c r="H80" i="246"/>
  <c r="G80" i="246"/>
  <c r="CL79" i="246"/>
  <c r="CK79" i="246"/>
  <c r="CJ79" i="246"/>
  <c r="CI79" i="246"/>
  <c r="CH79" i="246"/>
  <c r="CG79" i="246"/>
  <c r="CF79" i="246"/>
  <c r="CE79" i="246"/>
  <c r="CD79" i="246"/>
  <c r="CC79" i="246"/>
  <c r="CB79" i="246"/>
  <c r="CA79" i="246"/>
  <c r="BZ79" i="246"/>
  <c r="BY79" i="246"/>
  <c r="BX79" i="246"/>
  <c r="BW79" i="246"/>
  <c r="BV79" i="246"/>
  <c r="BU79" i="246"/>
  <c r="BT79" i="246"/>
  <c r="BS79" i="246"/>
  <c r="BR79" i="246"/>
  <c r="BQ79" i="246"/>
  <c r="BP79" i="246"/>
  <c r="BO79" i="246"/>
  <c r="BN79" i="246"/>
  <c r="BM79" i="246"/>
  <c r="BL79" i="246"/>
  <c r="BK79" i="246"/>
  <c r="BJ79" i="246"/>
  <c r="BI79" i="246"/>
  <c r="BH79" i="246"/>
  <c r="BG79" i="246"/>
  <c r="BF79" i="246"/>
  <c r="BE79" i="246"/>
  <c r="BD79" i="246"/>
  <c r="BC79" i="246"/>
  <c r="BB79" i="246"/>
  <c r="BA79" i="246"/>
  <c r="AZ79" i="246"/>
  <c r="AY79" i="246"/>
  <c r="AX79" i="246"/>
  <c r="AW79" i="246"/>
  <c r="AV79" i="246"/>
  <c r="AU79" i="246"/>
  <c r="AT79" i="246"/>
  <c r="AS79" i="246"/>
  <c r="AR79" i="246"/>
  <c r="AQ79" i="246"/>
  <c r="AP79" i="246"/>
  <c r="AO79" i="246"/>
  <c r="AN79" i="246"/>
  <c r="AM79" i="246"/>
  <c r="AL79" i="246"/>
  <c r="AK79" i="246"/>
  <c r="AJ79" i="246"/>
  <c r="AI79" i="246"/>
  <c r="AH79" i="246"/>
  <c r="AG79" i="246"/>
  <c r="AF79" i="246"/>
  <c r="AE79" i="246"/>
  <c r="AD79" i="246"/>
  <c r="AC79" i="246"/>
  <c r="AB79" i="246"/>
  <c r="AA79" i="246"/>
  <c r="Z79" i="246"/>
  <c r="Y79" i="246"/>
  <c r="X79" i="246"/>
  <c r="W79" i="246"/>
  <c r="V79" i="246"/>
  <c r="U79" i="246"/>
  <c r="T79" i="246"/>
  <c r="S79" i="246"/>
  <c r="R79" i="246"/>
  <c r="Q79" i="246"/>
  <c r="P79" i="246"/>
  <c r="O79" i="246"/>
  <c r="N79" i="246"/>
  <c r="M79" i="246"/>
  <c r="L79" i="246"/>
  <c r="K79" i="246"/>
  <c r="J79" i="246"/>
  <c r="I79" i="246"/>
  <c r="H79" i="246"/>
  <c r="G79" i="246"/>
  <c r="CL78" i="246"/>
  <c r="CK78" i="246"/>
  <c r="CJ78" i="246"/>
  <c r="CI78" i="246"/>
  <c r="CH78" i="246"/>
  <c r="CG78" i="246"/>
  <c r="CF78" i="246"/>
  <c r="CE78" i="246"/>
  <c r="CD78" i="246"/>
  <c r="CC78" i="246"/>
  <c r="CB78" i="246"/>
  <c r="CA78" i="246"/>
  <c r="BZ78" i="246"/>
  <c r="BY78" i="246"/>
  <c r="BX78" i="246"/>
  <c r="BW78" i="246"/>
  <c r="BV78" i="246"/>
  <c r="BU78" i="246"/>
  <c r="BT78" i="246"/>
  <c r="BS78" i="246"/>
  <c r="BR78" i="246"/>
  <c r="BQ78" i="246"/>
  <c r="BP78" i="246"/>
  <c r="BO78" i="246"/>
  <c r="BN78" i="246"/>
  <c r="BM78" i="246"/>
  <c r="BL78" i="246"/>
  <c r="BK78" i="246"/>
  <c r="BJ78" i="246"/>
  <c r="BI78" i="246"/>
  <c r="BH78" i="246"/>
  <c r="BG78" i="246"/>
  <c r="BF78" i="246"/>
  <c r="BE78" i="246"/>
  <c r="BD78" i="246"/>
  <c r="BC78" i="246"/>
  <c r="BB78" i="246"/>
  <c r="BA78" i="246"/>
  <c r="AZ78" i="246"/>
  <c r="AY78" i="246"/>
  <c r="AX78" i="246"/>
  <c r="AW78" i="246"/>
  <c r="AV78" i="246"/>
  <c r="AU78" i="246"/>
  <c r="AT78" i="246"/>
  <c r="AS78" i="246"/>
  <c r="AR78" i="246"/>
  <c r="AQ78" i="246"/>
  <c r="AP78" i="246"/>
  <c r="AO78" i="246"/>
  <c r="AN78" i="246"/>
  <c r="AM78" i="246"/>
  <c r="AL78" i="246"/>
  <c r="AK78" i="246"/>
  <c r="AJ78" i="246"/>
  <c r="AI78" i="246"/>
  <c r="AH78" i="246"/>
  <c r="AG78" i="246"/>
  <c r="AF78" i="246"/>
  <c r="AE78" i="246"/>
  <c r="AD78" i="246"/>
  <c r="AC78" i="246"/>
  <c r="AB78" i="246"/>
  <c r="AA78" i="246"/>
  <c r="Z78" i="246"/>
  <c r="Y78" i="246"/>
  <c r="X78" i="246"/>
  <c r="W78" i="246"/>
  <c r="V78" i="246"/>
  <c r="U78" i="246"/>
  <c r="T78" i="246"/>
  <c r="S78" i="246"/>
  <c r="R78" i="246"/>
  <c r="Q78" i="246"/>
  <c r="P78" i="246"/>
  <c r="O78" i="246"/>
  <c r="N78" i="246"/>
  <c r="M78" i="246"/>
  <c r="L78" i="246"/>
  <c r="K78" i="246"/>
  <c r="J78" i="246"/>
  <c r="I78" i="246"/>
  <c r="H78" i="246"/>
  <c r="G78" i="246"/>
  <c r="CL77" i="246"/>
  <c r="CK77" i="246"/>
  <c r="CJ77" i="246"/>
  <c r="CI77" i="246"/>
  <c r="CH77" i="246"/>
  <c r="CG77" i="246"/>
  <c r="CF77" i="246"/>
  <c r="CE77" i="246"/>
  <c r="CD77" i="246"/>
  <c r="CC77" i="246"/>
  <c r="CB77" i="246"/>
  <c r="CA77" i="246"/>
  <c r="BZ77" i="246"/>
  <c r="BY77" i="246"/>
  <c r="BX77" i="246"/>
  <c r="BW77" i="246"/>
  <c r="BV77" i="246"/>
  <c r="BU77" i="246"/>
  <c r="BT77" i="246"/>
  <c r="BS77" i="246"/>
  <c r="BR77" i="246"/>
  <c r="BQ77" i="246"/>
  <c r="BP77" i="246"/>
  <c r="BO77" i="246"/>
  <c r="BN77" i="246"/>
  <c r="BM77" i="246"/>
  <c r="BL77" i="246"/>
  <c r="BK77" i="246"/>
  <c r="BJ77" i="246"/>
  <c r="BI77" i="246"/>
  <c r="BH77" i="246"/>
  <c r="BG77" i="246"/>
  <c r="BF77" i="246"/>
  <c r="BE77" i="246"/>
  <c r="BD77" i="246"/>
  <c r="BC77" i="246"/>
  <c r="BB77" i="246"/>
  <c r="BA77" i="246"/>
  <c r="AZ77" i="246"/>
  <c r="AY77" i="246"/>
  <c r="AX77" i="246"/>
  <c r="AW77" i="246"/>
  <c r="AV77" i="246"/>
  <c r="AU77" i="246"/>
  <c r="AT77" i="246"/>
  <c r="AS77" i="246"/>
  <c r="AR77" i="246"/>
  <c r="AQ77" i="246"/>
  <c r="AP77" i="246"/>
  <c r="AO77" i="246"/>
  <c r="AN77" i="246"/>
  <c r="AM77" i="246"/>
  <c r="AL77" i="246"/>
  <c r="AK77" i="246"/>
  <c r="AJ77" i="246"/>
  <c r="AI77" i="246"/>
  <c r="AH77" i="246"/>
  <c r="AG77" i="246"/>
  <c r="AF77" i="246"/>
  <c r="AE77" i="246"/>
  <c r="AD77" i="246"/>
  <c r="AC77" i="246"/>
  <c r="AB77" i="246"/>
  <c r="AA77" i="246"/>
  <c r="Z77" i="246"/>
  <c r="Y77" i="246"/>
  <c r="X77" i="246"/>
  <c r="W77" i="246"/>
  <c r="V77" i="246"/>
  <c r="U77" i="246"/>
  <c r="T77" i="246"/>
  <c r="S77" i="246"/>
  <c r="R77" i="246"/>
  <c r="Q77" i="246"/>
  <c r="P77" i="246"/>
  <c r="O77" i="246"/>
  <c r="N77" i="246"/>
  <c r="M77" i="246"/>
  <c r="L77" i="246"/>
  <c r="K77" i="246"/>
  <c r="J77" i="246"/>
  <c r="I77" i="246"/>
  <c r="H77" i="246"/>
  <c r="G77" i="246"/>
  <c r="CL72" i="246"/>
  <c r="CK72" i="246"/>
  <c r="CJ72" i="246"/>
  <c r="CI72" i="246"/>
  <c r="CH72" i="246"/>
  <c r="CG72" i="246"/>
  <c r="CF72" i="246"/>
  <c r="CE72" i="246"/>
  <c r="CD72" i="246"/>
  <c r="CC72" i="246"/>
  <c r="CB72" i="246"/>
  <c r="CA72" i="246"/>
  <c r="BZ72" i="246"/>
  <c r="BY72" i="246"/>
  <c r="BX72" i="246"/>
  <c r="BW72" i="246"/>
  <c r="BV72" i="246"/>
  <c r="BU72" i="246"/>
  <c r="BT72" i="246"/>
  <c r="BS72" i="246"/>
  <c r="BR72" i="246"/>
  <c r="BQ72" i="246"/>
  <c r="BP72" i="246"/>
  <c r="BO72" i="246"/>
  <c r="BN72" i="246"/>
  <c r="BM72" i="246"/>
  <c r="BL72" i="246"/>
  <c r="BK72" i="246"/>
  <c r="BJ72" i="246"/>
  <c r="BI72" i="246"/>
  <c r="BH72" i="246"/>
  <c r="BG72" i="246"/>
  <c r="BF72" i="246"/>
  <c r="BE72" i="246"/>
  <c r="BD72" i="246"/>
  <c r="BC72" i="246"/>
  <c r="BB72" i="246"/>
  <c r="BA72" i="246"/>
  <c r="AZ72" i="246"/>
  <c r="AY72" i="246"/>
  <c r="AX72" i="246"/>
  <c r="AW72" i="246"/>
  <c r="AV72" i="246"/>
  <c r="AU72" i="246"/>
  <c r="AT72" i="246"/>
  <c r="AS72" i="246"/>
  <c r="AR72" i="246"/>
  <c r="AQ72" i="246"/>
  <c r="AP72" i="246"/>
  <c r="AO72" i="246"/>
  <c r="AN72" i="246"/>
  <c r="AM72" i="246"/>
  <c r="AL72" i="246"/>
  <c r="AK72" i="246"/>
  <c r="AJ72" i="246"/>
  <c r="AI72" i="246"/>
  <c r="AH72" i="246"/>
  <c r="AG72" i="246"/>
  <c r="AF72" i="246"/>
  <c r="AE72" i="246"/>
  <c r="AD72" i="246"/>
  <c r="AC72" i="246"/>
  <c r="AB72" i="246"/>
  <c r="AA72" i="246"/>
  <c r="Z72" i="246"/>
  <c r="Y72" i="246"/>
  <c r="X72" i="246"/>
  <c r="W72" i="246"/>
  <c r="V72" i="246"/>
  <c r="U72" i="246"/>
  <c r="T72" i="246"/>
  <c r="S72" i="246"/>
  <c r="R72" i="246"/>
  <c r="Q72" i="246"/>
  <c r="P72" i="246"/>
  <c r="O72" i="246"/>
  <c r="N72" i="246"/>
  <c r="M72" i="246"/>
  <c r="L72" i="246"/>
  <c r="K72" i="246"/>
  <c r="J72" i="246"/>
  <c r="I72" i="246"/>
  <c r="H72" i="246"/>
  <c r="G72" i="246"/>
  <c r="BL71" i="246"/>
  <c r="AT71" i="246"/>
  <c r="AS71" i="246"/>
  <c r="I71" i="246"/>
  <c r="H71" i="246"/>
  <c r="CK70" i="246"/>
  <c r="CJ30" i="12" s="1"/>
  <c r="CY30" i="12" s="1"/>
  <c r="CJ70" i="246"/>
  <c r="CI30" i="12" s="1"/>
  <c r="BW70" i="246"/>
  <c r="BV30" i="12" s="1"/>
  <c r="AF70" i="246"/>
  <c r="AE30" i="12" s="1"/>
  <c r="AA70" i="246"/>
  <c r="Z30" i="12" s="1"/>
  <c r="Z70" i="246"/>
  <c r="Y30" i="12" s="1"/>
  <c r="G70" i="246"/>
  <c r="F30" i="12" s="1"/>
  <c r="BT69" i="246"/>
  <c r="BS29" i="12" s="1"/>
  <c r="BS69" i="246"/>
  <c r="BR29" i="12" s="1"/>
  <c r="BR69" i="246"/>
  <c r="BQ29" i="12" s="1"/>
  <c r="BE69" i="246"/>
  <c r="BD29" i="12" s="1"/>
  <c r="AY69" i="246"/>
  <c r="AX29" i="12" s="1"/>
  <c r="T69" i="246"/>
  <c r="S29" i="12" s="1"/>
  <c r="N69" i="246"/>
  <c r="M29" i="12" s="1"/>
  <c r="CD68" i="246"/>
  <c r="CC28" i="12" s="1"/>
  <c r="CB68" i="246"/>
  <c r="CA28" i="12" s="1"/>
  <c r="CA68" i="246"/>
  <c r="BZ28" i="12" s="1"/>
  <c r="BZ68" i="246"/>
  <c r="BY28" i="12" s="1"/>
  <c r="BE68" i="246"/>
  <c r="BD28" i="12" s="1"/>
  <c r="Z68" i="246"/>
  <c r="Y28" i="12" s="1"/>
  <c r="Y68" i="246"/>
  <c r="X28" i="12" s="1"/>
  <c r="X68" i="246"/>
  <c r="W28" i="12" s="1"/>
  <c r="W68" i="246"/>
  <c r="V28" i="12" s="1"/>
  <c r="CL67" i="246"/>
  <c r="CK27" i="12" s="1"/>
  <c r="CC67" i="246"/>
  <c r="CB27" i="12" s="1"/>
  <c r="BS67" i="246"/>
  <c r="BR27" i="12" s="1"/>
  <c r="BR67" i="246"/>
  <c r="BQ27" i="12" s="1"/>
  <c r="AO67" i="246"/>
  <c r="AN27" i="12" s="1"/>
  <c r="AH67" i="246"/>
  <c r="AG27" i="12" s="1"/>
  <c r="CL61" i="246"/>
  <c r="CL71" i="246" s="1"/>
  <c r="CK61" i="246"/>
  <c r="CK71" i="246" s="1"/>
  <c r="CJ61" i="246"/>
  <c r="CJ71" i="246" s="1"/>
  <c r="CI61" i="246"/>
  <c r="CI71" i="246" s="1"/>
  <c r="CH61" i="246"/>
  <c r="CH71" i="246" s="1"/>
  <c r="CG61" i="246"/>
  <c r="CG71" i="246" s="1"/>
  <c r="CF61" i="246"/>
  <c r="CF71" i="246" s="1"/>
  <c r="CE61" i="246"/>
  <c r="CE71" i="246" s="1"/>
  <c r="CD61" i="246"/>
  <c r="CD71" i="246" s="1"/>
  <c r="CC61" i="246"/>
  <c r="CC71" i="246" s="1"/>
  <c r="CB61" i="246"/>
  <c r="CB71" i="246" s="1"/>
  <c r="CA61" i="246"/>
  <c r="CA71" i="246" s="1"/>
  <c r="BZ61" i="246"/>
  <c r="BZ71" i="246" s="1"/>
  <c r="BY61" i="246"/>
  <c r="BY71" i="246" s="1"/>
  <c r="BX61" i="246"/>
  <c r="BX71" i="246" s="1"/>
  <c r="BW61" i="246"/>
  <c r="BW71" i="246" s="1"/>
  <c r="BV61" i="246"/>
  <c r="BV71" i="246" s="1"/>
  <c r="BU61" i="246"/>
  <c r="BU71" i="246" s="1"/>
  <c r="BT61" i="246"/>
  <c r="BT71" i="246" s="1"/>
  <c r="BS61" i="246"/>
  <c r="BS71" i="246" s="1"/>
  <c r="BR61" i="246"/>
  <c r="BR71" i="246" s="1"/>
  <c r="BQ61" i="246"/>
  <c r="BQ71" i="246" s="1"/>
  <c r="BP61" i="246"/>
  <c r="BP71" i="246" s="1"/>
  <c r="BO61" i="246"/>
  <c r="BO71" i="246" s="1"/>
  <c r="BN61" i="246"/>
  <c r="BN71" i="246" s="1"/>
  <c r="BM61" i="246"/>
  <c r="BM71" i="246" s="1"/>
  <c r="BL61" i="246"/>
  <c r="BK61" i="246"/>
  <c r="BK71" i="246" s="1"/>
  <c r="BJ61" i="246"/>
  <c r="BJ71" i="246" s="1"/>
  <c r="BI61" i="246"/>
  <c r="BI71" i="246" s="1"/>
  <c r="BH61" i="246"/>
  <c r="BH71" i="246" s="1"/>
  <c r="BG61" i="246"/>
  <c r="BG71" i="246" s="1"/>
  <c r="BF61" i="246"/>
  <c r="BF71" i="246" s="1"/>
  <c r="BE61" i="246"/>
  <c r="BE71" i="246" s="1"/>
  <c r="BD61" i="246"/>
  <c r="BD71" i="246" s="1"/>
  <c r="BC61" i="246"/>
  <c r="BC71" i="246" s="1"/>
  <c r="BB61" i="246"/>
  <c r="BB71" i="246" s="1"/>
  <c r="BA61" i="246"/>
  <c r="BA71" i="246" s="1"/>
  <c r="AZ61" i="246"/>
  <c r="AZ71" i="246" s="1"/>
  <c r="AY61" i="246"/>
  <c r="AY71" i="246" s="1"/>
  <c r="AX61" i="246"/>
  <c r="AX71" i="246" s="1"/>
  <c r="AW61" i="246"/>
  <c r="AW71" i="246" s="1"/>
  <c r="AV61" i="246"/>
  <c r="AV71" i="246" s="1"/>
  <c r="AU61" i="246"/>
  <c r="AU71" i="246" s="1"/>
  <c r="AT61" i="246"/>
  <c r="AS61" i="246"/>
  <c r="AR61" i="246"/>
  <c r="AR71" i="246" s="1"/>
  <c r="AQ61" i="246"/>
  <c r="AQ71" i="246" s="1"/>
  <c r="AP61" i="246"/>
  <c r="AP71" i="246" s="1"/>
  <c r="AO61" i="246"/>
  <c r="AO71" i="246" s="1"/>
  <c r="AN61" i="246"/>
  <c r="AN71" i="246" s="1"/>
  <c r="AM61" i="246"/>
  <c r="AM71" i="246" s="1"/>
  <c r="AL61" i="246"/>
  <c r="AL71" i="246" s="1"/>
  <c r="AK61" i="246"/>
  <c r="AK71" i="246" s="1"/>
  <c r="AJ61" i="246"/>
  <c r="AJ71" i="246" s="1"/>
  <c r="AI61" i="246"/>
  <c r="AI71" i="246" s="1"/>
  <c r="AH61" i="246"/>
  <c r="AH71" i="246" s="1"/>
  <c r="AG61" i="246"/>
  <c r="AG71" i="246" s="1"/>
  <c r="AF61" i="246"/>
  <c r="AF71" i="246" s="1"/>
  <c r="AE61" i="246"/>
  <c r="AE71" i="246" s="1"/>
  <c r="AD61" i="246"/>
  <c r="AD71" i="246" s="1"/>
  <c r="AC61" i="246"/>
  <c r="AC71" i="246" s="1"/>
  <c r="AB61" i="246"/>
  <c r="AB71" i="246" s="1"/>
  <c r="AA61" i="246"/>
  <c r="AA71" i="246" s="1"/>
  <c r="Z61" i="246"/>
  <c r="Z71" i="246" s="1"/>
  <c r="Y61" i="246"/>
  <c r="Y71" i="246" s="1"/>
  <c r="X61" i="246"/>
  <c r="X71" i="246" s="1"/>
  <c r="W61" i="246"/>
  <c r="W71" i="246" s="1"/>
  <c r="V61" i="246"/>
  <c r="V71" i="246" s="1"/>
  <c r="U61" i="246"/>
  <c r="U71" i="246" s="1"/>
  <c r="T61" i="246"/>
  <c r="T71" i="246" s="1"/>
  <c r="S61" i="246"/>
  <c r="S71" i="246" s="1"/>
  <c r="R61" i="246"/>
  <c r="R71" i="246" s="1"/>
  <c r="Q61" i="246"/>
  <c r="Q71" i="246" s="1"/>
  <c r="P61" i="246"/>
  <c r="P71" i="246" s="1"/>
  <c r="O61" i="246"/>
  <c r="O71" i="246" s="1"/>
  <c r="N61" i="246"/>
  <c r="N71" i="246" s="1"/>
  <c r="M61" i="246"/>
  <c r="M71" i="246" s="1"/>
  <c r="L61" i="246"/>
  <c r="L71" i="246" s="1"/>
  <c r="K61" i="246"/>
  <c r="K71" i="246" s="1"/>
  <c r="J61" i="246"/>
  <c r="J71" i="246" s="1"/>
  <c r="I61" i="246"/>
  <c r="H61" i="246"/>
  <c r="G61" i="246"/>
  <c r="G71" i="246" s="1"/>
  <c r="F61" i="246"/>
  <c r="E61" i="246"/>
  <c r="D61" i="246"/>
  <c r="CL60" i="246"/>
  <c r="CL70" i="246" s="1"/>
  <c r="CK30" i="12" s="1"/>
  <c r="CK60" i="246"/>
  <c r="CJ60" i="246"/>
  <c r="CI60" i="246"/>
  <c r="CI70" i="246" s="1"/>
  <c r="CH30" i="12" s="1"/>
  <c r="CH60" i="246"/>
  <c r="CH70" i="246" s="1"/>
  <c r="CG30" i="12" s="1"/>
  <c r="CG60" i="246"/>
  <c r="CG70" i="246" s="1"/>
  <c r="CF30" i="12" s="1"/>
  <c r="CF60" i="246"/>
  <c r="CF70" i="246" s="1"/>
  <c r="CE30" i="12" s="1"/>
  <c r="CE60" i="246"/>
  <c r="CE70" i="246" s="1"/>
  <c r="CD30" i="12" s="1"/>
  <c r="CD60" i="246"/>
  <c r="CD70" i="246" s="1"/>
  <c r="CC30" i="12" s="1"/>
  <c r="CC60" i="246"/>
  <c r="CC70" i="246" s="1"/>
  <c r="CB30" i="12" s="1"/>
  <c r="CB60" i="246"/>
  <c r="CB70" i="246" s="1"/>
  <c r="CA30" i="12" s="1"/>
  <c r="CA60" i="246"/>
  <c r="CA70" i="246" s="1"/>
  <c r="BZ30" i="12" s="1"/>
  <c r="BZ60" i="246"/>
  <c r="BZ70" i="246" s="1"/>
  <c r="BY30" i="12" s="1"/>
  <c r="BY60" i="246"/>
  <c r="BY70" i="246" s="1"/>
  <c r="BX30" i="12" s="1"/>
  <c r="BX60" i="246"/>
  <c r="BX70" i="246" s="1"/>
  <c r="BW30" i="12" s="1"/>
  <c r="BW60" i="246"/>
  <c r="BV60" i="246"/>
  <c r="BV70" i="246" s="1"/>
  <c r="BU30" i="12" s="1"/>
  <c r="BU60" i="246"/>
  <c r="BU70" i="246" s="1"/>
  <c r="BT30" i="12" s="1"/>
  <c r="BT60" i="246"/>
  <c r="BT70" i="246" s="1"/>
  <c r="BS30" i="12" s="1"/>
  <c r="BS60" i="246"/>
  <c r="BS70" i="246" s="1"/>
  <c r="BR30" i="12" s="1"/>
  <c r="BR60" i="246"/>
  <c r="BR70" i="246" s="1"/>
  <c r="BQ30" i="12" s="1"/>
  <c r="BQ60" i="246"/>
  <c r="BQ70" i="246" s="1"/>
  <c r="BP30" i="12" s="1"/>
  <c r="BP60" i="246"/>
  <c r="BP70" i="246" s="1"/>
  <c r="BO30" i="12" s="1"/>
  <c r="BO60" i="246"/>
  <c r="BO70" i="246" s="1"/>
  <c r="BN30" i="12" s="1"/>
  <c r="BN60" i="246"/>
  <c r="BN70" i="246" s="1"/>
  <c r="BM30" i="12" s="1"/>
  <c r="BM60" i="246"/>
  <c r="BM70" i="246" s="1"/>
  <c r="BL30" i="12" s="1"/>
  <c r="BL60" i="246"/>
  <c r="BL70" i="246" s="1"/>
  <c r="BK30" i="12" s="1"/>
  <c r="BK60" i="246"/>
  <c r="BK70" i="246" s="1"/>
  <c r="BJ30" i="12" s="1"/>
  <c r="BJ60" i="246"/>
  <c r="BJ70" i="246" s="1"/>
  <c r="BI30" i="12" s="1"/>
  <c r="BI60" i="246"/>
  <c r="BI70" i="246" s="1"/>
  <c r="BH30" i="12" s="1"/>
  <c r="BH60" i="246"/>
  <c r="BH70" i="246" s="1"/>
  <c r="BG30" i="12" s="1"/>
  <c r="BG60" i="246"/>
  <c r="BG70" i="246" s="1"/>
  <c r="BF30" i="12" s="1"/>
  <c r="BF60" i="246"/>
  <c r="BF70" i="246" s="1"/>
  <c r="BE30" i="12" s="1"/>
  <c r="BE60" i="246"/>
  <c r="BD60" i="246"/>
  <c r="BD70" i="246" s="1"/>
  <c r="BC30" i="12" s="1"/>
  <c r="BC60" i="246"/>
  <c r="BC70" i="246" s="1"/>
  <c r="BB30" i="12" s="1"/>
  <c r="BB60" i="246"/>
  <c r="BB70" i="246" s="1"/>
  <c r="BA30" i="12" s="1"/>
  <c r="BA60" i="246"/>
  <c r="BA70" i="246" s="1"/>
  <c r="AZ30" i="12" s="1"/>
  <c r="AZ60" i="246"/>
  <c r="AZ70" i="246" s="1"/>
  <c r="AY30" i="12" s="1"/>
  <c r="AY60" i="246"/>
  <c r="AY70" i="246" s="1"/>
  <c r="AX30" i="12" s="1"/>
  <c r="AX60" i="246"/>
  <c r="AX70" i="246" s="1"/>
  <c r="AW30" i="12" s="1"/>
  <c r="AW60" i="246"/>
  <c r="AW70" i="246" s="1"/>
  <c r="AV30" i="12" s="1"/>
  <c r="AV60" i="246"/>
  <c r="AV70" i="246" s="1"/>
  <c r="AU30" i="12" s="1"/>
  <c r="AU60" i="246"/>
  <c r="AU70" i="246" s="1"/>
  <c r="AT30" i="12" s="1"/>
  <c r="AT60" i="246"/>
  <c r="AT70" i="246" s="1"/>
  <c r="AS30" i="12" s="1"/>
  <c r="AS60" i="246"/>
  <c r="AS70" i="246" s="1"/>
  <c r="AR30" i="12" s="1"/>
  <c r="AR60" i="246"/>
  <c r="AR70" i="246" s="1"/>
  <c r="AQ30" i="12" s="1"/>
  <c r="AQ60" i="246"/>
  <c r="AQ70" i="246" s="1"/>
  <c r="AP30" i="12" s="1"/>
  <c r="AP60" i="246"/>
  <c r="AP70" i="246" s="1"/>
  <c r="AO30" i="12" s="1"/>
  <c r="AO60" i="246"/>
  <c r="AO70" i="246" s="1"/>
  <c r="AN30" i="12" s="1"/>
  <c r="AN60" i="246"/>
  <c r="AN70" i="246" s="1"/>
  <c r="AM30" i="12" s="1"/>
  <c r="AM60" i="246"/>
  <c r="AM70" i="246" s="1"/>
  <c r="AL30" i="12" s="1"/>
  <c r="AL60" i="246"/>
  <c r="AL70" i="246" s="1"/>
  <c r="AK30" i="12" s="1"/>
  <c r="AK60" i="246"/>
  <c r="AK70" i="246" s="1"/>
  <c r="AJ30" i="12" s="1"/>
  <c r="AJ60" i="246"/>
  <c r="AJ70" i="246" s="1"/>
  <c r="AI30" i="12" s="1"/>
  <c r="AI60" i="246"/>
  <c r="AI70" i="246" s="1"/>
  <c r="AH30" i="12" s="1"/>
  <c r="AH60" i="246"/>
  <c r="AH70" i="246" s="1"/>
  <c r="AG30" i="12" s="1"/>
  <c r="AG60" i="246"/>
  <c r="AG70" i="246" s="1"/>
  <c r="AF30" i="12" s="1"/>
  <c r="AF60" i="246"/>
  <c r="AE60" i="246"/>
  <c r="AE70" i="246" s="1"/>
  <c r="AD30" i="12" s="1"/>
  <c r="AD60" i="246"/>
  <c r="AD70" i="246" s="1"/>
  <c r="AC30" i="12" s="1"/>
  <c r="AC60" i="246"/>
  <c r="AC70" i="246" s="1"/>
  <c r="AB30" i="12" s="1"/>
  <c r="AB60" i="246"/>
  <c r="AB70" i="246" s="1"/>
  <c r="AA30" i="12" s="1"/>
  <c r="AA60" i="246"/>
  <c r="Z60" i="246"/>
  <c r="Y60" i="246"/>
  <c r="Y70" i="246" s="1"/>
  <c r="X30" i="12" s="1"/>
  <c r="X60" i="246"/>
  <c r="X70" i="246" s="1"/>
  <c r="W30" i="12" s="1"/>
  <c r="W60" i="246"/>
  <c r="W70" i="246" s="1"/>
  <c r="V30" i="12" s="1"/>
  <c r="V60" i="246"/>
  <c r="V70" i="246" s="1"/>
  <c r="U30" i="12" s="1"/>
  <c r="U60" i="246"/>
  <c r="U70" i="246" s="1"/>
  <c r="T30" i="12" s="1"/>
  <c r="T60" i="246"/>
  <c r="T70" i="246" s="1"/>
  <c r="S30" i="12" s="1"/>
  <c r="S60" i="246"/>
  <c r="S70" i="246" s="1"/>
  <c r="R30" i="12" s="1"/>
  <c r="R60" i="246"/>
  <c r="R70" i="246" s="1"/>
  <c r="Q30" i="12" s="1"/>
  <c r="Q60" i="246"/>
  <c r="Q70" i="246" s="1"/>
  <c r="P30" i="12" s="1"/>
  <c r="P60" i="246"/>
  <c r="P70" i="246" s="1"/>
  <c r="O30" i="12" s="1"/>
  <c r="O60" i="246"/>
  <c r="O70" i="246" s="1"/>
  <c r="N30" i="12" s="1"/>
  <c r="N60" i="246"/>
  <c r="N70" i="246" s="1"/>
  <c r="M30" i="12" s="1"/>
  <c r="M60" i="246"/>
  <c r="M70" i="246" s="1"/>
  <c r="L30" i="12" s="1"/>
  <c r="L60" i="246"/>
  <c r="L70" i="246" s="1"/>
  <c r="K30" i="12" s="1"/>
  <c r="K60" i="246"/>
  <c r="K70" i="246" s="1"/>
  <c r="J30" i="12" s="1"/>
  <c r="J60" i="246"/>
  <c r="J70" i="246" s="1"/>
  <c r="I30" i="12" s="1"/>
  <c r="I60" i="246"/>
  <c r="I70" i="246" s="1"/>
  <c r="H30" i="12" s="1"/>
  <c r="H60" i="246"/>
  <c r="H70" i="246" s="1"/>
  <c r="G30" i="12" s="1"/>
  <c r="G60" i="246"/>
  <c r="F60" i="246"/>
  <c r="E60" i="246"/>
  <c r="D60" i="246"/>
  <c r="CL59" i="246"/>
  <c r="CL69" i="246" s="1"/>
  <c r="CK29" i="12" s="1"/>
  <c r="CK59" i="246"/>
  <c r="CK69" i="246" s="1"/>
  <c r="CJ29" i="12" s="1"/>
  <c r="CY29" i="12" s="1"/>
  <c r="CJ59" i="246"/>
  <c r="CJ69" i="246" s="1"/>
  <c r="CI29" i="12" s="1"/>
  <c r="CI59" i="246"/>
  <c r="CI69" i="246" s="1"/>
  <c r="CH29" i="12" s="1"/>
  <c r="CH59" i="246"/>
  <c r="CH69" i="246" s="1"/>
  <c r="CG29" i="12" s="1"/>
  <c r="CG59" i="246"/>
  <c r="CG69" i="246" s="1"/>
  <c r="CF29" i="12" s="1"/>
  <c r="CF59" i="246"/>
  <c r="CF69" i="246" s="1"/>
  <c r="CE29" i="12" s="1"/>
  <c r="CE59" i="246"/>
  <c r="CE69" i="246" s="1"/>
  <c r="CD29" i="12" s="1"/>
  <c r="CD59" i="246"/>
  <c r="CD69" i="246" s="1"/>
  <c r="CC29" i="12" s="1"/>
  <c r="CC59" i="246"/>
  <c r="CC69" i="246" s="1"/>
  <c r="CB29" i="12" s="1"/>
  <c r="CB59" i="246"/>
  <c r="CB69" i="246" s="1"/>
  <c r="CA29" i="12" s="1"/>
  <c r="CA59" i="246"/>
  <c r="CA69" i="246" s="1"/>
  <c r="BZ29" i="12" s="1"/>
  <c r="BZ59" i="246"/>
  <c r="BZ69" i="246" s="1"/>
  <c r="BY29" i="12" s="1"/>
  <c r="BY59" i="246"/>
  <c r="BY69" i="246" s="1"/>
  <c r="BX29" i="12" s="1"/>
  <c r="BX59" i="246"/>
  <c r="BX69" i="246" s="1"/>
  <c r="BW29" i="12" s="1"/>
  <c r="BW59" i="246"/>
  <c r="BW69" i="246" s="1"/>
  <c r="BV29" i="12" s="1"/>
  <c r="BV59" i="246"/>
  <c r="BV69" i="246" s="1"/>
  <c r="BU29" i="12" s="1"/>
  <c r="BU59" i="246"/>
  <c r="BU69" i="246" s="1"/>
  <c r="BT29" i="12" s="1"/>
  <c r="BT59" i="246"/>
  <c r="BS59" i="246"/>
  <c r="BR59" i="246"/>
  <c r="BQ59" i="246"/>
  <c r="BQ69" i="246" s="1"/>
  <c r="BP29" i="12" s="1"/>
  <c r="BP59" i="246"/>
  <c r="BP69" i="246" s="1"/>
  <c r="BO29" i="12" s="1"/>
  <c r="BO59" i="246"/>
  <c r="BO69" i="246" s="1"/>
  <c r="BN29" i="12" s="1"/>
  <c r="BN59" i="246"/>
  <c r="BN69" i="246" s="1"/>
  <c r="BM29" i="12" s="1"/>
  <c r="BM59" i="246"/>
  <c r="BM69" i="246" s="1"/>
  <c r="BL29" i="12" s="1"/>
  <c r="BL59" i="246"/>
  <c r="BL69" i="246" s="1"/>
  <c r="BK29" i="12" s="1"/>
  <c r="BK59" i="246"/>
  <c r="BK69" i="246" s="1"/>
  <c r="BJ29" i="12" s="1"/>
  <c r="BJ59" i="246"/>
  <c r="BJ69" i="246" s="1"/>
  <c r="BI29" i="12" s="1"/>
  <c r="BI59" i="246"/>
  <c r="BI69" i="246" s="1"/>
  <c r="BH29" i="12" s="1"/>
  <c r="BH59" i="246"/>
  <c r="BH69" i="246" s="1"/>
  <c r="BG29" i="12" s="1"/>
  <c r="BG59" i="246"/>
  <c r="BG69" i="246" s="1"/>
  <c r="BF29" i="12" s="1"/>
  <c r="BF59" i="246"/>
  <c r="BF69" i="246" s="1"/>
  <c r="BE29" i="12" s="1"/>
  <c r="BE59" i="246"/>
  <c r="BD59" i="246"/>
  <c r="BD69" i="246" s="1"/>
  <c r="BC29" i="12" s="1"/>
  <c r="BC59" i="246"/>
  <c r="BC69" i="246" s="1"/>
  <c r="BB29" i="12" s="1"/>
  <c r="BB59" i="246"/>
  <c r="BB69" i="246" s="1"/>
  <c r="BA29" i="12" s="1"/>
  <c r="BA59" i="246"/>
  <c r="BA69" i="246" s="1"/>
  <c r="AZ29" i="12" s="1"/>
  <c r="AZ59" i="246"/>
  <c r="AZ69" i="246" s="1"/>
  <c r="AY29" i="12" s="1"/>
  <c r="AY59" i="246"/>
  <c r="AX59" i="246"/>
  <c r="AX69" i="246" s="1"/>
  <c r="AW29" i="12" s="1"/>
  <c r="AW59" i="246"/>
  <c r="AW69" i="246" s="1"/>
  <c r="AV29" i="12" s="1"/>
  <c r="AV59" i="246"/>
  <c r="AV69" i="246" s="1"/>
  <c r="AU29" i="12" s="1"/>
  <c r="AU59" i="246"/>
  <c r="AU69" i="246" s="1"/>
  <c r="AT29" i="12" s="1"/>
  <c r="AT59" i="246"/>
  <c r="AT69" i="246" s="1"/>
  <c r="AS29" i="12" s="1"/>
  <c r="AS59" i="246"/>
  <c r="AS69" i="246" s="1"/>
  <c r="AR29" i="12" s="1"/>
  <c r="AR59" i="246"/>
  <c r="AR69" i="246" s="1"/>
  <c r="AQ29" i="12" s="1"/>
  <c r="AQ59" i="246"/>
  <c r="AQ69" i="246" s="1"/>
  <c r="AP29" i="12" s="1"/>
  <c r="AP59" i="246"/>
  <c r="AP69" i="246" s="1"/>
  <c r="AO29" i="12" s="1"/>
  <c r="AO59" i="246"/>
  <c r="AO69" i="246" s="1"/>
  <c r="AN29" i="12" s="1"/>
  <c r="AN59" i="246"/>
  <c r="AN69" i="246" s="1"/>
  <c r="AM29" i="12" s="1"/>
  <c r="AM59" i="246"/>
  <c r="AM69" i="246" s="1"/>
  <c r="AL29" i="12" s="1"/>
  <c r="AL59" i="246"/>
  <c r="AL69" i="246" s="1"/>
  <c r="AK29" i="12" s="1"/>
  <c r="AK59" i="246"/>
  <c r="AK69" i="246" s="1"/>
  <c r="AJ29" i="12" s="1"/>
  <c r="AJ59" i="246"/>
  <c r="AJ69" i="246" s="1"/>
  <c r="AI29" i="12" s="1"/>
  <c r="AI59" i="246"/>
  <c r="AI69" i="246" s="1"/>
  <c r="AH29" i="12" s="1"/>
  <c r="AH59" i="246"/>
  <c r="AH69" i="246" s="1"/>
  <c r="AG29" i="12" s="1"/>
  <c r="AG59" i="246"/>
  <c r="AG69" i="246" s="1"/>
  <c r="AF29" i="12" s="1"/>
  <c r="AF59" i="246"/>
  <c r="AF69" i="246" s="1"/>
  <c r="AE29" i="12" s="1"/>
  <c r="AE59" i="246"/>
  <c r="AD59" i="246"/>
  <c r="AD69" i="246" s="1"/>
  <c r="AC29" i="12" s="1"/>
  <c r="AC59" i="246"/>
  <c r="AC69" i="246" s="1"/>
  <c r="AB29" i="12" s="1"/>
  <c r="AB59" i="246"/>
  <c r="AB69" i="246" s="1"/>
  <c r="AA29" i="12" s="1"/>
  <c r="AA59" i="246"/>
  <c r="Z59" i="246"/>
  <c r="Z69" i="246" s="1"/>
  <c r="Y29" i="12" s="1"/>
  <c r="Y59" i="246"/>
  <c r="Y69" i="246" s="1"/>
  <c r="X29" i="12" s="1"/>
  <c r="X59" i="246"/>
  <c r="X69" i="246" s="1"/>
  <c r="W29" i="12" s="1"/>
  <c r="W59" i="246"/>
  <c r="W69" i="246" s="1"/>
  <c r="V29" i="12" s="1"/>
  <c r="V59" i="246"/>
  <c r="V69" i="246" s="1"/>
  <c r="U29" i="12" s="1"/>
  <c r="U59" i="246"/>
  <c r="U69" i="246" s="1"/>
  <c r="T29" i="12" s="1"/>
  <c r="T59" i="246"/>
  <c r="S59" i="246"/>
  <c r="S69" i="246" s="1"/>
  <c r="R29" i="12" s="1"/>
  <c r="R59" i="246"/>
  <c r="R69" i="246" s="1"/>
  <c r="Q29" i="12" s="1"/>
  <c r="Q59" i="246"/>
  <c r="Q69" i="246" s="1"/>
  <c r="P29" i="12" s="1"/>
  <c r="P59" i="246"/>
  <c r="P69" i="246" s="1"/>
  <c r="O29" i="12" s="1"/>
  <c r="O59" i="246"/>
  <c r="O69" i="246" s="1"/>
  <c r="N29" i="12" s="1"/>
  <c r="N59" i="246"/>
  <c r="M59" i="246"/>
  <c r="M69" i="246" s="1"/>
  <c r="L29" i="12" s="1"/>
  <c r="L59" i="246"/>
  <c r="L69" i="246" s="1"/>
  <c r="K29" i="12" s="1"/>
  <c r="K59" i="246"/>
  <c r="K69" i="246" s="1"/>
  <c r="J29" i="12" s="1"/>
  <c r="J59" i="246"/>
  <c r="J69" i="246" s="1"/>
  <c r="I29" i="12" s="1"/>
  <c r="I59" i="246"/>
  <c r="I69" i="246" s="1"/>
  <c r="H29" i="12" s="1"/>
  <c r="H59" i="246"/>
  <c r="H69" i="246" s="1"/>
  <c r="G29" i="12" s="1"/>
  <c r="G59" i="246"/>
  <c r="G69" i="246" s="1"/>
  <c r="F29" i="12" s="1"/>
  <c r="F59" i="246"/>
  <c r="E59" i="246"/>
  <c r="D59" i="246"/>
  <c r="D63" i="246" s="1"/>
  <c r="D73" i="246" s="1"/>
  <c r="C31" i="12" s="1"/>
  <c r="CL58" i="246"/>
  <c r="CK58" i="246"/>
  <c r="CK68" i="246" s="1"/>
  <c r="CJ28" i="12" s="1"/>
  <c r="CY28" i="12" s="1"/>
  <c r="CJ58" i="246"/>
  <c r="CJ68" i="246" s="1"/>
  <c r="CI28" i="12" s="1"/>
  <c r="CI58" i="246"/>
  <c r="CI68" i="246" s="1"/>
  <c r="CH28" i="12" s="1"/>
  <c r="CH58" i="246"/>
  <c r="CH68" i="246" s="1"/>
  <c r="CG28" i="12" s="1"/>
  <c r="CG58" i="246"/>
  <c r="CG68" i="246" s="1"/>
  <c r="CF28" i="12" s="1"/>
  <c r="CF58" i="246"/>
  <c r="CF68" i="246" s="1"/>
  <c r="CE28" i="12" s="1"/>
  <c r="CE58" i="246"/>
  <c r="CE68" i="246" s="1"/>
  <c r="CD28" i="12" s="1"/>
  <c r="CD58" i="246"/>
  <c r="CC58" i="246"/>
  <c r="CC68" i="246" s="1"/>
  <c r="CB28" i="12" s="1"/>
  <c r="CB58" i="246"/>
  <c r="CA58" i="246"/>
  <c r="BZ58" i="246"/>
  <c r="BY58" i="246"/>
  <c r="BY68" i="246" s="1"/>
  <c r="BX28" i="12" s="1"/>
  <c r="BX58" i="246"/>
  <c r="BX68" i="246" s="1"/>
  <c r="BW28" i="12" s="1"/>
  <c r="BW58" i="246"/>
  <c r="BW68" i="246" s="1"/>
  <c r="BV28" i="12" s="1"/>
  <c r="BV58" i="246"/>
  <c r="BV68" i="246" s="1"/>
  <c r="BU28" i="12" s="1"/>
  <c r="BU58" i="246"/>
  <c r="BU68" i="246" s="1"/>
  <c r="BT28" i="12" s="1"/>
  <c r="BT58" i="246"/>
  <c r="BT68" i="246" s="1"/>
  <c r="BS28" i="12" s="1"/>
  <c r="BS58" i="246"/>
  <c r="BS63" i="246" s="1"/>
  <c r="BR58" i="246"/>
  <c r="BR68" i="246" s="1"/>
  <c r="BQ28" i="12" s="1"/>
  <c r="BQ58" i="246"/>
  <c r="BQ68" i="246" s="1"/>
  <c r="BP28" i="12" s="1"/>
  <c r="BP58" i="246"/>
  <c r="BP68" i="246" s="1"/>
  <c r="BO28" i="12" s="1"/>
  <c r="BO58" i="246"/>
  <c r="BO68" i="246" s="1"/>
  <c r="BN28" i="12" s="1"/>
  <c r="BN58" i="246"/>
  <c r="BN68" i="246" s="1"/>
  <c r="BM28" i="12" s="1"/>
  <c r="BM58" i="246"/>
  <c r="BM68" i="246" s="1"/>
  <c r="BL28" i="12" s="1"/>
  <c r="BL58" i="246"/>
  <c r="BL68" i="246" s="1"/>
  <c r="BK28" i="12" s="1"/>
  <c r="BK58" i="246"/>
  <c r="BK68" i="246" s="1"/>
  <c r="BJ28" i="12" s="1"/>
  <c r="BJ58" i="246"/>
  <c r="BI58" i="246"/>
  <c r="BI68" i="246" s="1"/>
  <c r="BH28" i="12" s="1"/>
  <c r="BH58" i="246"/>
  <c r="BH68" i="246" s="1"/>
  <c r="BG28" i="12" s="1"/>
  <c r="BG58" i="246"/>
  <c r="BG68" i="246" s="1"/>
  <c r="BF28" i="12" s="1"/>
  <c r="BF58" i="246"/>
  <c r="BF68" i="246" s="1"/>
  <c r="BE28" i="12" s="1"/>
  <c r="BE58" i="246"/>
  <c r="BD58" i="246"/>
  <c r="BD68" i="246" s="1"/>
  <c r="BC28" i="12" s="1"/>
  <c r="BC58" i="246"/>
  <c r="BC68" i="246" s="1"/>
  <c r="BB28" i="12" s="1"/>
  <c r="BB58" i="246"/>
  <c r="BA58" i="246"/>
  <c r="BA68" i="246" s="1"/>
  <c r="AZ28" i="12" s="1"/>
  <c r="AZ58" i="246"/>
  <c r="AZ68" i="246" s="1"/>
  <c r="AY28" i="12" s="1"/>
  <c r="AY58" i="246"/>
  <c r="AY68" i="246" s="1"/>
  <c r="AX28" i="12" s="1"/>
  <c r="AX58" i="246"/>
  <c r="AX68" i="246" s="1"/>
  <c r="AW28" i="12" s="1"/>
  <c r="AW58" i="246"/>
  <c r="AW68" i="246" s="1"/>
  <c r="AV28" i="12" s="1"/>
  <c r="AV58" i="246"/>
  <c r="AU58" i="246"/>
  <c r="AU68" i="246" s="1"/>
  <c r="AT28" i="12" s="1"/>
  <c r="AT58" i="246"/>
  <c r="AT68" i="246" s="1"/>
  <c r="AS28" i="12" s="1"/>
  <c r="AS58" i="246"/>
  <c r="AS68" i="246" s="1"/>
  <c r="AR28" i="12" s="1"/>
  <c r="AR58" i="246"/>
  <c r="AR68" i="246" s="1"/>
  <c r="AQ28" i="12" s="1"/>
  <c r="AQ58" i="246"/>
  <c r="AQ68" i="246" s="1"/>
  <c r="AP28" i="12" s="1"/>
  <c r="AP58" i="246"/>
  <c r="AP68" i="246" s="1"/>
  <c r="AO28" i="12" s="1"/>
  <c r="AO58" i="246"/>
  <c r="AO68" i="246" s="1"/>
  <c r="AN28" i="12" s="1"/>
  <c r="AN58" i="246"/>
  <c r="AN68" i="246" s="1"/>
  <c r="AM28" i="12" s="1"/>
  <c r="AM58" i="246"/>
  <c r="AM68" i="246" s="1"/>
  <c r="AL28" i="12" s="1"/>
  <c r="AL58" i="246"/>
  <c r="AL68" i="246" s="1"/>
  <c r="AK28" i="12" s="1"/>
  <c r="AK58" i="246"/>
  <c r="AK68" i="246" s="1"/>
  <c r="AJ28" i="12" s="1"/>
  <c r="AJ58" i="246"/>
  <c r="AJ68" i="246" s="1"/>
  <c r="AI28" i="12" s="1"/>
  <c r="AI58" i="246"/>
  <c r="AI68" i="246" s="1"/>
  <c r="AH28" i="12" s="1"/>
  <c r="AH58" i="246"/>
  <c r="AG58" i="246"/>
  <c r="AG68" i="246" s="1"/>
  <c r="AF28" i="12" s="1"/>
  <c r="AF58" i="246"/>
  <c r="AF68" i="246" s="1"/>
  <c r="AE28" i="12" s="1"/>
  <c r="AE58" i="246"/>
  <c r="AE68" i="246" s="1"/>
  <c r="AD28" i="12" s="1"/>
  <c r="AD58" i="246"/>
  <c r="AD68" i="246" s="1"/>
  <c r="AC28" i="12" s="1"/>
  <c r="AC58" i="246"/>
  <c r="AC68" i="246" s="1"/>
  <c r="AB28" i="12" s="1"/>
  <c r="AB58" i="246"/>
  <c r="AB68" i="246" s="1"/>
  <c r="AA28" i="12" s="1"/>
  <c r="AA58" i="246"/>
  <c r="AA68" i="246" s="1"/>
  <c r="Z28" i="12" s="1"/>
  <c r="Z58" i="246"/>
  <c r="Y58" i="246"/>
  <c r="X58" i="246"/>
  <c r="W58" i="246"/>
  <c r="V58" i="246"/>
  <c r="V68" i="246" s="1"/>
  <c r="U28" i="12" s="1"/>
  <c r="U58" i="246"/>
  <c r="U68" i="246" s="1"/>
  <c r="T28" i="12" s="1"/>
  <c r="T58" i="246"/>
  <c r="T68" i="246" s="1"/>
  <c r="S28" i="12" s="1"/>
  <c r="S58" i="246"/>
  <c r="S68" i="246" s="1"/>
  <c r="R28" i="12" s="1"/>
  <c r="R58" i="246"/>
  <c r="R68" i="246" s="1"/>
  <c r="Q28" i="12" s="1"/>
  <c r="Q58" i="246"/>
  <c r="Q68" i="246" s="1"/>
  <c r="P28" i="12" s="1"/>
  <c r="P58" i="246"/>
  <c r="P68" i="246" s="1"/>
  <c r="O28" i="12" s="1"/>
  <c r="O58" i="246"/>
  <c r="O68" i="246" s="1"/>
  <c r="N28" i="12" s="1"/>
  <c r="N58" i="246"/>
  <c r="N68" i="246" s="1"/>
  <c r="M28" i="12" s="1"/>
  <c r="M58" i="246"/>
  <c r="M68" i="246" s="1"/>
  <c r="L28" i="12" s="1"/>
  <c r="L58" i="246"/>
  <c r="L68" i="246" s="1"/>
  <c r="K28" i="12" s="1"/>
  <c r="K58" i="246"/>
  <c r="K68" i="246" s="1"/>
  <c r="J28" i="12" s="1"/>
  <c r="J58" i="246"/>
  <c r="J68" i="246" s="1"/>
  <c r="I28" i="12" s="1"/>
  <c r="I58" i="246"/>
  <c r="I68" i="246" s="1"/>
  <c r="H28" i="12" s="1"/>
  <c r="H58" i="246"/>
  <c r="H68" i="246" s="1"/>
  <c r="G28" i="12" s="1"/>
  <c r="G58" i="246"/>
  <c r="G68" i="246" s="1"/>
  <c r="F28" i="12" s="1"/>
  <c r="F58" i="246"/>
  <c r="E58" i="246"/>
  <c r="D58" i="246"/>
  <c r="CL57" i="246"/>
  <c r="CK57" i="246"/>
  <c r="CJ57" i="246"/>
  <c r="CI57" i="246"/>
  <c r="CI67" i="246" s="1"/>
  <c r="CH27" i="12" s="1"/>
  <c r="CH57" i="246"/>
  <c r="CH67" i="246" s="1"/>
  <c r="CG27" i="12" s="1"/>
  <c r="CG57" i="246"/>
  <c r="CG67" i="246" s="1"/>
  <c r="CF27" i="12" s="1"/>
  <c r="CF57" i="246"/>
  <c r="CF67" i="246" s="1"/>
  <c r="CE27" i="12" s="1"/>
  <c r="CE57" i="246"/>
  <c r="CE67" i="246" s="1"/>
  <c r="CD27" i="12" s="1"/>
  <c r="CD57" i="246"/>
  <c r="CD67" i="246" s="1"/>
  <c r="CC27" i="12" s="1"/>
  <c r="CC57" i="246"/>
  <c r="CB57" i="246"/>
  <c r="CB67" i="246" s="1"/>
  <c r="CA27" i="12" s="1"/>
  <c r="CA57" i="246"/>
  <c r="CA67" i="246" s="1"/>
  <c r="BZ27" i="12" s="1"/>
  <c r="BZ57" i="246"/>
  <c r="BZ67" i="246" s="1"/>
  <c r="BY27" i="12" s="1"/>
  <c r="BY57" i="246"/>
  <c r="BX57" i="246"/>
  <c r="BX67" i="246" s="1"/>
  <c r="BW27" i="12" s="1"/>
  <c r="BW57" i="246"/>
  <c r="BV57" i="246"/>
  <c r="BV67" i="246" s="1"/>
  <c r="BU27" i="12" s="1"/>
  <c r="BU57" i="246"/>
  <c r="BU67" i="246" s="1"/>
  <c r="BT27" i="12" s="1"/>
  <c r="BT57" i="246"/>
  <c r="BT67" i="246" s="1"/>
  <c r="BS27" i="12" s="1"/>
  <c r="BS57" i="246"/>
  <c r="BR57" i="246"/>
  <c r="BQ57" i="246"/>
  <c r="BQ67" i="246" s="1"/>
  <c r="BP27" i="12" s="1"/>
  <c r="BP57" i="246"/>
  <c r="BP67" i="246" s="1"/>
  <c r="BO27" i="12" s="1"/>
  <c r="BO57" i="246"/>
  <c r="BO67" i="246" s="1"/>
  <c r="BN27" i="12" s="1"/>
  <c r="BN57" i="246"/>
  <c r="BM57" i="246"/>
  <c r="BL57" i="246"/>
  <c r="BK57" i="246"/>
  <c r="BJ57" i="246"/>
  <c r="BJ67" i="246" s="1"/>
  <c r="BI27" i="12" s="1"/>
  <c r="BI57" i="246"/>
  <c r="BH57" i="246"/>
  <c r="BH67" i="246" s="1"/>
  <c r="BG27" i="12" s="1"/>
  <c r="BG57" i="246"/>
  <c r="BF57" i="246"/>
  <c r="BF67" i="246" s="1"/>
  <c r="BE27" i="12" s="1"/>
  <c r="BE57" i="246"/>
  <c r="BE67" i="246" s="1"/>
  <c r="BD27" i="12" s="1"/>
  <c r="BD57" i="246"/>
  <c r="BD67" i="246" s="1"/>
  <c r="BC27" i="12" s="1"/>
  <c r="BC57" i="246"/>
  <c r="BC67" i="246" s="1"/>
  <c r="BB27" i="12" s="1"/>
  <c r="BB57" i="246"/>
  <c r="BB67" i="246" s="1"/>
  <c r="BA27" i="12" s="1"/>
  <c r="BA57" i="246"/>
  <c r="BA67" i="246" s="1"/>
  <c r="AZ27" i="12" s="1"/>
  <c r="AZ57" i="246"/>
  <c r="AZ67" i="246" s="1"/>
  <c r="AY27" i="12" s="1"/>
  <c r="AY57" i="246"/>
  <c r="AY67" i="246" s="1"/>
  <c r="AX27" i="12" s="1"/>
  <c r="AX57" i="246"/>
  <c r="AX67" i="246" s="1"/>
  <c r="AW27" i="12" s="1"/>
  <c r="AW57" i="246"/>
  <c r="AV57" i="246"/>
  <c r="AV67" i="246" s="1"/>
  <c r="AU27" i="12" s="1"/>
  <c r="AU57" i="246"/>
  <c r="AT57" i="246"/>
  <c r="AT67" i="246" s="1"/>
  <c r="AS27" i="12" s="1"/>
  <c r="AS57" i="246"/>
  <c r="AS67" i="246" s="1"/>
  <c r="AR27" i="12" s="1"/>
  <c r="AR57" i="246"/>
  <c r="AR67" i="246" s="1"/>
  <c r="AQ27" i="12" s="1"/>
  <c r="AQ57" i="246"/>
  <c r="AQ67" i="246" s="1"/>
  <c r="AP27" i="12" s="1"/>
  <c r="AP57" i="246"/>
  <c r="AO57" i="246"/>
  <c r="AN57" i="246"/>
  <c r="AN67" i="246" s="1"/>
  <c r="AM27" i="12" s="1"/>
  <c r="AM57" i="246"/>
  <c r="AM67" i="246" s="1"/>
  <c r="AL27" i="12" s="1"/>
  <c r="AL57" i="246"/>
  <c r="AL67" i="246" s="1"/>
  <c r="AK27" i="12" s="1"/>
  <c r="AK57" i="246"/>
  <c r="AK67" i="246" s="1"/>
  <c r="AJ27" i="12" s="1"/>
  <c r="AJ57" i="246"/>
  <c r="AJ67" i="246" s="1"/>
  <c r="AI27" i="12" s="1"/>
  <c r="AI57" i="246"/>
  <c r="AI67" i="246" s="1"/>
  <c r="AH27" i="12" s="1"/>
  <c r="AH57" i="246"/>
  <c r="AG57" i="246"/>
  <c r="AF57" i="246"/>
  <c r="AF67" i="246" s="1"/>
  <c r="AE27" i="12" s="1"/>
  <c r="AE57" i="246"/>
  <c r="AE67" i="246" s="1"/>
  <c r="AD27" i="12" s="1"/>
  <c r="AD57" i="246"/>
  <c r="AC57" i="246"/>
  <c r="AC67" i="246" s="1"/>
  <c r="AB27" i="12" s="1"/>
  <c r="AB57" i="246"/>
  <c r="AA57" i="246"/>
  <c r="AA67" i="246" s="1"/>
  <c r="Z27" i="12" s="1"/>
  <c r="Z57" i="246"/>
  <c r="Z67" i="246" s="1"/>
  <c r="Y27" i="12" s="1"/>
  <c r="Y57" i="246"/>
  <c r="Y67" i="246" s="1"/>
  <c r="X27" i="12" s="1"/>
  <c r="X57" i="246"/>
  <c r="X67" i="246" s="1"/>
  <c r="W27" i="12" s="1"/>
  <c r="W57" i="246"/>
  <c r="W67" i="246" s="1"/>
  <c r="V27" i="12" s="1"/>
  <c r="V57" i="246"/>
  <c r="V67" i="246" s="1"/>
  <c r="U27" i="12" s="1"/>
  <c r="U57" i="246"/>
  <c r="U67" i="246" s="1"/>
  <c r="T27" i="12" s="1"/>
  <c r="T57" i="246"/>
  <c r="T67" i="246" s="1"/>
  <c r="S27" i="12" s="1"/>
  <c r="S57" i="246"/>
  <c r="R57" i="246"/>
  <c r="R67" i="246" s="1"/>
  <c r="Q27" i="12" s="1"/>
  <c r="Q57" i="246"/>
  <c r="P57" i="246"/>
  <c r="O57" i="246"/>
  <c r="N57" i="246"/>
  <c r="M57" i="246"/>
  <c r="M67" i="246" s="1"/>
  <c r="L27" i="12" s="1"/>
  <c r="L57" i="246"/>
  <c r="L67" i="246" s="1"/>
  <c r="K27" i="12" s="1"/>
  <c r="K57" i="246"/>
  <c r="K67" i="246" s="1"/>
  <c r="J27" i="12" s="1"/>
  <c r="J57" i="246"/>
  <c r="J67" i="246" s="1"/>
  <c r="I27" i="12" s="1"/>
  <c r="I57" i="246"/>
  <c r="I67" i="246" s="1"/>
  <c r="H27" i="12" s="1"/>
  <c r="H57" i="246"/>
  <c r="H67" i="246" s="1"/>
  <c r="G27" i="12" s="1"/>
  <c r="G57" i="246"/>
  <c r="G67" i="246" s="1"/>
  <c r="F27" i="12" s="1"/>
  <c r="F57" i="246"/>
  <c r="E57" i="246"/>
  <c r="D57" i="246"/>
  <c r="CL52" i="246"/>
  <c r="CL85" i="246" s="1"/>
  <c r="CK52" i="246"/>
  <c r="CK88" i="246" s="1"/>
  <c r="CK89" i="246" s="1"/>
  <c r="CJ52" i="246"/>
  <c r="CJ88" i="246" s="1"/>
  <c r="CJ89" i="246" s="1"/>
  <c r="CI52" i="246"/>
  <c r="CI88" i="246" s="1"/>
  <c r="CI89" i="246" s="1"/>
  <c r="CH52" i="246"/>
  <c r="CH88" i="246" s="1"/>
  <c r="CH89" i="246" s="1"/>
  <c r="CG52" i="246"/>
  <c r="CF52" i="246"/>
  <c r="CF85" i="246" s="1"/>
  <c r="CE52" i="246"/>
  <c r="CD52" i="246"/>
  <c r="CD85" i="246" s="1"/>
  <c r="CC52" i="246"/>
  <c r="CC85" i="246" s="1"/>
  <c r="CB52" i="246"/>
  <c r="CB85" i="246" s="1"/>
  <c r="CA52" i="246"/>
  <c r="BZ52" i="246"/>
  <c r="BZ85" i="246" s="1"/>
  <c r="BY52" i="246"/>
  <c r="BY88" i="246" s="1"/>
  <c r="BY89" i="246" s="1"/>
  <c r="BX52" i="246"/>
  <c r="BX85" i="246" s="1"/>
  <c r="BW52" i="246"/>
  <c r="BW85" i="246" s="1"/>
  <c r="BV52" i="246"/>
  <c r="BV85" i="246" s="1"/>
  <c r="BU52" i="246"/>
  <c r="BU85" i="246" s="1"/>
  <c r="BT52" i="246"/>
  <c r="BT85" i="246" s="1"/>
  <c r="BS52" i="246"/>
  <c r="BS85" i="246" s="1"/>
  <c r="BR52" i="246"/>
  <c r="BR85" i="246" s="1"/>
  <c r="BQ52" i="246"/>
  <c r="BP52" i="246"/>
  <c r="BO52" i="246"/>
  <c r="BN52" i="246"/>
  <c r="BM52" i="246"/>
  <c r="BL52" i="246"/>
  <c r="BK52" i="246"/>
  <c r="BJ52" i="246"/>
  <c r="BJ83" i="246" s="1"/>
  <c r="BI52" i="246"/>
  <c r="BH52" i="246"/>
  <c r="BG52" i="246"/>
  <c r="BF52" i="246"/>
  <c r="BE52" i="246"/>
  <c r="BD52" i="246"/>
  <c r="BC52" i="246"/>
  <c r="BB52" i="246"/>
  <c r="BA52" i="246"/>
  <c r="AZ52" i="246"/>
  <c r="AZ83" i="246" s="1"/>
  <c r="AY52" i="246"/>
  <c r="AY83" i="246" s="1"/>
  <c r="AX52" i="246"/>
  <c r="AX83" i="246" s="1"/>
  <c r="AW52" i="246"/>
  <c r="AW83" i="246" s="1"/>
  <c r="AV52" i="246"/>
  <c r="AV83" i="246" s="1"/>
  <c r="AU52" i="246"/>
  <c r="AU83" i="246" s="1"/>
  <c r="AT52" i="246"/>
  <c r="AT83" i="246" s="1"/>
  <c r="AS52" i="246"/>
  <c r="AS83" i="246" s="1"/>
  <c r="AR52" i="246"/>
  <c r="AR83" i="246" s="1"/>
  <c r="AQ52" i="246"/>
  <c r="AQ83" i="246" s="1"/>
  <c r="AP52" i="246"/>
  <c r="AP83" i="246" s="1"/>
  <c r="AO52" i="246"/>
  <c r="AO83" i="246" s="1"/>
  <c r="AN52" i="246"/>
  <c r="AN83" i="246" s="1"/>
  <c r="AM52" i="246"/>
  <c r="AM83" i="246" s="1"/>
  <c r="AL52" i="246"/>
  <c r="AL83" i="246" s="1"/>
  <c r="AK52" i="246"/>
  <c r="AK83" i="246" s="1"/>
  <c r="AJ52" i="246"/>
  <c r="AJ83" i="246" s="1"/>
  <c r="AI52" i="246"/>
  <c r="AI83" i="246" s="1"/>
  <c r="AH52" i="246"/>
  <c r="AH83" i="246" s="1"/>
  <c r="AG52" i="246"/>
  <c r="AG83" i="246" s="1"/>
  <c r="AF52" i="246"/>
  <c r="AF83" i="246" s="1"/>
  <c r="AE52" i="246"/>
  <c r="AE83" i="246" s="1"/>
  <c r="AD52" i="246"/>
  <c r="AD83" i="246" s="1"/>
  <c r="AC52" i="246"/>
  <c r="AC83" i="246" s="1"/>
  <c r="AB52" i="246"/>
  <c r="AB83" i="246" s="1"/>
  <c r="AA52" i="246"/>
  <c r="AA83" i="246" s="1"/>
  <c r="Z52" i="246"/>
  <c r="Z83" i="246" s="1"/>
  <c r="Y52" i="246"/>
  <c r="Y83" i="246" s="1"/>
  <c r="X52" i="246"/>
  <c r="X83" i="246" s="1"/>
  <c r="W52" i="246"/>
  <c r="W83" i="246" s="1"/>
  <c r="V52" i="246"/>
  <c r="V83" i="246" s="1"/>
  <c r="U52" i="246"/>
  <c r="U83" i="246" s="1"/>
  <c r="T52" i="246"/>
  <c r="T83" i="246" s="1"/>
  <c r="S52" i="246"/>
  <c r="S83" i="246" s="1"/>
  <c r="R52" i="246"/>
  <c r="R83" i="246" s="1"/>
  <c r="Q52" i="246"/>
  <c r="Q83" i="246" s="1"/>
  <c r="P52" i="246"/>
  <c r="P83" i="246" s="1"/>
  <c r="O52" i="246"/>
  <c r="N52" i="246"/>
  <c r="M52" i="246"/>
  <c r="L52" i="246"/>
  <c r="K52" i="246"/>
  <c r="J52" i="246"/>
  <c r="I52" i="246"/>
  <c r="H52" i="246"/>
  <c r="G52" i="246"/>
  <c r="F52" i="246"/>
  <c r="E52" i="246"/>
  <c r="D52" i="246"/>
  <c r="BT41" i="246"/>
  <c r="BQ41" i="246"/>
  <c r="CL34" i="246"/>
  <c r="CL41" i="246" s="1"/>
  <c r="CK34" i="246"/>
  <c r="CK41" i="246" s="1"/>
  <c r="CJ34" i="246"/>
  <c r="CJ41" i="246" s="1"/>
  <c r="CI34" i="246"/>
  <c r="CI41" i="246" s="1"/>
  <c r="CH34" i="246"/>
  <c r="CH41" i="246" s="1"/>
  <c r="CG34" i="246"/>
  <c r="CG41" i="246" s="1"/>
  <c r="CF34" i="246"/>
  <c r="CF41" i="246" s="1"/>
  <c r="CE34" i="246"/>
  <c r="CD34" i="246"/>
  <c r="CC34" i="246"/>
  <c r="CB34" i="246"/>
  <c r="CB41" i="246" s="1"/>
  <c r="CA34" i="246"/>
  <c r="BZ34" i="246"/>
  <c r="BY34" i="246"/>
  <c r="BX34" i="246"/>
  <c r="BW34" i="246"/>
  <c r="BV34" i="246"/>
  <c r="BU34" i="246"/>
  <c r="BT34" i="246"/>
  <c r="BS34" i="246"/>
  <c r="BR34" i="246"/>
  <c r="BQ34" i="246"/>
  <c r="BP34" i="246"/>
  <c r="BO34" i="246"/>
  <c r="BN34" i="246"/>
  <c r="BM34" i="246"/>
  <c r="BL34" i="246"/>
  <c r="BK34" i="246"/>
  <c r="BJ34" i="246"/>
  <c r="BI34" i="246"/>
  <c r="BH34" i="246"/>
  <c r="BG34" i="246"/>
  <c r="BF34" i="246"/>
  <c r="BE34" i="246"/>
  <c r="BD34" i="246"/>
  <c r="BC34" i="246"/>
  <c r="BB34" i="246"/>
  <c r="BA34" i="246"/>
  <c r="AZ34" i="246"/>
  <c r="AY34" i="246"/>
  <c r="AX34" i="246"/>
  <c r="AW34" i="246"/>
  <c r="AV34" i="246"/>
  <c r="AU34" i="246"/>
  <c r="AT34" i="246"/>
  <c r="AS34" i="246"/>
  <c r="AR34" i="246"/>
  <c r="AQ34" i="246"/>
  <c r="AP34" i="246"/>
  <c r="AP41" i="246" s="1"/>
  <c r="AO34" i="246"/>
  <c r="AN34" i="246"/>
  <c r="AM34" i="246"/>
  <c r="AL34" i="246"/>
  <c r="AK34" i="246"/>
  <c r="AJ34" i="246"/>
  <c r="AI34" i="246"/>
  <c r="AH34" i="246"/>
  <c r="AG34" i="246"/>
  <c r="AF34" i="246"/>
  <c r="AE34" i="246"/>
  <c r="AD34" i="246"/>
  <c r="AC34" i="246"/>
  <c r="AB34" i="246"/>
  <c r="AA34" i="246"/>
  <c r="Z34" i="246"/>
  <c r="Y34" i="246"/>
  <c r="X34" i="246"/>
  <c r="W34" i="246"/>
  <c r="V34" i="246"/>
  <c r="U34" i="246"/>
  <c r="U41" i="246" s="1"/>
  <c r="T34" i="246"/>
  <c r="S34" i="246"/>
  <c r="R34" i="246"/>
  <c r="Q34" i="246"/>
  <c r="P34" i="246"/>
  <c r="O34" i="246"/>
  <c r="N34" i="246"/>
  <c r="M34" i="246"/>
  <c r="L34" i="246"/>
  <c r="K34" i="246"/>
  <c r="J34" i="246"/>
  <c r="I34" i="246"/>
  <c r="H34" i="246"/>
  <c r="G34" i="246"/>
  <c r="F34" i="246"/>
  <c r="E34" i="246"/>
  <c r="D34" i="246"/>
  <c r="AX26" i="246"/>
  <c r="AW26" i="246"/>
  <c r="AU26" i="246"/>
  <c r="AE26" i="246"/>
  <c r="AC26" i="246"/>
  <c r="AA26" i="246"/>
  <c r="CL23" i="246"/>
  <c r="CK23" i="246"/>
  <c r="CJ23" i="246"/>
  <c r="CI23" i="246"/>
  <c r="CH23" i="246"/>
  <c r="CG23" i="246"/>
  <c r="CF23" i="246"/>
  <c r="CE23" i="246"/>
  <c r="CD23" i="246"/>
  <c r="CC23" i="246"/>
  <c r="CB23" i="246"/>
  <c r="CB26" i="246" s="1"/>
  <c r="CA23" i="246"/>
  <c r="BZ23" i="246"/>
  <c r="BY23" i="246"/>
  <c r="BX23" i="246"/>
  <c r="BW23" i="246"/>
  <c r="BV23" i="246"/>
  <c r="BU23" i="246"/>
  <c r="BT23" i="246"/>
  <c r="BS23" i="246"/>
  <c r="BR23" i="246"/>
  <c r="BQ23" i="246"/>
  <c r="BP23" i="246"/>
  <c r="BO23" i="246"/>
  <c r="BN23" i="246"/>
  <c r="BM23" i="246"/>
  <c r="BL23" i="246"/>
  <c r="BK23" i="246"/>
  <c r="BJ23" i="246"/>
  <c r="BJ26" i="246" s="1"/>
  <c r="BI23" i="246"/>
  <c r="BH23" i="246"/>
  <c r="BG23" i="246"/>
  <c r="BF23" i="246"/>
  <c r="BE23" i="246"/>
  <c r="BD23" i="246"/>
  <c r="BC23" i="246"/>
  <c r="BB23" i="246"/>
  <c r="BA23" i="246"/>
  <c r="AZ23" i="246"/>
  <c r="AY23" i="246"/>
  <c r="AY26" i="246" s="1"/>
  <c r="AX23" i="246"/>
  <c r="AW23" i="246"/>
  <c r="AV23" i="246"/>
  <c r="AV26" i="246" s="1"/>
  <c r="AU23" i="246"/>
  <c r="AT23" i="246"/>
  <c r="AT26" i="246" s="1"/>
  <c r="AS23" i="246"/>
  <c r="AS26" i="246" s="1"/>
  <c r="AR23" i="246"/>
  <c r="AR26" i="246" s="1"/>
  <c r="AQ23" i="246"/>
  <c r="AQ26" i="246" s="1"/>
  <c r="AP23" i="246"/>
  <c r="AP26" i="246" s="1"/>
  <c r="AO23" i="246"/>
  <c r="AO26" i="246" s="1"/>
  <c r="AN23" i="246"/>
  <c r="AN26" i="246" s="1"/>
  <c r="AM23" i="246"/>
  <c r="AM26" i="246" s="1"/>
  <c r="AL23" i="246"/>
  <c r="AL26" i="246" s="1"/>
  <c r="AK23" i="246"/>
  <c r="AK26" i="246" s="1"/>
  <c r="AJ23" i="246"/>
  <c r="AJ26" i="246" s="1"/>
  <c r="AI23" i="246"/>
  <c r="AI26" i="246" s="1"/>
  <c r="AH23" i="246"/>
  <c r="AH26" i="246" s="1"/>
  <c r="AG23" i="246"/>
  <c r="AG26" i="246" s="1"/>
  <c r="AF23" i="246"/>
  <c r="AF26" i="246" s="1"/>
  <c r="AE23" i="246"/>
  <c r="AD23" i="246"/>
  <c r="AD26" i="246" s="1"/>
  <c r="AC23" i="246"/>
  <c r="AB23" i="246"/>
  <c r="AB26" i="246" s="1"/>
  <c r="AA23" i="246"/>
  <c r="Z23" i="246"/>
  <c r="Z26" i="246" s="1"/>
  <c r="Y23" i="246"/>
  <c r="Y26" i="246" s="1"/>
  <c r="X23" i="246"/>
  <c r="X26" i="246" s="1"/>
  <c r="W23" i="246"/>
  <c r="W26" i="246" s="1"/>
  <c r="V23" i="246"/>
  <c r="V26" i="246" s="1"/>
  <c r="U23" i="246"/>
  <c r="U26" i="246" s="1"/>
  <c r="T23" i="246"/>
  <c r="T26" i="246" s="1"/>
  <c r="S23" i="246"/>
  <c r="S26" i="246" s="1"/>
  <c r="R23" i="246"/>
  <c r="R26" i="246" s="1"/>
  <c r="Q23" i="246"/>
  <c r="Q26" i="246" s="1"/>
  <c r="P23" i="246"/>
  <c r="P26" i="246" s="1"/>
  <c r="O23" i="246"/>
  <c r="N23" i="246"/>
  <c r="M23" i="246"/>
  <c r="L23" i="246"/>
  <c r="K23" i="246"/>
  <c r="J23" i="246"/>
  <c r="I23" i="246"/>
  <c r="H23" i="246"/>
  <c r="G23" i="246"/>
  <c r="F23" i="246"/>
  <c r="E23" i="246"/>
  <c r="D23" i="246"/>
  <c r="CL15" i="246"/>
  <c r="CK15" i="246"/>
  <c r="CJ15" i="246"/>
  <c r="CI15" i="246"/>
  <c r="CI83" i="246" s="1"/>
  <c r="CH15" i="246"/>
  <c r="CH83" i="246" s="1"/>
  <c r="CG15" i="246"/>
  <c r="CF15" i="246"/>
  <c r="CF83" i="246" s="1"/>
  <c r="CE15" i="246"/>
  <c r="CE83" i="246" s="1"/>
  <c r="CD15" i="246"/>
  <c r="CC15" i="246"/>
  <c r="CB15" i="246"/>
  <c r="CA15" i="246"/>
  <c r="BZ15" i="246"/>
  <c r="BY15" i="246"/>
  <c r="BX15" i="246"/>
  <c r="BX83" i="246" s="1"/>
  <c r="BW15" i="246"/>
  <c r="BV15" i="246"/>
  <c r="BU15" i="246"/>
  <c r="BT15" i="246"/>
  <c r="BS15" i="246"/>
  <c r="BR15" i="246"/>
  <c r="BR83" i="246" s="1"/>
  <c r="BQ15" i="246"/>
  <c r="BP15" i="246"/>
  <c r="BO15" i="246"/>
  <c r="BO83" i="246" s="1"/>
  <c r="BN15" i="246"/>
  <c r="BN26" i="246" s="1"/>
  <c r="BM15" i="246"/>
  <c r="BL15" i="246"/>
  <c r="BL26" i="246" s="1"/>
  <c r="BK15" i="246"/>
  <c r="BJ15" i="246"/>
  <c r="BI15" i="246"/>
  <c r="BI83" i="246" s="1"/>
  <c r="BH15" i="246"/>
  <c r="BG15" i="246"/>
  <c r="BF15" i="246"/>
  <c r="BE15" i="246"/>
  <c r="BD15" i="246"/>
  <c r="BD83" i="246" s="1"/>
  <c r="BC15" i="246"/>
  <c r="BC83" i="246" s="1"/>
  <c r="BB15" i="246"/>
  <c r="BB83" i="246" s="1"/>
  <c r="BA15" i="246"/>
  <c r="AZ15" i="246"/>
  <c r="O15" i="246"/>
  <c r="N15" i="246"/>
  <c r="M15" i="246"/>
  <c r="L15" i="246"/>
  <c r="L26" i="246" s="1"/>
  <c r="K15" i="246"/>
  <c r="J15" i="246"/>
  <c r="I15" i="246"/>
  <c r="H15" i="246"/>
  <c r="H26" i="246" s="1"/>
  <c r="G15" i="246"/>
  <c r="F15" i="246"/>
  <c r="E15" i="246"/>
  <c r="D15" i="246"/>
  <c r="CE7" i="246"/>
  <c r="CD7" i="246"/>
  <c r="CC7" i="246"/>
  <c r="CB7" i="246"/>
  <c r="CA7" i="246"/>
  <c r="BZ7" i="246"/>
  <c r="BY7" i="246"/>
  <c r="BX7" i="246"/>
  <c r="BW7" i="246"/>
  <c r="BV7" i="246"/>
  <c r="BU7" i="246"/>
  <c r="BT7" i="246"/>
  <c r="BS7" i="246"/>
  <c r="BS41" i="246" s="1"/>
  <c r="BR7" i="246"/>
  <c r="BR41" i="246" s="1"/>
  <c r="BQ7" i="246"/>
  <c r="BP7" i="246"/>
  <c r="BP41" i="246" s="1"/>
  <c r="BO7" i="246"/>
  <c r="BO41" i="246" s="1"/>
  <c r="BN7" i="246"/>
  <c r="BM7" i="246"/>
  <c r="BL7" i="246"/>
  <c r="BK7" i="246"/>
  <c r="BJ7" i="246"/>
  <c r="BI7" i="246"/>
  <c r="BH7" i="246"/>
  <c r="BG7" i="246"/>
  <c r="BF7" i="246"/>
  <c r="BE7" i="246"/>
  <c r="BE41" i="246" s="1"/>
  <c r="BD7" i="246"/>
  <c r="BC7" i="246"/>
  <c r="BC41" i="246" s="1"/>
  <c r="BB7" i="246"/>
  <c r="BA7" i="246"/>
  <c r="AZ7" i="246"/>
  <c r="AY7" i="246"/>
  <c r="AX7" i="246"/>
  <c r="AX41" i="246" s="1"/>
  <c r="AW7" i="246"/>
  <c r="AV7" i="246"/>
  <c r="AU7" i="246"/>
  <c r="AT7" i="246"/>
  <c r="AS7" i="246"/>
  <c r="AR7" i="246"/>
  <c r="AQ7" i="246"/>
  <c r="AP7" i="246"/>
  <c r="AO7" i="246"/>
  <c r="AN7" i="246"/>
  <c r="AM7" i="246"/>
  <c r="AL7" i="246"/>
  <c r="AK7" i="246"/>
  <c r="AJ7" i="246"/>
  <c r="AI7" i="246"/>
  <c r="AI41" i="246" s="1"/>
  <c r="AH7" i="246"/>
  <c r="AH41" i="246" s="1"/>
  <c r="AG7" i="246"/>
  <c r="AG41" i="246" s="1"/>
  <c r="AF7" i="246"/>
  <c r="AE7" i="246"/>
  <c r="AD7" i="246"/>
  <c r="AC7" i="246"/>
  <c r="AB7" i="246"/>
  <c r="AB41" i="246" s="1"/>
  <c r="AA7" i="246"/>
  <c r="AA41" i="246" s="1"/>
  <c r="Z7" i="246"/>
  <c r="Y7" i="246"/>
  <c r="X7" i="246"/>
  <c r="X41" i="246" s="1"/>
  <c r="W7" i="246"/>
  <c r="V7" i="246"/>
  <c r="V41" i="246" s="1"/>
  <c r="U7" i="246"/>
  <c r="T7" i="246"/>
  <c r="T41" i="246" s="1"/>
  <c r="S7" i="246"/>
  <c r="R7" i="246"/>
  <c r="Q7" i="246"/>
  <c r="Q41" i="246" s="1"/>
  <c r="P7" i="246"/>
  <c r="P41" i="246" s="1"/>
  <c r="O7" i="246"/>
  <c r="N7" i="246"/>
  <c r="M7" i="246"/>
  <c r="M41" i="246" s="1"/>
  <c r="L7" i="246"/>
  <c r="L41" i="246" s="1"/>
  <c r="K7" i="246"/>
  <c r="K41" i="246" s="1"/>
  <c r="J7" i="246"/>
  <c r="I7" i="246"/>
  <c r="H7" i="246"/>
  <c r="G7" i="246"/>
  <c r="F7" i="246"/>
  <c r="F41" i="246" s="1"/>
  <c r="E7" i="246"/>
  <c r="D7" i="246"/>
  <c r="CE3" i="246"/>
  <c r="CD3" i="246"/>
  <c r="CC3" i="246"/>
  <c r="CB3" i="246"/>
  <c r="CA3" i="246"/>
  <c r="BZ3" i="246"/>
  <c r="BY3" i="246"/>
  <c r="BX3" i="246"/>
  <c r="BW3" i="246"/>
  <c r="BV3" i="246"/>
  <c r="BU3" i="246"/>
  <c r="BT3" i="246"/>
  <c r="BS3" i="246"/>
  <c r="BR3" i="246"/>
  <c r="BQ3" i="246"/>
  <c r="BP3" i="246"/>
  <c r="BO3" i="246"/>
  <c r="BN3" i="246"/>
  <c r="BM3" i="246"/>
  <c r="BL3" i="246"/>
  <c r="BK3" i="246"/>
  <c r="BJ3" i="246"/>
  <c r="BI3" i="246"/>
  <c r="BH3" i="246"/>
  <c r="BG3" i="246"/>
  <c r="BF3" i="246"/>
  <c r="BE3" i="246"/>
  <c r="BD3" i="246"/>
  <c r="BC3" i="246"/>
  <c r="BB3" i="246"/>
  <c r="BA3" i="246"/>
  <c r="AZ3" i="246"/>
  <c r="AY3" i="246"/>
  <c r="AX3" i="246"/>
  <c r="AW3" i="246"/>
  <c r="AV3" i="246"/>
  <c r="AU3" i="246"/>
  <c r="AT3" i="246"/>
  <c r="AS3" i="246"/>
  <c r="AR3" i="246"/>
  <c r="AQ3" i="246"/>
  <c r="AP3" i="246"/>
  <c r="AO3" i="246"/>
  <c r="AN3" i="246"/>
  <c r="AM3" i="246"/>
  <c r="AL3" i="246"/>
  <c r="AK3" i="246"/>
  <c r="AJ3" i="246"/>
  <c r="AI3" i="246"/>
  <c r="AH3" i="246"/>
  <c r="AG3" i="246"/>
  <c r="AF3" i="246"/>
  <c r="AE3" i="246"/>
  <c r="AD3" i="246"/>
  <c r="AC3" i="246"/>
  <c r="AB3" i="246"/>
  <c r="AA3" i="246"/>
  <c r="Z3" i="246"/>
  <c r="Y3" i="246"/>
  <c r="X3" i="246"/>
  <c r="W3" i="246"/>
  <c r="V3" i="246"/>
  <c r="U3" i="246"/>
  <c r="T3" i="246"/>
  <c r="S3" i="246"/>
  <c r="R3" i="246"/>
  <c r="Q3" i="246"/>
  <c r="P3" i="246"/>
  <c r="O3" i="246"/>
  <c r="N3" i="246"/>
  <c r="M3" i="246"/>
  <c r="L3" i="246"/>
  <c r="K3" i="246"/>
  <c r="J3" i="246"/>
  <c r="I3" i="246"/>
  <c r="H3" i="246"/>
  <c r="G3" i="246"/>
  <c r="F3" i="246"/>
  <c r="E3" i="246"/>
  <c r="D3" i="246"/>
  <c r="CV65" i="244"/>
  <c r="CW64" i="244"/>
  <c r="CR64" i="244"/>
  <c r="CH64" i="244"/>
  <c r="CW63" i="244"/>
  <c r="CW65" i="244" s="1"/>
  <c r="CV63" i="244"/>
  <c r="CU63" i="244"/>
  <c r="CU65" i="244" s="1"/>
  <c r="CR63" i="244"/>
  <c r="CQ63" i="244"/>
  <c r="CQ65" i="244" s="1"/>
  <c r="CP63" i="244"/>
  <c r="CP65" i="244" s="1"/>
  <c r="CO63" i="244"/>
  <c r="CO65" i="244" s="1"/>
  <c r="CN63" i="244"/>
  <c r="CN65" i="244" s="1"/>
  <c r="CM63" i="244"/>
  <c r="CM65" i="244" s="1"/>
  <c r="CL63" i="244"/>
  <c r="CL65" i="244" s="1"/>
  <c r="CK63" i="244"/>
  <c r="CK65" i="244" s="1"/>
  <c r="CJ63" i="244"/>
  <c r="CJ65" i="244" s="1"/>
  <c r="CI63" i="244"/>
  <c r="CI65" i="244" s="1"/>
  <c r="CH63" i="244"/>
  <c r="CF63" i="244"/>
  <c r="CE63" i="244"/>
  <c r="CD63" i="244"/>
  <c r="CC63" i="244"/>
  <c r="CB63" i="244"/>
  <c r="CA63" i="244"/>
  <c r="BZ63" i="244"/>
  <c r="BZ65" i="244" s="1"/>
  <c r="BY63" i="244"/>
  <c r="BX63" i="244"/>
  <c r="BW63" i="244"/>
  <c r="BV63" i="244"/>
  <c r="BU63" i="244"/>
  <c r="BS63" i="244"/>
  <c r="BR63" i="244"/>
  <c r="BQ63" i="244"/>
  <c r="BP63" i="244"/>
  <c r="BO63" i="244"/>
  <c r="BN63" i="244"/>
  <c r="BM63" i="244"/>
  <c r="BL63" i="244"/>
  <c r="BK63" i="244"/>
  <c r="BK65" i="244" s="1"/>
  <c r="BJ63" i="244"/>
  <c r="BI63" i="244"/>
  <c r="BH63" i="244"/>
  <c r="BF63" i="244"/>
  <c r="BE63" i="244"/>
  <c r="BD63" i="244"/>
  <c r="BC63" i="244"/>
  <c r="BB63" i="244"/>
  <c r="BA63" i="244"/>
  <c r="AZ63" i="244"/>
  <c r="AY63" i="244"/>
  <c r="AX63" i="244"/>
  <c r="AW63" i="244"/>
  <c r="AV63" i="244"/>
  <c r="AU63" i="244"/>
  <c r="AS63" i="244"/>
  <c r="AR63" i="244"/>
  <c r="AQ63" i="244"/>
  <c r="AP63" i="244"/>
  <c r="AO63" i="244"/>
  <c r="AN63" i="244"/>
  <c r="AM63" i="244"/>
  <c r="AL63" i="244"/>
  <c r="AK63" i="244"/>
  <c r="AJ63" i="244"/>
  <c r="AI63" i="244"/>
  <c r="AH63" i="244"/>
  <c r="AF63" i="244"/>
  <c r="AF65" i="244" s="1"/>
  <c r="AE63" i="244"/>
  <c r="AD63" i="244"/>
  <c r="AC63" i="244"/>
  <c r="AB63" i="244"/>
  <c r="AA63" i="244"/>
  <c r="Z63" i="244"/>
  <c r="Y63" i="244"/>
  <c r="X63" i="244"/>
  <c r="W63" i="244"/>
  <c r="V63" i="244"/>
  <c r="U63" i="244"/>
  <c r="S63" i="244"/>
  <c r="R63" i="244"/>
  <c r="Q63" i="244"/>
  <c r="P63" i="244"/>
  <c r="P65" i="244" s="1"/>
  <c r="O63" i="244"/>
  <c r="N63" i="244"/>
  <c r="M63" i="244"/>
  <c r="L63" i="244"/>
  <c r="K63" i="244"/>
  <c r="J63" i="244"/>
  <c r="I63" i="244"/>
  <c r="D63" i="244"/>
  <c r="C63" i="244"/>
  <c r="F39" i="244"/>
  <c r="H28" i="244"/>
  <c r="H63" i="244" s="1"/>
  <c r="CF25" i="244"/>
  <c r="CE25" i="244"/>
  <c r="CD25" i="244"/>
  <c r="CB25" i="244"/>
  <c r="CA25" i="244"/>
  <c r="BZ25" i="244"/>
  <c r="BY25" i="244"/>
  <c r="BX25" i="244"/>
  <c r="BW25" i="244"/>
  <c r="BV25" i="244"/>
  <c r="BU25" i="244"/>
  <c r="BU65" i="244" s="1"/>
  <c r="BS25" i="244"/>
  <c r="BS65" i="244" s="1"/>
  <c r="BR25" i="244"/>
  <c r="BR65" i="244" s="1"/>
  <c r="BQ25" i="244"/>
  <c r="BQ65" i="244" s="1"/>
  <c r="BP25" i="244"/>
  <c r="BP65" i="244" s="1"/>
  <c r="BO25" i="244"/>
  <c r="BN25" i="244"/>
  <c r="BN65" i="244" s="1"/>
  <c r="BM25" i="244"/>
  <c r="BL25" i="244"/>
  <c r="BK25" i="244"/>
  <c r="BJ25" i="244"/>
  <c r="BI25" i="244"/>
  <c r="BH25" i="244"/>
  <c r="BF25" i="244"/>
  <c r="BE25" i="244"/>
  <c r="BD25" i="244"/>
  <c r="BC25" i="244"/>
  <c r="BB25" i="244"/>
  <c r="BA25" i="244"/>
  <c r="BA65" i="244" s="1"/>
  <c r="AZ25" i="244"/>
  <c r="AZ65" i="244" s="1"/>
  <c r="AY25" i="244"/>
  <c r="AY65" i="244" s="1"/>
  <c r="AX25" i="244"/>
  <c r="AX65" i="244" s="1"/>
  <c r="AW25" i="244"/>
  <c r="AV25" i="244"/>
  <c r="AU25" i="244"/>
  <c r="AS25" i="244"/>
  <c r="AR25" i="244"/>
  <c r="AQ25" i="244"/>
  <c r="AP25" i="244"/>
  <c r="AO25" i="244"/>
  <c r="AN25" i="244"/>
  <c r="AM25" i="244"/>
  <c r="AM65" i="244" s="1"/>
  <c r="AL25" i="244"/>
  <c r="AK25" i="244"/>
  <c r="AJ25" i="244"/>
  <c r="AI25" i="244"/>
  <c r="AF25" i="244"/>
  <c r="AE25" i="244"/>
  <c r="AD25" i="244"/>
  <c r="AC25" i="244"/>
  <c r="Z25" i="244"/>
  <c r="Z65" i="244" s="1"/>
  <c r="U25" i="244"/>
  <c r="S25" i="244"/>
  <c r="Q25" i="244"/>
  <c r="P25" i="244"/>
  <c r="M25" i="244"/>
  <c r="L25" i="244"/>
  <c r="K25" i="244"/>
  <c r="I25" i="244"/>
  <c r="I65" i="244" s="1"/>
  <c r="H25" i="244"/>
  <c r="F25" i="244"/>
  <c r="D25" i="244"/>
  <c r="D65" i="244" s="1"/>
  <c r="C25" i="244"/>
  <c r="C65" i="244" s="1"/>
  <c r="CC22" i="244"/>
  <c r="CC25" i="244" s="1"/>
  <c r="AH22" i="244"/>
  <c r="AH25" i="244" s="1"/>
  <c r="AB22" i="244"/>
  <c r="AB25" i="244" s="1"/>
  <c r="AA22" i="244"/>
  <c r="AA25" i="244" s="1"/>
  <c r="AA65" i="244" s="1"/>
  <c r="Z22" i="244"/>
  <c r="Y22" i="244"/>
  <c r="Y25" i="244" s="1"/>
  <c r="Y65" i="244" s="1"/>
  <c r="X22" i="244"/>
  <c r="X25" i="244" s="1"/>
  <c r="X65" i="244" s="1"/>
  <c r="W22" i="244"/>
  <c r="W25" i="244" s="1"/>
  <c r="W65" i="244" s="1"/>
  <c r="V22" i="244"/>
  <c r="V25" i="244" s="1"/>
  <c r="V65" i="244" s="1"/>
  <c r="R22" i="244"/>
  <c r="R25" i="244" s="1"/>
  <c r="O22" i="244"/>
  <c r="O25" i="244" s="1"/>
  <c r="N22" i="244"/>
  <c r="N25" i="244" s="1"/>
  <c r="J22" i="244"/>
  <c r="J25" i="244" s="1"/>
  <c r="J65" i="244" s="1"/>
  <c r="F22" i="244"/>
  <c r="C19" i="244"/>
  <c r="CW18" i="244"/>
  <c r="CV18" i="244"/>
  <c r="CU18" i="244"/>
  <c r="CS18" i="244"/>
  <c r="CR18" i="244"/>
  <c r="CQ18" i="244"/>
  <c r="CP18" i="244"/>
  <c r="CO18" i="244"/>
  <c r="CN18" i="244"/>
  <c r="CM18" i="244"/>
  <c r="CL18" i="244"/>
  <c r="CK18" i="244"/>
  <c r="CJ18" i="244"/>
  <c r="CI18" i="244"/>
  <c r="CH18" i="244"/>
  <c r="CF18" i="244"/>
  <c r="CD18" i="244"/>
  <c r="CC18" i="244"/>
  <c r="CB18" i="244"/>
  <c r="CA18" i="244"/>
  <c r="BZ18" i="244"/>
  <c r="D18" i="244"/>
  <c r="S17" i="244"/>
  <c r="R17" i="244"/>
  <c r="Q17" i="244"/>
  <c r="P17" i="244"/>
  <c r="O17" i="244"/>
  <c r="N17" i="244"/>
  <c r="M17" i="244"/>
  <c r="L17" i="244"/>
  <c r="K17" i="244"/>
  <c r="J17" i="244"/>
  <c r="H17" i="244"/>
  <c r="H19" i="244" s="1"/>
  <c r="D16" i="244"/>
  <c r="D17" i="244" s="1"/>
  <c r="BY13" i="244"/>
  <c r="BY19" i="244" s="1"/>
  <c r="BX13" i="244"/>
  <c r="BX19" i="244" s="1"/>
  <c r="BW13" i="244"/>
  <c r="BW19" i="244" s="1"/>
  <c r="BV13" i="244"/>
  <c r="BV19" i="244" s="1"/>
  <c r="BU13" i="244"/>
  <c r="BU19" i="244" s="1"/>
  <c r="BS13" i="244"/>
  <c r="BS19" i="244" s="1"/>
  <c r="BR13" i="244"/>
  <c r="BR19" i="244" s="1"/>
  <c r="BQ13" i="244"/>
  <c r="BQ19" i="244" s="1"/>
  <c r="BP13" i="244"/>
  <c r="BP19" i="244" s="1"/>
  <c r="BO13" i="244"/>
  <c r="BO19" i="244" s="1"/>
  <c r="BN13" i="244"/>
  <c r="BN19" i="244" s="1"/>
  <c r="BM13" i="244"/>
  <c r="BM19" i="244" s="1"/>
  <c r="BL13" i="244"/>
  <c r="BL19" i="244" s="1"/>
  <c r="BK13" i="244"/>
  <c r="BK19" i="244" s="1"/>
  <c r="BJ13" i="244"/>
  <c r="BJ19" i="244" s="1"/>
  <c r="BI13" i="244"/>
  <c r="BI19" i="244" s="1"/>
  <c r="BH13" i="244"/>
  <c r="BH19" i="244" s="1"/>
  <c r="BF13" i="244"/>
  <c r="BF19" i="244" s="1"/>
  <c r="BE13" i="244"/>
  <c r="BE19" i="244" s="1"/>
  <c r="BD13" i="244"/>
  <c r="BD19" i="244" s="1"/>
  <c r="BC13" i="244"/>
  <c r="BC19" i="244" s="1"/>
  <c r="BB13" i="244"/>
  <c r="BB19" i="244" s="1"/>
  <c r="BA13" i="244"/>
  <c r="BA19" i="244" s="1"/>
  <c r="AZ13" i="244"/>
  <c r="AZ19" i="244" s="1"/>
  <c r="AY13" i="244"/>
  <c r="AY19" i="244" s="1"/>
  <c r="AX13" i="244"/>
  <c r="AX19" i="244" s="1"/>
  <c r="AV13" i="244"/>
  <c r="AV19" i="244" s="1"/>
  <c r="AU13" i="244"/>
  <c r="AU19" i="244" s="1"/>
  <c r="AS13" i="244"/>
  <c r="AS19" i="244" s="1"/>
  <c r="AR13" i="244"/>
  <c r="AR19" i="244" s="1"/>
  <c r="AQ13" i="244"/>
  <c r="AQ19" i="244" s="1"/>
  <c r="AP13" i="244"/>
  <c r="AP19" i="244" s="1"/>
  <c r="AO13" i="244"/>
  <c r="AO19" i="244" s="1"/>
  <c r="AN13" i="244"/>
  <c r="AN19" i="244" s="1"/>
  <c r="AM13" i="244"/>
  <c r="AM19" i="244" s="1"/>
  <c r="AL13" i="244"/>
  <c r="AL19" i="244" s="1"/>
  <c r="AK13" i="244"/>
  <c r="AK19" i="244" s="1"/>
  <c r="AJ13" i="244"/>
  <c r="AJ19" i="244" s="1"/>
  <c r="AI13" i="244"/>
  <c r="AI19" i="244" s="1"/>
  <c r="AH13" i="244"/>
  <c r="AH19" i="244" s="1"/>
  <c r="AF13" i="244"/>
  <c r="AF19" i="244" s="1"/>
  <c r="AE13" i="244"/>
  <c r="AE19" i="244" s="1"/>
  <c r="AD13" i="244"/>
  <c r="AD19" i="244" s="1"/>
  <c r="AC13" i="244"/>
  <c r="AC19" i="244" s="1"/>
  <c r="AB13" i="244"/>
  <c r="AB19" i="244" s="1"/>
  <c r="AA13" i="244"/>
  <c r="AA19" i="244" s="1"/>
  <c r="Z13" i="244"/>
  <c r="Z19" i="244" s="1"/>
  <c r="Y13" i="244"/>
  <c r="Y19" i="244" s="1"/>
  <c r="W13" i="244"/>
  <c r="W19" i="244" s="1"/>
  <c r="V13" i="244"/>
  <c r="V19" i="244" s="1"/>
  <c r="U13" i="244"/>
  <c r="U19" i="244" s="1"/>
  <c r="S13" i="244"/>
  <c r="R13" i="244"/>
  <c r="Q13" i="244"/>
  <c r="Q19" i="244" s="1"/>
  <c r="P13" i="244"/>
  <c r="P19" i="244" s="1"/>
  <c r="O13" i="244"/>
  <c r="O19" i="244" s="1"/>
  <c r="N13" i="244"/>
  <c r="N19" i="244" s="1"/>
  <c r="M13" i="244"/>
  <c r="L13" i="244"/>
  <c r="L19" i="244" s="1"/>
  <c r="K13" i="244"/>
  <c r="J13" i="244"/>
  <c r="I13" i="244"/>
  <c r="I19" i="244" s="1"/>
  <c r="D13" i="244"/>
  <c r="CV12" i="244"/>
  <c r="CU12" i="244"/>
  <c r="CR12" i="244"/>
  <c r="CQ12" i="244"/>
  <c r="CP12" i="244"/>
  <c r="CO12" i="244"/>
  <c r="CN12" i="244"/>
  <c r="CM12" i="244"/>
  <c r="CL12" i="244"/>
  <c r="CK12" i="244"/>
  <c r="CE12" i="244"/>
  <c r="CE13" i="244" s="1"/>
  <c r="CE19" i="244" s="1"/>
  <c r="CD12" i="244"/>
  <c r="CD13" i="244" s="1"/>
  <c r="CC12" i="244"/>
  <c r="CC13" i="244" s="1"/>
  <c r="CB12" i="244"/>
  <c r="CB13" i="244" s="1"/>
  <c r="CA12" i="244"/>
  <c r="BZ12" i="244"/>
  <c r="F12" i="244"/>
  <c r="C12" i="244"/>
  <c r="CW9" i="244"/>
  <c r="CV9" i="244"/>
  <c r="CU9" i="244"/>
  <c r="CR9" i="244"/>
  <c r="CQ9" i="244"/>
  <c r="CP9" i="244"/>
  <c r="CO9" i="244"/>
  <c r="CN9" i="244"/>
  <c r="CM9" i="244"/>
  <c r="CL9" i="244"/>
  <c r="CK9" i="244"/>
  <c r="CJ9" i="244"/>
  <c r="CI9" i="244"/>
  <c r="CH9" i="244"/>
  <c r="CF9" i="244"/>
  <c r="CA9" i="244"/>
  <c r="BZ9" i="244"/>
  <c r="CV8" i="244"/>
  <c r="CU8" i="244"/>
  <c r="CR8" i="244"/>
  <c r="CQ8" i="244"/>
  <c r="CP8" i="244"/>
  <c r="CO8" i="244"/>
  <c r="CN8" i="244"/>
  <c r="CM8" i="244"/>
  <c r="CL8" i="244"/>
  <c r="CK8" i="244"/>
  <c r="CJ8" i="244"/>
  <c r="CI8" i="244"/>
  <c r="CH8" i="244"/>
  <c r="CF8" i="244"/>
  <c r="CW7" i="244"/>
  <c r="CV7" i="244"/>
  <c r="CU7" i="244"/>
  <c r="CR7" i="244"/>
  <c r="CQ7" i="244"/>
  <c r="CP7" i="244"/>
  <c r="CO7" i="244"/>
  <c r="CN7" i="244"/>
  <c r="CM7" i="244"/>
  <c r="CL7" i="244"/>
  <c r="CK7" i="244"/>
  <c r="CJ7" i="244"/>
  <c r="CI7" i="244"/>
  <c r="CH7" i="244"/>
  <c r="CF7" i="244"/>
  <c r="CW6" i="244"/>
  <c r="CV6" i="244"/>
  <c r="CU6" i="244"/>
  <c r="CR6" i="244"/>
  <c r="CQ6" i="244"/>
  <c r="CP6" i="244"/>
  <c r="CO6" i="244"/>
  <c r="CN6" i="244"/>
  <c r="CM6" i="244"/>
  <c r="CL6" i="244"/>
  <c r="CK6" i="244"/>
  <c r="CJ6" i="244"/>
  <c r="CI6" i="244"/>
  <c r="CH6" i="244"/>
  <c r="CF6" i="244"/>
  <c r="BZ6" i="244"/>
  <c r="CV5" i="244"/>
  <c r="CU5" i="244"/>
  <c r="CR5" i="244"/>
  <c r="CQ5" i="244"/>
  <c r="CP5" i="244"/>
  <c r="CO5" i="244"/>
  <c r="CN5" i="244"/>
  <c r="CM5" i="244"/>
  <c r="CL5" i="244"/>
  <c r="CK5" i="244"/>
  <c r="CJ5" i="244"/>
  <c r="CJ12" i="244" s="1"/>
  <c r="CI5" i="244"/>
  <c r="CI12" i="244" s="1"/>
  <c r="CH5" i="244"/>
  <c r="CH12" i="244" s="1"/>
  <c r="CF5" i="244"/>
  <c r="CF12" i="244" s="1"/>
  <c r="AW5" i="244"/>
  <c r="AW13" i="244" s="1"/>
  <c r="AW19" i="244" s="1"/>
  <c r="X5" i="244"/>
  <c r="X13" i="244" s="1"/>
  <c r="X19" i="244" s="1"/>
  <c r="F5" i="244"/>
  <c r="C5" i="244"/>
  <c r="AI65" i="244" l="1"/>
  <c r="CO13" i="244"/>
  <c r="CO19" i="244" s="1"/>
  <c r="CF65" i="244"/>
  <c r="AR65" i="244"/>
  <c r="BW65" i="244"/>
  <c r="J19" i="244"/>
  <c r="CC65" i="244"/>
  <c r="AC65" i="244"/>
  <c r="AC66" i="244" s="1"/>
  <c r="CR65" i="244"/>
  <c r="AF66" i="244"/>
  <c r="K19" i="244"/>
  <c r="AD65" i="244"/>
  <c r="M65" i="244"/>
  <c r="S19" i="244"/>
  <c r="S66" i="244" s="1"/>
  <c r="AH65" i="244"/>
  <c r="BY65" i="244"/>
  <c r="BY66" i="244" s="1"/>
  <c r="BB65" i="244"/>
  <c r="P66" i="244"/>
  <c r="CV13" i="244"/>
  <c r="CV19" i="244" s="1"/>
  <c r="BQ66" i="244"/>
  <c r="D19" i="244"/>
  <c r="AL65" i="244"/>
  <c r="AL66" i="244" s="1"/>
  <c r="BH65" i="244"/>
  <c r="AM66" i="244"/>
  <c r="CB19" i="244"/>
  <c r="I66" i="244"/>
  <c r="AN65" i="244"/>
  <c r="AN66" i="244" s="1"/>
  <c r="CE65" i="244"/>
  <c r="CE66" i="244" s="1"/>
  <c r="AJ65" i="244"/>
  <c r="AJ66" i="244" s="1"/>
  <c r="BE65" i="244"/>
  <c r="BE66" i="244" s="1"/>
  <c r="AK65" i="244"/>
  <c r="AK66" i="244" s="1"/>
  <c r="CD19" i="244"/>
  <c r="AP65" i="244"/>
  <c r="AP66" i="244" s="1"/>
  <c r="AV65" i="244"/>
  <c r="CH65" i="244"/>
  <c r="BM65" i="244"/>
  <c r="BM66" i="244" s="1"/>
  <c r="N65" i="244"/>
  <c r="N66" i="244" s="1"/>
  <c r="AR66" i="244"/>
  <c r="R19" i="244"/>
  <c r="R66" i="244" s="1"/>
  <c r="O65" i="244"/>
  <c r="O66" i="244" s="1"/>
  <c r="C66" i="244"/>
  <c r="CB65" i="244"/>
  <c r="R65" i="244"/>
  <c r="S65" i="244"/>
  <c r="U65" i="244"/>
  <c r="U66" i="244" s="1"/>
  <c r="AI66" i="244"/>
  <c r="AA66" i="244"/>
  <c r="BS66" i="244"/>
  <c r="AY66" i="244"/>
  <c r="CI13" i="244"/>
  <c r="CI19" i="244" s="1"/>
  <c r="CI66" i="244" s="1"/>
  <c r="F13" i="244"/>
  <c r="F19" i="244" s="1"/>
  <c r="AD66" i="244"/>
  <c r="CA65" i="244"/>
  <c r="BU66" i="244"/>
  <c r="CJ13" i="244"/>
  <c r="CJ19" i="244" s="1"/>
  <c r="BF65" i="244"/>
  <c r="BF66" i="244" s="1"/>
  <c r="BZ13" i="244"/>
  <c r="BZ19" i="244" s="1"/>
  <c r="BZ66" i="244" s="1"/>
  <c r="BX65" i="244"/>
  <c r="BX66" i="244" s="1"/>
  <c r="CF13" i="244"/>
  <c r="CF19" i="244" s="1"/>
  <c r="CF66" i="244" s="1"/>
  <c r="CA13" i="244"/>
  <c r="CA19" i="244" s="1"/>
  <c r="BC65" i="244"/>
  <c r="BC66" i="244" s="1"/>
  <c r="Q65" i="244"/>
  <c r="Q66" i="244" s="1"/>
  <c r="CK13" i="244"/>
  <c r="CK19" i="244" s="1"/>
  <c r="CC19" i="244"/>
  <c r="CC66" i="244" s="1"/>
  <c r="F63" i="244"/>
  <c r="F65" i="244" s="1"/>
  <c r="BD65" i="244"/>
  <c r="BD66" i="244" s="1"/>
  <c r="BJ65" i="244"/>
  <c r="BJ66" i="244" s="1"/>
  <c r="M19" i="244"/>
  <c r="H65" i="244"/>
  <c r="H66" i="244" s="1"/>
  <c r="BL65" i="244"/>
  <c r="K65" i="244"/>
  <c r="AQ65" i="244"/>
  <c r="AQ66" i="244" s="1"/>
  <c r="CL13" i="244"/>
  <c r="CL19" i="244" s="1"/>
  <c r="CL66" i="244" s="1"/>
  <c r="L65" i="244"/>
  <c r="L66" i="244" s="1"/>
  <c r="BI65" i="244"/>
  <c r="BI66" i="244" s="1"/>
  <c r="CD65" i="244"/>
  <c r="CJ66" i="244"/>
  <c r="AX66" i="244"/>
  <c r="Z66" i="244"/>
  <c r="CM13" i="244"/>
  <c r="CM19" i="244" s="1"/>
  <c r="CM66" i="244" s="1"/>
  <c r="CH13" i="244"/>
  <c r="CH19" i="244" s="1"/>
  <c r="CH66" i="244" s="1"/>
  <c r="CN13" i="244"/>
  <c r="CN19" i="244" s="1"/>
  <c r="CU13" i="244"/>
  <c r="CU19" i="244" s="1"/>
  <c r="CU66" i="244" s="1"/>
  <c r="AO65" i="244"/>
  <c r="AO66" i="244" s="1"/>
  <c r="AU65" i="244"/>
  <c r="AU66" i="244" s="1"/>
  <c r="AV66" i="244"/>
  <c r="AW65" i="244"/>
  <c r="BN66" i="244"/>
  <c r="AB65" i="244"/>
  <c r="AB66" i="244" s="1"/>
  <c r="CO66" i="244"/>
  <c r="BO65" i="244"/>
  <c r="BO66" i="244" s="1"/>
  <c r="CW13" i="244"/>
  <c r="CW19" i="244" s="1"/>
  <c r="CW66" i="244" s="1"/>
  <c r="CQ13" i="244"/>
  <c r="CQ19" i="244" s="1"/>
  <c r="CQ66" i="244" s="1"/>
  <c r="BV65" i="244"/>
  <c r="CP13" i="244"/>
  <c r="CP19" i="244" s="1"/>
  <c r="CR13" i="244"/>
  <c r="CR19" i="244" s="1"/>
  <c r="W66" i="244"/>
  <c r="AS65" i="244"/>
  <c r="AS66" i="244" s="1"/>
  <c r="AE65" i="244"/>
  <c r="AE66" i="244" s="1"/>
  <c r="Z41" i="246"/>
  <c r="AT41" i="246"/>
  <c r="F26" i="246"/>
  <c r="CD83" i="246"/>
  <c r="AK41" i="246"/>
  <c r="BS68" i="246"/>
  <c r="BR28" i="12" s="1"/>
  <c r="BM83" i="246"/>
  <c r="CG83" i="246"/>
  <c r="BR63" i="246"/>
  <c r="BR73" i="246" s="1"/>
  <c r="BQ31" i="12" s="1"/>
  <c r="BQ83" i="246"/>
  <c r="BB63" i="246"/>
  <c r="BB73" i="246" s="1"/>
  <c r="BA31" i="12" s="1"/>
  <c r="AP63" i="246"/>
  <c r="AP73" i="246" s="1"/>
  <c r="AO31" i="12" s="1"/>
  <c r="CI63" i="246"/>
  <c r="CI73" i="246" s="1"/>
  <c r="CH31" i="12" s="1"/>
  <c r="G41" i="246"/>
  <c r="H41" i="246"/>
  <c r="L83" i="246"/>
  <c r="R41" i="246"/>
  <c r="I41" i="246"/>
  <c r="F63" i="246"/>
  <c r="F73" i="246" s="1"/>
  <c r="E31" i="12" s="1"/>
  <c r="Z63" i="246"/>
  <c r="Z73" i="246" s="1"/>
  <c r="Y31" i="12" s="1"/>
  <c r="CD88" i="246"/>
  <c r="CD89" i="246" s="1"/>
  <c r="S41" i="246"/>
  <c r="AM41" i="246"/>
  <c r="BW26" i="246"/>
  <c r="J41" i="246"/>
  <c r="AP67" i="246"/>
  <c r="AO27" i="12" s="1"/>
  <c r="AN41" i="246"/>
  <c r="BH41" i="246"/>
  <c r="AY41" i="246"/>
  <c r="AB63" i="246"/>
  <c r="AB73" i="246" s="1"/>
  <c r="AA31" i="12" s="1"/>
  <c r="AO41" i="246"/>
  <c r="BI41" i="246"/>
  <c r="BY26" i="246"/>
  <c r="J26" i="246"/>
  <c r="AZ41" i="246"/>
  <c r="BJ41" i="246"/>
  <c r="CD41" i="246"/>
  <c r="K26" i="246"/>
  <c r="BU41" i="246"/>
  <c r="AD63" i="246"/>
  <c r="AD73" i="246" s="1"/>
  <c r="AC31" i="12" s="1"/>
  <c r="AQ41" i="246"/>
  <c r="CE41" i="246"/>
  <c r="CA83" i="246"/>
  <c r="AZ26" i="246"/>
  <c r="D41" i="246"/>
  <c r="AR41" i="246"/>
  <c r="D26" i="246"/>
  <c r="E41" i="246"/>
  <c r="Y41" i="246"/>
  <c r="AS41" i="246"/>
  <c r="E26" i="246"/>
  <c r="AJ41" i="246"/>
  <c r="BA63" i="246"/>
  <c r="BA73" i="246" s="1"/>
  <c r="AZ31" i="12" s="1"/>
  <c r="BZ26" i="246"/>
  <c r="BY41" i="246"/>
  <c r="CC63" i="246"/>
  <c r="CC73" i="246" s="1"/>
  <c r="CB31" i="12" s="1"/>
  <c r="BI26" i="246"/>
  <c r="N63" i="246"/>
  <c r="N73" i="246" s="1"/>
  <c r="M31" i="12" s="1"/>
  <c r="AL41" i="246"/>
  <c r="O63" i="246"/>
  <c r="O73" i="246" s="1"/>
  <c r="N31" i="12" s="1"/>
  <c r="BG63" i="246"/>
  <c r="BG73" i="246" s="1"/>
  <c r="BF31" i="12" s="1"/>
  <c r="BB68" i="246"/>
  <c r="BA28" i="12" s="1"/>
  <c r="BU83" i="246"/>
  <c r="P63" i="246"/>
  <c r="P73" i="246" s="1"/>
  <c r="O31" i="12" s="1"/>
  <c r="BW83" i="246"/>
  <c r="Q63" i="246"/>
  <c r="Q73" i="246" s="1"/>
  <c r="P31" i="12" s="1"/>
  <c r="BJ63" i="246"/>
  <c r="BJ73" i="246" s="1"/>
  <c r="BI31" i="12" s="1"/>
  <c r="N67" i="246"/>
  <c r="M27" i="12" s="1"/>
  <c r="G83" i="246"/>
  <c r="BK41" i="246"/>
  <c r="O67" i="246"/>
  <c r="N27" i="12" s="1"/>
  <c r="BY83" i="246"/>
  <c r="BL41" i="246"/>
  <c r="P67" i="246"/>
  <c r="O27" i="12" s="1"/>
  <c r="I83" i="246"/>
  <c r="CK26" i="246"/>
  <c r="CL26" i="246"/>
  <c r="BB26" i="246"/>
  <c r="BM41" i="246"/>
  <c r="BL63" i="246"/>
  <c r="BL73" i="246" s="1"/>
  <c r="BK31" i="12" s="1"/>
  <c r="Q67" i="246"/>
  <c r="P27" i="12" s="1"/>
  <c r="BG67" i="246"/>
  <c r="BF27" i="12" s="1"/>
  <c r="BN41" i="246"/>
  <c r="BL83" i="246"/>
  <c r="BM63" i="246"/>
  <c r="BM73" i="246" s="1"/>
  <c r="BL31" i="12" s="1"/>
  <c r="G26" i="246"/>
  <c r="W41" i="246"/>
  <c r="AR63" i="246"/>
  <c r="AR73" i="246" s="1"/>
  <c r="AQ31" i="12" s="1"/>
  <c r="BN63" i="246"/>
  <c r="BN73" i="246" s="1"/>
  <c r="BM31" i="12" s="1"/>
  <c r="BY85" i="246"/>
  <c r="CG26" i="246"/>
  <c r="BN83" i="246"/>
  <c r="AS63" i="246"/>
  <c r="AS73" i="246" s="1"/>
  <c r="AR31" i="12" s="1"/>
  <c r="CL63" i="246"/>
  <c r="CL73" i="246" s="1"/>
  <c r="CK31" i="12" s="1"/>
  <c r="V63" i="246"/>
  <c r="V73" i="246" s="1"/>
  <c r="U31" i="12" s="1"/>
  <c r="BL67" i="246"/>
  <c r="BK27" i="12" s="1"/>
  <c r="BS83" i="246"/>
  <c r="I26" i="246"/>
  <c r="CH26" i="246"/>
  <c r="W63" i="246"/>
  <c r="W73" i="246" s="1"/>
  <c r="V31" i="12" s="1"/>
  <c r="BM67" i="246"/>
  <c r="BL27" i="12" s="1"/>
  <c r="CH85" i="246"/>
  <c r="BT83" i="246"/>
  <c r="AV41" i="246"/>
  <c r="AA63" i="246"/>
  <c r="AA73" i="246" s="1"/>
  <c r="Z31" i="12" s="1"/>
  <c r="Y63" i="246"/>
  <c r="Y73" i="246" s="1"/>
  <c r="X31" i="12" s="1"/>
  <c r="AB67" i="246"/>
  <c r="AA27" i="12" s="1"/>
  <c r="CJ85" i="246"/>
  <c r="AC41" i="246"/>
  <c r="BU26" i="246"/>
  <c r="AW41" i="246"/>
  <c r="CK85" i="246"/>
  <c r="AD41" i="246"/>
  <c r="BV41" i="246"/>
  <c r="BA26" i="246"/>
  <c r="E63" i="246"/>
  <c r="E73" i="246" s="1"/>
  <c r="D31" i="12" s="1"/>
  <c r="AD67" i="246"/>
  <c r="AC27" i="12" s="1"/>
  <c r="BX88" i="246"/>
  <c r="BX89" i="246" s="1"/>
  <c r="BX63" i="246"/>
  <c r="BX73" i="246" s="1"/>
  <c r="BW31" i="12" s="1"/>
  <c r="BE26" i="246"/>
  <c r="BE63" i="246"/>
  <c r="BE73" i="246" s="1"/>
  <c r="BD31" i="12" s="1"/>
  <c r="CA63" i="246"/>
  <c r="CA73" i="246" s="1"/>
  <c r="BZ31" i="12" s="1"/>
  <c r="BF63" i="246"/>
  <c r="BF73" i="246" s="1"/>
  <c r="BE31" i="12" s="1"/>
  <c r="CD63" i="246"/>
  <c r="CD73" i="246" s="1"/>
  <c r="CC31" i="12" s="1"/>
  <c r="AE41" i="246"/>
  <c r="BA41" i="246"/>
  <c r="BW41" i="246"/>
  <c r="BA83" i="246"/>
  <c r="AX63" i="246"/>
  <c r="AX73" i="246" s="1"/>
  <c r="AW31" i="12" s="1"/>
  <c r="AF41" i="246"/>
  <c r="BB41" i="246"/>
  <c r="BX41" i="246"/>
  <c r="BU63" i="246"/>
  <c r="BU73" i="246" s="1"/>
  <c r="BT31" i="12" s="1"/>
  <c r="AY63" i="246"/>
  <c r="AY73" i="246" s="1"/>
  <c r="AX31" i="12" s="1"/>
  <c r="BF41" i="246"/>
  <c r="BF26" i="246"/>
  <c r="BD41" i="246"/>
  <c r="BZ41" i="246"/>
  <c r="BS73" i="246"/>
  <c r="BR31" i="12" s="1"/>
  <c r="BE83" i="246"/>
  <c r="O41" i="246"/>
  <c r="BG41" i="246"/>
  <c r="CC41" i="246"/>
  <c r="BG26" i="246"/>
  <c r="CC83" i="246"/>
  <c r="CA41" i="246"/>
  <c r="BZ63" i="246"/>
  <c r="BZ73" i="246" s="1"/>
  <c r="BY31" i="12" s="1"/>
  <c r="BT63" i="246"/>
  <c r="BT73" i="246" s="1"/>
  <c r="BS31" i="12" s="1"/>
  <c r="BF83" i="246"/>
  <c r="BV66" i="244"/>
  <c r="CK66" i="244"/>
  <c r="CV66" i="244"/>
  <c r="AZ66" i="244"/>
  <c r="CN66" i="244"/>
  <c r="X66" i="244"/>
  <c r="Y66" i="244"/>
  <c r="BB66" i="244"/>
  <c r="BA66" i="244"/>
  <c r="BP66" i="244"/>
  <c r="BK66" i="244"/>
  <c r="V66" i="244"/>
  <c r="AH66" i="244"/>
  <c r="AW66" i="244"/>
  <c r="BL66" i="244"/>
  <c r="CP66" i="244"/>
  <c r="BR66" i="244"/>
  <c r="J66" i="244"/>
  <c r="D66" i="244"/>
  <c r="BW66" i="244"/>
  <c r="BH66" i="244"/>
  <c r="CB66" i="244"/>
  <c r="BX26" i="246"/>
  <c r="BD26" i="246"/>
  <c r="CD26" i="246"/>
  <c r="CG85" i="246"/>
  <c r="CG88" i="246"/>
  <c r="CG89" i="246" s="1"/>
  <c r="L63" i="246"/>
  <c r="L73" i="246" s="1"/>
  <c r="K31" i="12" s="1"/>
  <c r="AN63" i="246"/>
  <c r="AN73" i="246" s="1"/>
  <c r="AM31" i="12" s="1"/>
  <c r="BP63" i="246"/>
  <c r="BP73" i="246" s="1"/>
  <c r="BO31" i="12" s="1"/>
  <c r="BE70" i="246"/>
  <c r="BD30" i="12" s="1"/>
  <c r="CA11" i="247"/>
  <c r="CA12" i="247" s="1"/>
  <c r="M26" i="246"/>
  <c r="CE26" i="246"/>
  <c r="M63" i="246"/>
  <c r="M73" i="246" s="1"/>
  <c r="L31" i="12" s="1"/>
  <c r="T63" i="246"/>
  <c r="T73" i="246" s="1"/>
  <c r="S31" i="12" s="1"/>
  <c r="AO63" i="246"/>
  <c r="AO73" i="246" s="1"/>
  <c r="AN31" i="12" s="1"/>
  <c r="BQ63" i="246"/>
  <c r="BQ73" i="246" s="1"/>
  <c r="BP31" i="12" s="1"/>
  <c r="X77" i="247"/>
  <c r="X83" i="247" s="1"/>
  <c r="X84" i="247" s="1"/>
  <c r="X11" i="247"/>
  <c r="X12" i="247" s="1"/>
  <c r="AL11" i="247"/>
  <c r="AL12" i="247" s="1"/>
  <c r="AL77" i="247"/>
  <c r="AL83" i="247" s="1"/>
  <c r="AL84" i="247" s="1"/>
  <c r="CG11" i="247"/>
  <c r="CG12" i="247" s="1"/>
  <c r="CG77" i="247"/>
  <c r="CG83" i="247" s="1"/>
  <c r="CG84" i="247" s="1"/>
  <c r="CM78" i="247"/>
  <c r="CM11" i="247"/>
  <c r="CM12" i="247" s="1"/>
  <c r="CE80" i="247"/>
  <c r="CG82" i="247"/>
  <c r="CD11" i="247"/>
  <c r="CD12" i="247" s="1"/>
  <c r="CF26" i="246"/>
  <c r="U63" i="246"/>
  <c r="U73" i="246" s="1"/>
  <c r="T31" i="12" s="1"/>
  <c r="BO26" i="246"/>
  <c r="CI26" i="246"/>
  <c r="X63" i="246"/>
  <c r="X73" i="246" s="1"/>
  <c r="W31" i="12" s="1"/>
  <c r="AZ63" i="246"/>
  <c r="AZ73" i="246" s="1"/>
  <c r="AY31" i="12" s="1"/>
  <c r="CB63" i="246"/>
  <c r="CB73" i="246" s="1"/>
  <c r="CA31" i="12" s="1"/>
  <c r="BN67" i="246"/>
  <c r="BM27" i="12" s="1"/>
  <c r="BG83" i="246"/>
  <c r="N41" i="246"/>
  <c r="BP83" i="246"/>
  <c r="BP26" i="246"/>
  <c r="R63" i="246"/>
  <c r="R73" i="246" s="1"/>
  <c r="Q31" i="12" s="1"/>
  <c r="AF63" i="246"/>
  <c r="AF73" i="246" s="1"/>
  <c r="AE31" i="12" s="1"/>
  <c r="AT63" i="246"/>
  <c r="AT73" i="246" s="1"/>
  <c r="AS31" i="12" s="1"/>
  <c r="BH63" i="246"/>
  <c r="BH73" i="246" s="1"/>
  <c r="BG31" i="12" s="1"/>
  <c r="BV63" i="246"/>
  <c r="BV73" i="246" s="1"/>
  <c r="BU31" i="12" s="1"/>
  <c r="CJ63" i="246"/>
  <c r="CJ73" i="246" s="1"/>
  <c r="CI31" i="12" s="1"/>
  <c r="AC63" i="246"/>
  <c r="AC73" i="246" s="1"/>
  <c r="AB31" i="12" s="1"/>
  <c r="AQ63" i="246"/>
  <c r="AQ73" i="246" s="1"/>
  <c r="AP31" i="12" s="1"/>
  <c r="S67" i="246"/>
  <c r="R27" i="12" s="1"/>
  <c r="S63" i="246"/>
  <c r="S73" i="246" s="1"/>
  <c r="R31" i="12" s="1"/>
  <c r="BS26" i="246"/>
  <c r="CB88" i="246"/>
  <c r="CB89" i="246" s="1"/>
  <c r="CB83" i="246"/>
  <c r="AW67" i="246"/>
  <c r="AV27" i="12" s="1"/>
  <c r="AW63" i="246"/>
  <c r="AW73" i="246" s="1"/>
  <c r="AV31" i="12" s="1"/>
  <c r="BK67" i="246"/>
  <c r="BJ27" i="12" s="1"/>
  <c r="BK63" i="246"/>
  <c r="BK73" i="246" s="1"/>
  <c r="BJ31" i="12" s="1"/>
  <c r="BY67" i="246"/>
  <c r="BX27" i="12" s="1"/>
  <c r="BY63" i="246"/>
  <c r="BY73" i="246" s="1"/>
  <c r="BX31" i="12" s="1"/>
  <c r="G63" i="246"/>
  <c r="G73" i="246" s="1"/>
  <c r="F31" i="12" s="1"/>
  <c r="AI63" i="246"/>
  <c r="AI73" i="246" s="1"/>
  <c r="AH31" i="12" s="1"/>
  <c r="BD63" i="246"/>
  <c r="BD73" i="246" s="1"/>
  <c r="BC31" i="12" s="1"/>
  <c r="CF63" i="246"/>
  <c r="CF73" i="246" s="1"/>
  <c r="CE31" i="12" s="1"/>
  <c r="BJ68" i="246"/>
  <c r="BI28" i="12" s="1"/>
  <c r="AA69" i="246"/>
  <c r="Z29" i="12" s="1"/>
  <c r="CK65" i="247"/>
  <c r="CK66" i="247" s="1"/>
  <c r="CK77" i="247"/>
  <c r="BC63" i="246"/>
  <c r="BC73" i="246" s="1"/>
  <c r="BB31" i="12" s="1"/>
  <c r="H83" i="246"/>
  <c r="BT26" i="246"/>
  <c r="H63" i="246"/>
  <c r="H73" i="246" s="1"/>
  <c r="G31" i="12" s="1"/>
  <c r="AJ63" i="246"/>
  <c r="AJ73" i="246" s="1"/>
  <c r="AI31" i="12" s="1"/>
  <c r="CG63" i="246"/>
  <c r="CG73" i="246" s="1"/>
  <c r="CF31" i="12" s="1"/>
  <c r="CL68" i="246"/>
  <c r="CK28" i="12" s="1"/>
  <c r="BZ88" i="246"/>
  <c r="BZ89" i="246" s="1"/>
  <c r="S11" i="247"/>
  <c r="S12" i="247" s="1"/>
  <c r="S77" i="247"/>
  <c r="S83" i="247" s="1"/>
  <c r="S84" i="247" s="1"/>
  <c r="AG11" i="247"/>
  <c r="AG12" i="247" s="1"/>
  <c r="AG77" i="247"/>
  <c r="AG83" i="247" s="1"/>
  <c r="AG84" i="247" s="1"/>
  <c r="CB77" i="247"/>
  <c r="CB83" i="247" s="1"/>
  <c r="CB84" i="247" s="1"/>
  <c r="CB11" i="247"/>
  <c r="CB12" i="247" s="1"/>
  <c r="E81" i="247"/>
  <c r="E83" i="247" s="1"/>
  <c r="E84" i="247" s="1"/>
  <c r="E11" i="247"/>
  <c r="E12" i="247" s="1"/>
  <c r="CD81" i="247"/>
  <c r="M82" i="247"/>
  <c r="M83" i="247" s="1"/>
  <c r="M84" i="247" s="1"/>
  <c r="M11" i="247"/>
  <c r="M12" i="247" s="1"/>
  <c r="CI29" i="247"/>
  <c r="CI30" i="247" s="1"/>
  <c r="G83" i="247"/>
  <c r="G84" i="247" s="1"/>
  <c r="AY97" i="247"/>
  <c r="AY12" i="247"/>
  <c r="BN97" i="247"/>
  <c r="BM12" i="247"/>
  <c r="AU41" i="246"/>
  <c r="AU208" i="246" s="1"/>
  <c r="CA26" i="246"/>
  <c r="AH68" i="246"/>
  <c r="AG28" i="12" s="1"/>
  <c r="AH63" i="246"/>
  <c r="AH73" i="246" s="1"/>
  <c r="AG31" i="12" s="1"/>
  <c r="AV68" i="246"/>
  <c r="AU28" i="12" s="1"/>
  <c r="AV63" i="246"/>
  <c r="AV73" i="246" s="1"/>
  <c r="AU31" i="12" s="1"/>
  <c r="AE69" i="246"/>
  <c r="AD29" i="12" s="1"/>
  <c r="AE63" i="246"/>
  <c r="AE73" i="246" s="1"/>
  <c r="AD31" i="12" s="1"/>
  <c r="I63" i="246"/>
  <c r="I73" i="246" s="1"/>
  <c r="H31" i="12" s="1"/>
  <c r="AK63" i="246"/>
  <c r="AK73" i="246" s="1"/>
  <c r="AJ31" i="12" s="1"/>
  <c r="CH63" i="246"/>
  <c r="CH73" i="246" s="1"/>
  <c r="CG31" i="12" s="1"/>
  <c r="CC88" i="246"/>
  <c r="CC89" i="246" s="1"/>
  <c r="T11" i="247"/>
  <c r="T12" i="247" s="1"/>
  <c r="T77" i="247"/>
  <c r="T83" i="247" s="1"/>
  <c r="T84" i="247" s="1"/>
  <c r="AH11" i="247"/>
  <c r="AH12" i="247" s="1"/>
  <c r="AH77" i="247"/>
  <c r="AH83" i="247" s="1"/>
  <c r="AH84" i="247" s="1"/>
  <c r="CC77" i="247"/>
  <c r="CC83" i="247" s="1"/>
  <c r="CC84" i="247" s="1"/>
  <c r="CC11" i="247"/>
  <c r="CC12" i="247" s="1"/>
  <c r="AA78" i="247"/>
  <c r="AA11" i="247"/>
  <c r="AA12" i="247" s="1"/>
  <c r="F81" i="247"/>
  <c r="F83" i="247" s="1"/>
  <c r="F84" i="247" s="1"/>
  <c r="F11" i="247"/>
  <c r="F12" i="247" s="1"/>
  <c r="O26" i="246"/>
  <c r="O83" i="246"/>
  <c r="BM26" i="246"/>
  <c r="BQ26" i="246"/>
  <c r="AG67" i="246"/>
  <c r="AF27" i="12" s="1"/>
  <c r="AG63" i="246"/>
  <c r="AG73" i="246" s="1"/>
  <c r="AF31" i="12" s="1"/>
  <c r="AU67" i="246"/>
  <c r="AT27" i="12" s="1"/>
  <c r="AU63" i="246"/>
  <c r="AU73" i="246" s="1"/>
  <c r="AT31" i="12" s="1"/>
  <c r="BI67" i="246"/>
  <c r="BH27" i="12" s="1"/>
  <c r="BI63" i="246"/>
  <c r="BI73" i="246" s="1"/>
  <c r="BH31" i="12" s="1"/>
  <c r="BW67" i="246"/>
  <c r="BV27" i="12" s="1"/>
  <c r="BW63" i="246"/>
  <c r="BW73" i="246" s="1"/>
  <c r="BV31" i="12" s="1"/>
  <c r="CK67" i="246"/>
  <c r="CJ27" i="12" s="1"/>
  <c r="CY27" i="12" s="1"/>
  <c r="CK63" i="246"/>
  <c r="CK73" i="246" s="1"/>
  <c r="CJ31" i="12" s="1"/>
  <c r="CY31" i="12" s="1"/>
  <c r="BR26" i="246"/>
  <c r="CE63" i="246"/>
  <c r="CE73" i="246" s="1"/>
  <c r="CD31" i="12" s="1"/>
  <c r="CE85" i="246"/>
  <c r="CE88" i="246"/>
  <c r="CE89" i="246" s="1"/>
  <c r="J63" i="246"/>
  <c r="J73" i="246" s="1"/>
  <c r="I31" i="12" s="1"/>
  <c r="AL63" i="246"/>
  <c r="AL73" i="246" s="1"/>
  <c r="AK31" i="12" s="1"/>
  <c r="BZ83" i="246"/>
  <c r="U77" i="247"/>
  <c r="U11" i="247"/>
  <c r="U12" i="247" s="1"/>
  <c r="AI77" i="247"/>
  <c r="AI83" i="247" s="1"/>
  <c r="AI84" i="247" s="1"/>
  <c r="AI11" i="247"/>
  <c r="AI12" i="247" s="1"/>
  <c r="K83" i="246"/>
  <c r="BC26" i="246"/>
  <c r="CC26" i="246"/>
  <c r="K63" i="246"/>
  <c r="K73" i="246" s="1"/>
  <c r="J31" i="12" s="1"/>
  <c r="AM63" i="246"/>
  <c r="AM73" i="246" s="1"/>
  <c r="AL31" i="12" s="1"/>
  <c r="BO63" i="246"/>
  <c r="BO73" i="246" s="1"/>
  <c r="BN31" i="12" s="1"/>
  <c r="CF88" i="246"/>
  <c r="CF89" i="246" s="1"/>
  <c r="V77" i="247"/>
  <c r="V83" i="247" s="1"/>
  <c r="V84" i="247" s="1"/>
  <c r="V11" i="247"/>
  <c r="V12" i="247" s="1"/>
  <c r="AJ11" i="247"/>
  <c r="AJ12" i="247" s="1"/>
  <c r="AJ77" i="247"/>
  <c r="AJ83" i="247" s="1"/>
  <c r="AJ84" i="247" s="1"/>
  <c r="CE77" i="247"/>
  <c r="CE83" i="247" s="1"/>
  <c r="CE84" i="247" s="1"/>
  <c r="CE11" i="247"/>
  <c r="CE12" i="247" s="1"/>
  <c r="CK78" i="247"/>
  <c r="CK11" i="247"/>
  <c r="CK12" i="247" s="1"/>
  <c r="R82" i="247"/>
  <c r="R11" i="247"/>
  <c r="R12" i="247" s="1"/>
  <c r="BK83" i="246"/>
  <c r="CK83" i="246"/>
  <c r="AC83" i="247"/>
  <c r="AC84" i="247" s="1"/>
  <c r="W29" i="247"/>
  <c r="W30" i="247" s="1"/>
  <c r="W81" i="247"/>
  <c r="W83" i="247" s="1"/>
  <c r="W84" i="247" s="1"/>
  <c r="AB29" i="247"/>
  <c r="AB30" i="247" s="1"/>
  <c r="BM83" i="247"/>
  <c r="BM84" i="247" s="1"/>
  <c r="CI77" i="247"/>
  <c r="CI83" i="247" s="1"/>
  <c r="CI84" i="247" s="1"/>
  <c r="O83" i="247"/>
  <c r="O84" i="247" s="1"/>
  <c r="AD83" i="247"/>
  <c r="AD84" i="247" s="1"/>
  <c r="J80" i="247"/>
  <c r="J83" i="247" s="1"/>
  <c r="J84" i="247" s="1"/>
  <c r="H84" i="247"/>
  <c r="N83" i="246"/>
  <c r="BK26" i="246"/>
  <c r="M83" i="246"/>
  <c r="CL83" i="246"/>
  <c r="CI85" i="246"/>
  <c r="CL88" i="246"/>
  <c r="CL89" i="246" s="1"/>
  <c r="CL11" i="247"/>
  <c r="CL12" i="247" s="1"/>
  <c r="CF38" i="247"/>
  <c r="CF39" i="247" s="1"/>
  <c r="CJ77" i="247"/>
  <c r="CJ67" i="246"/>
  <c r="CI27" i="12" s="1"/>
  <c r="P77" i="247"/>
  <c r="P83" i="247" s="1"/>
  <c r="P84" i="247" s="1"/>
  <c r="P11" i="247"/>
  <c r="P12" i="247" s="1"/>
  <c r="AE11" i="247"/>
  <c r="AE12" i="247" s="1"/>
  <c r="BZ77" i="247"/>
  <c r="BZ11" i="247"/>
  <c r="BZ12" i="247" s="1"/>
  <c r="CB79" i="247"/>
  <c r="CB81" i="247"/>
  <c r="BZ82" i="247"/>
  <c r="W11" i="247"/>
  <c r="W12" i="247" s="1"/>
  <c r="AP11" i="247"/>
  <c r="AP12" i="247" s="1"/>
  <c r="BX29" i="247"/>
  <c r="BX30" i="247" s="1"/>
  <c r="CL29" i="247"/>
  <c r="CL30" i="247" s="1"/>
  <c r="Y29" i="247"/>
  <c r="Y30" i="247" s="1"/>
  <c r="Y81" i="247"/>
  <c r="CG38" i="247"/>
  <c r="CG39" i="247" s="1"/>
  <c r="CE78" i="247"/>
  <c r="AE77" i="247"/>
  <c r="AE83" i="247" s="1"/>
  <c r="AE84" i="247" s="1"/>
  <c r="Q11" i="247"/>
  <c r="Q12" i="247" s="1"/>
  <c r="Q77" i="247"/>
  <c r="Q83" i="247" s="1"/>
  <c r="Q84" i="247" s="1"/>
  <c r="AF77" i="247"/>
  <c r="AF83" i="247" s="1"/>
  <c r="AF84" i="247" s="1"/>
  <c r="AF11" i="247"/>
  <c r="AF12" i="247" s="1"/>
  <c r="CG78" i="247"/>
  <c r="CC81" i="247"/>
  <c r="CL83" i="247"/>
  <c r="CL84" i="247" s="1"/>
  <c r="CI38" i="247"/>
  <c r="CI39" i="247" s="1"/>
  <c r="BQ83" i="247"/>
  <c r="BQ84" i="247" s="1"/>
  <c r="CD56" i="247"/>
  <c r="CD57" i="247" s="1"/>
  <c r="CB56" i="247"/>
  <c r="CB57" i="247" s="1"/>
  <c r="CA56" i="247"/>
  <c r="CA57" i="247" s="1"/>
  <c r="BB83" i="247"/>
  <c r="BB84" i="247" s="1"/>
  <c r="AK77" i="247"/>
  <c r="AK83" i="247" s="1"/>
  <c r="AK84" i="247" s="1"/>
  <c r="BC83" i="247"/>
  <c r="BC84" i="247" s="1"/>
  <c r="CF77" i="247"/>
  <c r="CF83" i="247" s="1"/>
  <c r="CF84" i="247" s="1"/>
  <c r="BX78" i="247"/>
  <c r="BX83" i="247" s="1"/>
  <c r="BX84" i="247" s="1"/>
  <c r="BX11" i="247"/>
  <c r="BX12" i="247" s="1"/>
  <c r="CL38" i="247"/>
  <c r="CL39" i="247" s="1"/>
  <c r="BX65" i="247"/>
  <c r="BX66" i="247" s="1"/>
  <c r="Y83" i="247"/>
  <c r="Y84" i="247" s="1"/>
  <c r="CH77" i="247"/>
  <c r="K83" i="247"/>
  <c r="K84" i="247" s="1"/>
  <c r="AX84" i="247"/>
  <c r="J83" i="246"/>
  <c r="BH83" i="246"/>
  <c r="BH26" i="246"/>
  <c r="BV83" i="246"/>
  <c r="BV26" i="246"/>
  <c r="CJ83" i="246"/>
  <c r="CJ26" i="246"/>
  <c r="Z83" i="247"/>
  <c r="Z84" i="247" s="1"/>
  <c r="CA78" i="247"/>
  <c r="CA83" i="247" s="1"/>
  <c r="CA84" i="247" s="1"/>
  <c r="CK79" i="247"/>
  <c r="BN12" i="247"/>
  <c r="CF11" i="247"/>
  <c r="CF12" i="247" s="1"/>
  <c r="CD47" i="247"/>
  <c r="CD48" i="247" s="1"/>
  <c r="CB47" i="247"/>
  <c r="CB48" i="247" s="1"/>
  <c r="BY77" i="247"/>
  <c r="CM65" i="247"/>
  <c r="CM66" i="247" s="1"/>
  <c r="BI83" i="247"/>
  <c r="BI84" i="247" s="1"/>
  <c r="U80" i="247"/>
  <c r="N26" i="246"/>
  <c r="AA77" i="247"/>
  <c r="AA83" i="247" s="1"/>
  <c r="AA84" i="247" s="1"/>
  <c r="CH11" i="247"/>
  <c r="CH12" i="247" s="1"/>
  <c r="U30" i="247"/>
  <c r="BF83" i="247"/>
  <c r="BF84" i="247" s="1"/>
  <c r="BT83" i="247"/>
  <c r="BT84" i="247" s="1"/>
  <c r="AU83" i="247"/>
  <c r="AU84" i="247" s="1"/>
  <c r="CC78" i="247"/>
  <c r="CM79" i="247"/>
  <c r="BY81" i="247"/>
  <c r="AC47" i="247"/>
  <c r="AC48" i="247" s="1"/>
  <c r="R77" i="247"/>
  <c r="AN83" i="247"/>
  <c r="AN84" i="247" s="1"/>
  <c r="AZ83" i="247"/>
  <c r="AZ84" i="247" s="1"/>
  <c r="BN83" i="247"/>
  <c r="BN84" i="247" s="1"/>
  <c r="BJ84" i="247"/>
  <c r="BJ56" i="247"/>
  <c r="BJ57" i="247" s="1"/>
  <c r="CC65" i="247"/>
  <c r="CC66" i="247" s="1"/>
  <c r="D83" i="247"/>
  <c r="BE83" i="247"/>
  <c r="BE84" i="247" s="1"/>
  <c r="BU83" i="247"/>
  <c r="BU84" i="247" s="1"/>
  <c r="CJ11" i="247"/>
  <c r="CJ12" i="247" s="1"/>
  <c r="CB78" i="247"/>
  <c r="BX79" i="247"/>
  <c r="CL79" i="247"/>
  <c r="CH80" i="247"/>
  <c r="BX81" i="247"/>
  <c r="CL81" i="247"/>
  <c r="CJ82" i="247"/>
  <c r="BZ38" i="247"/>
  <c r="BZ39" i="247" s="1"/>
  <c r="CK47" i="247"/>
  <c r="CK48" i="247" s="1"/>
  <c r="AQ83" i="247"/>
  <c r="AQ84" i="247" s="1"/>
  <c r="CA88" i="246"/>
  <c r="CA89" i="246" s="1"/>
  <c r="CA85" i="246"/>
  <c r="AB77" i="247"/>
  <c r="AB83" i="247" s="1"/>
  <c r="AB84" i="247" s="1"/>
  <c r="BY79" i="247"/>
  <c r="CI80" i="247"/>
  <c r="CK82" i="247"/>
  <c r="BY56" i="247"/>
  <c r="BY57" i="247" s="1"/>
  <c r="CM56" i="247"/>
  <c r="CM57" i="247" s="1"/>
  <c r="BX82" i="247"/>
  <c r="CE65" i="247"/>
  <c r="CE66" i="247" s="1"/>
  <c r="AS77" i="247"/>
  <c r="AS83" i="247" s="1"/>
  <c r="AS84" i="247" s="1"/>
  <c r="BG83" i="247"/>
  <c r="BG84" i="247" s="1"/>
  <c r="CA29" i="247"/>
  <c r="CA30" i="247" s="1"/>
  <c r="CB38" i="247"/>
  <c r="CB39" i="247" s="1"/>
  <c r="BY47" i="247"/>
  <c r="BY48" i="247" s="1"/>
  <c r="CM47" i="247"/>
  <c r="CM48" i="247" s="1"/>
  <c r="BY11" i="247"/>
  <c r="BY12" i="247" s="1"/>
  <c r="CB29" i="247"/>
  <c r="CB30" i="247" s="1"/>
  <c r="BK83" i="247"/>
  <c r="BK84" i="247" s="1"/>
  <c r="CC29" i="247"/>
  <c r="CC30" i="247" s="1"/>
  <c r="I83" i="247"/>
  <c r="I84" i="247" s="1"/>
  <c r="CM77" i="247"/>
  <c r="BY82" i="247"/>
  <c r="CM82" i="247"/>
  <c r="CG29" i="247"/>
  <c r="CG30" i="247" s="1"/>
  <c r="CF56" i="247"/>
  <c r="CF57" i="247" s="1"/>
  <c r="AY83" i="247"/>
  <c r="AY84" i="247" s="1"/>
  <c r="BD83" i="247"/>
  <c r="BD84" i="247" s="1"/>
  <c r="BR83" i="247"/>
  <c r="BR84" i="247" s="1"/>
  <c r="CD78" i="247"/>
  <c r="CD83" i="247" s="1"/>
  <c r="CD84" i="247" s="1"/>
  <c r="BZ79" i="247"/>
  <c r="CJ80" i="247"/>
  <c r="BZ81" i="247"/>
  <c r="AT83" i="247"/>
  <c r="AT84" i="247" s="1"/>
  <c r="BV83" i="247"/>
  <c r="BV84" i="247" s="1"/>
  <c r="AV83" i="247"/>
  <c r="AV84" i="247" s="1"/>
  <c r="AB137" i="247"/>
  <c r="Q97" i="247"/>
  <c r="CK5" i="12"/>
  <c r="CK6" i="12"/>
  <c r="CK7" i="12"/>
  <c r="CK36" i="12"/>
  <c r="M66" i="244" l="1"/>
  <c r="K66" i="244"/>
  <c r="CR66" i="244"/>
  <c r="CD66" i="244"/>
  <c r="CA66" i="244"/>
  <c r="F66" i="244"/>
  <c r="CK38" i="12"/>
  <c r="U83" i="247"/>
  <c r="U84" i="247" s="1"/>
  <c r="CK83" i="247"/>
  <c r="CK84" i="247" s="1"/>
  <c r="R83" i="247"/>
  <c r="R84" i="247" s="1"/>
  <c r="BY83" i="247"/>
  <c r="BY84" i="247" s="1"/>
  <c r="CM83" i="247"/>
  <c r="CM84" i="247" s="1"/>
  <c r="BZ83" i="247"/>
  <c r="BZ84" i="247" s="1"/>
  <c r="CH83" i="247"/>
  <c r="CH84" i="247" s="1"/>
  <c r="CV46" i="185"/>
  <c r="CV40" i="185"/>
  <c r="CV33" i="185"/>
  <c r="CV23" i="185"/>
  <c r="CV24" i="185"/>
  <c r="CV25" i="185"/>
  <c r="CV18" i="185"/>
  <c r="CV10" i="185"/>
  <c r="CK39" i="12" l="1"/>
  <c r="EZ39" i="5" s="1"/>
  <c r="BB39" i="5"/>
  <c r="CV26" i="185"/>
  <c r="EZ126" i="5"/>
  <c r="EZ105" i="5"/>
  <c r="EZ107" i="5"/>
  <c r="EZ108" i="5"/>
  <c r="EZ123" i="5"/>
  <c r="EZ124" i="5"/>
  <c r="EZ87" i="5"/>
  <c r="AX87" i="5" s="1"/>
  <c r="EZ85" i="5"/>
  <c r="EZ79" i="5"/>
  <c r="EZ33" i="5"/>
  <c r="EZ34" i="5"/>
  <c r="EZ35" i="5"/>
  <c r="EZ25" i="5"/>
  <c r="AX79" i="5" l="1"/>
  <c r="EZ86" i="5"/>
  <c r="AX85" i="5"/>
  <c r="EZ41" i="5"/>
  <c r="EZ40" i="5"/>
  <c r="EZ38" i="5"/>
  <c r="CK13" i="12"/>
  <c r="CK8" i="12"/>
  <c r="EZ44" i="5"/>
  <c r="EZ60" i="5" s="1"/>
  <c r="EZ42" i="5"/>
  <c r="AX86" i="5" l="1"/>
  <c r="EZ89" i="5"/>
  <c r="EZ62" i="5"/>
  <c r="CK10" i="12"/>
  <c r="CK14" i="12" s="1"/>
  <c r="CK16" i="12" s="1"/>
  <c r="AX89" i="5" l="1"/>
  <c r="EZ68" i="5"/>
  <c r="EZ70" i="5" s="1"/>
  <c r="EZ101" i="5"/>
  <c r="EW124" i="5"/>
  <c r="EW117" i="5" l="1"/>
  <c r="EW108" i="5"/>
  <c r="EW81" i="5"/>
  <c r="EX123" i="5" l="1"/>
  <c r="EW136" i="5" l="1"/>
  <c r="EW107" i="5" l="1"/>
  <c r="EW105" i="5" l="1"/>
  <c r="EX79" i="5" l="1"/>
  <c r="EX83" i="5" l="1"/>
  <c r="EW79" i="5" l="1"/>
  <c r="EY117" i="5" l="1"/>
  <c r="EY83" i="5"/>
  <c r="EZ125" i="5" s="1"/>
  <c r="EZ129" i="5" s="1"/>
  <c r="EY81" i="5"/>
  <c r="EZ103" i="5" l="1"/>
  <c r="EY125" i="5"/>
  <c r="CL9" i="25"/>
  <c r="CJ5" i="12"/>
  <c r="CY5" i="12" s="1"/>
  <c r="CJ6" i="12"/>
  <c r="CY6" i="12" s="1"/>
  <c r="CJ7" i="12"/>
  <c r="CY7" i="12" s="1"/>
  <c r="CJ36" i="12"/>
  <c r="CJ38" i="12" s="1"/>
  <c r="CU46" i="185"/>
  <c r="CJ39" i="12" l="1"/>
  <c r="EY39" i="5" s="1"/>
  <c r="BA39" i="5"/>
  <c r="CK18" i="12"/>
  <c r="EZ112" i="5"/>
  <c r="CU40" i="185"/>
  <c r="CU33" i="185"/>
  <c r="CU23" i="185"/>
  <c r="CU24" i="185"/>
  <c r="CU25" i="185"/>
  <c r="CU18" i="185"/>
  <c r="CU10" i="185"/>
  <c r="CU26" i="185" l="1"/>
  <c r="CG6" i="188"/>
  <c r="CG7" i="188"/>
  <c r="CG8" i="188"/>
  <c r="CG9" i="188"/>
  <c r="CG10" i="188"/>
  <c r="CG11" i="188"/>
  <c r="CG12" i="188"/>
  <c r="CG13" i="188"/>
  <c r="CG14" i="188"/>
  <c r="CG15" i="188"/>
  <c r="CG16" i="188"/>
  <c r="CG18" i="188"/>
  <c r="CG19" i="188"/>
  <c r="CG20" i="188"/>
  <c r="CG26" i="188"/>
  <c r="CG27" i="188"/>
  <c r="CG28" i="188"/>
  <c r="CG50" i="188"/>
  <c r="CG52" i="188"/>
  <c r="CG53" i="188"/>
  <c r="CG54" i="188"/>
  <c r="CG55" i="188"/>
  <c r="CG56" i="188"/>
  <c r="EY105" i="5"/>
  <c r="EY107" i="5"/>
  <c r="EY108" i="5"/>
  <c r="EY123" i="5"/>
  <c r="AX123" i="5" s="1"/>
  <c r="EY124" i="5"/>
  <c r="CG34" i="188" l="1"/>
  <c r="CG40" i="188" s="1"/>
  <c r="CG32" i="188"/>
  <c r="CG38" i="188" s="1"/>
  <c r="CG23" i="188"/>
  <c r="CG33" i="188"/>
  <c r="CG39" i="188" l="1"/>
  <c r="CG43" i="188"/>
  <c r="CG51" i="188" s="1"/>
  <c r="CG57" i="188" s="1"/>
  <c r="CG41" i="188"/>
  <c r="EY87" i="5" l="1"/>
  <c r="EY85" i="5"/>
  <c r="EY86" i="5" s="1"/>
  <c r="EY79" i="5"/>
  <c r="EY89" i="5" l="1"/>
  <c r="EY59" i="5" l="1"/>
  <c r="EY33" i="5"/>
  <c r="EY34" i="5"/>
  <c r="EY35" i="5"/>
  <c r="EY25" i="5"/>
  <c r="CJ8" i="12" l="1"/>
  <c r="CY8" i="12" s="1"/>
  <c r="EY41" i="5"/>
  <c r="EY40" i="5"/>
  <c r="EY38" i="5"/>
  <c r="EY42" i="5"/>
  <c r="CJ13" i="12"/>
  <c r="CY13" i="12" s="1"/>
  <c r="EY44" i="5"/>
  <c r="EY60" i="5" s="1"/>
  <c r="EY129" i="5"/>
  <c r="EX81" i="5"/>
  <c r="EX117" i="5"/>
  <c r="EY62" i="5" l="1"/>
  <c r="EY103" i="5"/>
  <c r="CJ10" i="12"/>
  <c r="CJ14" i="12" l="1"/>
  <c r="CY10" i="12"/>
  <c r="EY68" i="5"/>
  <c r="EY70" i="5" s="1"/>
  <c r="EY101" i="5"/>
  <c r="EE50" i="188"/>
  <c r="EF50" i="188"/>
  <c r="EG50" i="188"/>
  <c r="EH50" i="188"/>
  <c r="EI50" i="188"/>
  <c r="EJ50" i="188"/>
  <c r="EK50" i="188"/>
  <c r="EL50" i="188"/>
  <c r="EM50" i="188"/>
  <c r="EN50" i="188"/>
  <c r="EO50" i="188"/>
  <c r="EF6" i="188"/>
  <c r="EG6" i="188"/>
  <c r="EH6" i="188"/>
  <c r="EI6" i="188"/>
  <c r="EJ6" i="188"/>
  <c r="EK6" i="188"/>
  <c r="EL6" i="188"/>
  <c r="EM6" i="188"/>
  <c r="EN6" i="188"/>
  <c r="EO6" i="188"/>
  <c r="EF12" i="188"/>
  <c r="EG12" i="188"/>
  <c r="EH12" i="188"/>
  <c r="EI12" i="188"/>
  <c r="EJ12" i="188"/>
  <c r="EK12" i="188"/>
  <c r="EL12" i="188"/>
  <c r="EM12" i="188"/>
  <c r="EN12" i="188"/>
  <c r="EO12" i="188"/>
  <c r="EF13" i="188"/>
  <c r="EF34" i="188" s="1"/>
  <c r="EF40" i="188" s="1"/>
  <c r="EG13" i="188"/>
  <c r="EG34" i="188" s="1"/>
  <c r="EG40" i="188" s="1"/>
  <c r="EH13" i="188"/>
  <c r="EH34" i="188" s="1"/>
  <c r="EH40" i="188" s="1"/>
  <c r="EI13" i="188"/>
  <c r="EI34" i="188" s="1"/>
  <c r="EI40" i="188" s="1"/>
  <c r="EJ13" i="188"/>
  <c r="EJ34" i="188" s="1"/>
  <c r="EJ40" i="188" s="1"/>
  <c r="EK13" i="188"/>
  <c r="EK34" i="188" s="1"/>
  <c r="EK40" i="188" s="1"/>
  <c r="EL13" i="188"/>
  <c r="EL34" i="188" s="1"/>
  <c r="EL40" i="188" s="1"/>
  <c r="EM13" i="188"/>
  <c r="EM34" i="188" s="1"/>
  <c r="EM40" i="188" s="1"/>
  <c r="EN13" i="188"/>
  <c r="EN34" i="188" s="1"/>
  <c r="EN40" i="188" s="1"/>
  <c r="EO13" i="188"/>
  <c r="EO34" i="188" s="1"/>
  <c r="EO40" i="188" s="1"/>
  <c r="EF26" i="188"/>
  <c r="EG26" i="188"/>
  <c r="EH26" i="188"/>
  <c r="EI26" i="188"/>
  <c r="EJ26" i="188"/>
  <c r="EK26" i="188"/>
  <c r="EL26" i="188"/>
  <c r="EM26" i="188"/>
  <c r="EN26" i="188"/>
  <c r="EO26" i="188"/>
  <c r="EF27" i="188"/>
  <c r="EG27" i="188"/>
  <c r="EH27" i="188"/>
  <c r="EI27" i="188"/>
  <c r="EJ27" i="188"/>
  <c r="EK27" i="188"/>
  <c r="EL27" i="188"/>
  <c r="EM27" i="188"/>
  <c r="EN27" i="188"/>
  <c r="EN33" i="188" s="1"/>
  <c r="EN39" i="188" s="1"/>
  <c r="EO27" i="188"/>
  <c r="EE27" i="188"/>
  <c r="EE26" i="188"/>
  <c r="EE13" i="188"/>
  <c r="EE34" i="188" s="1"/>
  <c r="EE40" i="188" s="1"/>
  <c r="EE12" i="188"/>
  <c r="EE6" i="188"/>
  <c r="CJ16" i="12" l="1"/>
  <c r="CY16" i="12" s="1"/>
  <c r="CY14" i="12"/>
  <c r="EO33" i="188"/>
  <c r="EO39" i="188" s="1"/>
  <c r="EJ32" i="188"/>
  <c r="EJ38" i="188" s="1"/>
  <c r="EN32" i="188"/>
  <c r="EN38" i="188" s="1"/>
  <c r="EE33" i="188"/>
  <c r="EE39" i="188" s="1"/>
  <c r="EF32" i="188"/>
  <c r="EF38" i="188" s="1"/>
  <c r="EO32" i="188"/>
  <c r="EO38" i="188" s="1"/>
  <c r="EH33" i="188"/>
  <c r="EH39" i="188" s="1"/>
  <c r="EM33" i="188"/>
  <c r="EM39" i="188" s="1"/>
  <c r="EI33" i="188"/>
  <c r="EI39" i="188" s="1"/>
  <c r="EG33" i="188"/>
  <c r="EG39" i="188" s="1"/>
  <c r="EF33" i="188"/>
  <c r="EF39" i="188" s="1"/>
  <c r="EM32" i="188"/>
  <c r="EM38" i="188" s="1"/>
  <c r="EL32" i="188"/>
  <c r="EL38" i="188" s="1"/>
  <c r="EK32" i="188"/>
  <c r="EK38" i="188" s="1"/>
  <c r="EL33" i="188"/>
  <c r="EL39" i="188" s="1"/>
  <c r="EI32" i="188"/>
  <c r="EI38" i="188" s="1"/>
  <c r="EK33" i="188"/>
  <c r="EK39" i="188" s="1"/>
  <c r="EH32" i="188"/>
  <c r="EH38" i="188" s="1"/>
  <c r="EE32" i="188"/>
  <c r="EJ33" i="188"/>
  <c r="EJ43" i="188" s="1"/>
  <c r="EJ51" i="188" s="1"/>
  <c r="EG32" i="188"/>
  <c r="EG38" i="188" s="1"/>
  <c r="EN43" i="188"/>
  <c r="EN51" i="188" s="1"/>
  <c r="EY112" i="5"/>
  <c r="CJ18" i="12"/>
  <c r="CY18" i="12" s="1"/>
  <c r="EF43" i="188" l="1"/>
  <c r="EF51" i="188" s="1"/>
  <c r="EL43" i="188"/>
  <c r="EL51" i="188" s="1"/>
  <c r="EO43" i="188"/>
  <c r="EO51" i="188" s="1"/>
  <c r="EE43" i="188"/>
  <c r="EE51" i="188" s="1"/>
  <c r="EM43" i="188"/>
  <c r="EM51" i="188" s="1"/>
  <c r="EE38" i="188"/>
  <c r="EJ39" i="188"/>
  <c r="EG43" i="188"/>
  <c r="EG51" i="188" s="1"/>
  <c r="EI43" i="188"/>
  <c r="EI51" i="188" s="1"/>
  <c r="EK43" i="188"/>
  <c r="EK51" i="188" s="1"/>
  <c r="EH43" i="188"/>
  <c r="EH51" i="188" s="1"/>
  <c r="CF52" i="188"/>
  <c r="AE52" i="188" s="1"/>
  <c r="CF53" i="188"/>
  <c r="AE53" i="188" s="1"/>
  <c r="CF54" i="188"/>
  <c r="AE54" i="188" s="1"/>
  <c r="CF55" i="188"/>
  <c r="AE55" i="188" s="1"/>
  <c r="CF56" i="188"/>
  <c r="AE56" i="188" s="1"/>
  <c r="CF50" i="188" l="1"/>
  <c r="CF26" i="188"/>
  <c r="AE26" i="188" s="1"/>
  <c r="CF27" i="188"/>
  <c r="AE27" i="188" s="1"/>
  <c r="CF28" i="188"/>
  <c r="AE28" i="188" s="1"/>
  <c r="CF6" i="188"/>
  <c r="AE6" i="188" s="1"/>
  <c r="CF7" i="188"/>
  <c r="CF8" i="188"/>
  <c r="CF9" i="188"/>
  <c r="CF10" i="188"/>
  <c r="CF11" i="188"/>
  <c r="CF12" i="188"/>
  <c r="AE12" i="188" s="1"/>
  <c r="CF13" i="188"/>
  <c r="AE13" i="188" s="1"/>
  <c r="CF14" i="188"/>
  <c r="CF15" i="188"/>
  <c r="CF16" i="188"/>
  <c r="CF18" i="188"/>
  <c r="CF19" i="188"/>
  <c r="CF20" i="188"/>
  <c r="CK9" i="25"/>
  <c r="CF23" i="188" l="1"/>
  <c r="CF33" i="188"/>
  <c r="CF39" i="188" s="1"/>
  <c r="CF32" i="188"/>
  <c r="CF38" i="188" s="1"/>
  <c r="CF34" i="188"/>
  <c r="CF40" i="188" s="1"/>
  <c r="I14" i="188"/>
  <c r="I15" i="188"/>
  <c r="I16" i="188"/>
  <c r="I18" i="188"/>
  <c r="I19" i="188"/>
  <c r="I20" i="188"/>
  <c r="AC48" i="188"/>
  <c r="AA48" i="188"/>
  <c r="Z48" i="188"/>
  <c r="AC47" i="188"/>
  <c r="AB47" i="188"/>
  <c r="AA47" i="188"/>
  <c r="Z47" i="188"/>
  <c r="AC46" i="188"/>
  <c r="AB46" i="188"/>
  <c r="AA46" i="188"/>
  <c r="Z46" i="188"/>
  <c r="I46" i="188" s="1"/>
  <c r="AC45" i="188"/>
  <c r="AB45" i="188"/>
  <c r="AA45" i="188"/>
  <c r="Z45" i="188"/>
  <c r="AC44" i="188"/>
  <c r="AB44" i="188"/>
  <c r="AA44" i="188"/>
  <c r="Z44" i="188"/>
  <c r="AC29" i="188"/>
  <c r="AA29" i="188"/>
  <c r="AB35" i="188"/>
  <c r="AE23" i="188"/>
  <c r="AF23" i="188"/>
  <c r="AG23" i="188"/>
  <c r="AH23" i="188"/>
  <c r="Z7" i="188"/>
  <c r="AA7" i="188"/>
  <c r="AB7" i="188"/>
  <c r="AC7" i="188"/>
  <c r="Z8" i="188"/>
  <c r="AA8" i="188"/>
  <c r="AB8" i="188"/>
  <c r="AC8" i="188"/>
  <c r="Z9" i="188"/>
  <c r="AA9" i="188"/>
  <c r="AB9" i="188"/>
  <c r="AC9" i="188"/>
  <c r="Z10" i="188"/>
  <c r="AA10" i="188"/>
  <c r="AB10" i="188"/>
  <c r="AC10" i="188"/>
  <c r="Z11" i="188"/>
  <c r="AA11" i="188"/>
  <c r="AB11" i="188"/>
  <c r="AC11" i="188"/>
  <c r="AC50" i="188" l="1"/>
  <c r="I47" i="188"/>
  <c r="Z50" i="188"/>
  <c r="I45" i="188"/>
  <c r="AA50" i="188"/>
  <c r="I11" i="188"/>
  <c r="I7" i="188"/>
  <c r="CF43" i="188"/>
  <c r="CF51" i="188" s="1"/>
  <c r="CF57" i="188" s="1"/>
  <c r="CF41" i="188"/>
  <c r="I8" i="188"/>
  <c r="I10" i="188"/>
  <c r="I9" i="188"/>
  <c r="O37" i="5"/>
  <c r="O36" i="5"/>
  <c r="O128" i="5"/>
  <c r="O111" i="5"/>
  <c r="O110" i="5"/>
  <c r="O109" i="5"/>
  <c r="O69" i="5"/>
  <c r="O67" i="5"/>
  <c r="O66" i="5"/>
  <c r="O65" i="5"/>
  <c r="O64" i="5"/>
  <c r="O63" i="5"/>
  <c r="O58" i="5"/>
  <c r="O57" i="5"/>
  <c r="O56" i="5"/>
  <c r="O55" i="5"/>
  <c r="O54" i="5"/>
  <c r="O53" i="5"/>
  <c r="O52" i="5"/>
  <c r="O49" i="5"/>
  <c r="O48" i="5"/>
  <c r="O47" i="5"/>
  <c r="O46" i="5"/>
  <c r="AW43" i="5"/>
  <c r="O29" i="5"/>
  <c r="O14" i="5"/>
  <c r="AU7" i="5" l="1"/>
  <c r="AT7" i="5"/>
  <c r="CT46" i="185"/>
  <c r="CI36" i="12" l="1"/>
  <c r="CI38" i="12" s="1"/>
  <c r="AZ39" i="5" s="1"/>
  <c r="CI5" i="12"/>
  <c r="CI6" i="12"/>
  <c r="DB6" i="12" s="1"/>
  <c r="CI7" i="12"/>
  <c r="DB7" i="12" s="1"/>
  <c r="CI39" i="12" l="1"/>
  <c r="EX39" i="5" s="1"/>
  <c r="AX8" i="215"/>
  <c r="AY8" i="215"/>
  <c r="AZ8" i="215"/>
  <c r="BA8" i="215"/>
  <c r="AX18" i="215"/>
  <c r="AY18" i="215"/>
  <c r="AZ18" i="215"/>
  <c r="BA18" i="215"/>
  <c r="AX19" i="215"/>
  <c r="AY19" i="215"/>
  <c r="AZ19" i="215"/>
  <c r="BA19" i="215"/>
  <c r="AX24" i="215"/>
  <c r="AY24" i="215"/>
  <c r="AZ24" i="215"/>
  <c r="BA24" i="215"/>
  <c r="AX25" i="215"/>
  <c r="AY25" i="215"/>
  <c r="AZ25" i="215"/>
  <c r="BA25" i="215"/>
  <c r="AX26" i="215"/>
  <c r="AY26" i="215"/>
  <c r="AZ26" i="215"/>
  <c r="BA26" i="215"/>
  <c r="AX29" i="215"/>
  <c r="AY29" i="215"/>
  <c r="AZ29" i="215"/>
  <c r="BA29" i="215"/>
  <c r="AX30" i="215"/>
  <c r="AY30" i="215"/>
  <c r="AZ30" i="215"/>
  <c r="BA30" i="215"/>
  <c r="AX31" i="215"/>
  <c r="AY31" i="215"/>
  <c r="AZ31" i="215"/>
  <c r="BA31" i="215"/>
  <c r="AX41" i="215"/>
  <c r="AY41" i="215"/>
  <c r="AZ41" i="215"/>
  <c r="BA41" i="215"/>
  <c r="AX42" i="215"/>
  <c r="AY42" i="215"/>
  <c r="AZ42" i="215"/>
  <c r="BA42" i="215"/>
  <c r="AX43" i="215"/>
  <c r="AY43" i="215"/>
  <c r="AZ43" i="215"/>
  <c r="BA43" i="215"/>
  <c r="AX44" i="215"/>
  <c r="AY44" i="215"/>
  <c r="AZ44" i="215"/>
  <c r="BA44" i="215"/>
  <c r="AX48" i="215"/>
  <c r="AY48" i="215"/>
  <c r="AZ48" i="215"/>
  <c r="BA48" i="215"/>
  <c r="AX49" i="215"/>
  <c r="AY49" i="215"/>
  <c r="AZ49" i="215"/>
  <c r="BA49" i="215"/>
  <c r="AX50" i="215"/>
  <c r="AY50" i="215"/>
  <c r="AZ50" i="215"/>
  <c r="BA50" i="215"/>
  <c r="AX51" i="215"/>
  <c r="AY51" i="215"/>
  <c r="AZ51" i="215"/>
  <c r="BA51" i="215"/>
  <c r="AX52" i="215"/>
  <c r="AY52" i="215"/>
  <c r="AZ52" i="215"/>
  <c r="BA52" i="215"/>
  <c r="AX53" i="215"/>
  <c r="AY53" i="215"/>
  <c r="AZ53" i="215"/>
  <c r="BA53" i="215"/>
  <c r="EX21" i="215"/>
  <c r="EW21" i="215"/>
  <c r="EO23" i="188" s="1"/>
  <c r="EO41" i="188" s="1"/>
  <c r="EV21" i="215"/>
  <c r="EN23" i="188" s="1"/>
  <c r="EN41" i="188" s="1"/>
  <c r="EU21" i="215"/>
  <c r="EM23" i="188" s="1"/>
  <c r="EM41" i="188" s="1"/>
  <c r="ET21" i="215"/>
  <c r="EL23" i="188" s="1"/>
  <c r="EL41" i="188" s="1"/>
  <c r="ES21" i="215"/>
  <c r="EK23" i="188" s="1"/>
  <c r="EK41" i="188" s="1"/>
  <c r="ER21" i="215"/>
  <c r="EQ21" i="215"/>
  <c r="EI23" i="188" s="1"/>
  <c r="EI41" i="188" s="1"/>
  <c r="EP21" i="215"/>
  <c r="EH23" i="188" s="1"/>
  <c r="EH41" i="188" s="1"/>
  <c r="EO21" i="215"/>
  <c r="EG23" i="188" s="1"/>
  <c r="EG41" i="188" s="1"/>
  <c r="EN21" i="215"/>
  <c r="EF23" i="188" s="1"/>
  <c r="EF41" i="188" s="1"/>
  <c r="EM21" i="215"/>
  <c r="EX54" i="215"/>
  <c r="EW54" i="215"/>
  <c r="EV54" i="215"/>
  <c r="EU54" i="215"/>
  <c r="ET54" i="215"/>
  <c r="ES54" i="215"/>
  <c r="ER54" i="215"/>
  <c r="EQ54" i="215"/>
  <c r="EP54" i="215"/>
  <c r="EO54" i="215"/>
  <c r="EN54" i="215"/>
  <c r="EM54" i="215"/>
  <c r="EX39" i="215"/>
  <c r="EW39" i="215"/>
  <c r="EV39" i="215"/>
  <c r="EU39" i="215"/>
  <c r="ET39" i="215"/>
  <c r="ES39" i="215"/>
  <c r="ER39" i="215"/>
  <c r="EQ39" i="215"/>
  <c r="EP39" i="215"/>
  <c r="EO39" i="215"/>
  <c r="EN39" i="215"/>
  <c r="EM39" i="215"/>
  <c r="EX37" i="215"/>
  <c r="EW37" i="215"/>
  <c r="EV37" i="215"/>
  <c r="EU37" i="215"/>
  <c r="ET37" i="215"/>
  <c r="ES37" i="215"/>
  <c r="ER37" i="215"/>
  <c r="EQ37" i="215"/>
  <c r="EP37" i="215"/>
  <c r="EO37" i="215"/>
  <c r="EN37" i="215"/>
  <c r="EM37" i="215"/>
  <c r="EX36" i="215"/>
  <c r="EW36" i="215"/>
  <c r="EV36" i="215"/>
  <c r="EU36" i="215"/>
  <c r="ET36" i="215"/>
  <c r="ES36" i="215"/>
  <c r="ER36" i="215"/>
  <c r="EQ36" i="215"/>
  <c r="EP36" i="215"/>
  <c r="EO36" i="215"/>
  <c r="EN36" i="215"/>
  <c r="EM36" i="215"/>
  <c r="EX35" i="215"/>
  <c r="EW35" i="215"/>
  <c r="EV35" i="215"/>
  <c r="EU35" i="215"/>
  <c r="ET35" i="215"/>
  <c r="ES35" i="215"/>
  <c r="ER35" i="215"/>
  <c r="EQ35" i="215"/>
  <c r="EP35" i="215"/>
  <c r="EO35" i="215"/>
  <c r="EN35" i="215"/>
  <c r="EM35" i="215"/>
  <c r="EE23" i="188" l="1"/>
  <c r="EE41" i="188" s="1"/>
  <c r="EJ23" i="188"/>
  <c r="EJ41" i="188" s="1"/>
  <c r="BA37" i="215"/>
  <c r="AY36" i="215"/>
  <c r="AZ36" i="215"/>
  <c r="AX37" i="215"/>
  <c r="AX36" i="215"/>
  <c r="O26" i="215"/>
  <c r="O24" i="215"/>
  <c r="O19" i="215"/>
  <c r="O52" i="215"/>
  <c r="O48" i="215"/>
  <c r="O43" i="215"/>
  <c r="O30" i="215"/>
  <c r="O51" i="215"/>
  <c r="AZ39" i="215"/>
  <c r="AZ21" i="215"/>
  <c r="AY39" i="215"/>
  <c r="AY37" i="215"/>
  <c r="AY21" i="215"/>
  <c r="O50" i="215"/>
  <c r="O41" i="215"/>
  <c r="AX39" i="215"/>
  <c r="AX21" i="215"/>
  <c r="O8" i="215"/>
  <c r="AY54" i="215"/>
  <c r="O18" i="215"/>
  <c r="O53" i="215"/>
  <c r="AZ54" i="215"/>
  <c r="O44" i="215"/>
  <c r="O42" i="215"/>
  <c r="AX35" i="215"/>
  <c r="BA54" i="215"/>
  <c r="AY35" i="215"/>
  <c r="BA39" i="215"/>
  <c r="AX54" i="215"/>
  <c r="AZ37" i="215"/>
  <c r="AZ35" i="215"/>
  <c r="O25" i="215"/>
  <c r="BA35" i="215"/>
  <c r="BA36" i="215"/>
  <c r="BA21" i="215"/>
  <c r="O31" i="215"/>
  <c r="O49" i="215"/>
  <c r="O29" i="215"/>
  <c r="EM55" i="215"/>
  <c r="EN55" i="215"/>
  <c r="EN57" i="215" s="1"/>
  <c r="EV55" i="215"/>
  <c r="EV57" i="215" s="1"/>
  <c r="ES55" i="215"/>
  <c r="ES57" i="215" s="1"/>
  <c r="EO55" i="215"/>
  <c r="EO57" i="215" s="1"/>
  <c r="EW55" i="215"/>
  <c r="EW57" i="215" s="1"/>
  <c r="ET55" i="215"/>
  <c r="ET57" i="215" s="1"/>
  <c r="EX55" i="215"/>
  <c r="EP55" i="215"/>
  <c r="EP57" i="215" s="1"/>
  <c r="EQ55" i="215"/>
  <c r="EQ57" i="215" s="1"/>
  <c r="ER55" i="215"/>
  <c r="ER57" i="215" s="1"/>
  <c r="EU55" i="215"/>
  <c r="EU57" i="215" s="1"/>
  <c r="EM57" i="215" l="1"/>
  <c r="EX57" i="215"/>
  <c r="AY55" i="215"/>
  <c r="AY57" i="215" s="1"/>
  <c r="O37" i="215"/>
  <c r="O36" i="215"/>
  <c r="AZ55" i="215"/>
  <c r="AZ57" i="215" s="1"/>
  <c r="AX55" i="215"/>
  <c r="AX57" i="215" s="1"/>
  <c r="O35" i="215"/>
  <c r="O54" i="215"/>
  <c r="O21" i="215"/>
  <c r="BA55" i="215"/>
  <c r="BA57" i="215" s="1"/>
  <c r="O39" i="215"/>
  <c r="O55" i="215" l="1"/>
  <c r="O57" i="215" s="1"/>
  <c r="EX107" i="5" l="1"/>
  <c r="O107" i="5" s="1"/>
  <c r="EW85" i="5"/>
  <c r="EX87" i="5"/>
  <c r="EX85" i="5"/>
  <c r="O127" i="5"/>
  <c r="EX126" i="5"/>
  <c r="AX126" i="5" s="1"/>
  <c r="EX124" i="5"/>
  <c r="AX124" i="5" s="1"/>
  <c r="EX105" i="5"/>
  <c r="O108" i="5" l="1"/>
  <c r="O105" i="5"/>
  <c r="O124" i="5"/>
  <c r="O126" i="5"/>
  <c r="EX25" i="5"/>
  <c r="CV47" i="25" s="1"/>
  <c r="CV48" i="25" s="1"/>
  <c r="AX25" i="5" l="1"/>
  <c r="O25" i="5" s="1"/>
  <c r="CI8" i="12"/>
  <c r="DB8" i="12" s="1"/>
  <c r="EX86" i="5"/>
  <c r="EW87" i="5"/>
  <c r="EX125" i="5"/>
  <c r="AX125" i="5" s="1"/>
  <c r="EX59" i="5"/>
  <c r="EX33" i="5"/>
  <c r="EX34" i="5"/>
  <c r="EX35" i="5"/>
  <c r="AX59" i="5" l="1"/>
  <c r="O59" i="5" s="1"/>
  <c r="O125" i="5"/>
  <c r="AX35" i="5"/>
  <c r="AX33" i="5"/>
  <c r="AX38" i="5" s="1"/>
  <c r="AX34" i="5"/>
  <c r="EX129" i="5"/>
  <c r="AX129" i="5" s="1"/>
  <c r="CI13" i="12"/>
  <c r="EX40" i="5"/>
  <c r="EX38" i="5"/>
  <c r="EX41" i="5"/>
  <c r="EX44" i="5"/>
  <c r="EX42" i="5"/>
  <c r="EX89" i="5"/>
  <c r="EX60" i="5" l="1"/>
  <c r="AX44" i="5"/>
  <c r="O44" i="5" s="1"/>
  <c r="EX103" i="5"/>
  <c r="O129" i="5"/>
  <c r="AX40" i="5"/>
  <c r="O34" i="5"/>
  <c r="O40" i="5" s="1"/>
  <c r="AX41" i="5"/>
  <c r="O35" i="5"/>
  <c r="O41" i="5" s="1"/>
  <c r="AX42" i="5"/>
  <c r="O33" i="5"/>
  <c r="CI10" i="12"/>
  <c r="DB10" i="12" s="1"/>
  <c r="CI14" i="12" l="1"/>
  <c r="AX60" i="5"/>
  <c r="O60" i="5" s="1"/>
  <c r="EX62" i="5"/>
  <c r="O103" i="5"/>
  <c r="O38" i="5"/>
  <c r="O42" i="5"/>
  <c r="DB14" i="12" l="1"/>
  <c r="CI16" i="12"/>
  <c r="EX101" i="5"/>
  <c r="EX68" i="5"/>
  <c r="AX68" i="5" s="1"/>
  <c r="O68" i="5" s="1"/>
  <c r="AX62" i="5"/>
  <c r="O62" i="5" s="1"/>
  <c r="CT40" i="185"/>
  <c r="CT33" i="185"/>
  <c r="CT23" i="185"/>
  <c r="CT24" i="185"/>
  <c r="CT25" i="185"/>
  <c r="CT18" i="185"/>
  <c r="CT10" i="185"/>
  <c r="EX112" i="5" l="1"/>
  <c r="O112" i="5" s="1"/>
  <c r="AX101" i="5"/>
  <c r="O101" i="5" s="1"/>
  <c r="CI18" i="12"/>
  <c r="EX70" i="5"/>
  <c r="AX70" i="5" s="1"/>
  <c r="O70" i="5" s="1"/>
  <c r="CT26" i="185"/>
  <c r="EW59" i="5"/>
  <c r="EV59" i="5"/>
  <c r="CO38" i="25" l="1"/>
  <c r="CP38" i="25"/>
  <c r="CO14" i="25"/>
  <c r="CP14" i="25"/>
  <c r="CO29" i="25"/>
  <c r="CP29" i="25"/>
  <c r="CO4" i="25"/>
  <c r="CP4" i="25" s="1"/>
  <c r="CP5" i="25" s="1"/>
  <c r="CO5" i="25"/>
  <c r="EV136" i="5" l="1"/>
  <c r="CH36" i="12" l="1"/>
  <c r="CH38" i="12" s="1"/>
  <c r="CJ9" i="25"/>
  <c r="AW85" i="5"/>
  <c r="AW87" i="5"/>
  <c r="AW81" i="5"/>
  <c r="AW93" i="5"/>
  <c r="AW92" i="5"/>
  <c r="AW91" i="5"/>
  <c r="AW88" i="5"/>
  <c r="AW84" i="5"/>
  <c r="AW83" i="5"/>
  <c r="AW78" i="5"/>
  <c r="AW77" i="5"/>
  <c r="AW76" i="5"/>
  <c r="AW75" i="5"/>
  <c r="AW73" i="5"/>
  <c r="CH39" i="12" l="1"/>
  <c r="EW39" i="5" s="1"/>
  <c r="AY39" i="5"/>
  <c r="CH5" i="12"/>
  <c r="CH6" i="12"/>
  <c r="CH7" i="12"/>
  <c r="CH13" i="12"/>
  <c r="CE50" i="188"/>
  <c r="CE52" i="188"/>
  <c r="CE53" i="188"/>
  <c r="CE54" i="188"/>
  <c r="CE55" i="188"/>
  <c r="CE56" i="188"/>
  <c r="CE26" i="188"/>
  <c r="CE27" i="188"/>
  <c r="CE28" i="188"/>
  <c r="CE6" i="188"/>
  <c r="CE7" i="188"/>
  <c r="CE8" i="188"/>
  <c r="CE9" i="188"/>
  <c r="CE10" i="188"/>
  <c r="CE11" i="188"/>
  <c r="CE12" i="188"/>
  <c r="CE13" i="188"/>
  <c r="CE14" i="188"/>
  <c r="CE15" i="188"/>
  <c r="CE16" i="188"/>
  <c r="CE18" i="188"/>
  <c r="CE19" i="188"/>
  <c r="CE20" i="188"/>
  <c r="CE33" i="188" l="1"/>
  <c r="CE39" i="188" s="1"/>
  <c r="CE32" i="188"/>
  <c r="CE38" i="188" s="1"/>
  <c r="CE23" i="188"/>
  <c r="CE34" i="188"/>
  <c r="CE40" i="188" s="1"/>
  <c r="CE43" i="188" l="1"/>
  <c r="CE51" i="188" s="1"/>
  <c r="CE57" i="188" s="1"/>
  <c r="CE41" i="188"/>
  <c r="EW123" i="5" l="1"/>
  <c r="EV127" i="5"/>
  <c r="CR46" i="185" l="1"/>
  <c r="CR40" i="185" l="1"/>
  <c r="CR33" i="185"/>
  <c r="CR23" i="185"/>
  <c r="CR24" i="185"/>
  <c r="CR25" i="185"/>
  <c r="CR18" i="185"/>
  <c r="CR10" i="185"/>
  <c r="EW86" i="5"/>
  <c r="AW79" i="5"/>
  <c r="EW33" i="5"/>
  <c r="EW34" i="5"/>
  <c r="EW35" i="5"/>
  <c r="EW25" i="5"/>
  <c r="AW86" i="5" l="1"/>
  <c r="CR26" i="185"/>
  <c r="CH8" i="12"/>
  <c r="EW40" i="5"/>
  <c r="EW41" i="5"/>
  <c r="EW89" i="5"/>
  <c r="EW42" i="5"/>
  <c r="EW38" i="5"/>
  <c r="EW44" i="5"/>
  <c r="CG36" i="12"/>
  <c r="CG38" i="12" s="1"/>
  <c r="EW60" i="5" l="1"/>
  <c r="EW62" i="5" s="1"/>
  <c r="EW68" i="5" s="1"/>
  <c r="EW70" i="5" s="1"/>
  <c r="AW89" i="5"/>
  <c r="CG39" i="12"/>
  <c r="EV39" i="5" s="1"/>
  <c r="AX39" i="5"/>
  <c r="CH10" i="12"/>
  <c r="EV108" i="5"/>
  <c r="N90" i="5"/>
  <c r="N82" i="5"/>
  <c r="N80" i="5"/>
  <c r="AW128" i="5"/>
  <c r="N92" i="5"/>
  <c r="N93" i="5"/>
  <c r="N91" i="5"/>
  <c r="N84" i="5"/>
  <c r="N76" i="5"/>
  <c r="N77" i="5"/>
  <c r="N78" i="5"/>
  <c r="N75" i="5"/>
  <c r="N73" i="5"/>
  <c r="CG5" i="12"/>
  <c r="CG6" i="12"/>
  <c r="CG7" i="12"/>
  <c r="CQ46" i="185"/>
  <c r="CH14" i="12" l="1"/>
  <c r="EW101" i="5"/>
  <c r="CH16" i="12" l="1"/>
  <c r="CQ40" i="185"/>
  <c r="CQ33" i="185"/>
  <c r="CQ23" i="185"/>
  <c r="CQ24" i="185"/>
  <c r="CQ25" i="185"/>
  <c r="CQ18" i="185"/>
  <c r="CQ10" i="185"/>
  <c r="CD6" i="188"/>
  <c r="CD7" i="188"/>
  <c r="CD8" i="188"/>
  <c r="CD9" i="188"/>
  <c r="CD10" i="188"/>
  <c r="CD11" i="188"/>
  <c r="CD12" i="188"/>
  <c r="CD13" i="188"/>
  <c r="CD14" i="188"/>
  <c r="CD15" i="188"/>
  <c r="CD16" i="188"/>
  <c r="CD18" i="188"/>
  <c r="CD19" i="188"/>
  <c r="CD20" i="188"/>
  <c r="CD26" i="188"/>
  <c r="CD27" i="188"/>
  <c r="CD28" i="188"/>
  <c r="CD50" i="188"/>
  <c r="CD52" i="188"/>
  <c r="CD53" i="188"/>
  <c r="CD54" i="188"/>
  <c r="CD55" i="188"/>
  <c r="CD56" i="188"/>
  <c r="CQ26" i="185" l="1"/>
  <c r="CD23" i="188"/>
  <c r="CD34" i="188"/>
  <c r="CD40" i="188" s="1"/>
  <c r="CD33" i="188"/>
  <c r="CD39" i="188" s="1"/>
  <c r="CD32" i="188"/>
  <c r="CD38" i="188" s="1"/>
  <c r="CD41" i="188" l="1"/>
  <c r="CD43" i="188"/>
  <c r="CD51" i="188" s="1"/>
  <c r="CD57" i="188" s="1"/>
  <c r="EV117" i="5"/>
  <c r="CI9" i="25" s="1"/>
  <c r="EV83" i="5"/>
  <c r="EW125" i="5" s="1"/>
  <c r="EV81" i="5"/>
  <c r="N81" i="5" s="1"/>
  <c r="N83" i="5" l="1"/>
  <c r="EW129" i="5"/>
  <c r="EW103" i="5" l="1"/>
  <c r="CH18" i="12" s="1"/>
  <c r="EV123" i="5"/>
  <c r="EV124" i="5"/>
  <c r="EV126" i="5"/>
  <c r="EV105" i="5"/>
  <c r="EW112" i="5" l="1"/>
  <c r="EV107" i="5"/>
  <c r="EV87" i="5" l="1"/>
  <c r="N87" i="5" s="1"/>
  <c r="EU87" i="5"/>
  <c r="EV85" i="5"/>
  <c r="EV79" i="5"/>
  <c r="N79" i="5" s="1"/>
  <c r="EV33" i="5"/>
  <c r="EV34" i="5"/>
  <c r="EV35" i="5"/>
  <c r="EV25" i="5"/>
  <c r="EV86" i="5" l="1"/>
  <c r="N86" i="5" s="1"/>
  <c r="N85" i="5"/>
  <c r="CG8" i="12"/>
  <c r="CG13" i="12"/>
  <c r="EV41" i="5"/>
  <c r="EV40" i="5"/>
  <c r="EV38" i="5"/>
  <c r="EV44" i="5"/>
  <c r="EV42" i="5"/>
  <c r="EV60" i="5" l="1"/>
  <c r="EV62" i="5" s="1"/>
  <c r="EV89" i="5"/>
  <c r="N89" i="5" s="1"/>
  <c r="CG10" i="12"/>
  <c r="CG14" i="12" l="1"/>
  <c r="EV101" i="5"/>
  <c r="EV68" i="5"/>
  <c r="EV70" i="5" s="1"/>
  <c r="CG16" i="12" l="1"/>
  <c r="CM29" i="25"/>
  <c r="CN29" i="25"/>
  <c r="CJ52" i="25"/>
  <c r="AW69" i="5" l="1"/>
  <c r="EU117" i="5"/>
  <c r="CH9" i="25" s="1"/>
  <c r="EU83" i="5"/>
  <c r="EV125" i="5" s="1"/>
  <c r="EV129" i="5" s="1"/>
  <c r="EU81" i="5"/>
  <c r="CC52" i="188"/>
  <c r="AC52" i="188" s="1"/>
  <c r="CC53" i="188"/>
  <c r="AC53" i="188" s="1"/>
  <c r="CC54" i="188"/>
  <c r="AC54" i="188" s="1"/>
  <c r="CC55" i="188"/>
  <c r="AC55" i="188" s="1"/>
  <c r="CC56" i="188"/>
  <c r="AC56" i="188" s="1"/>
  <c r="CC50" i="188"/>
  <c r="CU50" i="188"/>
  <c r="CV50" i="188"/>
  <c r="CW50" i="188"/>
  <c r="CX50" i="188"/>
  <c r="CY50" i="188"/>
  <c r="CZ50" i="188"/>
  <c r="DA50" i="188"/>
  <c r="DB50" i="188"/>
  <c r="DC50" i="188"/>
  <c r="DD50" i="188"/>
  <c r="DE50" i="188"/>
  <c r="CF36" i="12"/>
  <c r="CF38" i="12" s="1"/>
  <c r="AW39" i="5" s="1"/>
  <c r="CF5" i="12"/>
  <c r="CF6" i="12"/>
  <c r="CF7" i="12"/>
  <c r="CC26" i="188"/>
  <c r="AC26" i="188" s="1"/>
  <c r="CU32" i="188"/>
  <c r="CU38" i="188" s="1"/>
  <c r="CV32" i="188"/>
  <c r="CV38" i="188" s="1"/>
  <c r="CW32" i="188"/>
  <c r="CW38" i="188" s="1"/>
  <c r="DD32" i="188"/>
  <c r="DD38" i="188" s="1"/>
  <c r="DE32" i="188"/>
  <c r="DE38" i="188" s="1"/>
  <c r="CC27" i="188"/>
  <c r="AC27" i="188" s="1"/>
  <c r="CU33" i="188"/>
  <c r="CV33" i="188"/>
  <c r="CW33" i="188"/>
  <c r="DD33" i="188"/>
  <c r="DE33" i="188"/>
  <c r="CC28" i="188"/>
  <c r="AC28" i="188" s="1"/>
  <c r="CU34" i="188"/>
  <c r="CU40" i="188" s="1"/>
  <c r="CV34" i="188"/>
  <c r="CV40" i="188" s="1"/>
  <c r="CW34" i="188"/>
  <c r="CW40" i="188" s="1"/>
  <c r="DD34" i="188"/>
  <c r="DD40" i="188" s="1"/>
  <c r="DE34" i="188"/>
  <c r="DE40" i="188" s="1"/>
  <c r="CC6" i="188"/>
  <c r="AC6" i="188" s="1"/>
  <c r="CC7" i="188"/>
  <c r="CC8" i="188"/>
  <c r="CC9" i="188"/>
  <c r="CC10" i="188"/>
  <c r="CC11" i="188"/>
  <c r="CC12" i="188"/>
  <c r="AC12" i="188" s="1"/>
  <c r="CC13" i="188"/>
  <c r="AC13" i="188" s="1"/>
  <c r="CC14" i="188"/>
  <c r="CC15" i="188"/>
  <c r="CC16" i="188"/>
  <c r="CC18" i="188"/>
  <c r="CC19" i="188"/>
  <c r="CC20" i="188"/>
  <c r="CP46" i="185"/>
  <c r="AC23" i="188" l="1"/>
  <c r="EV103" i="5"/>
  <c r="EV112" i="5" s="1"/>
  <c r="CC23" i="188"/>
  <c r="CC32" i="188"/>
  <c r="CC38" i="188" s="1"/>
  <c r="CC34" i="188"/>
  <c r="CC40" i="188" s="1"/>
  <c r="CC33" i="188"/>
  <c r="CF39" i="12"/>
  <c r="EU39" i="5" s="1"/>
  <c r="DE39" i="188"/>
  <c r="CW39" i="188"/>
  <c r="DD39" i="188"/>
  <c r="CV39" i="188"/>
  <c r="CU39" i="188"/>
  <c r="DE43" i="188"/>
  <c r="DE51" i="188" s="1"/>
  <c r="CW43" i="188"/>
  <c r="CW51" i="188" s="1"/>
  <c r="DD43" i="188"/>
  <c r="DD51" i="188" s="1"/>
  <c r="CV43" i="188"/>
  <c r="CV51" i="188" s="1"/>
  <c r="CU43" i="188"/>
  <c r="CU51" i="188" s="1"/>
  <c r="CP40" i="185"/>
  <c r="CP33" i="185"/>
  <c r="CP23" i="185"/>
  <c r="CP24" i="185"/>
  <c r="CP25" i="185"/>
  <c r="CP18" i="185"/>
  <c r="CP10" i="185"/>
  <c r="CP26" i="185" l="1"/>
  <c r="CG18" i="12"/>
  <c r="CC41" i="188"/>
  <c r="CC39" i="188"/>
  <c r="CC43" i="188"/>
  <c r="CC51" i="188" s="1"/>
  <c r="CC57" i="188" s="1"/>
  <c r="EU85" i="5" l="1"/>
  <c r="EU86" i="5" s="1"/>
  <c r="DB32" i="188" l="1"/>
  <c r="DB33" i="188"/>
  <c r="DB39" i="188" s="1"/>
  <c r="DB34" i="188"/>
  <c r="DB40" i="188" s="1"/>
  <c r="DA32" i="188"/>
  <c r="DA33" i="188"/>
  <c r="DA39" i="188" s="1"/>
  <c r="DA34" i="188"/>
  <c r="DA40" i="188" s="1"/>
  <c r="CY32" i="188"/>
  <c r="CY33" i="188"/>
  <c r="CY39" i="188" s="1"/>
  <c r="CY34" i="188"/>
  <c r="CY40" i="188" s="1"/>
  <c r="DA38" i="188" l="1"/>
  <c r="DA43" i="188"/>
  <c r="DA51" i="188" s="1"/>
  <c r="CY43" i="188"/>
  <c r="CY51" i="188" s="1"/>
  <c r="CY38" i="188"/>
  <c r="CZ32" i="188"/>
  <c r="CX32" i="188"/>
  <c r="CZ34" i="188"/>
  <c r="CZ40" i="188" s="1"/>
  <c r="CX34" i="188"/>
  <c r="CX40" i="188" s="1"/>
  <c r="CZ33" i="188"/>
  <c r="CZ39" i="188" s="1"/>
  <c r="CX33" i="188"/>
  <c r="CX39" i="188" s="1"/>
  <c r="DB38" i="188"/>
  <c r="DB43" i="188"/>
  <c r="DB51" i="188" s="1"/>
  <c r="DC33" i="188"/>
  <c r="DC39" i="188" s="1"/>
  <c r="DC34" i="188"/>
  <c r="DC40" i="188" s="1"/>
  <c r="DC32" i="188"/>
  <c r="DC38" i="188" l="1"/>
  <c r="DC43" i="188"/>
  <c r="DC51" i="188" s="1"/>
  <c r="CX43" i="188"/>
  <c r="CX51" i="188" s="1"/>
  <c r="CX38" i="188"/>
  <c r="CZ43" i="188"/>
  <c r="CZ51" i="188" s="1"/>
  <c r="CZ38" i="188"/>
  <c r="EU79" i="5" l="1"/>
  <c r="EU89" i="5" s="1"/>
  <c r="EU136" i="5"/>
  <c r="EU127" i="5" s="1"/>
  <c r="AW127" i="5" s="1"/>
  <c r="EU126" i="5"/>
  <c r="AW126" i="5" s="1"/>
  <c r="AW123" i="5"/>
  <c r="EU124" i="5"/>
  <c r="EU105" i="5"/>
  <c r="EU108" i="5"/>
  <c r="EU59" i="5"/>
  <c r="EU33" i="5"/>
  <c r="EU34" i="5"/>
  <c r="EU35" i="5"/>
  <c r="EU25" i="5"/>
  <c r="CS47" i="25" s="1"/>
  <c r="CS48" i="25" s="1"/>
  <c r="AW124" i="5" l="1"/>
  <c r="CF13" i="12"/>
  <c r="CF8" i="12"/>
  <c r="EU41" i="5"/>
  <c r="EU40" i="5"/>
  <c r="EU38" i="5"/>
  <c r="EU107" i="5"/>
  <c r="EU44" i="5"/>
  <c r="EU42" i="5"/>
  <c r="EU60" i="5" l="1"/>
  <c r="AW60" i="5" s="1"/>
  <c r="CF10" i="12"/>
  <c r="EU62" i="5" l="1"/>
  <c r="CF14" i="12"/>
  <c r="EU101" i="5" l="1"/>
  <c r="AW101" i="5" s="1"/>
  <c r="EU68" i="5"/>
  <c r="EU70" i="5" s="1"/>
  <c r="AW70" i="5" s="1"/>
  <c r="CF16" i="12"/>
  <c r="ET85" i="5"/>
  <c r="ET87" i="5"/>
  <c r="AV93" i="5" l="1"/>
  <c r="AV92" i="5"/>
  <c r="AV91" i="5"/>
  <c r="AV88" i="5"/>
  <c r="AV87" i="5"/>
  <c r="AV85" i="5"/>
  <c r="AV84" i="5"/>
  <c r="AV78" i="5"/>
  <c r="AV77" i="5"/>
  <c r="AV76" i="5"/>
  <c r="AV75" i="5"/>
  <c r="AV73" i="5"/>
  <c r="CB16" i="188" l="1"/>
  <c r="CA16" i="188"/>
  <c r="ET117" i="5"/>
  <c r="ET83" i="5"/>
  <c r="ET81" i="5"/>
  <c r="AV81" i="5" s="1"/>
  <c r="CB50" i="188"/>
  <c r="CB26" i="188"/>
  <c r="CB27" i="188"/>
  <c r="CB28" i="188"/>
  <c r="CB52" i="188"/>
  <c r="CB53" i="188"/>
  <c r="CB54" i="188"/>
  <c r="CB55" i="188"/>
  <c r="CB56" i="188"/>
  <c r="CB6" i="188"/>
  <c r="CB7" i="188"/>
  <c r="CB8" i="188"/>
  <c r="CB9" i="188"/>
  <c r="CB10" i="188"/>
  <c r="CB11" i="188"/>
  <c r="CB12" i="188"/>
  <c r="CB13" i="188"/>
  <c r="CB14" i="188"/>
  <c r="CB18" i="188"/>
  <c r="CB19" i="188"/>
  <c r="CB20" i="188"/>
  <c r="EU125" i="5" l="1"/>
  <c r="EU129" i="5" s="1"/>
  <c r="AW129" i="5" s="1"/>
  <c r="CB33" i="188"/>
  <c r="CB39" i="188" s="1"/>
  <c r="CB32" i="188"/>
  <c r="CB38" i="188" s="1"/>
  <c r="AV83" i="5"/>
  <c r="CB34" i="188"/>
  <c r="CB40" i="188" s="1"/>
  <c r="CB23" i="188"/>
  <c r="AW125" i="5" l="1"/>
  <c r="EU103" i="5"/>
  <c r="EU112" i="5" s="1"/>
  <c r="CB41" i="188"/>
  <c r="CB43" i="188"/>
  <c r="CB51" i="188" s="1"/>
  <c r="CB57" i="188" s="1"/>
  <c r="ET124" i="5"/>
  <c r="CF18" i="12" l="1"/>
  <c r="ET134" i="5"/>
  <c r="CE36" i="12" l="1"/>
  <c r="CE38" i="12" s="1"/>
  <c r="CE5" i="12"/>
  <c r="CE6" i="12"/>
  <c r="CE7" i="12"/>
  <c r="CG9" i="25"/>
  <c r="CE39" i="12" l="1"/>
  <c r="ET39" i="5" s="1"/>
  <c r="ET105" i="5"/>
  <c r="ET108" i="5"/>
  <c r="ET123" i="5"/>
  <c r="ET126" i="5"/>
  <c r="ET136" i="5"/>
  <c r="ET86" i="5"/>
  <c r="AV86" i="5" s="1"/>
  <c r="ET79" i="5"/>
  <c r="AV79" i="5" s="1"/>
  <c r="ET107" i="5" l="1"/>
  <c r="ET127" i="5"/>
  <c r="ET89" i="5"/>
  <c r="AV89" i="5" s="1"/>
  <c r="ET59" i="5" l="1"/>
  <c r="ET33" i="5"/>
  <c r="ET34" i="5"/>
  <c r="ET35" i="5"/>
  <c r="ET16" i="5"/>
  <c r="ET25" i="5"/>
  <c r="CB15" i="188" l="1"/>
  <c r="ET41" i="5"/>
  <c r="ET38" i="5"/>
  <c r="CE8" i="12"/>
  <c r="ET40" i="5"/>
  <c r="CE13" i="12"/>
  <c r="ET42" i="5"/>
  <c r="ET44" i="5"/>
  <c r="CO46" i="185"/>
  <c r="ET60" i="5" l="1"/>
  <c r="ET62" i="5" s="1"/>
  <c r="CE10" i="12"/>
  <c r="CO33" i="185"/>
  <c r="CO40" i="185"/>
  <c r="CO23" i="185"/>
  <c r="CO24" i="185"/>
  <c r="CO25" i="185"/>
  <c r="CO18" i="185"/>
  <c r="CO10" i="185"/>
  <c r="CO26" i="185" l="1"/>
  <c r="CE14" i="12"/>
  <c r="ET101" i="5"/>
  <c r="ET68" i="5"/>
  <c r="ET70" i="5" s="1"/>
  <c r="CE16" i="12" l="1"/>
  <c r="ES33" i="5"/>
  <c r="ES85" i="5" l="1"/>
  <c r="ES87" i="5"/>
  <c r="ER85" i="5"/>
  <c r="ER87" i="5"/>
  <c r="EQ87" i="5"/>
  <c r="EQ85" i="5"/>
  <c r="EP87" i="5"/>
  <c r="EP85" i="5"/>
  <c r="ES127" i="5" l="1"/>
  <c r="ES117" i="5"/>
  <c r="ES83" i="5"/>
  <c r="ET125" i="5" s="1"/>
  <c r="ES81" i="5"/>
  <c r="ET129" i="5" l="1"/>
  <c r="ET103" i="5" s="1"/>
  <c r="CF9" i="25"/>
  <c r="AV128" i="5"/>
  <c r="CD36" i="12"/>
  <c r="CD38" i="12" s="1"/>
  <c r="CD39" i="12" s="1"/>
  <c r="ES39" i="5" s="1"/>
  <c r="CD5" i="12"/>
  <c r="CD6" i="12"/>
  <c r="CD7" i="12"/>
  <c r="CA29" i="188"/>
  <c r="AB29" i="188" s="1"/>
  <c r="CA52" i="188"/>
  <c r="CA53" i="188"/>
  <c r="CA54" i="188"/>
  <c r="CA55" i="188"/>
  <c r="CA56" i="188"/>
  <c r="CA50" i="188"/>
  <c r="CA28" i="188"/>
  <c r="CA27" i="188"/>
  <c r="CA26" i="188"/>
  <c r="CA6" i="188"/>
  <c r="CA7" i="188"/>
  <c r="CA8" i="188"/>
  <c r="CA9" i="188"/>
  <c r="CA10" i="188"/>
  <c r="CA11" i="188"/>
  <c r="CA12" i="188"/>
  <c r="CA13" i="188"/>
  <c r="BG14" i="188"/>
  <c r="BH14" i="188"/>
  <c r="BI14" i="188"/>
  <c r="BJ14" i="188"/>
  <c r="BK14" i="188"/>
  <c r="BL14" i="188"/>
  <c r="BM14" i="188"/>
  <c r="BN14" i="188"/>
  <c r="BO14" i="188"/>
  <c r="BP14" i="188"/>
  <c r="BQ14" i="188"/>
  <c r="BR14" i="188"/>
  <c r="BS14" i="188"/>
  <c r="BT14" i="188"/>
  <c r="BU14" i="188"/>
  <c r="BV14" i="188"/>
  <c r="BW14" i="188"/>
  <c r="BX14" i="188"/>
  <c r="BY14" i="188"/>
  <c r="BZ14" i="188"/>
  <c r="CA14" i="188"/>
  <c r="BG15" i="188"/>
  <c r="BH15" i="188"/>
  <c r="BI15" i="188"/>
  <c r="BJ15" i="188"/>
  <c r="BK15" i="188"/>
  <c r="BL15" i="188"/>
  <c r="BM15" i="188"/>
  <c r="BN15" i="188"/>
  <c r="BO15" i="188"/>
  <c r="BP15" i="188"/>
  <c r="BQ15" i="188"/>
  <c r="BR15" i="188"/>
  <c r="BS15" i="188"/>
  <c r="BT15" i="188"/>
  <c r="BU15" i="188"/>
  <c r="BV15" i="188"/>
  <c r="BW15" i="188"/>
  <c r="BX15" i="188"/>
  <c r="BY15" i="188"/>
  <c r="BZ15" i="188"/>
  <c r="CA15" i="188"/>
  <c r="BG18" i="188"/>
  <c r="BH18" i="188"/>
  <c r="BI18" i="188"/>
  <c r="BJ18" i="188"/>
  <c r="BK18" i="188"/>
  <c r="BL18" i="188"/>
  <c r="BM18" i="188"/>
  <c r="BN18" i="188"/>
  <c r="BO18" i="188"/>
  <c r="BP18" i="188"/>
  <c r="BQ18" i="188"/>
  <c r="BR18" i="188"/>
  <c r="BS18" i="188"/>
  <c r="BT18" i="188"/>
  <c r="BU18" i="188"/>
  <c r="BV18" i="188"/>
  <c r="BW18" i="188"/>
  <c r="BX18" i="188"/>
  <c r="BY18" i="188"/>
  <c r="CA18" i="188"/>
  <c r="BG19" i="188"/>
  <c r="BH19" i="188"/>
  <c r="BI19" i="188"/>
  <c r="BJ19" i="188"/>
  <c r="BK19" i="188"/>
  <c r="BL19" i="188"/>
  <c r="BM19" i="188"/>
  <c r="BN19" i="188"/>
  <c r="BO19" i="188"/>
  <c r="BP19" i="188"/>
  <c r="BQ19" i="188"/>
  <c r="BR19" i="188"/>
  <c r="BS19" i="188"/>
  <c r="BT19" i="188"/>
  <c r="BU19" i="188"/>
  <c r="BV19" i="188"/>
  <c r="BW19" i="188"/>
  <c r="BX19" i="188"/>
  <c r="BY19" i="188"/>
  <c r="BZ19" i="188"/>
  <c r="CA19" i="188"/>
  <c r="BG20" i="188"/>
  <c r="BH20" i="188"/>
  <c r="BI20" i="188"/>
  <c r="BJ20" i="188"/>
  <c r="BK20" i="188"/>
  <c r="BL20" i="188"/>
  <c r="BM20" i="188"/>
  <c r="BN20" i="188"/>
  <c r="BO20" i="188"/>
  <c r="BP20" i="188"/>
  <c r="BQ20" i="188"/>
  <c r="BR20" i="188"/>
  <c r="BS20" i="188"/>
  <c r="BT20" i="188"/>
  <c r="BU20" i="188"/>
  <c r="BV20" i="188"/>
  <c r="BW20" i="188"/>
  <c r="BX20" i="188"/>
  <c r="BY20" i="188"/>
  <c r="BZ20" i="188"/>
  <c r="CA20" i="188"/>
  <c r="BZ6" i="188"/>
  <c r="BZ7" i="188"/>
  <c r="BZ8" i="188"/>
  <c r="BZ9" i="188"/>
  <c r="BZ10" i="188"/>
  <c r="BZ11" i="188"/>
  <c r="BZ12" i="188"/>
  <c r="BZ13" i="188"/>
  <c r="AB13" i="188" l="1"/>
  <c r="AB12" i="188"/>
  <c r="AB6" i="188"/>
  <c r="ET112" i="5"/>
  <c r="CE18" i="12"/>
  <c r="CA32" i="188"/>
  <c r="CA23" i="188"/>
  <c r="CA33" i="188"/>
  <c r="CA34" i="188"/>
  <c r="CA40" i="188" l="1"/>
  <c r="AH34" i="188"/>
  <c r="AH40" i="188" s="1"/>
  <c r="CA39" i="188"/>
  <c r="AH33" i="188"/>
  <c r="AH39" i="188" s="1"/>
  <c r="CA38" i="188"/>
  <c r="AH32" i="188"/>
  <c r="AB23" i="188"/>
  <c r="CA43" i="188"/>
  <c r="CA51" i="188" s="1"/>
  <c r="CA57" i="188" s="1"/>
  <c r="CA41" i="188"/>
  <c r="AH38" i="188" l="1"/>
  <c r="AH41" i="188"/>
  <c r="AH43" i="188"/>
  <c r="AH51" i="188" s="1"/>
  <c r="AH57" i="188" s="1"/>
  <c r="CN46" i="185"/>
  <c r="CN40" i="185" l="1"/>
  <c r="CN33" i="185"/>
  <c r="CN23" i="185"/>
  <c r="CN24" i="185"/>
  <c r="CN25" i="185"/>
  <c r="CN18" i="185"/>
  <c r="CN10" i="185"/>
  <c r="CN26" i="185" s="1"/>
  <c r="ES123" i="5"/>
  <c r="ES124" i="5"/>
  <c r="ES126" i="5"/>
  <c r="ES105" i="5"/>
  <c r="ES107" i="5"/>
  <c r="ES108" i="5"/>
  <c r="ES25" i="5" l="1"/>
  <c r="ES86" i="5"/>
  <c r="ES79" i="5"/>
  <c r="ES59" i="5"/>
  <c r="ES34" i="5"/>
  <c r="ES35" i="5"/>
  <c r="CD8" i="12" l="1"/>
  <c r="CD13" i="12"/>
  <c r="ES38" i="5"/>
  <c r="ES40" i="5"/>
  <c r="ES44" i="5"/>
  <c r="ES89" i="5"/>
  <c r="ES42" i="5"/>
  <c r="ES41" i="5"/>
  <c r="ES60" i="5" l="1"/>
  <c r="ES62" i="5" s="1"/>
  <c r="CD10" i="12"/>
  <c r="CD14" i="12" l="1"/>
  <c r="ES101" i="5"/>
  <c r="ES68" i="5"/>
  <c r="ES70" i="5" s="1"/>
  <c r="CD16" i="12" l="1"/>
  <c r="BZ48" i="188"/>
  <c r="AB48" i="188" s="1"/>
  <c r="ER127" i="5"/>
  <c r="AV127" i="5" s="1"/>
  <c r="ER117" i="5"/>
  <c r="AB50" i="188" l="1"/>
  <c r="I48" i="188"/>
  <c r="I50" i="188" s="1"/>
  <c r="ER83" i="5"/>
  <c r="ER81" i="5"/>
  <c r="ER84" i="5"/>
  <c r="ES125" i="5" l="1"/>
  <c r="ES129" i="5" l="1"/>
  <c r="AV69" i="5"/>
  <c r="ER19" i="5"/>
  <c r="BZ18" i="188" l="1"/>
  <c r="ES103" i="5"/>
  <c r="CM46" i="185"/>
  <c r="ES112" i="5" l="1"/>
  <c r="CD18" i="12"/>
  <c r="CE9" i="25"/>
  <c r="CM40" i="185"/>
  <c r="CM33" i="185"/>
  <c r="CM23" i="185"/>
  <c r="CM24" i="185"/>
  <c r="CM25" i="185"/>
  <c r="CM18" i="185"/>
  <c r="CM10" i="185"/>
  <c r="ER59" i="5"/>
  <c r="CM26" i="185" l="1"/>
  <c r="BZ56" i="188"/>
  <c r="AB56" i="188" s="1"/>
  <c r="BZ55" i="188"/>
  <c r="AB55" i="188" s="1"/>
  <c r="BZ54" i="188"/>
  <c r="AB54" i="188" s="1"/>
  <c r="BZ53" i="188"/>
  <c r="AB53" i="188" s="1"/>
  <c r="BZ52" i="188"/>
  <c r="AB52" i="188" s="1"/>
  <c r="BZ50" i="188"/>
  <c r="BZ26" i="188"/>
  <c r="AB26" i="188" s="1"/>
  <c r="BZ27" i="188"/>
  <c r="AB27" i="188" s="1"/>
  <c r="BZ28" i="188"/>
  <c r="AB28" i="188" s="1"/>
  <c r="CC36" i="12"/>
  <c r="CC38" i="12" s="1"/>
  <c r="CC5" i="12"/>
  <c r="CC6" i="12"/>
  <c r="CC7" i="12"/>
  <c r="CC13" i="12"/>
  <c r="CC39" i="12" l="1"/>
  <c r="ER39" i="5" s="1"/>
  <c r="AV39" i="5"/>
  <c r="BZ32" i="188"/>
  <c r="AG32" i="188" s="1"/>
  <c r="BZ34" i="188"/>
  <c r="BZ33" i="188"/>
  <c r="BZ23" i="188"/>
  <c r="BZ39" i="188" l="1"/>
  <c r="AG33" i="188"/>
  <c r="AG39" i="188" s="1"/>
  <c r="BZ40" i="188"/>
  <c r="AG34" i="188"/>
  <c r="AG40" i="188" s="1"/>
  <c r="AG38" i="188"/>
  <c r="BZ43" i="188"/>
  <c r="BZ51" i="188" s="1"/>
  <c r="BZ57" i="188" s="1"/>
  <c r="BZ41" i="188"/>
  <c r="BZ38" i="188"/>
  <c r="ER105" i="5"/>
  <c r="ER107" i="5"/>
  <c r="ER108" i="5"/>
  <c r="AG43" i="188" l="1"/>
  <c r="AG51" i="188" s="1"/>
  <c r="AG57" i="188" s="1"/>
  <c r="AG41" i="188"/>
  <c r="ER79" i="5"/>
  <c r="ER33" i="5"/>
  <c r="ER34" i="5"/>
  <c r="ER35" i="5"/>
  <c r="ER25" i="5"/>
  <c r="CP47" i="25" s="1"/>
  <c r="CP48" i="25" s="1"/>
  <c r="AV25" i="5" l="1"/>
  <c r="CC8" i="12"/>
  <c r="ER41" i="5"/>
  <c r="ER40" i="5"/>
  <c r="ER38" i="5"/>
  <c r="ER44" i="5"/>
  <c r="ER42" i="5"/>
  <c r="ER60" i="5" l="1"/>
  <c r="AV60" i="5" s="1"/>
  <c r="CC10" i="12"/>
  <c r="ER62" i="5" l="1"/>
  <c r="ER101" i="5" s="1"/>
  <c r="CC14" i="12"/>
  <c r="CC16" i="12" l="1"/>
  <c r="EK108" i="5"/>
  <c r="CK29" i="25" l="1"/>
  <c r="CL29" i="25"/>
  <c r="EQ127" i="5" l="1"/>
  <c r="EP127" i="5" l="1"/>
  <c r="EO127" i="5"/>
  <c r="EN127" i="5"/>
  <c r="EM127" i="5"/>
  <c r="EL127" i="5"/>
  <c r="EL85" i="5" l="1"/>
  <c r="EL83" i="5"/>
  <c r="EK136" i="5" l="1"/>
  <c r="EK124" i="5"/>
  <c r="EL124" i="5"/>
  <c r="EK105" i="5"/>
  <c r="EK123" i="5"/>
  <c r="EK83" i="5" l="1"/>
  <c r="EK117" i="5"/>
  <c r="EK81" i="5" s="1"/>
  <c r="EL117" i="5"/>
  <c r="EK134" i="5" l="1"/>
  <c r="EK107" i="5" s="1"/>
  <c r="EP83" i="5" l="1"/>
  <c r="EQ83" i="5"/>
  <c r="EO83" i="5"/>
  <c r="EL125" i="5" l="1"/>
  <c r="EL108" i="5"/>
  <c r="EM124" i="5"/>
  <c r="EN83" i="5"/>
  <c r="EM83" i="5" l="1"/>
  <c r="EM125" i="5" s="1"/>
  <c r="EN125" i="5" l="1"/>
  <c r="EL81" i="5"/>
  <c r="EN69" i="5" l="1"/>
  <c r="EP78" i="5" l="1"/>
  <c r="EL78" i="5"/>
  <c r="EK64" i="5" l="1"/>
  <c r="EK126" i="5" s="1"/>
  <c r="EK63" i="5"/>
  <c r="EK127" i="5" s="1"/>
  <c r="EK86" i="5" l="1"/>
  <c r="CF8" i="25" l="1"/>
  <c r="CF11" i="25" l="1"/>
  <c r="CF18" i="25"/>
  <c r="CF24" i="25" s="1"/>
  <c r="AU93" i="5" l="1"/>
  <c r="AU92" i="5"/>
  <c r="AU91" i="5"/>
  <c r="AU88" i="5"/>
  <c r="AU87" i="5"/>
  <c r="AU85" i="5"/>
  <c r="AU84" i="5"/>
  <c r="AU83" i="5"/>
  <c r="AU78" i="5"/>
  <c r="AU77" i="5"/>
  <c r="AU76" i="5"/>
  <c r="AU75" i="5"/>
  <c r="AU73" i="5"/>
  <c r="EQ117" i="5"/>
  <c r="EQ81" i="5"/>
  <c r="AU81" i="5" s="1"/>
  <c r="EQ108" i="5"/>
  <c r="EQ125" i="5" l="1"/>
  <c r="EQ107" i="5" l="1"/>
  <c r="EJ83" i="5" l="1"/>
  <c r="EK125" i="5" s="1"/>
  <c r="CD9" i="25"/>
  <c r="CB5" i="12" l="1"/>
  <c r="CB6" i="12"/>
  <c r="CB7" i="12"/>
  <c r="CB13" i="12"/>
  <c r="CB36" i="12"/>
  <c r="CB38" i="12" s="1"/>
  <c r="CB39" i="12" s="1"/>
  <c r="EQ39" i="5" s="1"/>
  <c r="CL46" i="185"/>
  <c r="CL40" i="185" l="1"/>
  <c r="CL33" i="185"/>
  <c r="CL23" i="185"/>
  <c r="CL24" i="185"/>
  <c r="CL25" i="185"/>
  <c r="CL18" i="185"/>
  <c r="CL10" i="185"/>
  <c r="CL26" i="185" l="1"/>
  <c r="BY6" i="188" l="1"/>
  <c r="BY7" i="188"/>
  <c r="BY8" i="188"/>
  <c r="BY9" i="188"/>
  <c r="BY10" i="188"/>
  <c r="BY11" i="188"/>
  <c r="BY12" i="188"/>
  <c r="BY13" i="188"/>
  <c r="BY26" i="188"/>
  <c r="BY27" i="188"/>
  <c r="BY28" i="188"/>
  <c r="BY50" i="188"/>
  <c r="BY52" i="188"/>
  <c r="BY53" i="188"/>
  <c r="BY54" i="188"/>
  <c r="BY55" i="188"/>
  <c r="BY56" i="188"/>
  <c r="BY34" i="188" l="1"/>
  <c r="BY23" i="188"/>
  <c r="BY32" i="188"/>
  <c r="BY33" i="188"/>
  <c r="EQ123" i="5"/>
  <c r="ER123" i="5"/>
  <c r="AV123" i="5" s="1"/>
  <c r="EQ124" i="5"/>
  <c r="ER124" i="5"/>
  <c r="AV124" i="5" s="1"/>
  <c r="ER125" i="5"/>
  <c r="AV125" i="5" s="1"/>
  <c r="EQ126" i="5"/>
  <c r="ER126" i="5"/>
  <c r="AV126" i="5" s="1"/>
  <c r="EQ105" i="5"/>
  <c r="BY38" i="188" l="1"/>
  <c r="AF32" i="188"/>
  <c r="BY39" i="188"/>
  <c r="AF33" i="188"/>
  <c r="AF39" i="188" s="1"/>
  <c r="BY40" i="188"/>
  <c r="AF34" i="188"/>
  <c r="AF40" i="188" s="1"/>
  <c r="ER129" i="5"/>
  <c r="AV129" i="5" s="1"/>
  <c r="BY41" i="188"/>
  <c r="BY43" i="188"/>
  <c r="BY51" i="188" s="1"/>
  <c r="BY57" i="188" s="1"/>
  <c r="EQ129" i="5"/>
  <c r="AF43" i="188" l="1"/>
  <c r="AF51" i="188" s="1"/>
  <c r="AF57" i="188" s="1"/>
  <c r="AF38" i="188"/>
  <c r="AF41" i="188"/>
  <c r="ER103" i="5"/>
  <c r="ER112" i="5" s="1"/>
  <c r="EQ103" i="5"/>
  <c r="CC18" i="12" l="1"/>
  <c r="EQ33" i="5"/>
  <c r="EQ34" i="5"/>
  <c r="EQ35" i="5"/>
  <c r="EQ79" i="5"/>
  <c r="AU79" i="5" s="1"/>
  <c r="EQ86" i="5"/>
  <c r="AU86" i="5" s="1"/>
  <c r="ER86" i="5"/>
  <c r="ER89" i="5" s="1"/>
  <c r="ER68" i="5"/>
  <c r="ER70" i="5" s="1"/>
  <c r="EQ25" i="5"/>
  <c r="CB8" i="12" l="1"/>
  <c r="AV70" i="5"/>
  <c r="EQ38" i="5"/>
  <c r="EQ41" i="5"/>
  <c r="EQ40" i="5"/>
  <c r="EQ89" i="5"/>
  <c r="AU89" i="5" s="1"/>
  <c r="EQ44" i="5"/>
  <c r="EQ42" i="5"/>
  <c r="EQ60" i="5" l="1"/>
  <c r="EQ62" i="5" s="1"/>
  <c r="EQ101" i="5" s="1"/>
  <c r="CB10" i="12"/>
  <c r="CB14" i="12" l="1"/>
  <c r="CB18" i="12"/>
  <c r="EQ68" i="5"/>
  <c r="EQ70" i="5" s="1"/>
  <c r="CB16" i="12" l="1"/>
  <c r="EQ112" i="5"/>
  <c r="CE14" i="25"/>
  <c r="CF14" i="25" s="1"/>
  <c r="CG14" i="25" s="1"/>
  <c r="CH14" i="25" s="1"/>
  <c r="CI14" i="25" s="1"/>
  <c r="CJ14" i="25" s="1"/>
  <c r="CK14" i="25" s="1"/>
  <c r="CL14" i="25" s="1"/>
  <c r="CM14" i="25" s="1"/>
  <c r="CN14" i="25" s="1"/>
  <c r="CC14" i="25"/>
  <c r="BX50" i="188" l="1"/>
  <c r="BX52" i="188"/>
  <c r="BX53" i="188"/>
  <c r="BX54" i="188"/>
  <c r="BX55" i="188"/>
  <c r="BX56" i="188"/>
  <c r="BX26" i="188"/>
  <c r="BX27" i="188"/>
  <c r="BX28" i="188"/>
  <c r="BX6" i="188"/>
  <c r="BX7" i="188"/>
  <c r="BX8" i="188"/>
  <c r="BX9" i="188"/>
  <c r="BX10" i="188"/>
  <c r="BX11" i="188"/>
  <c r="BX12" i="188"/>
  <c r="BX13" i="188"/>
  <c r="BX23" i="188" l="1"/>
  <c r="BX32" i="188"/>
  <c r="AE32" i="188" s="1"/>
  <c r="BX34" i="188"/>
  <c r="BX33" i="188"/>
  <c r="CK46" i="185"/>
  <c r="BX39" i="188" l="1"/>
  <c r="AE33" i="188"/>
  <c r="AE39" i="188" s="1"/>
  <c r="AE38" i="188"/>
  <c r="BX40" i="188"/>
  <c r="AE34" i="188"/>
  <c r="AE40" i="188" s="1"/>
  <c r="BX43" i="188"/>
  <c r="BX51" i="188" s="1"/>
  <c r="BX57" i="188" s="1"/>
  <c r="BX38" i="188"/>
  <c r="BX41" i="188"/>
  <c r="AE41" i="188" l="1"/>
  <c r="AE43" i="188"/>
  <c r="AE51" i="188" s="1"/>
  <c r="AE57" i="188" s="1"/>
  <c r="CK33" i="185"/>
  <c r="CK40" i="185"/>
  <c r="CK23" i="185"/>
  <c r="CK24" i="185"/>
  <c r="CK25" i="185"/>
  <c r="CK10" i="185"/>
  <c r="CK18" i="185"/>
  <c r="CK26" i="185" l="1"/>
  <c r="AT73" i="5" l="1"/>
  <c r="EP117" i="5"/>
  <c r="CC9" i="25" s="1"/>
  <c r="CD8" i="25" s="1"/>
  <c r="EP81" i="5"/>
  <c r="EP107" i="5" l="1"/>
  <c r="CA5" i="12"/>
  <c r="CA6" i="12"/>
  <c r="CA7" i="12"/>
  <c r="CA36" i="12"/>
  <c r="CA38" i="12" s="1"/>
  <c r="CA39" i="12" s="1"/>
  <c r="EP39" i="5" s="1"/>
  <c r="EP126" i="5" l="1"/>
  <c r="EP123" i="5" l="1"/>
  <c r="EP124" i="5"/>
  <c r="EP105" i="5" l="1"/>
  <c r="EP108" i="5"/>
  <c r="EP86" i="5"/>
  <c r="EP79" i="5"/>
  <c r="EP59" i="5"/>
  <c r="EP33" i="5"/>
  <c r="EP34" i="5"/>
  <c r="EP35" i="5"/>
  <c r="EP25" i="5"/>
  <c r="CA8" i="12" l="1"/>
  <c r="CA13" i="12"/>
  <c r="EP38" i="5"/>
  <c r="EP89" i="5"/>
  <c r="EP41" i="5"/>
  <c r="EP40" i="5"/>
  <c r="EP42" i="5"/>
  <c r="EP44" i="5"/>
  <c r="EP60" i="5" l="1"/>
  <c r="EP62" i="5" s="1"/>
  <c r="CA10" i="12"/>
  <c r="CA14" i="12" l="1"/>
  <c r="CA16" i="12" s="1"/>
  <c r="EP68" i="5"/>
  <c r="EP70" i="5" s="1"/>
  <c r="EP101" i="5"/>
  <c r="BR94" i="25" l="1"/>
  <c r="X46" i="25"/>
  <c r="W46" i="25"/>
  <c r="AE45" i="25"/>
  <c r="AB45" i="25"/>
  <c r="Y45" i="25"/>
  <c r="V45" i="25"/>
  <c r="S45" i="25"/>
  <c r="AE44" i="25"/>
  <c r="AB44" i="25"/>
  <c r="Y44" i="25"/>
  <c r="V44" i="25"/>
  <c r="S44" i="25"/>
  <c r="S32" i="25"/>
  <c r="R32" i="25"/>
  <c r="Q32" i="25"/>
  <c r="CJ29" i="25"/>
  <c r="CI29" i="25"/>
  <c r="CH29" i="25"/>
  <c r="CG29" i="25"/>
  <c r="CF29" i="25"/>
  <c r="CE29" i="25"/>
  <c r="CD29" i="25"/>
  <c r="CC29" i="25"/>
  <c r="CB29" i="25"/>
  <c r="CA29" i="25"/>
  <c r="BZ29" i="25"/>
  <c r="BY29" i="25"/>
  <c r="BX29" i="25"/>
  <c r="BW29" i="25"/>
  <c r="BV29" i="25"/>
  <c r="BU29" i="25"/>
  <c r="BT29" i="25"/>
  <c r="BS29" i="25"/>
  <c r="BR29" i="25"/>
  <c r="BQ29" i="25"/>
  <c r="BP29" i="25"/>
  <c r="BO29" i="25"/>
  <c r="BN29" i="25"/>
  <c r="BM29" i="25"/>
  <c r="BL29" i="25"/>
  <c r="BK29" i="25"/>
  <c r="BJ29" i="25"/>
  <c r="BI29" i="25"/>
  <c r="BH29" i="25"/>
  <c r="BG29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BW21" i="25"/>
  <c r="D18" i="25"/>
  <c r="D24" i="25" s="1"/>
  <c r="AL14" i="25"/>
  <c r="AM14" i="25" s="1"/>
  <c r="AN14" i="25" s="1"/>
  <c r="AO14" i="25" s="1"/>
  <c r="AP14" i="25" s="1"/>
  <c r="AQ14" i="25" s="1"/>
  <c r="AR14" i="25" s="1"/>
  <c r="AS14" i="25" s="1"/>
  <c r="AT14" i="25" s="1"/>
  <c r="AU14" i="25" s="1"/>
  <c r="AV14" i="25" s="1"/>
  <c r="AW14" i="25" s="1"/>
  <c r="AX14" i="25" s="1"/>
  <c r="AY14" i="25" s="1"/>
  <c r="AZ14" i="25" s="1"/>
  <c r="BA14" i="25" s="1"/>
  <c r="BB14" i="25" s="1"/>
  <c r="BC14" i="25" s="1"/>
  <c r="BD14" i="25" s="1"/>
  <c r="BE14" i="25" s="1"/>
  <c r="AI14" i="25"/>
  <c r="AJ14" i="25" s="1"/>
  <c r="AH14" i="25"/>
  <c r="BI13" i="25"/>
  <c r="BG13" i="25"/>
  <c r="AF13" i="25"/>
  <c r="Z13" i="25"/>
  <c r="AA13" i="25" s="1"/>
  <c r="AB13" i="25" s="1"/>
  <c r="AC13" i="25" s="1"/>
  <c r="V13" i="25"/>
  <c r="W13" i="25" s="1"/>
  <c r="D11" i="25"/>
  <c r="BU9" i="25"/>
  <c r="BV8" i="25" s="1"/>
  <c r="BL9" i="25"/>
  <c r="BM8" i="25" s="1"/>
  <c r="AZ9" i="25"/>
  <c r="BA8" i="25" s="1"/>
  <c r="AN9" i="25"/>
  <c r="AN11" i="25" s="1"/>
  <c r="AJ9" i="25"/>
  <c r="AJ11" i="25" s="1"/>
  <c r="AI9" i="25"/>
  <c r="AJ8" i="25" s="1"/>
  <c r="AB9" i="25"/>
  <c r="R9" i="25"/>
  <c r="R11" i="25" s="1"/>
  <c r="R16" i="25" s="1"/>
  <c r="Q9" i="25"/>
  <c r="Q11" i="25" s="1"/>
  <c r="Q16" i="25" s="1"/>
  <c r="P9" i="25"/>
  <c r="P11" i="25" s="1"/>
  <c r="P16" i="25" s="1"/>
  <c r="O9" i="25"/>
  <c r="O11" i="25" s="1"/>
  <c r="O16" i="25" s="1"/>
  <c r="N9" i="25"/>
  <c r="N11" i="25" s="1"/>
  <c r="N16" i="25" s="1"/>
  <c r="M9" i="25"/>
  <c r="L9" i="25"/>
  <c r="M8" i="25" s="1"/>
  <c r="K9" i="25"/>
  <c r="J9" i="25"/>
  <c r="J11" i="25" s="1"/>
  <c r="J16" i="25" s="1"/>
  <c r="I9" i="25"/>
  <c r="I11" i="25" s="1"/>
  <c r="I16" i="25" s="1"/>
  <c r="H9" i="25"/>
  <c r="H11" i="25" s="1"/>
  <c r="H16" i="25" s="1"/>
  <c r="G9" i="25"/>
  <c r="H8" i="25" s="1"/>
  <c r="F9" i="25"/>
  <c r="E9" i="25"/>
  <c r="E11" i="25" s="1"/>
  <c r="E16" i="25" s="1"/>
  <c r="U6" i="25"/>
  <c r="V6" i="25" s="1"/>
  <c r="P5" i="25"/>
  <c r="P38" i="25" s="1"/>
  <c r="P55" i="25" s="1"/>
  <c r="P56" i="25" s="1"/>
  <c r="Q4" i="25"/>
  <c r="R4" i="25" s="1"/>
  <c r="O4" i="25"/>
  <c r="O5" i="25" s="1"/>
  <c r="O38" i="25" s="1"/>
  <c r="CJ46" i="185"/>
  <c r="CI46" i="185"/>
  <c r="CH46" i="185"/>
  <c r="CG46" i="185"/>
  <c r="CE46" i="185"/>
  <c r="CD46" i="185"/>
  <c r="CC46" i="185"/>
  <c r="CB46" i="185"/>
  <c r="CA46" i="185"/>
  <c r="BZ46" i="185"/>
  <c r="BY46" i="185"/>
  <c r="BX46" i="185"/>
  <c r="BW46" i="185"/>
  <c r="BV46" i="185"/>
  <c r="BU46" i="185"/>
  <c r="BT46" i="185"/>
  <c r="BR46" i="185"/>
  <c r="BQ46" i="185"/>
  <c r="BP46" i="185"/>
  <c r="BO46" i="185"/>
  <c r="BN46" i="185"/>
  <c r="BM46" i="185"/>
  <c r="BL46" i="185"/>
  <c r="BK46" i="185"/>
  <c r="BJ46" i="185"/>
  <c r="BI46" i="185"/>
  <c r="BH46" i="185"/>
  <c r="BG46" i="185"/>
  <c r="BE46" i="185"/>
  <c r="BD46" i="185"/>
  <c r="BC46" i="185"/>
  <c r="BB46" i="185"/>
  <c r="BA46" i="185"/>
  <c r="AZ46" i="185"/>
  <c r="AY46" i="185"/>
  <c r="AX46" i="185"/>
  <c r="AW46" i="185"/>
  <c r="AV46" i="185"/>
  <c r="AU46" i="185"/>
  <c r="AT46" i="185"/>
  <c r="AR46" i="185"/>
  <c r="AQ46" i="185"/>
  <c r="AP46" i="185"/>
  <c r="AO46" i="185"/>
  <c r="AN46" i="185"/>
  <c r="AM46" i="185"/>
  <c r="AL46" i="185"/>
  <c r="AK46" i="185"/>
  <c r="AJ46" i="185"/>
  <c r="AI46" i="185"/>
  <c r="AH46" i="185"/>
  <c r="AG46" i="185"/>
  <c r="AE46" i="185"/>
  <c r="Z46" i="185"/>
  <c r="Y46" i="185"/>
  <c r="X46" i="185"/>
  <c r="W46" i="185"/>
  <c r="V46" i="185"/>
  <c r="U46" i="185"/>
  <c r="T46" i="185"/>
  <c r="R46" i="185"/>
  <c r="Q46" i="185"/>
  <c r="P46" i="185"/>
  <c r="O46" i="185"/>
  <c r="N46" i="185"/>
  <c r="M46" i="185"/>
  <c r="L46" i="185"/>
  <c r="K46" i="185"/>
  <c r="J46" i="185"/>
  <c r="I46" i="185"/>
  <c r="H46" i="185"/>
  <c r="G46" i="185"/>
  <c r="AD45" i="185"/>
  <c r="AD46" i="185" s="1"/>
  <c r="AC45" i="185"/>
  <c r="AC46" i="185" s="1"/>
  <c r="AB45" i="185"/>
  <c r="AB46" i="185" s="1"/>
  <c r="AA45" i="185"/>
  <c r="AA46" i="185" s="1"/>
  <c r="CJ40" i="185"/>
  <c r="CI40" i="185"/>
  <c r="CH40" i="185"/>
  <c r="CG40" i="185"/>
  <c r="CE40" i="185"/>
  <c r="CD40" i="185"/>
  <c r="CC40" i="185"/>
  <c r="CB40" i="185"/>
  <c r="CA40" i="185"/>
  <c r="BZ40" i="185"/>
  <c r="BY40" i="185"/>
  <c r="BX40" i="185"/>
  <c r="BW40" i="185"/>
  <c r="BV40" i="185"/>
  <c r="BU40" i="185"/>
  <c r="BT40" i="185"/>
  <c r="BR40" i="185"/>
  <c r="BQ40" i="185"/>
  <c r="BP40" i="185"/>
  <c r="BO40" i="185"/>
  <c r="BN40" i="185"/>
  <c r="BM40" i="185"/>
  <c r="BL40" i="185"/>
  <c r="BK40" i="185"/>
  <c r="BJ40" i="185"/>
  <c r="BI40" i="185"/>
  <c r="BH40" i="185"/>
  <c r="BG40" i="185"/>
  <c r="BE40" i="185"/>
  <c r="BD40" i="185"/>
  <c r="BC40" i="185"/>
  <c r="BB40" i="185"/>
  <c r="BA40" i="185"/>
  <c r="AZ40" i="185"/>
  <c r="AY40" i="185"/>
  <c r="AX40" i="185"/>
  <c r="AW40" i="185"/>
  <c r="AV40" i="185"/>
  <c r="AU40" i="185"/>
  <c r="AT40" i="185"/>
  <c r="AR40" i="185"/>
  <c r="AQ40" i="185"/>
  <c r="AP40" i="185"/>
  <c r="AO40" i="185"/>
  <c r="AN40" i="185"/>
  <c r="AM40" i="185"/>
  <c r="AL40" i="185"/>
  <c r="AK40" i="185"/>
  <c r="AJ40" i="185"/>
  <c r="AI40" i="185"/>
  <c r="AH40" i="185"/>
  <c r="AG40" i="185"/>
  <c r="AE40" i="185"/>
  <c r="AD40" i="185"/>
  <c r="AC40" i="185"/>
  <c r="AB40" i="185"/>
  <c r="AA40" i="185"/>
  <c r="Z40" i="185"/>
  <c r="Y40" i="185"/>
  <c r="X40" i="185"/>
  <c r="W40" i="185"/>
  <c r="V40" i="185"/>
  <c r="U40" i="185"/>
  <c r="T40" i="185"/>
  <c r="R40" i="185"/>
  <c r="Q40" i="185"/>
  <c r="P40" i="185"/>
  <c r="O40" i="185"/>
  <c r="N40" i="185"/>
  <c r="M40" i="185"/>
  <c r="L40" i="185"/>
  <c r="K40" i="185"/>
  <c r="J40" i="185"/>
  <c r="I40" i="185"/>
  <c r="H40" i="185"/>
  <c r="G40" i="185"/>
  <c r="E40" i="185"/>
  <c r="D40" i="185"/>
  <c r="C40" i="185"/>
  <c r="CJ33" i="185"/>
  <c r="CI33" i="185"/>
  <c r="CH33" i="185"/>
  <c r="CG33" i="185"/>
  <c r="CE33" i="185"/>
  <c r="CD33" i="185"/>
  <c r="CC33" i="185"/>
  <c r="CB33" i="185"/>
  <c r="CA33" i="185"/>
  <c r="BZ33" i="185"/>
  <c r="BY33" i="185"/>
  <c r="BV33" i="185"/>
  <c r="BU33" i="185"/>
  <c r="BT33" i="185"/>
  <c r="BR33" i="185"/>
  <c r="BQ33" i="185"/>
  <c r="BP33" i="185"/>
  <c r="BO33" i="185"/>
  <c r="BN33" i="185"/>
  <c r="BM33" i="185"/>
  <c r="BL33" i="185"/>
  <c r="BK33" i="185"/>
  <c r="BJ33" i="185"/>
  <c r="BI33" i="185"/>
  <c r="BH33" i="185"/>
  <c r="BG33" i="185"/>
  <c r="BE33" i="185"/>
  <c r="BD33" i="185"/>
  <c r="BC33" i="185"/>
  <c r="BB33" i="185"/>
  <c r="BA33" i="185"/>
  <c r="AZ33" i="185"/>
  <c r="AY33" i="185"/>
  <c r="AX33" i="185"/>
  <c r="AW33" i="185"/>
  <c r="AV33" i="185"/>
  <c r="AU33" i="185"/>
  <c r="AT33" i="185"/>
  <c r="AR33" i="185"/>
  <c r="AQ33" i="185"/>
  <c r="AP33" i="185"/>
  <c r="AO33" i="185"/>
  <c r="AN33" i="185"/>
  <c r="AM33" i="185"/>
  <c r="AL33" i="185"/>
  <c r="AK33" i="185"/>
  <c r="AJ33" i="185"/>
  <c r="AI33" i="185"/>
  <c r="AH33" i="185"/>
  <c r="AG33" i="185"/>
  <c r="AE33" i="185"/>
  <c r="AD33" i="185"/>
  <c r="AC33" i="185"/>
  <c r="AB33" i="185"/>
  <c r="AA33" i="185"/>
  <c r="Z33" i="185"/>
  <c r="Y33" i="185"/>
  <c r="X33" i="185"/>
  <c r="W33" i="185"/>
  <c r="V33" i="185"/>
  <c r="U33" i="185"/>
  <c r="T33" i="185"/>
  <c r="R33" i="185"/>
  <c r="Q33" i="185"/>
  <c r="O33" i="185"/>
  <c r="N33" i="185"/>
  <c r="M33" i="185"/>
  <c r="L33" i="185"/>
  <c r="K33" i="185"/>
  <c r="J33" i="185"/>
  <c r="I33" i="185"/>
  <c r="H33" i="185"/>
  <c r="G33" i="185"/>
  <c r="E33" i="185"/>
  <c r="D33" i="185"/>
  <c r="BX32" i="185"/>
  <c r="BW32" i="185"/>
  <c r="P32" i="185"/>
  <c r="P33" i="185" s="1"/>
  <c r="BX31" i="185"/>
  <c r="BW31" i="185"/>
  <c r="CJ25" i="185"/>
  <c r="CI25" i="185"/>
  <c r="CH25" i="185"/>
  <c r="CG25" i="185"/>
  <c r="CE25" i="185"/>
  <c r="CD25" i="185"/>
  <c r="CC25" i="185"/>
  <c r="CB25" i="185"/>
  <c r="CA25" i="185"/>
  <c r="BZ25" i="185"/>
  <c r="BY25" i="185"/>
  <c r="I25" i="185"/>
  <c r="D25" i="185"/>
  <c r="C25" i="185"/>
  <c r="CJ24" i="185"/>
  <c r="CI24" i="185"/>
  <c r="CH24" i="185"/>
  <c r="CG24" i="185"/>
  <c r="CE24" i="185"/>
  <c r="CD24" i="185"/>
  <c r="CC24" i="185"/>
  <c r="CB24" i="185"/>
  <c r="CA24" i="185"/>
  <c r="BZ24" i="185"/>
  <c r="BY24" i="185"/>
  <c r="BD24" i="185"/>
  <c r="L24" i="185"/>
  <c r="C24" i="185"/>
  <c r="CJ23" i="185"/>
  <c r="CI23" i="185"/>
  <c r="CH23" i="185"/>
  <c r="CG23" i="185"/>
  <c r="CE23" i="185"/>
  <c r="CD23" i="185"/>
  <c r="CC23" i="185"/>
  <c r="CB23" i="185"/>
  <c r="CA23" i="185"/>
  <c r="BZ23" i="185"/>
  <c r="BY23" i="185"/>
  <c r="AG23" i="185"/>
  <c r="X23" i="185"/>
  <c r="K23" i="185"/>
  <c r="J23" i="185"/>
  <c r="E23" i="185"/>
  <c r="D23" i="185"/>
  <c r="C23" i="185"/>
  <c r="BE21" i="185"/>
  <c r="BE29" i="185" s="1"/>
  <c r="BE36" i="185" s="1"/>
  <c r="BE43" i="185" s="1"/>
  <c r="BD21" i="185"/>
  <c r="BD29" i="185" s="1"/>
  <c r="BD36" i="185" s="1"/>
  <c r="BD43" i="185" s="1"/>
  <c r="BC21" i="185"/>
  <c r="BC29" i="185" s="1"/>
  <c r="BC36" i="185" s="1"/>
  <c r="BC43" i="185" s="1"/>
  <c r="BB21" i="185"/>
  <c r="BB29" i="185" s="1"/>
  <c r="BB36" i="185" s="1"/>
  <c r="BB43" i="185" s="1"/>
  <c r="BA21" i="185"/>
  <c r="BA29" i="185" s="1"/>
  <c r="BA36" i="185" s="1"/>
  <c r="BA43" i="185" s="1"/>
  <c r="AZ21" i="185"/>
  <c r="AZ29" i="185" s="1"/>
  <c r="AZ36" i="185" s="1"/>
  <c r="AZ43" i="185" s="1"/>
  <c r="AY21" i="185"/>
  <c r="AY29" i="185" s="1"/>
  <c r="AY36" i="185" s="1"/>
  <c r="AY43" i="185" s="1"/>
  <c r="AX21" i="185"/>
  <c r="AX29" i="185" s="1"/>
  <c r="AX36" i="185" s="1"/>
  <c r="AX43" i="185" s="1"/>
  <c r="AW21" i="185"/>
  <c r="AW29" i="185" s="1"/>
  <c r="AW36" i="185" s="1"/>
  <c r="AW43" i="185" s="1"/>
  <c r="AV21" i="185"/>
  <c r="AV29" i="185" s="1"/>
  <c r="AV36" i="185" s="1"/>
  <c r="AV43" i="185" s="1"/>
  <c r="AU21" i="185"/>
  <c r="AU29" i="185" s="1"/>
  <c r="AU36" i="185" s="1"/>
  <c r="AU43" i="185" s="1"/>
  <c r="AT21" i="185"/>
  <c r="AT29" i="185" s="1"/>
  <c r="AT36" i="185" s="1"/>
  <c r="AT43" i="185" s="1"/>
  <c r="AR21" i="185"/>
  <c r="AR29" i="185" s="1"/>
  <c r="AR36" i="185" s="1"/>
  <c r="AR43" i="185" s="1"/>
  <c r="AQ21" i="185"/>
  <c r="AQ29" i="185" s="1"/>
  <c r="AQ36" i="185" s="1"/>
  <c r="AQ43" i="185" s="1"/>
  <c r="AP21" i="185"/>
  <c r="AP29" i="185" s="1"/>
  <c r="AP36" i="185" s="1"/>
  <c r="AP43" i="185" s="1"/>
  <c r="AO21" i="185"/>
  <c r="AO29" i="185" s="1"/>
  <c r="AO36" i="185" s="1"/>
  <c r="AO43" i="185" s="1"/>
  <c r="AN21" i="185"/>
  <c r="AN29" i="185" s="1"/>
  <c r="AN36" i="185" s="1"/>
  <c r="AN43" i="185" s="1"/>
  <c r="AM21" i="185"/>
  <c r="AM29" i="185" s="1"/>
  <c r="AM36" i="185" s="1"/>
  <c r="AM43" i="185" s="1"/>
  <c r="AL21" i="185"/>
  <c r="AL29" i="185" s="1"/>
  <c r="AL36" i="185" s="1"/>
  <c r="AL43" i="185" s="1"/>
  <c r="AK21" i="185"/>
  <c r="AK29" i="185" s="1"/>
  <c r="AK36" i="185" s="1"/>
  <c r="AK43" i="185" s="1"/>
  <c r="AJ21" i="185"/>
  <c r="AJ29" i="185" s="1"/>
  <c r="AJ36" i="185" s="1"/>
  <c r="AJ43" i="185" s="1"/>
  <c r="AI21" i="185"/>
  <c r="AI29" i="185" s="1"/>
  <c r="AI36" i="185" s="1"/>
  <c r="AI43" i="185" s="1"/>
  <c r="AH21" i="185"/>
  <c r="AH29" i="185" s="1"/>
  <c r="AH36" i="185" s="1"/>
  <c r="AH43" i="185" s="1"/>
  <c r="AG21" i="185"/>
  <c r="AG29" i="185" s="1"/>
  <c r="AG36" i="185" s="1"/>
  <c r="AG43" i="185" s="1"/>
  <c r="AE21" i="185"/>
  <c r="AE29" i="185" s="1"/>
  <c r="AE36" i="185" s="1"/>
  <c r="AE43" i="185" s="1"/>
  <c r="AD21" i="185"/>
  <c r="AD29" i="185" s="1"/>
  <c r="AD36" i="185" s="1"/>
  <c r="AD43" i="185" s="1"/>
  <c r="AC21" i="185"/>
  <c r="AC29" i="185" s="1"/>
  <c r="AC36" i="185" s="1"/>
  <c r="AC43" i="185" s="1"/>
  <c r="AB21" i="185"/>
  <c r="AB29" i="185" s="1"/>
  <c r="AB36" i="185" s="1"/>
  <c r="AB43" i="185" s="1"/>
  <c r="AA21" i="185"/>
  <c r="AA29" i="185" s="1"/>
  <c r="AA36" i="185" s="1"/>
  <c r="AA43" i="185" s="1"/>
  <c r="Z21" i="185"/>
  <c r="Z29" i="185" s="1"/>
  <c r="Z36" i="185" s="1"/>
  <c r="Z43" i="185" s="1"/>
  <c r="Y21" i="185"/>
  <c r="Y29" i="185" s="1"/>
  <c r="Y36" i="185" s="1"/>
  <c r="Y43" i="185" s="1"/>
  <c r="X21" i="185"/>
  <c r="X29" i="185" s="1"/>
  <c r="X36" i="185" s="1"/>
  <c r="X43" i="185" s="1"/>
  <c r="W21" i="185"/>
  <c r="W29" i="185" s="1"/>
  <c r="W36" i="185" s="1"/>
  <c r="W43" i="185" s="1"/>
  <c r="V21" i="185"/>
  <c r="V29" i="185" s="1"/>
  <c r="V36" i="185" s="1"/>
  <c r="V43" i="185" s="1"/>
  <c r="U21" i="185"/>
  <c r="U29" i="185" s="1"/>
  <c r="U36" i="185" s="1"/>
  <c r="U43" i="185" s="1"/>
  <c r="T21" i="185"/>
  <c r="T29" i="185" s="1"/>
  <c r="T36" i="185" s="1"/>
  <c r="T43" i="185" s="1"/>
  <c r="R21" i="185"/>
  <c r="R29" i="185" s="1"/>
  <c r="R36" i="185" s="1"/>
  <c r="R43" i="185" s="1"/>
  <c r="Q21" i="185"/>
  <c r="Q29" i="185" s="1"/>
  <c r="Q36" i="185" s="1"/>
  <c r="Q43" i="185" s="1"/>
  <c r="P21" i="185"/>
  <c r="P29" i="185" s="1"/>
  <c r="P36" i="185" s="1"/>
  <c r="P43" i="185" s="1"/>
  <c r="O21" i="185"/>
  <c r="O29" i="185" s="1"/>
  <c r="O36" i="185" s="1"/>
  <c r="O43" i="185" s="1"/>
  <c r="N21" i="185"/>
  <c r="N29" i="185" s="1"/>
  <c r="N36" i="185" s="1"/>
  <c r="N43" i="185" s="1"/>
  <c r="M21" i="185"/>
  <c r="M29" i="185" s="1"/>
  <c r="M36" i="185" s="1"/>
  <c r="M43" i="185" s="1"/>
  <c r="L21" i="185"/>
  <c r="L29" i="185" s="1"/>
  <c r="L36" i="185" s="1"/>
  <c r="L43" i="185" s="1"/>
  <c r="K21" i="185"/>
  <c r="K29" i="185" s="1"/>
  <c r="K36" i="185" s="1"/>
  <c r="K43" i="185" s="1"/>
  <c r="J21" i="185"/>
  <c r="J29" i="185" s="1"/>
  <c r="J36" i="185" s="1"/>
  <c r="J43" i="185" s="1"/>
  <c r="I21" i="185"/>
  <c r="I29" i="185" s="1"/>
  <c r="I36" i="185" s="1"/>
  <c r="I43" i="185" s="1"/>
  <c r="H21" i="185"/>
  <c r="H29" i="185" s="1"/>
  <c r="H36" i="185" s="1"/>
  <c r="H43" i="185" s="1"/>
  <c r="G21" i="185"/>
  <c r="G29" i="185" s="1"/>
  <c r="G36" i="185" s="1"/>
  <c r="G43" i="185" s="1"/>
  <c r="E21" i="185"/>
  <c r="E29" i="185" s="1"/>
  <c r="E36" i="185" s="1"/>
  <c r="E43" i="185" s="1"/>
  <c r="D21" i="185"/>
  <c r="D29" i="185" s="1"/>
  <c r="D36" i="185" s="1"/>
  <c r="D43" i="185" s="1"/>
  <c r="C21" i="185"/>
  <c r="C29" i="185" s="1"/>
  <c r="C36" i="185" s="1"/>
  <c r="C43" i="185" s="1"/>
  <c r="CJ18" i="185"/>
  <c r="CI18" i="185"/>
  <c r="CH18" i="185"/>
  <c r="CG18" i="185"/>
  <c r="CE18" i="185"/>
  <c r="CD18" i="185"/>
  <c r="CC18" i="185"/>
  <c r="CB18" i="185"/>
  <c r="CA18" i="185"/>
  <c r="BZ18" i="185"/>
  <c r="BY18" i="185"/>
  <c r="BX17" i="185"/>
  <c r="BX25" i="185" s="1"/>
  <c r="BW17" i="185"/>
  <c r="BW25" i="185" s="1"/>
  <c r="BV17" i="185"/>
  <c r="BV25" i="185" s="1"/>
  <c r="BU17" i="185"/>
  <c r="BU25" i="185" s="1"/>
  <c r="BT17" i="185"/>
  <c r="BT25" i="185" s="1"/>
  <c r="BR17" i="185"/>
  <c r="BR25" i="185" s="1"/>
  <c r="BQ17" i="185"/>
  <c r="BQ25" i="185" s="1"/>
  <c r="BP17" i="185"/>
  <c r="BP25" i="185" s="1"/>
  <c r="BO17" i="185"/>
  <c r="BO25" i="185" s="1"/>
  <c r="BN17" i="185"/>
  <c r="BN25" i="185" s="1"/>
  <c r="BM17" i="185"/>
  <c r="BM25" i="185" s="1"/>
  <c r="BL17" i="185"/>
  <c r="BL25" i="185" s="1"/>
  <c r="BK17" i="185"/>
  <c r="BK25" i="185" s="1"/>
  <c r="BJ17" i="185"/>
  <c r="BJ25" i="185" s="1"/>
  <c r="BI17" i="185"/>
  <c r="BI25" i="185" s="1"/>
  <c r="BH17" i="185"/>
  <c r="BH25" i="185" s="1"/>
  <c r="BG17" i="185"/>
  <c r="BG25" i="185" s="1"/>
  <c r="BE17" i="185"/>
  <c r="BE25" i="185" s="1"/>
  <c r="BD17" i="185"/>
  <c r="BD25" i="185" s="1"/>
  <c r="BC17" i="185"/>
  <c r="BC25" i="185" s="1"/>
  <c r="BB17" i="185"/>
  <c r="BB25" i="185" s="1"/>
  <c r="BA17" i="185"/>
  <c r="BA25" i="185" s="1"/>
  <c r="AZ17" i="185"/>
  <c r="AZ25" i="185" s="1"/>
  <c r="AY17" i="185"/>
  <c r="AY25" i="185" s="1"/>
  <c r="AX17" i="185"/>
  <c r="AX25" i="185" s="1"/>
  <c r="AW17" i="185"/>
  <c r="AW25" i="185" s="1"/>
  <c r="AV17" i="185"/>
  <c r="AV25" i="185" s="1"/>
  <c r="AU17" i="185"/>
  <c r="AU25" i="185" s="1"/>
  <c r="AT17" i="185"/>
  <c r="AT25" i="185" s="1"/>
  <c r="AR17" i="185"/>
  <c r="AR25" i="185" s="1"/>
  <c r="AQ17" i="185"/>
  <c r="AQ25" i="185" s="1"/>
  <c r="AP17" i="185"/>
  <c r="AP25" i="185" s="1"/>
  <c r="AO17" i="185"/>
  <c r="AO25" i="185" s="1"/>
  <c r="AN17" i="185"/>
  <c r="AN25" i="185" s="1"/>
  <c r="AM17" i="185"/>
  <c r="AM25" i="185" s="1"/>
  <c r="AL17" i="185"/>
  <c r="AL25" i="185" s="1"/>
  <c r="AK17" i="185"/>
  <c r="AK25" i="185" s="1"/>
  <c r="AJ17" i="185"/>
  <c r="AI17" i="185"/>
  <c r="AI25" i="185" s="1"/>
  <c r="AH17" i="185"/>
  <c r="AH25" i="185" s="1"/>
  <c r="AG17" i="185"/>
  <c r="AG25" i="185" s="1"/>
  <c r="AE17" i="185"/>
  <c r="AE25" i="185" s="1"/>
  <c r="AD17" i="185"/>
  <c r="AD25" i="185" s="1"/>
  <c r="AC17" i="185"/>
  <c r="AC25" i="185" s="1"/>
  <c r="AB17" i="185"/>
  <c r="AB25" i="185" s="1"/>
  <c r="AA17" i="185"/>
  <c r="AA25" i="185" s="1"/>
  <c r="Z17" i="185"/>
  <c r="Z25" i="185" s="1"/>
  <c r="Y17" i="185"/>
  <c r="Y25" i="185" s="1"/>
  <c r="X17" i="185"/>
  <c r="X25" i="185" s="1"/>
  <c r="W17" i="185"/>
  <c r="W25" i="185" s="1"/>
  <c r="V17" i="185"/>
  <c r="V25" i="185" s="1"/>
  <c r="U17" i="185"/>
  <c r="U25" i="185" s="1"/>
  <c r="T17" i="185"/>
  <c r="T25" i="185" s="1"/>
  <c r="R17" i="185"/>
  <c r="R25" i="185" s="1"/>
  <c r="Q17" i="185"/>
  <c r="Q25" i="185" s="1"/>
  <c r="P17" i="185"/>
  <c r="P25" i="185" s="1"/>
  <c r="O17" i="185"/>
  <c r="O25" i="185" s="1"/>
  <c r="N17" i="185"/>
  <c r="N25" i="185" s="1"/>
  <c r="M17" i="185"/>
  <c r="M25" i="185" s="1"/>
  <c r="L17" i="185"/>
  <c r="L25" i="185" s="1"/>
  <c r="K17" i="185"/>
  <c r="K25" i="185" s="1"/>
  <c r="J17" i="185"/>
  <c r="H17" i="185"/>
  <c r="H25" i="185" s="1"/>
  <c r="G17" i="185"/>
  <c r="G25" i="185" s="1"/>
  <c r="E17" i="185"/>
  <c r="E25" i="185" s="1"/>
  <c r="BX16" i="185"/>
  <c r="BW16" i="185"/>
  <c r="BW24" i="185" s="1"/>
  <c r="BV16" i="185"/>
  <c r="BV24" i="185" s="1"/>
  <c r="BU16" i="185"/>
  <c r="BU24" i="185" s="1"/>
  <c r="BT16" i="185"/>
  <c r="BT24" i="185" s="1"/>
  <c r="BR16" i="185"/>
  <c r="BR24" i="185" s="1"/>
  <c r="BQ16" i="185"/>
  <c r="BQ24" i="185" s="1"/>
  <c r="BP16" i="185"/>
  <c r="BP24" i="185" s="1"/>
  <c r="BO16" i="185"/>
  <c r="BO24" i="185" s="1"/>
  <c r="BN16" i="185"/>
  <c r="BN24" i="185" s="1"/>
  <c r="BM16" i="185"/>
  <c r="BM24" i="185" s="1"/>
  <c r="BL16" i="185"/>
  <c r="BL24" i="185" s="1"/>
  <c r="BK16" i="185"/>
  <c r="BK24" i="185" s="1"/>
  <c r="BJ16" i="185"/>
  <c r="BJ24" i="185" s="1"/>
  <c r="BI16" i="185"/>
  <c r="BI24" i="185" s="1"/>
  <c r="BH16" i="185"/>
  <c r="BH24" i="185" s="1"/>
  <c r="BG16" i="185"/>
  <c r="BG24" i="185" s="1"/>
  <c r="BE16" i="185"/>
  <c r="BE24" i="185" s="1"/>
  <c r="BC16" i="185"/>
  <c r="BC24" i="185" s="1"/>
  <c r="BB16" i="185"/>
  <c r="BB24" i="185" s="1"/>
  <c r="BA16" i="185"/>
  <c r="BA24" i="185" s="1"/>
  <c r="AZ16" i="185"/>
  <c r="AZ24" i="185" s="1"/>
  <c r="AY16" i="185"/>
  <c r="AY24" i="185" s="1"/>
  <c r="AX16" i="185"/>
  <c r="AX24" i="185" s="1"/>
  <c r="AW16" i="185"/>
  <c r="AW24" i="185" s="1"/>
  <c r="AV16" i="185"/>
  <c r="AV24" i="185" s="1"/>
  <c r="AU16" i="185"/>
  <c r="AU24" i="185" s="1"/>
  <c r="AT16" i="185"/>
  <c r="AT24" i="185" s="1"/>
  <c r="AR16" i="185"/>
  <c r="AR24" i="185" s="1"/>
  <c r="AQ16" i="185"/>
  <c r="AQ24" i="185" s="1"/>
  <c r="AP16" i="185"/>
  <c r="AP24" i="185" s="1"/>
  <c r="AO16" i="185"/>
  <c r="AO24" i="185" s="1"/>
  <c r="AN16" i="185"/>
  <c r="AN24" i="185" s="1"/>
  <c r="AM16" i="185"/>
  <c r="AM24" i="185" s="1"/>
  <c r="AL16" i="185"/>
  <c r="AL24" i="185" s="1"/>
  <c r="AK16" i="185"/>
  <c r="AK24" i="185" s="1"/>
  <c r="AJ16" i="185"/>
  <c r="AJ24" i="185" s="1"/>
  <c r="AI16" i="185"/>
  <c r="AH16" i="185"/>
  <c r="AH24" i="185" s="1"/>
  <c r="AG16" i="185"/>
  <c r="AG24" i="185" s="1"/>
  <c r="AE16" i="185"/>
  <c r="AE24" i="185" s="1"/>
  <c r="AD16" i="185"/>
  <c r="AD24" i="185" s="1"/>
  <c r="AC16" i="185"/>
  <c r="AC24" i="185" s="1"/>
  <c r="AB16" i="185"/>
  <c r="AB24" i="185" s="1"/>
  <c r="AA16" i="185"/>
  <c r="AA24" i="185" s="1"/>
  <c r="Z16" i="185"/>
  <c r="Y16" i="185"/>
  <c r="Y24" i="185" s="1"/>
  <c r="X16" i="185"/>
  <c r="X24" i="185" s="1"/>
  <c r="W16" i="185"/>
  <c r="W24" i="185" s="1"/>
  <c r="V16" i="185"/>
  <c r="V24" i="185" s="1"/>
  <c r="U16" i="185"/>
  <c r="U24" i="185" s="1"/>
  <c r="T16" i="185"/>
  <c r="T24" i="185" s="1"/>
  <c r="R16" i="185"/>
  <c r="Q16" i="185"/>
  <c r="Q24" i="185" s="1"/>
  <c r="P16" i="185"/>
  <c r="P24" i="185" s="1"/>
  <c r="O16" i="185"/>
  <c r="O24" i="185" s="1"/>
  <c r="N16" i="185"/>
  <c r="N24" i="185" s="1"/>
  <c r="M16" i="185"/>
  <c r="M24" i="185" s="1"/>
  <c r="K16" i="185"/>
  <c r="K24" i="185" s="1"/>
  <c r="J16" i="185"/>
  <c r="J24" i="185" s="1"/>
  <c r="I16" i="185"/>
  <c r="I24" i="185" s="1"/>
  <c r="H16" i="185"/>
  <c r="H24" i="185" s="1"/>
  <c r="G16" i="185"/>
  <c r="E16" i="185"/>
  <c r="E24" i="185" s="1"/>
  <c r="BX15" i="185"/>
  <c r="BX23" i="185" s="1"/>
  <c r="BW15" i="185"/>
  <c r="BW23" i="185" s="1"/>
  <c r="BV15" i="185"/>
  <c r="BU15" i="185"/>
  <c r="BU23" i="185" s="1"/>
  <c r="BT15" i="185"/>
  <c r="BT23" i="185" s="1"/>
  <c r="BR15" i="185"/>
  <c r="BR23" i="185" s="1"/>
  <c r="BQ15" i="185"/>
  <c r="BP15" i="185"/>
  <c r="BO15" i="185"/>
  <c r="BO23" i="185" s="1"/>
  <c r="BN15" i="185"/>
  <c r="BM15" i="185"/>
  <c r="BM23" i="185" s="1"/>
  <c r="BL15" i="185"/>
  <c r="BL23" i="185" s="1"/>
  <c r="BK15" i="185"/>
  <c r="BK23" i="185" s="1"/>
  <c r="BJ15" i="185"/>
  <c r="BI15" i="185"/>
  <c r="BI23" i="185" s="1"/>
  <c r="BH15" i="185"/>
  <c r="BG15" i="185"/>
  <c r="BG23" i="185" s="1"/>
  <c r="BE15" i="185"/>
  <c r="BE23" i="185" s="1"/>
  <c r="BD15" i="185"/>
  <c r="BD23" i="185" s="1"/>
  <c r="BC15" i="185"/>
  <c r="BC23" i="185" s="1"/>
  <c r="BB15" i="185"/>
  <c r="BB23" i="185" s="1"/>
  <c r="BA15" i="185"/>
  <c r="BA23" i="185" s="1"/>
  <c r="AZ15" i="185"/>
  <c r="AY15" i="185"/>
  <c r="AX15" i="185"/>
  <c r="AX23" i="185" s="1"/>
  <c r="AW15" i="185"/>
  <c r="AW23" i="185" s="1"/>
  <c r="AV15" i="185"/>
  <c r="AU15" i="185"/>
  <c r="AT15" i="185"/>
  <c r="AT23" i="185" s="1"/>
  <c r="AR15" i="185"/>
  <c r="AQ15" i="185"/>
  <c r="AQ23" i="185" s="1"/>
  <c r="AP15" i="185"/>
  <c r="AO15" i="185"/>
  <c r="AO23" i="185" s="1"/>
  <c r="AN15" i="185"/>
  <c r="AN23" i="185" s="1"/>
  <c r="AM15" i="185"/>
  <c r="AM23" i="185" s="1"/>
  <c r="AL15" i="185"/>
  <c r="AK15" i="185"/>
  <c r="AJ15" i="185"/>
  <c r="AJ23" i="185" s="1"/>
  <c r="AI15" i="185"/>
  <c r="AI23" i="185" s="1"/>
  <c r="AH15" i="185"/>
  <c r="AH23" i="185" s="1"/>
  <c r="AE15" i="185"/>
  <c r="AE23" i="185" s="1"/>
  <c r="AD15" i="185"/>
  <c r="AC15" i="185"/>
  <c r="AC23" i="185" s="1"/>
  <c r="AB15" i="185"/>
  <c r="AB23" i="185" s="1"/>
  <c r="AA15" i="185"/>
  <c r="Z15" i="185"/>
  <c r="Z23" i="185" s="1"/>
  <c r="Y15" i="185"/>
  <c r="Y23" i="185" s="1"/>
  <c r="W15" i="185"/>
  <c r="V15" i="185"/>
  <c r="V18" i="185" s="1"/>
  <c r="V26" i="185" s="1"/>
  <c r="U15" i="185"/>
  <c r="U23" i="185" s="1"/>
  <c r="T15" i="185"/>
  <c r="R15" i="185"/>
  <c r="R23" i="185" s="1"/>
  <c r="Q15" i="185"/>
  <c r="P15" i="185"/>
  <c r="O15" i="185"/>
  <c r="O23" i="185" s="1"/>
  <c r="N15" i="185"/>
  <c r="N23" i="185" s="1"/>
  <c r="M15" i="185"/>
  <c r="L15" i="185"/>
  <c r="L23" i="185" s="1"/>
  <c r="I15" i="185"/>
  <c r="I23" i="185" s="1"/>
  <c r="H15" i="185"/>
  <c r="H23" i="185" s="1"/>
  <c r="G15" i="185"/>
  <c r="G23" i="185" s="1"/>
  <c r="BE13" i="185"/>
  <c r="BD13" i="185"/>
  <c r="BC13" i="185"/>
  <c r="BB13" i="185"/>
  <c r="BA13" i="185"/>
  <c r="AZ13" i="185"/>
  <c r="AY13" i="185"/>
  <c r="AX13" i="185"/>
  <c r="AW13" i="185"/>
  <c r="AV13" i="185"/>
  <c r="AU13" i="185"/>
  <c r="AT13" i="185"/>
  <c r="AR13" i="185"/>
  <c r="AQ13" i="185"/>
  <c r="AP13" i="185"/>
  <c r="AO13" i="185"/>
  <c r="AN13" i="185"/>
  <c r="AM13" i="185"/>
  <c r="AL13" i="185"/>
  <c r="AK13" i="185"/>
  <c r="AJ13" i="185"/>
  <c r="AI13" i="185"/>
  <c r="AH13" i="185"/>
  <c r="AG13" i="185"/>
  <c r="AE13" i="185"/>
  <c r="AD13" i="185"/>
  <c r="AC13" i="185"/>
  <c r="AB13" i="185"/>
  <c r="AA13" i="185"/>
  <c r="Z13" i="185"/>
  <c r="Y13" i="185"/>
  <c r="X13" i="185"/>
  <c r="W13" i="185"/>
  <c r="V13" i="185"/>
  <c r="U13" i="185"/>
  <c r="T13" i="185"/>
  <c r="R13" i="185"/>
  <c r="Q13" i="185"/>
  <c r="P13" i="185"/>
  <c r="O13" i="185"/>
  <c r="N13" i="185"/>
  <c r="M13" i="185"/>
  <c r="L13" i="185"/>
  <c r="K13" i="185"/>
  <c r="J13" i="185"/>
  <c r="I13" i="185"/>
  <c r="E13" i="185"/>
  <c r="D13" i="185"/>
  <c r="C12" i="185"/>
  <c r="CJ10" i="185"/>
  <c r="CI10" i="185"/>
  <c r="CH10" i="185"/>
  <c r="CG10" i="185"/>
  <c r="CE10" i="185"/>
  <c r="CD10" i="185"/>
  <c r="CC10" i="185"/>
  <c r="CB10" i="185"/>
  <c r="CA10" i="185"/>
  <c r="BZ10" i="185"/>
  <c r="BY10" i="185"/>
  <c r="BX10" i="185"/>
  <c r="BW10" i="185"/>
  <c r="BV10" i="185"/>
  <c r="BU10" i="185"/>
  <c r="BT10" i="185"/>
  <c r="BR10" i="185"/>
  <c r="BQ10" i="185"/>
  <c r="BP10" i="185"/>
  <c r="BO10" i="185"/>
  <c r="BN10" i="185"/>
  <c r="BM10" i="185"/>
  <c r="BL10" i="185"/>
  <c r="BK10" i="185"/>
  <c r="BJ10" i="185"/>
  <c r="BI10" i="185"/>
  <c r="BH10" i="185"/>
  <c r="BG10" i="185"/>
  <c r="BE10" i="185"/>
  <c r="BD10" i="185"/>
  <c r="BC10" i="185"/>
  <c r="BB10" i="185"/>
  <c r="BA10" i="185"/>
  <c r="AZ10" i="185"/>
  <c r="AY10" i="185"/>
  <c r="AX10" i="185"/>
  <c r="AW10" i="185"/>
  <c r="AV10" i="185"/>
  <c r="AU10" i="185"/>
  <c r="AT10" i="185"/>
  <c r="AR10" i="185"/>
  <c r="AQ10" i="185"/>
  <c r="AP10" i="185"/>
  <c r="AO10" i="185"/>
  <c r="AN10" i="185"/>
  <c r="AM10" i="185"/>
  <c r="AL10" i="185"/>
  <c r="AK10" i="185"/>
  <c r="AJ10" i="185"/>
  <c r="AI10" i="185"/>
  <c r="AH10" i="185"/>
  <c r="AG10" i="185"/>
  <c r="AE10" i="185"/>
  <c r="AD10" i="185"/>
  <c r="AC10" i="185"/>
  <c r="AB10" i="185"/>
  <c r="AA10" i="185"/>
  <c r="Z10" i="185"/>
  <c r="Y10" i="185"/>
  <c r="X10" i="185"/>
  <c r="X26" i="185" s="1"/>
  <c r="W10" i="185"/>
  <c r="U10" i="185"/>
  <c r="T10" i="185"/>
  <c r="R10" i="185"/>
  <c r="Q10" i="185"/>
  <c r="P10" i="185"/>
  <c r="O10" i="185"/>
  <c r="N10" i="185"/>
  <c r="M10" i="185"/>
  <c r="L10" i="185"/>
  <c r="K10" i="185"/>
  <c r="J10" i="185"/>
  <c r="I10" i="185"/>
  <c r="H10" i="185"/>
  <c r="G10" i="185"/>
  <c r="E10" i="185"/>
  <c r="D10" i="185"/>
  <c r="BW56" i="188"/>
  <c r="AA56" i="188" s="1"/>
  <c r="BV56" i="188"/>
  <c r="BU56" i="188"/>
  <c r="BT56" i="188"/>
  <c r="BS56" i="188"/>
  <c r="BR56" i="188"/>
  <c r="BQ56" i="188"/>
  <c r="BP56" i="188"/>
  <c r="BO56" i="188"/>
  <c r="BN56" i="188"/>
  <c r="BM56" i="188"/>
  <c r="BL56" i="188"/>
  <c r="BK56" i="188"/>
  <c r="BJ56" i="188"/>
  <c r="BI56" i="188"/>
  <c r="BH56" i="188"/>
  <c r="BG56" i="188"/>
  <c r="BF56" i="188"/>
  <c r="BE56" i="188"/>
  <c r="BD56" i="188"/>
  <c r="BC56" i="188"/>
  <c r="BB56" i="188"/>
  <c r="BA56" i="188"/>
  <c r="AZ56" i="188"/>
  <c r="P56" i="188"/>
  <c r="N56" i="188"/>
  <c r="M56" i="188"/>
  <c r="L56" i="188"/>
  <c r="K56" i="188"/>
  <c r="BW55" i="188"/>
  <c r="AA55" i="188" s="1"/>
  <c r="BV55" i="188"/>
  <c r="BU55" i="188"/>
  <c r="BT55" i="188"/>
  <c r="BR55" i="188"/>
  <c r="BQ55" i="188"/>
  <c r="BP55" i="188"/>
  <c r="BO55" i="188"/>
  <c r="BN55" i="188"/>
  <c r="BM55" i="188"/>
  <c r="BL55" i="188"/>
  <c r="BK55" i="188"/>
  <c r="BJ55" i="188"/>
  <c r="BI55" i="188"/>
  <c r="BH55" i="188"/>
  <c r="BG55" i="188"/>
  <c r="BF55" i="188"/>
  <c r="BE55" i="188"/>
  <c r="BD55" i="188"/>
  <c r="BC55" i="188"/>
  <c r="BB55" i="188"/>
  <c r="BA55" i="188"/>
  <c r="AZ55" i="188"/>
  <c r="P55" i="188"/>
  <c r="N55" i="188"/>
  <c r="M55" i="188"/>
  <c r="L55" i="188"/>
  <c r="K55" i="188"/>
  <c r="BW54" i="188"/>
  <c r="AA54" i="188" s="1"/>
  <c r="BV54" i="188"/>
  <c r="BU54" i="188"/>
  <c r="BT54" i="188"/>
  <c r="BS54" i="188"/>
  <c r="BR54" i="188"/>
  <c r="BQ54" i="188"/>
  <c r="BP54" i="188"/>
  <c r="BO54" i="188"/>
  <c r="BN54" i="188"/>
  <c r="BM54" i="188"/>
  <c r="BL54" i="188"/>
  <c r="BK54" i="188"/>
  <c r="BJ54" i="188"/>
  <c r="BI54" i="188"/>
  <c r="BH54" i="188"/>
  <c r="BG54" i="188"/>
  <c r="BW53" i="188"/>
  <c r="AA53" i="188" s="1"/>
  <c r="BV53" i="188"/>
  <c r="BU53" i="188"/>
  <c r="BT53" i="188"/>
  <c r="BS53" i="188"/>
  <c r="BR53" i="188"/>
  <c r="BQ53" i="188"/>
  <c r="BP53" i="188"/>
  <c r="BO53" i="188"/>
  <c r="BN53" i="188"/>
  <c r="BM53" i="188"/>
  <c r="BL53" i="188"/>
  <c r="BK53" i="188"/>
  <c r="BJ53" i="188"/>
  <c r="BI53" i="188"/>
  <c r="BH53" i="188"/>
  <c r="BG53" i="188"/>
  <c r="S53" i="188" s="1"/>
  <c r="R53" i="188"/>
  <c r="Q53" i="188"/>
  <c r="P53" i="188"/>
  <c r="N53" i="188"/>
  <c r="M53" i="188"/>
  <c r="L53" i="188"/>
  <c r="K53" i="188"/>
  <c r="BW52" i="188"/>
  <c r="AA52" i="188" s="1"/>
  <c r="BV52" i="188"/>
  <c r="BU52" i="188"/>
  <c r="BT52" i="188"/>
  <c r="BS52" i="188"/>
  <c r="BR52" i="188"/>
  <c r="BQ52" i="188"/>
  <c r="BP52" i="188"/>
  <c r="BO52" i="188"/>
  <c r="BN52" i="188"/>
  <c r="BM52" i="188"/>
  <c r="BL52" i="188"/>
  <c r="BK52" i="188"/>
  <c r="BJ52" i="188"/>
  <c r="BI52" i="188"/>
  <c r="BH52" i="188"/>
  <c r="BG52" i="188"/>
  <c r="BF52" i="188"/>
  <c r="BE52" i="188"/>
  <c r="BD52" i="188"/>
  <c r="BC52" i="188"/>
  <c r="BB52" i="188"/>
  <c r="BA52" i="188"/>
  <c r="AZ52" i="188"/>
  <c r="P52" i="188"/>
  <c r="N52" i="188"/>
  <c r="M52" i="188"/>
  <c r="L52" i="188"/>
  <c r="K52" i="188"/>
  <c r="ED50" i="188"/>
  <c r="EC50" i="188"/>
  <c r="EB50" i="188"/>
  <c r="EA50" i="188"/>
  <c r="DZ50" i="188"/>
  <c r="DY50" i="188"/>
  <c r="DX50" i="188"/>
  <c r="DW50" i="188"/>
  <c r="DV50" i="188"/>
  <c r="DU50" i="188"/>
  <c r="DT50" i="188"/>
  <c r="DS50" i="188"/>
  <c r="DR50" i="188"/>
  <c r="DQ50" i="188"/>
  <c r="DP50" i="188"/>
  <c r="DO50" i="188"/>
  <c r="DN50" i="188"/>
  <c r="DM50" i="188"/>
  <c r="DL50" i="188"/>
  <c r="DK50" i="188"/>
  <c r="DJ50" i="188"/>
  <c r="DI50" i="188"/>
  <c r="DH50" i="188"/>
  <c r="DG50" i="188"/>
  <c r="DF50" i="188"/>
  <c r="BW50" i="188"/>
  <c r="BV50" i="188"/>
  <c r="BU50" i="188"/>
  <c r="BT50" i="188"/>
  <c r="BS50" i="188"/>
  <c r="BR50" i="188"/>
  <c r="BQ50" i="188"/>
  <c r="BP50" i="188"/>
  <c r="BO50" i="188"/>
  <c r="BN50" i="188"/>
  <c r="BM50" i="188"/>
  <c r="BL50" i="188"/>
  <c r="BK50" i="188"/>
  <c r="BJ50" i="188"/>
  <c r="BI50" i="188"/>
  <c r="BH50" i="188"/>
  <c r="BG50" i="188"/>
  <c r="BF50" i="188"/>
  <c r="BE50" i="188"/>
  <c r="BC50" i="188"/>
  <c r="BB50" i="188"/>
  <c r="BA50" i="188"/>
  <c r="AZ50" i="188"/>
  <c r="AY50" i="188"/>
  <c r="AV50" i="188"/>
  <c r="AU50" i="188"/>
  <c r="AT50" i="188"/>
  <c r="AS50" i="188"/>
  <c r="AR50" i="188"/>
  <c r="AQ50" i="188"/>
  <c r="AP50" i="188"/>
  <c r="AO50" i="188"/>
  <c r="AN50" i="188"/>
  <c r="AM50" i="188"/>
  <c r="AL50" i="188"/>
  <c r="AK50" i="188"/>
  <c r="AJ50" i="188"/>
  <c r="BD48" i="188"/>
  <c r="BD50" i="188" s="1"/>
  <c r="X48" i="188"/>
  <c r="W48" i="188"/>
  <c r="V48" i="188"/>
  <c r="U48" i="188"/>
  <c r="S48" i="188"/>
  <c r="Q48" i="188"/>
  <c r="P48" i="188"/>
  <c r="N48" i="188"/>
  <c r="M48" i="188"/>
  <c r="L48" i="188"/>
  <c r="K48" i="188"/>
  <c r="AX47" i="188"/>
  <c r="AW47" i="188"/>
  <c r="X47" i="188"/>
  <c r="W47" i="188"/>
  <c r="V47" i="188"/>
  <c r="U47" i="188"/>
  <c r="S47" i="188"/>
  <c r="R47" i="188"/>
  <c r="Q47" i="188"/>
  <c r="N47" i="188"/>
  <c r="M47" i="188"/>
  <c r="L47" i="188"/>
  <c r="K47" i="188"/>
  <c r="AX46" i="188"/>
  <c r="AW46" i="188"/>
  <c r="X46" i="188"/>
  <c r="W46" i="188"/>
  <c r="V46" i="188"/>
  <c r="U46" i="188"/>
  <c r="S46" i="188"/>
  <c r="R46" i="188"/>
  <c r="Q46" i="188"/>
  <c r="N46" i="188"/>
  <c r="M46" i="188"/>
  <c r="L46" i="188"/>
  <c r="K46" i="188"/>
  <c r="AX45" i="188"/>
  <c r="AW45" i="188"/>
  <c r="X45" i="188"/>
  <c r="W45" i="188"/>
  <c r="V45" i="188"/>
  <c r="U45" i="188"/>
  <c r="S45" i="188"/>
  <c r="R45" i="188"/>
  <c r="Q45" i="188"/>
  <c r="N45" i="188"/>
  <c r="M45" i="188"/>
  <c r="L45" i="188"/>
  <c r="K45" i="188"/>
  <c r="ED35" i="188"/>
  <c r="EC35" i="188"/>
  <c r="EB35" i="188"/>
  <c r="EA35" i="188"/>
  <c r="DZ35" i="188"/>
  <c r="DY35" i="188"/>
  <c r="DX35" i="188"/>
  <c r="DW35" i="188"/>
  <c r="DV35" i="188"/>
  <c r="DU35" i="188"/>
  <c r="DT35" i="188"/>
  <c r="DS35" i="188"/>
  <c r="DF35" i="188"/>
  <c r="BW35" i="188"/>
  <c r="BQ35" i="188"/>
  <c r="BM35" i="188"/>
  <c r="Z35" i="188" s="1"/>
  <c r="BL35" i="188"/>
  <c r="BK35" i="188"/>
  <c r="BJ35" i="188"/>
  <c r="BI35" i="188"/>
  <c r="BH35" i="188"/>
  <c r="BG35" i="188"/>
  <c r="BF35" i="188"/>
  <c r="BE35" i="188"/>
  <c r="BD35" i="188"/>
  <c r="BC35" i="188"/>
  <c r="BB35" i="188"/>
  <c r="BA35" i="188"/>
  <c r="AZ35" i="188"/>
  <c r="AY35" i="188"/>
  <c r="AW35" i="188"/>
  <c r="AV35" i="188"/>
  <c r="AU35" i="188"/>
  <c r="AT35" i="188"/>
  <c r="AS35" i="188"/>
  <c r="AR35" i="188"/>
  <c r="AQ35" i="188"/>
  <c r="AP35" i="188"/>
  <c r="AO35" i="188"/>
  <c r="AN35" i="188"/>
  <c r="AM35" i="188"/>
  <c r="AL35" i="188"/>
  <c r="AK35" i="188"/>
  <c r="AJ35" i="188"/>
  <c r="W35" i="188"/>
  <c r="DR34" i="188"/>
  <c r="DR40" i="188" s="1"/>
  <c r="DQ34" i="188"/>
  <c r="DQ40" i="188" s="1"/>
  <c r="DP34" i="188"/>
  <c r="DP40" i="188" s="1"/>
  <c r="DO34" i="188"/>
  <c r="DN34" i="188"/>
  <c r="DN40" i="188" s="1"/>
  <c r="DM34" i="188"/>
  <c r="DM40" i="188" s="1"/>
  <c r="DL34" i="188"/>
  <c r="DL40" i="188" s="1"/>
  <c r="DK34" i="188"/>
  <c r="DK40" i="188" s="1"/>
  <c r="DJ34" i="188"/>
  <c r="DJ40" i="188" s="1"/>
  <c r="DI34" i="188"/>
  <c r="DI40" i="188" s="1"/>
  <c r="DH34" i="188"/>
  <c r="DH40" i="188" s="1"/>
  <c r="DG34" i="188"/>
  <c r="DG40" i="188" s="1"/>
  <c r="DF34" i="188"/>
  <c r="DF40" i="188" s="1"/>
  <c r="AX34" i="188"/>
  <c r="AX40" i="188" s="1"/>
  <c r="AW34" i="188"/>
  <c r="AW40" i="188" s="1"/>
  <c r="AV34" i="188"/>
  <c r="AU34" i="188"/>
  <c r="AU40" i="188" s="1"/>
  <c r="AT34" i="188"/>
  <c r="AT40" i="188" s="1"/>
  <c r="AS34" i="188"/>
  <c r="AR34" i="188"/>
  <c r="AR40" i="188" s="1"/>
  <c r="AQ34" i="188"/>
  <c r="AQ40" i="188" s="1"/>
  <c r="AP34" i="188"/>
  <c r="AO34" i="188"/>
  <c r="AO40" i="188" s="1"/>
  <c r="AN34" i="188"/>
  <c r="AN40" i="188" s="1"/>
  <c r="AM34" i="188"/>
  <c r="AM40" i="188" s="1"/>
  <c r="AL34" i="188"/>
  <c r="AL40" i="188" s="1"/>
  <c r="AK34" i="188"/>
  <c r="AK40" i="188" s="1"/>
  <c r="AJ34" i="188"/>
  <c r="DR33" i="188"/>
  <c r="DR39" i="188" s="1"/>
  <c r="DQ33" i="188"/>
  <c r="DQ39" i="188" s="1"/>
  <c r="DP33" i="188"/>
  <c r="DP39" i="188" s="1"/>
  <c r="DO33" i="188"/>
  <c r="DO39" i="188" s="1"/>
  <c r="DN33" i="188"/>
  <c r="DN39" i="188" s="1"/>
  <c r="DM33" i="188"/>
  <c r="DL33" i="188"/>
  <c r="DL39" i="188" s="1"/>
  <c r="DK33" i="188"/>
  <c r="DK39" i="188" s="1"/>
  <c r="DJ33" i="188"/>
  <c r="DI33" i="188"/>
  <c r="DI39" i="188" s="1"/>
  <c r="DH33" i="188"/>
  <c r="DG33" i="188"/>
  <c r="DG39" i="188" s="1"/>
  <c r="DF33" i="188"/>
  <c r="DF39" i="188" s="1"/>
  <c r="AY33" i="188"/>
  <c r="AY39" i="188" s="1"/>
  <c r="AX33" i="188"/>
  <c r="AX39" i="188" s="1"/>
  <c r="AW33" i="188"/>
  <c r="AV33" i="188"/>
  <c r="AU33" i="188"/>
  <c r="AU39" i="188" s="1"/>
  <c r="AT33" i="188"/>
  <c r="AT39" i="188" s="1"/>
  <c r="AS33" i="188"/>
  <c r="AS39" i="188" s="1"/>
  <c r="AR33" i="188"/>
  <c r="AR39" i="188" s="1"/>
  <c r="AQ33" i="188"/>
  <c r="AQ39" i="188" s="1"/>
  <c r="AP33" i="188"/>
  <c r="AP39" i="188" s="1"/>
  <c r="AO33" i="188"/>
  <c r="AO39" i="188" s="1"/>
  <c r="AN33" i="188"/>
  <c r="AN39" i="188" s="1"/>
  <c r="AM33" i="188"/>
  <c r="AL33" i="188"/>
  <c r="AL39" i="188" s="1"/>
  <c r="AJ33" i="188"/>
  <c r="ED32" i="188"/>
  <c r="ED38" i="188" s="1"/>
  <c r="EC32" i="188"/>
  <c r="EC38" i="188" s="1"/>
  <c r="EB32" i="188"/>
  <c r="EB38" i="188" s="1"/>
  <c r="EA32" i="188"/>
  <c r="DZ32" i="188"/>
  <c r="DZ38" i="188" s="1"/>
  <c r="DY32" i="188"/>
  <c r="DY38" i="188" s="1"/>
  <c r="DX32" i="188"/>
  <c r="DW32" i="188"/>
  <c r="DV32" i="188"/>
  <c r="DV38" i="188" s="1"/>
  <c r="DU32" i="188"/>
  <c r="DU38" i="188" s="1"/>
  <c r="DT32" i="188"/>
  <c r="DS32" i="188"/>
  <c r="DS38" i="188" s="1"/>
  <c r="DR32" i="188"/>
  <c r="DR38" i="188" s="1"/>
  <c r="DQ32" i="188"/>
  <c r="DP32" i="188"/>
  <c r="DP38" i="188" s="1"/>
  <c r="DO32" i="188"/>
  <c r="DO38" i="188" s="1"/>
  <c r="DN32" i="188"/>
  <c r="DM32" i="188"/>
  <c r="DM38" i="188" s="1"/>
  <c r="DL32" i="188"/>
  <c r="DK32" i="188"/>
  <c r="DK38" i="188" s="1"/>
  <c r="DJ32" i="188"/>
  <c r="DJ38" i="188" s="1"/>
  <c r="DI32" i="188"/>
  <c r="DI38" i="188" s="1"/>
  <c r="DH32" i="188"/>
  <c r="DH38" i="188" s="1"/>
  <c r="DG32" i="188"/>
  <c r="DF32" i="188"/>
  <c r="AY32" i="188"/>
  <c r="AY38" i="188" s="1"/>
  <c r="AX32" i="188"/>
  <c r="AX38" i="188" s="1"/>
  <c r="AW32" i="188"/>
  <c r="AV32" i="188"/>
  <c r="AV38" i="188" s="1"/>
  <c r="AU32" i="188"/>
  <c r="AT32" i="188"/>
  <c r="AT38" i="188" s="1"/>
  <c r="AS32" i="188"/>
  <c r="AR32" i="188"/>
  <c r="AQ32" i="188"/>
  <c r="AQ38" i="188" s="1"/>
  <c r="AP32" i="188"/>
  <c r="AO32" i="188"/>
  <c r="AN32" i="188"/>
  <c r="AM32" i="188"/>
  <c r="AL32" i="188"/>
  <c r="AK32" i="188"/>
  <c r="AK38" i="188" s="1"/>
  <c r="AJ32" i="188"/>
  <c r="AJ38" i="188" s="1"/>
  <c r="BV29" i="188"/>
  <c r="Z29" i="188" s="1"/>
  <c r="I29" i="188" s="1"/>
  <c r="AX29" i="188"/>
  <c r="P29" i="188" s="1"/>
  <c r="X29" i="188"/>
  <c r="W29" i="188"/>
  <c r="V29" i="188"/>
  <c r="U29" i="188"/>
  <c r="S29" i="188"/>
  <c r="R29" i="188"/>
  <c r="Q29" i="188"/>
  <c r="N29" i="188"/>
  <c r="M29" i="188"/>
  <c r="L29" i="188"/>
  <c r="K29" i="188"/>
  <c r="BW28" i="188"/>
  <c r="AA28" i="188" s="1"/>
  <c r="BV28" i="188"/>
  <c r="BU28" i="188"/>
  <c r="BT28" i="188"/>
  <c r="BS28" i="188"/>
  <c r="BR28" i="188"/>
  <c r="BQ28" i="188"/>
  <c r="BP28" i="188"/>
  <c r="BO28" i="188"/>
  <c r="BN28" i="188"/>
  <c r="BM28" i="188"/>
  <c r="BL28" i="188"/>
  <c r="BK28" i="188"/>
  <c r="BJ28" i="188"/>
  <c r="BI28" i="188"/>
  <c r="BH28" i="188"/>
  <c r="BG28" i="188"/>
  <c r="BF28" i="188"/>
  <c r="BE28" i="188"/>
  <c r="BD28" i="188"/>
  <c r="BC28" i="188"/>
  <c r="BB28" i="188"/>
  <c r="BA28" i="188"/>
  <c r="AZ28" i="188"/>
  <c r="P28" i="188"/>
  <c r="N28" i="188"/>
  <c r="M28" i="188"/>
  <c r="L28" i="188"/>
  <c r="K28" i="188"/>
  <c r="BW27" i="188"/>
  <c r="AA27" i="188" s="1"/>
  <c r="BV27" i="188"/>
  <c r="BU27" i="188"/>
  <c r="BT27" i="188"/>
  <c r="BS27" i="188"/>
  <c r="BR27" i="188"/>
  <c r="BQ27" i="188"/>
  <c r="BP27" i="188"/>
  <c r="BO27" i="188"/>
  <c r="BN27" i="188"/>
  <c r="BM27" i="188"/>
  <c r="BL27" i="188"/>
  <c r="BK27" i="188"/>
  <c r="BJ27" i="188"/>
  <c r="BI27" i="188"/>
  <c r="BH27" i="188"/>
  <c r="BG27" i="188"/>
  <c r="BF27" i="188"/>
  <c r="BE27" i="188"/>
  <c r="BD27" i="188"/>
  <c r="BC27" i="188"/>
  <c r="BB27" i="188"/>
  <c r="BA27" i="188"/>
  <c r="AZ27" i="188"/>
  <c r="P27" i="188"/>
  <c r="N27" i="188"/>
  <c r="M27" i="188"/>
  <c r="L27" i="188"/>
  <c r="K27" i="188"/>
  <c r="BW26" i="188"/>
  <c r="AA26" i="188" s="1"/>
  <c r="BV26" i="188"/>
  <c r="BU26" i="188"/>
  <c r="BT26" i="188"/>
  <c r="BS26" i="188"/>
  <c r="BR26" i="188"/>
  <c r="BQ26" i="188"/>
  <c r="BP26" i="188"/>
  <c r="BO26" i="188"/>
  <c r="BN26" i="188"/>
  <c r="BM26" i="188"/>
  <c r="BL26" i="188"/>
  <c r="BK26" i="188"/>
  <c r="BJ26" i="188"/>
  <c r="BI26" i="188"/>
  <c r="BH26" i="188"/>
  <c r="BG26" i="188"/>
  <c r="BF26" i="188"/>
  <c r="BE26" i="188"/>
  <c r="BD26" i="188"/>
  <c r="BC26" i="188"/>
  <c r="BB26" i="188"/>
  <c r="BA26" i="188"/>
  <c r="AZ26" i="188"/>
  <c r="P26" i="188"/>
  <c r="N26" i="188"/>
  <c r="M26" i="188"/>
  <c r="L26" i="188"/>
  <c r="K26" i="188"/>
  <c r="DR23" i="188"/>
  <c r="DQ23" i="188"/>
  <c r="DP23" i="188"/>
  <c r="DO23" i="188"/>
  <c r="DN23" i="188"/>
  <c r="DM23" i="188"/>
  <c r="DL23" i="188"/>
  <c r="DK23" i="188"/>
  <c r="DJ23" i="188"/>
  <c r="DI23" i="188"/>
  <c r="DH23" i="188"/>
  <c r="DG23" i="188"/>
  <c r="DF23" i="188"/>
  <c r="DE23" i="188"/>
  <c r="DE41" i="188" s="1"/>
  <c r="DD23" i="188"/>
  <c r="DD41" i="188" s="1"/>
  <c r="DC23" i="188"/>
  <c r="DC41" i="188" s="1"/>
  <c r="DB23" i="188"/>
  <c r="DB41" i="188" s="1"/>
  <c r="DA23" i="188"/>
  <c r="DA41" i="188" s="1"/>
  <c r="CZ23" i="188"/>
  <c r="CZ41" i="188" s="1"/>
  <c r="CY23" i="188"/>
  <c r="CY41" i="188" s="1"/>
  <c r="CX23" i="188"/>
  <c r="CX41" i="188" s="1"/>
  <c r="CW23" i="188"/>
  <c r="CW41" i="188" s="1"/>
  <c r="CV23" i="188"/>
  <c r="CV41" i="188" s="1"/>
  <c r="CU23" i="188"/>
  <c r="CU41" i="188" s="1"/>
  <c r="AX23" i="188"/>
  <c r="AW23" i="188"/>
  <c r="AV23" i="188"/>
  <c r="AU23" i="188"/>
  <c r="AT23" i="188"/>
  <c r="AS23" i="188"/>
  <c r="AR23" i="188"/>
  <c r="AQ23" i="188"/>
  <c r="AP23" i="188"/>
  <c r="AO23" i="188"/>
  <c r="AN23" i="188"/>
  <c r="AM23" i="188"/>
  <c r="AL23" i="188"/>
  <c r="AJ23" i="188"/>
  <c r="BF20" i="188"/>
  <c r="BE20" i="188"/>
  <c r="BD20" i="188"/>
  <c r="BC20" i="188"/>
  <c r="BB20" i="188"/>
  <c r="BA20" i="188"/>
  <c r="AZ20" i="188"/>
  <c r="X20" i="188"/>
  <c r="W20" i="188"/>
  <c r="V20" i="188"/>
  <c r="U20" i="188"/>
  <c r="P20" i="188"/>
  <c r="N20" i="188"/>
  <c r="M20" i="188"/>
  <c r="L20" i="188"/>
  <c r="K20" i="188"/>
  <c r="BF19" i="188"/>
  <c r="BE19" i="188"/>
  <c r="BD19" i="188"/>
  <c r="BC19" i="188"/>
  <c r="BB19" i="188"/>
  <c r="BA19" i="188"/>
  <c r="AZ19" i="188"/>
  <c r="X19" i="188"/>
  <c r="W19" i="188"/>
  <c r="V19" i="188"/>
  <c r="U19" i="188"/>
  <c r="P19" i="188"/>
  <c r="N19" i="188"/>
  <c r="M19" i="188"/>
  <c r="L19" i="188"/>
  <c r="K19" i="188"/>
  <c r="BF18" i="188"/>
  <c r="BE18" i="188"/>
  <c r="BD18" i="188"/>
  <c r="BC18" i="188"/>
  <c r="BB18" i="188"/>
  <c r="BA18" i="188"/>
  <c r="AZ18" i="188"/>
  <c r="X18" i="188"/>
  <c r="W18" i="188"/>
  <c r="V18" i="188"/>
  <c r="U18" i="188"/>
  <c r="P18" i="188"/>
  <c r="N18" i="188"/>
  <c r="M18" i="188"/>
  <c r="L18" i="188"/>
  <c r="K18" i="188"/>
  <c r="BF15" i="188"/>
  <c r="BE15" i="188"/>
  <c r="BD15" i="188"/>
  <c r="BC15" i="188"/>
  <c r="BB15" i="188"/>
  <c r="BA15" i="188"/>
  <c r="AZ15" i="188"/>
  <c r="X15" i="188"/>
  <c r="W15" i="188"/>
  <c r="V15" i="188"/>
  <c r="U15" i="188"/>
  <c r="P15" i="188"/>
  <c r="N15" i="188"/>
  <c r="M15" i="188"/>
  <c r="L15" i="188"/>
  <c r="K15" i="188"/>
  <c r="BF14" i="188"/>
  <c r="BE14" i="188"/>
  <c r="BD14" i="188"/>
  <c r="BC14" i="188"/>
  <c r="BB14" i="188"/>
  <c r="BA14" i="188"/>
  <c r="AZ14" i="188"/>
  <c r="X14" i="188"/>
  <c r="W14" i="188"/>
  <c r="V14" i="188"/>
  <c r="U14" i="188"/>
  <c r="P14" i="188"/>
  <c r="N14" i="188"/>
  <c r="M14" i="188"/>
  <c r="L14" i="188"/>
  <c r="K14" i="188"/>
  <c r="ED13" i="188"/>
  <c r="EC13" i="188"/>
  <c r="EB13" i="188"/>
  <c r="EA13" i="188"/>
  <c r="DZ13" i="188"/>
  <c r="DY13" i="188"/>
  <c r="DX13" i="188"/>
  <c r="DW13" i="188"/>
  <c r="DV13" i="188"/>
  <c r="DU13" i="188"/>
  <c r="DT13" i="188"/>
  <c r="DS13" i="188"/>
  <c r="BW13" i="188"/>
  <c r="AA13" i="188" s="1"/>
  <c r="BV13" i="188"/>
  <c r="BU13" i="188"/>
  <c r="BT13" i="188"/>
  <c r="BS13" i="188"/>
  <c r="BR13" i="188"/>
  <c r="BQ13" i="188"/>
  <c r="BP13" i="188"/>
  <c r="BO13" i="188"/>
  <c r="BN13" i="188"/>
  <c r="BM13" i="188"/>
  <c r="BL13" i="188"/>
  <c r="BK13" i="188"/>
  <c r="BJ13" i="188"/>
  <c r="BI13" i="188"/>
  <c r="BH13" i="188"/>
  <c r="BG13" i="188"/>
  <c r="BF13" i="188"/>
  <c r="BE13" i="188"/>
  <c r="BD13" i="188"/>
  <c r="BC13" i="188"/>
  <c r="BB13" i="188"/>
  <c r="BA13" i="188"/>
  <c r="AZ13" i="188"/>
  <c r="AY13" i="188"/>
  <c r="AY34" i="188" s="1"/>
  <c r="AY40" i="188" s="1"/>
  <c r="P13" i="188"/>
  <c r="N13" i="188"/>
  <c r="M13" i="188"/>
  <c r="L13" i="188"/>
  <c r="K13" i="188"/>
  <c r="ED12" i="188"/>
  <c r="EC12" i="188"/>
  <c r="EB12" i="188"/>
  <c r="EB33" i="188" s="1"/>
  <c r="EA12" i="188"/>
  <c r="EA33" i="188" s="1"/>
  <c r="EA39" i="188" s="1"/>
  <c r="DZ12" i="188"/>
  <c r="DY12" i="188"/>
  <c r="DX12" i="188"/>
  <c r="DW12" i="188"/>
  <c r="DW33" i="188" s="1"/>
  <c r="DW39" i="188" s="1"/>
  <c r="DV12" i="188"/>
  <c r="DU12" i="188"/>
  <c r="DU33" i="188" s="1"/>
  <c r="DU39" i="188" s="1"/>
  <c r="DT12" i="188"/>
  <c r="DS12" i="188"/>
  <c r="BW12" i="188"/>
  <c r="AA12" i="188" s="1"/>
  <c r="BV12" i="188"/>
  <c r="BU12" i="188"/>
  <c r="BT12" i="188"/>
  <c r="BS12" i="188"/>
  <c r="BR12" i="188"/>
  <c r="BQ12" i="188"/>
  <c r="BP12" i="188"/>
  <c r="BO12" i="188"/>
  <c r="BN12" i="188"/>
  <c r="BM12" i="188"/>
  <c r="BL12" i="188"/>
  <c r="BK12" i="188"/>
  <c r="BJ12" i="188"/>
  <c r="BI12" i="188"/>
  <c r="BH12" i="188"/>
  <c r="BG12" i="188"/>
  <c r="BF12" i="188"/>
  <c r="BE12" i="188"/>
  <c r="BD12" i="188"/>
  <c r="BC12" i="188"/>
  <c r="BB12" i="188"/>
  <c r="BA12" i="188"/>
  <c r="AZ12" i="188"/>
  <c r="AK12" i="188"/>
  <c r="AK23" i="188" s="1"/>
  <c r="P12" i="188"/>
  <c r="N12" i="188"/>
  <c r="M12" i="188"/>
  <c r="L12" i="188"/>
  <c r="BW11" i="188"/>
  <c r="BV11" i="188"/>
  <c r="BU11" i="188"/>
  <c r="BT11" i="188"/>
  <c r="BS11" i="188"/>
  <c r="BR11" i="188"/>
  <c r="BQ11" i="188"/>
  <c r="BP11" i="188"/>
  <c r="BO11" i="188"/>
  <c r="BN11" i="188"/>
  <c r="BM11" i="188"/>
  <c r="BL11" i="188"/>
  <c r="BK11" i="188"/>
  <c r="BJ11" i="188"/>
  <c r="BI11" i="188"/>
  <c r="BH11" i="188"/>
  <c r="BG11" i="188"/>
  <c r="BF11" i="188"/>
  <c r="BE11" i="188"/>
  <c r="BD11" i="188"/>
  <c r="BC11" i="188"/>
  <c r="BB11" i="188"/>
  <c r="BA11" i="188"/>
  <c r="AZ11" i="188"/>
  <c r="P11" i="188"/>
  <c r="N11" i="188"/>
  <c r="M11" i="188"/>
  <c r="L11" i="188"/>
  <c r="K11" i="188"/>
  <c r="E11" i="188"/>
  <c r="BW10" i="188"/>
  <c r="BV10" i="188"/>
  <c r="BU10" i="188"/>
  <c r="BT10" i="188"/>
  <c r="BS10" i="188"/>
  <c r="BR10" i="188"/>
  <c r="BQ10" i="188"/>
  <c r="BP10" i="188"/>
  <c r="BO10" i="188"/>
  <c r="BN10" i="188"/>
  <c r="BM10" i="188"/>
  <c r="BL10" i="188"/>
  <c r="BK10" i="188"/>
  <c r="BJ10" i="188"/>
  <c r="BI10" i="188"/>
  <c r="BH10" i="188"/>
  <c r="BG10" i="188"/>
  <c r="BF10" i="188"/>
  <c r="BE10" i="188"/>
  <c r="BD10" i="188"/>
  <c r="BC10" i="188"/>
  <c r="BB10" i="188"/>
  <c r="BA10" i="188"/>
  <c r="AZ10" i="188"/>
  <c r="P10" i="188"/>
  <c r="N10" i="188"/>
  <c r="M10" i="188"/>
  <c r="L10" i="188"/>
  <c r="K10" i="188"/>
  <c r="BW9" i="188"/>
  <c r="BV9" i="188"/>
  <c r="BU9" i="188"/>
  <c r="BT9" i="188"/>
  <c r="BS9" i="188"/>
  <c r="BR9" i="188"/>
  <c r="BQ9" i="188"/>
  <c r="BP9" i="188"/>
  <c r="BO9" i="188"/>
  <c r="BN9" i="188"/>
  <c r="BM9" i="188"/>
  <c r="BL9" i="188"/>
  <c r="BK9" i="188"/>
  <c r="BJ9" i="188"/>
  <c r="BI9" i="188"/>
  <c r="BH9" i="188"/>
  <c r="BG9" i="188"/>
  <c r="BF9" i="188"/>
  <c r="BE9" i="188"/>
  <c r="BD9" i="188"/>
  <c r="BC9" i="188"/>
  <c r="BB9" i="188"/>
  <c r="BA9" i="188"/>
  <c r="AZ9" i="188"/>
  <c r="P9" i="188"/>
  <c r="N9" i="188"/>
  <c r="M9" i="188"/>
  <c r="L9" i="188"/>
  <c r="K9" i="188"/>
  <c r="BW8" i="188"/>
  <c r="BV8" i="188"/>
  <c r="BU8" i="188"/>
  <c r="BT8" i="188"/>
  <c r="BS8" i="188"/>
  <c r="BR8" i="188"/>
  <c r="BQ8" i="188"/>
  <c r="BP8" i="188"/>
  <c r="BO8" i="188"/>
  <c r="BN8" i="188"/>
  <c r="BM8" i="188"/>
  <c r="BL8" i="188"/>
  <c r="BK8" i="188"/>
  <c r="BJ8" i="188"/>
  <c r="BI8" i="188"/>
  <c r="BH8" i="188"/>
  <c r="BG8" i="188"/>
  <c r="BF8" i="188"/>
  <c r="BE8" i="188"/>
  <c r="BD8" i="188"/>
  <c r="BC8" i="188"/>
  <c r="BB8" i="188"/>
  <c r="BA8" i="188"/>
  <c r="AZ8" i="188"/>
  <c r="P8" i="188"/>
  <c r="N8" i="188"/>
  <c r="M8" i="188"/>
  <c r="L8" i="188"/>
  <c r="K8" i="188"/>
  <c r="BW7" i="188"/>
  <c r="BV7" i="188"/>
  <c r="BU7" i="188"/>
  <c r="BT7" i="188"/>
  <c r="BS7" i="188"/>
  <c r="BR7" i="188"/>
  <c r="BQ7" i="188"/>
  <c r="BP7" i="188"/>
  <c r="BO7" i="188"/>
  <c r="BN7" i="188"/>
  <c r="BM7" i="188"/>
  <c r="BK7" i="188"/>
  <c r="BJ7" i="188"/>
  <c r="BI7" i="188"/>
  <c r="BH7" i="188"/>
  <c r="BG7" i="188"/>
  <c r="BF7" i="188"/>
  <c r="BE7" i="188"/>
  <c r="BD7" i="188"/>
  <c r="BC7" i="188"/>
  <c r="BB7" i="188"/>
  <c r="BA7" i="188"/>
  <c r="AZ7" i="188"/>
  <c r="P7" i="188"/>
  <c r="N7" i="188"/>
  <c r="M7" i="188"/>
  <c r="L7" i="188"/>
  <c r="K7" i="188"/>
  <c r="BW6" i="188"/>
  <c r="AA6" i="188" s="1"/>
  <c r="BV6" i="188"/>
  <c r="BU6" i="188"/>
  <c r="BT6" i="188"/>
  <c r="BS6" i="188"/>
  <c r="BR6" i="188"/>
  <c r="BQ6" i="188"/>
  <c r="BP6" i="188"/>
  <c r="BO6" i="188"/>
  <c r="BN6" i="188"/>
  <c r="BM6" i="188"/>
  <c r="BL6" i="188"/>
  <c r="BK6" i="188"/>
  <c r="BJ6" i="188"/>
  <c r="BI6" i="188"/>
  <c r="BH6" i="188"/>
  <c r="BG6" i="188"/>
  <c r="BF6" i="188"/>
  <c r="BE6" i="188"/>
  <c r="BD6" i="188"/>
  <c r="BC6" i="188"/>
  <c r="BB6" i="188"/>
  <c r="BA6" i="188"/>
  <c r="AZ6" i="188"/>
  <c r="P6" i="188"/>
  <c r="N6" i="188"/>
  <c r="M6" i="188"/>
  <c r="L6" i="188"/>
  <c r="K6" i="188"/>
  <c r="EN117" i="215"/>
  <c r="DB115" i="215"/>
  <c r="DA115" i="215"/>
  <c r="CZ115" i="215"/>
  <c r="CY115" i="215"/>
  <c r="CX115" i="215"/>
  <c r="CW115" i="215"/>
  <c r="CV115" i="215"/>
  <c r="CU115" i="215"/>
  <c r="CT115" i="215"/>
  <c r="CS115" i="215"/>
  <c r="CR115" i="215"/>
  <c r="CQ115" i="215"/>
  <c r="DB114" i="215"/>
  <c r="DA114" i="215"/>
  <c r="CZ114" i="215"/>
  <c r="CY114" i="215"/>
  <c r="CX114" i="215"/>
  <c r="CW114" i="215"/>
  <c r="CV114" i="215"/>
  <c r="CU114" i="215"/>
  <c r="CT114" i="215"/>
  <c r="CS114" i="215"/>
  <c r="CR114" i="215"/>
  <c r="CQ114" i="215"/>
  <c r="DB111" i="215"/>
  <c r="DB53" i="215" s="1"/>
  <c r="DA111" i="215"/>
  <c r="DA53" i="215" s="1"/>
  <c r="CZ111" i="215"/>
  <c r="CY111" i="215"/>
  <c r="CX111" i="215"/>
  <c r="CX49" i="215" s="1"/>
  <c r="CW111" i="215"/>
  <c r="CW49" i="215" s="1"/>
  <c r="CV111" i="215"/>
  <c r="CU111" i="215"/>
  <c r="CU53" i="215" s="1"/>
  <c r="CT111" i="215"/>
  <c r="CT53" i="215" s="1"/>
  <c r="CS111" i="215"/>
  <c r="CS53" i="215" s="1"/>
  <c r="CR111" i="215"/>
  <c r="CR53" i="215" s="1"/>
  <c r="CQ111" i="215"/>
  <c r="CQ49" i="215" s="1"/>
  <c r="R109" i="215"/>
  <c r="S108" i="215" s="1"/>
  <c r="G108" i="215"/>
  <c r="F109" i="215" s="1"/>
  <c r="H105" i="215"/>
  <c r="G105" i="215"/>
  <c r="H104" i="215"/>
  <c r="G104" i="215"/>
  <c r="H103" i="215"/>
  <c r="G103" i="215"/>
  <c r="Y101" i="215"/>
  <c r="X101" i="215"/>
  <c r="W101" i="215"/>
  <c r="U101" i="215"/>
  <c r="G101" i="215" s="1"/>
  <c r="CP100" i="215"/>
  <c r="CP106" i="215" s="1"/>
  <c r="CO100" i="215"/>
  <c r="CO106" i="215" s="1"/>
  <c r="CN100" i="215"/>
  <c r="CN106" i="215" s="1"/>
  <c r="CM100" i="215"/>
  <c r="CM106" i="215" s="1"/>
  <c r="CL100" i="215"/>
  <c r="CL106" i="215" s="1"/>
  <c r="CK100" i="215"/>
  <c r="CK106" i="215" s="1"/>
  <c r="CJ100" i="215"/>
  <c r="CJ106" i="215" s="1"/>
  <c r="CI100" i="215"/>
  <c r="CI106" i="215" s="1"/>
  <c r="CH100" i="215"/>
  <c r="CH106" i="215" s="1"/>
  <c r="CG100" i="215"/>
  <c r="CG106" i="215" s="1"/>
  <c r="CF100" i="215"/>
  <c r="CF106" i="215" s="1"/>
  <c r="CE100" i="215"/>
  <c r="CE106" i="215" s="1"/>
  <c r="H99" i="215"/>
  <c r="G99" i="215"/>
  <c r="H97" i="215"/>
  <c r="Y89" i="215"/>
  <c r="H89" i="215" s="1"/>
  <c r="X89" i="215"/>
  <c r="W89" i="215"/>
  <c r="V89" i="215"/>
  <c r="T89" i="215"/>
  <c r="S89" i="215"/>
  <c r="R89" i="215"/>
  <c r="H88" i="215"/>
  <c r="G88" i="215"/>
  <c r="H87" i="215"/>
  <c r="G87" i="215"/>
  <c r="U86" i="215"/>
  <c r="U89" i="215" s="1"/>
  <c r="G89" i="215" s="1"/>
  <c r="H86" i="215"/>
  <c r="H85" i="215"/>
  <c r="G85" i="215"/>
  <c r="H81" i="215"/>
  <c r="G81" i="215"/>
  <c r="CP80" i="215"/>
  <c r="CO80" i="215"/>
  <c r="CN80" i="215"/>
  <c r="CM80" i="215"/>
  <c r="CL80" i="215"/>
  <c r="CK80" i="215"/>
  <c r="CJ80" i="215"/>
  <c r="CI80" i="215"/>
  <c r="CH80" i="215"/>
  <c r="CG80" i="215"/>
  <c r="CF80" i="215"/>
  <c r="CE80" i="215"/>
  <c r="Y80" i="215"/>
  <c r="X80" i="215"/>
  <c r="W80" i="215"/>
  <c r="V80" i="215"/>
  <c r="U80" i="215"/>
  <c r="T80" i="215"/>
  <c r="S80" i="215"/>
  <c r="R80" i="215"/>
  <c r="H79" i="215"/>
  <c r="G79" i="215"/>
  <c r="H78" i="215"/>
  <c r="G78" i="215"/>
  <c r="H77" i="215"/>
  <c r="G77" i="215"/>
  <c r="CP75" i="215"/>
  <c r="CO75" i="215"/>
  <c r="CN75" i="215"/>
  <c r="CM75" i="215"/>
  <c r="CL75" i="215"/>
  <c r="CK75" i="215"/>
  <c r="CJ75" i="215"/>
  <c r="CI75" i="215"/>
  <c r="CH75" i="215"/>
  <c r="CG75" i="215"/>
  <c r="CF75" i="215"/>
  <c r="CE75" i="215"/>
  <c r="H75" i="215"/>
  <c r="G75" i="215"/>
  <c r="CP73" i="215"/>
  <c r="CO73" i="215"/>
  <c r="CN73" i="215"/>
  <c r="CM73" i="215"/>
  <c r="CL73" i="215"/>
  <c r="CK73" i="215"/>
  <c r="CJ73" i="215"/>
  <c r="CI73" i="215"/>
  <c r="CH73" i="215"/>
  <c r="CG73" i="215"/>
  <c r="CF73" i="215"/>
  <c r="CE73" i="215"/>
  <c r="Y73" i="215"/>
  <c r="H73" i="215" s="1"/>
  <c r="X73" i="215"/>
  <c r="W73" i="215"/>
  <c r="V73" i="215"/>
  <c r="U73" i="215"/>
  <c r="G73" i="215" s="1"/>
  <c r="T73" i="215"/>
  <c r="S73" i="215"/>
  <c r="R73" i="215"/>
  <c r="H72" i="215"/>
  <c r="G72" i="215"/>
  <c r="H71" i="215"/>
  <c r="G71" i="215"/>
  <c r="H70" i="215"/>
  <c r="G70" i="215"/>
  <c r="H69" i="215"/>
  <c r="G69" i="215"/>
  <c r="H68" i="215"/>
  <c r="G68" i="215"/>
  <c r="H67" i="215"/>
  <c r="G67" i="215"/>
  <c r="BR62" i="215"/>
  <c r="BQ62" i="215"/>
  <c r="BP62" i="215"/>
  <c r="BO62" i="215"/>
  <c r="BN62" i="215"/>
  <c r="BM62" i="215"/>
  <c r="BL62" i="215"/>
  <c r="BK62" i="215"/>
  <c r="BJ62" i="215"/>
  <c r="BI62" i="215"/>
  <c r="BH62" i="215"/>
  <c r="BG62" i="215"/>
  <c r="AS62" i="215"/>
  <c r="AR62" i="215"/>
  <c r="AQ62" i="215"/>
  <c r="AP62" i="215"/>
  <c r="AO62" i="215"/>
  <c r="AN62" i="215"/>
  <c r="AM62" i="215"/>
  <c r="AL62" i="215"/>
  <c r="AK62" i="215"/>
  <c r="AJ62" i="215"/>
  <c r="AI62" i="215"/>
  <c r="AH62" i="215"/>
  <c r="AG62" i="215"/>
  <c r="AF62" i="215"/>
  <c r="AE62" i="215"/>
  <c r="AD62" i="215"/>
  <c r="AC62" i="215"/>
  <c r="AB62" i="215"/>
  <c r="AA62" i="215"/>
  <c r="Z62" i="215"/>
  <c r="I62" i="215"/>
  <c r="H62" i="215"/>
  <c r="G62" i="215"/>
  <c r="BR61" i="215"/>
  <c r="BQ61" i="215"/>
  <c r="BP61" i="215"/>
  <c r="BO61" i="215"/>
  <c r="BN61" i="215"/>
  <c r="BM61" i="215"/>
  <c r="BL61" i="215"/>
  <c r="BK61" i="215"/>
  <c r="BJ61" i="215"/>
  <c r="BI61" i="215"/>
  <c r="BH61" i="215"/>
  <c r="BG61" i="215"/>
  <c r="AS61" i="215"/>
  <c r="AR61" i="215"/>
  <c r="AQ61" i="215"/>
  <c r="AP61" i="215"/>
  <c r="AO61" i="215"/>
  <c r="AN61" i="215"/>
  <c r="AM61" i="215"/>
  <c r="AL61" i="215"/>
  <c r="AK61" i="215"/>
  <c r="AJ61" i="215"/>
  <c r="AI61" i="215"/>
  <c r="AH61" i="215"/>
  <c r="AG61" i="215"/>
  <c r="AF61" i="215"/>
  <c r="AE61" i="215"/>
  <c r="AD61" i="215"/>
  <c r="AC61" i="215"/>
  <c r="AB61" i="215"/>
  <c r="AA61" i="215"/>
  <c r="Z61" i="215"/>
  <c r="U61" i="215"/>
  <c r="G61" i="215" s="1"/>
  <c r="I61" i="215"/>
  <c r="H61" i="215"/>
  <c r="AS60" i="215"/>
  <c r="AR60" i="215"/>
  <c r="AQ60" i="215"/>
  <c r="AP60" i="215"/>
  <c r="AO60" i="215"/>
  <c r="AN60" i="215"/>
  <c r="AM60" i="215"/>
  <c r="AL60" i="215"/>
  <c r="AK60" i="215"/>
  <c r="AJ60" i="215"/>
  <c r="AI60" i="215"/>
  <c r="AH60" i="215"/>
  <c r="AG60" i="215"/>
  <c r="AF60" i="215"/>
  <c r="AE60" i="215"/>
  <c r="AD60" i="215"/>
  <c r="Z60" i="215"/>
  <c r="I60" i="215"/>
  <c r="BR59" i="215"/>
  <c r="BQ59" i="215"/>
  <c r="BP59" i="215"/>
  <c r="BO59" i="215"/>
  <c r="BN59" i="215"/>
  <c r="BM59" i="215"/>
  <c r="BL59" i="215"/>
  <c r="BK59" i="215"/>
  <c r="BJ59" i="215"/>
  <c r="BI59" i="215"/>
  <c r="BH59" i="215"/>
  <c r="BG59" i="215"/>
  <c r="AS59" i="215"/>
  <c r="AR59" i="215"/>
  <c r="AQ59" i="215"/>
  <c r="AP59" i="215"/>
  <c r="AO59" i="215"/>
  <c r="AN59" i="215"/>
  <c r="AM59" i="215"/>
  <c r="AL59" i="215"/>
  <c r="AK59" i="215"/>
  <c r="AJ59" i="215"/>
  <c r="AI59" i="215"/>
  <c r="AH59" i="215"/>
  <c r="AG59" i="215"/>
  <c r="AF59" i="215"/>
  <c r="AE59" i="215"/>
  <c r="AD59" i="215"/>
  <c r="Z59" i="215"/>
  <c r="I59" i="215"/>
  <c r="EL54" i="215"/>
  <c r="EK54" i="215"/>
  <c r="EJ54" i="215"/>
  <c r="EI54" i="215"/>
  <c r="EH54" i="215"/>
  <c r="EG54" i="215"/>
  <c r="EF54" i="215"/>
  <c r="EE54" i="215"/>
  <c r="ED54" i="215"/>
  <c r="EC54" i="215"/>
  <c r="EB54" i="215"/>
  <c r="EA54" i="215"/>
  <c r="DZ54" i="215"/>
  <c r="DY54" i="215"/>
  <c r="DX54" i="215"/>
  <c r="DW54" i="215"/>
  <c r="DV54" i="215"/>
  <c r="DU54" i="215"/>
  <c r="DT54" i="215"/>
  <c r="DS54" i="215"/>
  <c r="DR54" i="215"/>
  <c r="DQ54" i="215"/>
  <c r="DP54" i="215"/>
  <c r="DO54" i="215"/>
  <c r="DN54" i="215"/>
  <c r="DM54" i="215"/>
  <c r="DL54" i="215"/>
  <c r="DK54" i="215"/>
  <c r="DJ54" i="215"/>
  <c r="DI54" i="215"/>
  <c r="DH54" i="215"/>
  <c r="DG54" i="215"/>
  <c r="DF54" i="215"/>
  <c r="DE54" i="215"/>
  <c r="DD54" i="215"/>
  <c r="DC54" i="215"/>
  <c r="CP54" i="215"/>
  <c r="CO54" i="215"/>
  <c r="CN54" i="215"/>
  <c r="CM54" i="215"/>
  <c r="CL54" i="215"/>
  <c r="CK54" i="215"/>
  <c r="CJ54" i="215"/>
  <c r="CI54" i="215"/>
  <c r="CH54" i="215"/>
  <c r="CG54" i="215"/>
  <c r="CF54" i="215"/>
  <c r="CE54" i="215"/>
  <c r="AC54" i="215"/>
  <c r="AB54" i="215"/>
  <c r="AA54" i="215"/>
  <c r="Z54" i="215"/>
  <c r="Y54" i="215"/>
  <c r="X54" i="215"/>
  <c r="W54" i="215"/>
  <c r="V54" i="215"/>
  <c r="I54" i="215"/>
  <c r="CV53" i="215"/>
  <c r="BR53" i="215"/>
  <c r="BQ53" i="215"/>
  <c r="BP53" i="215"/>
  <c r="BO53" i="215"/>
  <c r="BN53" i="215"/>
  <c r="BM53" i="215"/>
  <c r="BL53" i="215"/>
  <c r="BK53" i="215"/>
  <c r="BJ53" i="215"/>
  <c r="BI53" i="215"/>
  <c r="BH53" i="215"/>
  <c r="BG53" i="215"/>
  <c r="AW53" i="215"/>
  <c r="AV53" i="215"/>
  <c r="AU53" i="215"/>
  <c r="AT53" i="215"/>
  <c r="AS53" i="215"/>
  <c r="AR53" i="215"/>
  <c r="AQ53" i="215"/>
  <c r="AP53" i="215"/>
  <c r="AO53" i="215"/>
  <c r="AN53" i="215"/>
  <c r="AM53" i="215"/>
  <c r="AL53" i="215"/>
  <c r="AG53" i="215"/>
  <c r="AF53" i="215"/>
  <c r="AE53" i="215"/>
  <c r="AD53" i="215"/>
  <c r="AC53" i="215"/>
  <c r="AB53" i="215"/>
  <c r="AA53" i="215"/>
  <c r="Z53" i="215"/>
  <c r="I53" i="215"/>
  <c r="H53" i="215"/>
  <c r="G53" i="215"/>
  <c r="BR52" i="215"/>
  <c r="BQ52" i="215"/>
  <c r="BP52" i="215"/>
  <c r="BO52" i="215"/>
  <c r="BN52" i="215"/>
  <c r="BM52" i="215"/>
  <c r="BL52" i="215"/>
  <c r="BK52" i="215"/>
  <c r="BJ52" i="215"/>
  <c r="BI52" i="215"/>
  <c r="BH52" i="215"/>
  <c r="BG52" i="215"/>
  <c r="AW52" i="215"/>
  <c r="AV52" i="215"/>
  <c r="AU52" i="215"/>
  <c r="AT52" i="215"/>
  <c r="AS52" i="215"/>
  <c r="AR52" i="215"/>
  <c r="AQ52" i="215"/>
  <c r="AP52" i="215"/>
  <c r="AO52" i="215"/>
  <c r="AN52" i="215"/>
  <c r="AM52" i="215"/>
  <c r="AL52" i="215"/>
  <c r="AK52" i="215"/>
  <c r="AJ52" i="215"/>
  <c r="AI52" i="215"/>
  <c r="AH52" i="215"/>
  <c r="AG52" i="215"/>
  <c r="AF52" i="215"/>
  <c r="AE52" i="215"/>
  <c r="AD52" i="215"/>
  <c r="AC52" i="215"/>
  <c r="AB52" i="215"/>
  <c r="AA52" i="215"/>
  <c r="Z52" i="215"/>
  <c r="I52" i="215"/>
  <c r="H52" i="215"/>
  <c r="BR51" i="215"/>
  <c r="BQ51" i="215"/>
  <c r="BP51" i="215"/>
  <c r="BO51" i="215"/>
  <c r="BN51" i="215"/>
  <c r="BM51" i="215"/>
  <c r="BL51" i="215"/>
  <c r="BK51" i="215"/>
  <c r="BJ51" i="215"/>
  <c r="BI51" i="215"/>
  <c r="BH51" i="215"/>
  <c r="BG51" i="215"/>
  <c r="AW51" i="215"/>
  <c r="AV51" i="215"/>
  <c r="AU51" i="215"/>
  <c r="AT51" i="215"/>
  <c r="AS51" i="215"/>
  <c r="AR51" i="215"/>
  <c r="AQ51" i="215"/>
  <c r="AP51" i="215"/>
  <c r="AO51" i="215"/>
  <c r="AN51" i="215"/>
  <c r="AM51" i="215"/>
  <c r="AL51" i="215"/>
  <c r="AK51" i="215"/>
  <c r="AJ51" i="215"/>
  <c r="AI51" i="215"/>
  <c r="AH51" i="215"/>
  <c r="AG51" i="215"/>
  <c r="AF51" i="215"/>
  <c r="AE51" i="215"/>
  <c r="AD51" i="215"/>
  <c r="AC51" i="215"/>
  <c r="AB51" i="215"/>
  <c r="AA51" i="215"/>
  <c r="Z51" i="215"/>
  <c r="I51" i="215"/>
  <c r="H51" i="215"/>
  <c r="G51" i="215"/>
  <c r="BR50" i="215"/>
  <c r="BQ50" i="215"/>
  <c r="BP50" i="215"/>
  <c r="BO50" i="215"/>
  <c r="BN50" i="215"/>
  <c r="BM50" i="215"/>
  <c r="BL50" i="215"/>
  <c r="BK50" i="215"/>
  <c r="BJ50" i="215"/>
  <c r="BI50" i="215"/>
  <c r="BH50" i="215"/>
  <c r="BG50" i="215"/>
  <c r="AW50" i="215"/>
  <c r="AV50" i="215"/>
  <c r="AU50" i="215"/>
  <c r="AT50" i="215"/>
  <c r="AS50" i="215"/>
  <c r="AR50" i="215"/>
  <c r="AQ50" i="215"/>
  <c r="AP50" i="215"/>
  <c r="AO50" i="215"/>
  <c r="AN50" i="215"/>
  <c r="AM50" i="215"/>
  <c r="AL50" i="215"/>
  <c r="AK50" i="215"/>
  <c r="AJ50" i="215"/>
  <c r="AI50" i="215"/>
  <c r="AH50" i="215"/>
  <c r="AG50" i="215"/>
  <c r="AF50" i="215"/>
  <c r="AE50" i="215"/>
  <c r="AD50" i="215"/>
  <c r="AC50" i="215"/>
  <c r="AB50" i="215"/>
  <c r="AA50" i="215"/>
  <c r="Z50" i="215"/>
  <c r="I50" i="215"/>
  <c r="H50" i="215"/>
  <c r="G50" i="215"/>
  <c r="CV49" i="215"/>
  <c r="BR49" i="215"/>
  <c r="BQ49" i="215"/>
  <c r="BP49" i="215"/>
  <c r="BO49" i="215"/>
  <c r="BN49" i="215"/>
  <c r="BM49" i="215"/>
  <c r="BL49" i="215"/>
  <c r="BK49" i="215"/>
  <c r="BJ49" i="215"/>
  <c r="BI49" i="215"/>
  <c r="BH49" i="215"/>
  <c r="BG49" i="215"/>
  <c r="AW49" i="215"/>
  <c r="AV49" i="215"/>
  <c r="AU49" i="215"/>
  <c r="AT49" i="215"/>
  <c r="AS49" i="215"/>
  <c r="AR49" i="215"/>
  <c r="AQ49" i="215"/>
  <c r="AP49" i="215"/>
  <c r="AO49" i="215"/>
  <c r="AN49" i="215"/>
  <c r="AM49" i="215"/>
  <c r="AL49" i="215"/>
  <c r="AG49" i="215"/>
  <c r="AF49" i="215"/>
  <c r="AE49" i="215"/>
  <c r="AD49" i="215"/>
  <c r="AC49" i="215"/>
  <c r="AB49" i="215"/>
  <c r="AA49" i="215"/>
  <c r="Z49" i="215"/>
  <c r="I49" i="215"/>
  <c r="H49" i="215"/>
  <c r="G49" i="215"/>
  <c r="BR48" i="215"/>
  <c r="BQ48" i="215"/>
  <c r="BP48" i="215"/>
  <c r="BO48" i="215"/>
  <c r="BN48" i="215"/>
  <c r="BM48" i="215"/>
  <c r="BL48" i="215"/>
  <c r="BK48" i="215"/>
  <c r="BJ48" i="215"/>
  <c r="BI48" i="215"/>
  <c r="BH48" i="215"/>
  <c r="BG48" i="215"/>
  <c r="AW48" i="215"/>
  <c r="AV48" i="215"/>
  <c r="AU48" i="215"/>
  <c r="AT48" i="215"/>
  <c r="AS48" i="215"/>
  <c r="AR48" i="215"/>
  <c r="AQ48" i="215"/>
  <c r="AP48" i="215"/>
  <c r="AO48" i="215"/>
  <c r="AN48" i="215"/>
  <c r="AM48" i="215"/>
  <c r="AL48" i="215"/>
  <c r="AK48" i="215"/>
  <c r="AJ48" i="215"/>
  <c r="AI48" i="215"/>
  <c r="AH48" i="215"/>
  <c r="AG48" i="215"/>
  <c r="AF48" i="215"/>
  <c r="AE48" i="215"/>
  <c r="AD48" i="215"/>
  <c r="AC48" i="215"/>
  <c r="AB48" i="215"/>
  <c r="AA48" i="215"/>
  <c r="Z48" i="215"/>
  <c r="I48" i="215"/>
  <c r="H48" i="215"/>
  <c r="G48" i="215"/>
  <c r="BR47" i="215"/>
  <c r="BQ47" i="215"/>
  <c r="BP47" i="215"/>
  <c r="BO47" i="215"/>
  <c r="BN47" i="215"/>
  <c r="BM47" i="215"/>
  <c r="BL47" i="215"/>
  <c r="BK47" i="215"/>
  <c r="BJ47" i="215"/>
  <c r="BI47" i="215"/>
  <c r="BH47" i="215"/>
  <c r="BG47" i="215"/>
  <c r="AG47" i="215"/>
  <c r="AF47" i="215"/>
  <c r="AE47" i="215"/>
  <c r="AD47" i="215"/>
  <c r="AC47" i="215"/>
  <c r="AB47" i="215"/>
  <c r="AA47" i="215"/>
  <c r="BR46" i="215"/>
  <c r="BQ46" i="215"/>
  <c r="BP46" i="215"/>
  <c r="BO46" i="215"/>
  <c r="BN46" i="215"/>
  <c r="BM46" i="215"/>
  <c r="BL46" i="215"/>
  <c r="BK46" i="215"/>
  <c r="BJ46" i="215"/>
  <c r="BI46" i="215"/>
  <c r="BH46" i="215"/>
  <c r="BG46" i="215"/>
  <c r="AG46" i="215"/>
  <c r="AF46" i="215"/>
  <c r="AE46" i="215"/>
  <c r="AD46" i="215"/>
  <c r="AC46" i="215"/>
  <c r="AB46" i="215"/>
  <c r="AA46" i="215"/>
  <c r="H46" i="215"/>
  <c r="BR45" i="215"/>
  <c r="BQ45" i="215"/>
  <c r="BP45" i="215"/>
  <c r="BO45" i="215"/>
  <c r="BN45" i="215"/>
  <c r="BM45" i="215"/>
  <c r="BL45" i="215"/>
  <c r="BK45" i="215"/>
  <c r="BJ45" i="215"/>
  <c r="BI45" i="215"/>
  <c r="BH45" i="215"/>
  <c r="BG45" i="215"/>
  <c r="AG45" i="215"/>
  <c r="AF45" i="215"/>
  <c r="AE45" i="215"/>
  <c r="AD45" i="215"/>
  <c r="AC45" i="215"/>
  <c r="AB45" i="215"/>
  <c r="AA45" i="215"/>
  <c r="H45" i="215"/>
  <c r="G45" i="215"/>
  <c r="AW44" i="215"/>
  <c r="AV44" i="215"/>
  <c r="AU44" i="215"/>
  <c r="AT44" i="215"/>
  <c r="AS44" i="215"/>
  <c r="AR44" i="215"/>
  <c r="AQ44" i="215"/>
  <c r="AP44" i="215"/>
  <c r="AO44" i="215"/>
  <c r="AN44" i="215"/>
  <c r="AM44" i="215"/>
  <c r="AL44" i="215"/>
  <c r="AK44" i="215"/>
  <c r="AJ44" i="215"/>
  <c r="AI44" i="215"/>
  <c r="AH44" i="215"/>
  <c r="AG44" i="215"/>
  <c r="AF44" i="215"/>
  <c r="AE44" i="215"/>
  <c r="AD44" i="215"/>
  <c r="AC44" i="215"/>
  <c r="AB44" i="215"/>
  <c r="AA44" i="215"/>
  <c r="Z44" i="215"/>
  <c r="Y44" i="215"/>
  <c r="BR44" i="215" s="1"/>
  <c r="X44" i="215"/>
  <c r="BN44" i="215" s="1"/>
  <c r="W44" i="215"/>
  <c r="BL44" i="215" s="1"/>
  <c r="V44" i="215"/>
  <c r="BG44" i="215" s="1"/>
  <c r="G44" i="215"/>
  <c r="AW43" i="215"/>
  <c r="AV43" i="215"/>
  <c r="AU43" i="215"/>
  <c r="AT43" i="215"/>
  <c r="AS43" i="215"/>
  <c r="AR43" i="215"/>
  <c r="AQ43" i="215"/>
  <c r="AP43" i="215"/>
  <c r="AO43" i="215"/>
  <c r="AN43" i="215"/>
  <c r="AM43" i="215"/>
  <c r="AL43" i="215"/>
  <c r="AK43" i="215"/>
  <c r="AJ43" i="215"/>
  <c r="AI43" i="215"/>
  <c r="AH43" i="215"/>
  <c r="AG43" i="215"/>
  <c r="AF43" i="215"/>
  <c r="AE43" i="215"/>
  <c r="AD43" i="215"/>
  <c r="AC43" i="215"/>
  <c r="AB43" i="215"/>
  <c r="AA43" i="215"/>
  <c r="Z43" i="215"/>
  <c r="Y43" i="215"/>
  <c r="X43" i="215"/>
  <c r="BO43" i="215" s="1"/>
  <c r="W43" i="215"/>
  <c r="V43" i="215"/>
  <c r="BI43" i="215" s="1"/>
  <c r="G43" i="215"/>
  <c r="EL42" i="215"/>
  <c r="EK42" i="215"/>
  <c r="EJ42" i="215"/>
  <c r="EI42" i="215"/>
  <c r="EH42" i="215"/>
  <c r="EG42" i="215"/>
  <c r="EF42" i="215"/>
  <c r="EE42" i="215"/>
  <c r="ED42" i="215"/>
  <c r="EC42" i="215"/>
  <c r="EB42" i="215"/>
  <c r="EA42" i="215"/>
  <c r="DZ42" i="215"/>
  <c r="DY42" i="215"/>
  <c r="DX42" i="215"/>
  <c r="DW42" i="215"/>
  <c r="DV42" i="215"/>
  <c r="DU42" i="215"/>
  <c r="DT42" i="215"/>
  <c r="DS42" i="215"/>
  <c r="DR42" i="215"/>
  <c r="DQ42" i="215"/>
  <c r="DP42" i="215"/>
  <c r="DO42" i="215"/>
  <c r="AO42" i="215"/>
  <c r="AN42" i="215"/>
  <c r="AM42" i="215"/>
  <c r="AL42" i="215"/>
  <c r="AG42" i="215"/>
  <c r="AF42" i="215"/>
  <c r="AE42" i="215"/>
  <c r="AD42" i="215"/>
  <c r="AC42" i="215"/>
  <c r="AB42" i="215"/>
  <c r="AA42" i="215"/>
  <c r="Z42" i="215"/>
  <c r="Y42" i="215"/>
  <c r="BQ42" i="215" s="1"/>
  <c r="X42" i="215"/>
  <c r="BO42" i="215" s="1"/>
  <c r="W42" i="215"/>
  <c r="BJ42" i="215" s="1"/>
  <c r="V42" i="215"/>
  <c r="BH42" i="215" s="1"/>
  <c r="G42" i="215"/>
  <c r="BR41" i="215"/>
  <c r="BQ41" i="215"/>
  <c r="BP41" i="215"/>
  <c r="BO41" i="215"/>
  <c r="BN41" i="215"/>
  <c r="BM41" i="215"/>
  <c r="BL41" i="215"/>
  <c r="BK41" i="215"/>
  <c r="BJ41" i="215"/>
  <c r="BI41" i="215"/>
  <c r="BH41" i="215"/>
  <c r="BG41" i="215"/>
  <c r="AW41" i="215"/>
  <c r="AV41" i="215"/>
  <c r="AU41" i="215"/>
  <c r="AT41" i="215"/>
  <c r="AS41" i="215"/>
  <c r="AR41" i="215"/>
  <c r="AQ41" i="215"/>
  <c r="AP41" i="215"/>
  <c r="AO41" i="215"/>
  <c r="AN41" i="215"/>
  <c r="AM41" i="215"/>
  <c r="AL41" i="215"/>
  <c r="AG41" i="215"/>
  <c r="AF41" i="215"/>
  <c r="AE41" i="215"/>
  <c r="AD41" i="215"/>
  <c r="AC41" i="215"/>
  <c r="AB41" i="215"/>
  <c r="AA41" i="215"/>
  <c r="Z41" i="215"/>
  <c r="U41" i="215"/>
  <c r="U54" i="215" s="1"/>
  <c r="T41" i="215"/>
  <c r="S41" i="215"/>
  <c r="S54" i="215" s="1"/>
  <c r="R41" i="215"/>
  <c r="R54" i="215" s="1"/>
  <c r="I41" i="215"/>
  <c r="H41" i="215"/>
  <c r="F41" i="215"/>
  <c r="F54" i="215" s="1"/>
  <c r="AG40" i="215"/>
  <c r="AF40" i="215"/>
  <c r="AE40" i="215"/>
  <c r="AD40" i="215"/>
  <c r="EL39" i="215"/>
  <c r="EK39" i="215"/>
  <c r="EJ39" i="215"/>
  <c r="EI39" i="215"/>
  <c r="EH39" i="215"/>
  <c r="EG39" i="215"/>
  <c r="EF39" i="215"/>
  <c r="EE39" i="215"/>
  <c r="ED39" i="215"/>
  <c r="EC39" i="215"/>
  <c r="EB39" i="215"/>
  <c r="EA39" i="215"/>
  <c r="DZ39" i="215"/>
  <c r="DY39" i="215"/>
  <c r="DX39" i="215"/>
  <c r="DW39" i="215"/>
  <c r="DV39" i="215"/>
  <c r="DU39" i="215"/>
  <c r="DT39" i="215"/>
  <c r="DS39" i="215"/>
  <c r="DR39" i="215"/>
  <c r="DQ39" i="215"/>
  <c r="DP39" i="215"/>
  <c r="DO39" i="215"/>
  <c r="DN39" i="215"/>
  <c r="DM39" i="215"/>
  <c r="DL39" i="215"/>
  <c r="DK39" i="215"/>
  <c r="DJ39" i="215"/>
  <c r="DI39" i="215"/>
  <c r="DH39" i="215"/>
  <c r="DG39" i="215"/>
  <c r="DF39" i="215"/>
  <c r="DE39" i="215"/>
  <c r="DD39" i="215"/>
  <c r="DC39" i="215"/>
  <c r="F39" i="215"/>
  <c r="AG38" i="215"/>
  <c r="AF38" i="215"/>
  <c r="AE38" i="215"/>
  <c r="AD38" i="215"/>
  <c r="EL37" i="215"/>
  <c r="EK37" i="215"/>
  <c r="EJ37" i="215"/>
  <c r="EI37" i="215"/>
  <c r="EH37" i="215"/>
  <c r="EG37" i="215"/>
  <c r="EF37" i="215"/>
  <c r="EE37" i="215"/>
  <c r="ED37" i="215"/>
  <c r="EC37" i="215"/>
  <c r="EB37" i="215"/>
  <c r="EA37" i="215"/>
  <c r="DZ37" i="215"/>
  <c r="DY37" i="215"/>
  <c r="DX37" i="215"/>
  <c r="DW37" i="215"/>
  <c r="DV37" i="215"/>
  <c r="DU37" i="215"/>
  <c r="DT37" i="215"/>
  <c r="DS37" i="215"/>
  <c r="DR37" i="215"/>
  <c r="DQ37" i="215"/>
  <c r="DP37" i="215"/>
  <c r="DO37" i="215"/>
  <c r="DN37" i="215"/>
  <c r="DM37" i="215"/>
  <c r="DL37" i="215"/>
  <c r="DK37" i="215"/>
  <c r="DJ37" i="215"/>
  <c r="DI37" i="215"/>
  <c r="DH37" i="215"/>
  <c r="DG37" i="215"/>
  <c r="DF37" i="215"/>
  <c r="DE37" i="215"/>
  <c r="DD37" i="215"/>
  <c r="DC37" i="215"/>
  <c r="CP37" i="215"/>
  <c r="CO37" i="215"/>
  <c r="CN37" i="215"/>
  <c r="CM37" i="215"/>
  <c r="CL37" i="215"/>
  <c r="CK37" i="215"/>
  <c r="CJ37" i="215"/>
  <c r="CI37" i="215"/>
  <c r="CH37" i="215"/>
  <c r="CG37" i="215"/>
  <c r="CF37" i="215"/>
  <c r="CE37" i="215"/>
  <c r="F37" i="215"/>
  <c r="EL36" i="215"/>
  <c r="EK36" i="215"/>
  <c r="EJ36" i="215"/>
  <c r="EI36" i="215"/>
  <c r="EH36" i="215"/>
  <c r="EG36" i="215"/>
  <c r="EF36" i="215"/>
  <c r="EE36" i="215"/>
  <c r="ED36" i="215"/>
  <c r="EC36" i="215"/>
  <c r="EB36" i="215"/>
  <c r="EA36" i="215"/>
  <c r="DZ36" i="215"/>
  <c r="DY36" i="215"/>
  <c r="DX36" i="215"/>
  <c r="DW36" i="215"/>
  <c r="DV36" i="215"/>
  <c r="DU36" i="215"/>
  <c r="DT36" i="215"/>
  <c r="DS36" i="215"/>
  <c r="DR36" i="215"/>
  <c r="DQ36" i="215"/>
  <c r="DP36" i="215"/>
  <c r="DO36" i="215"/>
  <c r="DN36" i="215"/>
  <c r="DM36" i="215"/>
  <c r="DL36" i="215"/>
  <c r="DK36" i="215"/>
  <c r="DJ36" i="215"/>
  <c r="DI36" i="215"/>
  <c r="DH36" i="215"/>
  <c r="DG36" i="215"/>
  <c r="DF36" i="215"/>
  <c r="DE36" i="215"/>
  <c r="DD36" i="215"/>
  <c r="DC36" i="215"/>
  <c r="CP36" i="215"/>
  <c r="CO36" i="215"/>
  <c r="CN36" i="215"/>
  <c r="CM36" i="215"/>
  <c r="CL36" i="215"/>
  <c r="CK36" i="215"/>
  <c r="CJ36" i="215"/>
  <c r="CI36" i="215"/>
  <c r="CH36" i="215"/>
  <c r="CG36" i="215"/>
  <c r="CF36" i="215"/>
  <c r="CE36" i="215"/>
  <c r="F36" i="215"/>
  <c r="EL35" i="215"/>
  <c r="EK35" i="215"/>
  <c r="EJ35" i="215"/>
  <c r="EI35" i="215"/>
  <c r="EH35" i="215"/>
  <c r="EG35" i="215"/>
  <c r="EF35" i="215"/>
  <c r="EE35" i="215"/>
  <c r="ED35" i="215"/>
  <c r="EC35" i="215"/>
  <c r="EB35" i="215"/>
  <c r="EA35" i="215"/>
  <c r="DZ35" i="215"/>
  <c r="DY35" i="215"/>
  <c r="DX35" i="215"/>
  <c r="DW35" i="215"/>
  <c r="DV35" i="215"/>
  <c r="DU35" i="215"/>
  <c r="DT35" i="215"/>
  <c r="DS35" i="215"/>
  <c r="DR35" i="215"/>
  <c r="DQ35" i="215"/>
  <c r="DP35" i="215"/>
  <c r="DO35" i="215"/>
  <c r="DN35" i="215"/>
  <c r="DM35" i="215"/>
  <c r="DL35" i="215"/>
  <c r="DK35" i="215"/>
  <c r="DJ35" i="215"/>
  <c r="DI35" i="215"/>
  <c r="DH35" i="215"/>
  <c r="DG35" i="215"/>
  <c r="DF35" i="215"/>
  <c r="DE35" i="215"/>
  <c r="DD35" i="215"/>
  <c r="DC35" i="215"/>
  <c r="CP35" i="215"/>
  <c r="CO35" i="215"/>
  <c r="CN35" i="215"/>
  <c r="CM35" i="215"/>
  <c r="CL35" i="215"/>
  <c r="CK35" i="215"/>
  <c r="CJ35" i="215"/>
  <c r="CI35" i="215"/>
  <c r="CH35" i="215"/>
  <c r="CG35" i="215"/>
  <c r="CF35" i="215"/>
  <c r="CE35" i="215"/>
  <c r="F35" i="215"/>
  <c r="CP32" i="215"/>
  <c r="CO32" i="215"/>
  <c r="CO39" i="215" s="1"/>
  <c r="CN32" i="215"/>
  <c r="CN39" i="215" s="1"/>
  <c r="CM32" i="215"/>
  <c r="CM39" i="215" s="1"/>
  <c r="CL32" i="215"/>
  <c r="CL39" i="215" s="1"/>
  <c r="CK32" i="215"/>
  <c r="CJ32" i="215"/>
  <c r="CJ39" i="215" s="1"/>
  <c r="CI32" i="215"/>
  <c r="CI39" i="215" s="1"/>
  <c r="CH32" i="215"/>
  <c r="CG32" i="215"/>
  <c r="CG39" i="215" s="1"/>
  <c r="CF32" i="215"/>
  <c r="CF39" i="215" s="1"/>
  <c r="CE32" i="215"/>
  <c r="CE39" i="215" s="1"/>
  <c r="CD32" i="215"/>
  <c r="CC32" i="215"/>
  <c r="CB32" i="215"/>
  <c r="CA32" i="215"/>
  <c r="BZ32" i="215"/>
  <c r="BY32" i="215"/>
  <c r="BX32" i="215"/>
  <c r="BW32" i="215"/>
  <c r="BV32" i="215"/>
  <c r="BU32" i="215"/>
  <c r="BT32" i="215"/>
  <c r="BS32" i="215"/>
  <c r="DB31" i="215"/>
  <c r="DB37" i="215" s="1"/>
  <c r="DA31" i="215"/>
  <c r="DA37" i="215" s="1"/>
  <c r="CZ31" i="215"/>
  <c r="CY31" i="215"/>
  <c r="CY37" i="215" s="1"/>
  <c r="CX31" i="215"/>
  <c r="CX37" i="215" s="1"/>
  <c r="CW31" i="215"/>
  <c r="CV31" i="215"/>
  <c r="CV37" i="215" s="1"/>
  <c r="CU31" i="215"/>
  <c r="CT31" i="215"/>
  <c r="CT37" i="215" s="1"/>
  <c r="CS31" i="215"/>
  <c r="CS37" i="215" s="1"/>
  <c r="CR31" i="215"/>
  <c r="CQ31" i="215"/>
  <c r="CQ37" i="215" s="1"/>
  <c r="CD31" i="215"/>
  <c r="CD37" i="215" s="1"/>
  <c r="CC31" i="215"/>
  <c r="CB31" i="215"/>
  <c r="CB37" i="215" s="1"/>
  <c r="CA31" i="215"/>
  <c r="CA37" i="215" s="1"/>
  <c r="BZ31" i="215"/>
  <c r="BZ37" i="215" s="1"/>
  <c r="BY31" i="215"/>
  <c r="BX31" i="215"/>
  <c r="BX37" i="215" s="1"/>
  <c r="BW31" i="215"/>
  <c r="BW37" i="215" s="1"/>
  <c r="BV31" i="215"/>
  <c r="BV37" i="215" s="1"/>
  <c r="BU31" i="215"/>
  <c r="BU37" i="215" s="1"/>
  <c r="BT31" i="215"/>
  <c r="BT37" i="215" s="1"/>
  <c r="BS31" i="215"/>
  <c r="BS37" i="215" s="1"/>
  <c r="AW31" i="215"/>
  <c r="AV31" i="215"/>
  <c r="AU31" i="215"/>
  <c r="AT31" i="215"/>
  <c r="AS31" i="215"/>
  <c r="AR31" i="215"/>
  <c r="AQ31" i="215"/>
  <c r="AP31" i="215"/>
  <c r="AO31" i="215"/>
  <c r="AN31" i="215"/>
  <c r="AM31" i="215"/>
  <c r="AL31" i="215"/>
  <c r="AG31" i="215"/>
  <c r="AF31" i="215"/>
  <c r="AE31" i="215"/>
  <c r="AD31" i="215"/>
  <c r="Y31" i="215"/>
  <c r="Y37" i="215" s="1"/>
  <c r="X31" i="215"/>
  <c r="X37" i="215" s="1"/>
  <c r="W31" i="215"/>
  <c r="W37" i="215" s="1"/>
  <c r="V31" i="215"/>
  <c r="U31" i="215"/>
  <c r="U37" i="215" s="1"/>
  <c r="T31" i="215"/>
  <c r="T37" i="215" s="1"/>
  <c r="S31" i="215"/>
  <c r="S37" i="215" s="1"/>
  <c r="R31" i="215"/>
  <c r="DB30" i="215"/>
  <c r="DB36" i="215" s="1"/>
  <c r="DA30" i="215"/>
  <c r="DA36" i="215" s="1"/>
  <c r="CZ30" i="215"/>
  <c r="CY30" i="215"/>
  <c r="CY36" i="215" s="1"/>
  <c r="CX30" i="215"/>
  <c r="CX36" i="215" s="1"/>
  <c r="CW30" i="215"/>
  <c r="CW36" i="215" s="1"/>
  <c r="CV30" i="215"/>
  <c r="CV36" i="215" s="1"/>
  <c r="CU30" i="215"/>
  <c r="CT30" i="215"/>
  <c r="CS30" i="215"/>
  <c r="CS36" i="215" s="1"/>
  <c r="CR30" i="215"/>
  <c r="CR36" i="215" s="1"/>
  <c r="CQ30" i="215"/>
  <c r="CD30" i="215"/>
  <c r="CD36" i="215" s="1"/>
  <c r="CC30" i="215"/>
  <c r="CC36" i="215" s="1"/>
  <c r="CB30" i="215"/>
  <c r="CA30" i="215"/>
  <c r="CA36" i="215" s="1"/>
  <c r="BZ30" i="215"/>
  <c r="BY30" i="215"/>
  <c r="BY36" i="215" s="1"/>
  <c r="BX30" i="215"/>
  <c r="BX36" i="215" s="1"/>
  <c r="BW30" i="215"/>
  <c r="BW36" i="215" s="1"/>
  <c r="BV30" i="215"/>
  <c r="BV36" i="215" s="1"/>
  <c r="BU30" i="215"/>
  <c r="BU36" i="215" s="1"/>
  <c r="BT30" i="215"/>
  <c r="BS30" i="215"/>
  <c r="AW30" i="215"/>
  <c r="AV30" i="215"/>
  <c r="AU30" i="215"/>
  <c r="AT30" i="215"/>
  <c r="AS30" i="215"/>
  <c r="AR30" i="215"/>
  <c r="AQ30" i="215"/>
  <c r="AP30" i="215"/>
  <c r="AO30" i="215"/>
  <c r="AN30" i="215"/>
  <c r="AM30" i="215"/>
  <c r="AL30" i="215"/>
  <c r="AG30" i="215"/>
  <c r="AF30" i="215"/>
  <c r="AE30" i="215"/>
  <c r="AD30" i="215"/>
  <c r="Y30" i="215"/>
  <c r="X30" i="215"/>
  <c r="X36" i="215" s="1"/>
  <c r="W30" i="215"/>
  <c r="W36" i="215" s="1"/>
  <c r="V30" i="215"/>
  <c r="V36" i="215" s="1"/>
  <c r="U30" i="215"/>
  <c r="U36" i="215" s="1"/>
  <c r="T30" i="215"/>
  <c r="T36" i="215" s="1"/>
  <c r="S30" i="215"/>
  <c r="R30" i="215"/>
  <c r="DB29" i="215"/>
  <c r="DA29" i="215"/>
  <c r="CZ29" i="215"/>
  <c r="CY29" i="215"/>
  <c r="CY35" i="215" s="1"/>
  <c r="CX29" i="215"/>
  <c r="CX35" i="215" s="1"/>
  <c r="CW29" i="215"/>
  <c r="CV29" i="215"/>
  <c r="CU29" i="215"/>
  <c r="CT29" i="215"/>
  <c r="CT35" i="215" s="1"/>
  <c r="CS29" i="215"/>
  <c r="CR29" i="215"/>
  <c r="CR35" i="215" s="1"/>
  <c r="CQ29" i="215"/>
  <c r="CQ35" i="215" s="1"/>
  <c r="CD29" i="215"/>
  <c r="CD35" i="215" s="1"/>
  <c r="CC29" i="215"/>
  <c r="CB29" i="215"/>
  <c r="CA29" i="215"/>
  <c r="BZ29" i="215"/>
  <c r="BZ35" i="215" s="1"/>
  <c r="BY29" i="215"/>
  <c r="BX29" i="215"/>
  <c r="BX35" i="215" s="1"/>
  <c r="BW29" i="215"/>
  <c r="BV29" i="215"/>
  <c r="BU29" i="215"/>
  <c r="BT29" i="215"/>
  <c r="BT35" i="215" s="1"/>
  <c r="BS29" i="215"/>
  <c r="AW29" i="215"/>
  <c r="AV29" i="215"/>
  <c r="AU29" i="215"/>
  <c r="AT29" i="215"/>
  <c r="AS29" i="215"/>
  <c r="AR29" i="215"/>
  <c r="AQ29" i="215"/>
  <c r="AP29" i="215"/>
  <c r="AO29" i="215"/>
  <c r="AN29" i="215"/>
  <c r="AM29" i="215"/>
  <c r="AL29" i="215"/>
  <c r="AG29" i="215"/>
  <c r="AF29" i="215"/>
  <c r="AE29" i="215"/>
  <c r="AD29" i="215"/>
  <c r="Y29" i="215"/>
  <c r="Y35" i="215" s="1"/>
  <c r="X29" i="215"/>
  <c r="W29" i="215"/>
  <c r="V29" i="215"/>
  <c r="V35" i="215" s="1"/>
  <c r="U29" i="215"/>
  <c r="U35" i="215" s="1"/>
  <c r="T29" i="215"/>
  <c r="T35" i="215" s="1"/>
  <c r="S29" i="215"/>
  <c r="S35" i="215" s="1"/>
  <c r="R29" i="215"/>
  <c r="R35" i="215" s="1"/>
  <c r="EL26" i="215"/>
  <c r="ED28" i="188" s="1"/>
  <c r="EK26" i="215"/>
  <c r="EC28" i="188" s="1"/>
  <c r="EJ26" i="215"/>
  <c r="EI26" i="215"/>
  <c r="EA28" i="188" s="1"/>
  <c r="EH26" i="215"/>
  <c r="DZ28" i="188" s="1"/>
  <c r="EG26" i="215"/>
  <c r="DY28" i="188" s="1"/>
  <c r="EF26" i="215"/>
  <c r="DX28" i="188" s="1"/>
  <c r="EE26" i="215"/>
  <c r="DW28" i="188" s="1"/>
  <c r="ED26" i="215"/>
  <c r="DV28" i="188" s="1"/>
  <c r="EC26" i="215"/>
  <c r="DU28" i="188" s="1"/>
  <c r="EB26" i="215"/>
  <c r="DT28" i="188" s="1"/>
  <c r="EA26" i="215"/>
  <c r="DS28" i="188" s="1"/>
  <c r="CP26" i="215"/>
  <c r="CO26" i="215"/>
  <c r="CN26" i="215"/>
  <c r="CM26" i="215"/>
  <c r="CL26" i="215"/>
  <c r="CK26" i="215"/>
  <c r="CJ26" i="215"/>
  <c r="CI26" i="215"/>
  <c r="CH26" i="215"/>
  <c r="CG26" i="215"/>
  <c r="CF26" i="215"/>
  <c r="CE26" i="215"/>
  <c r="BR26" i="215"/>
  <c r="BQ26" i="215"/>
  <c r="BP26" i="215"/>
  <c r="BO26" i="215"/>
  <c r="BN26" i="215"/>
  <c r="BM26" i="215"/>
  <c r="BL26" i="215"/>
  <c r="BK26" i="215"/>
  <c r="BJ26" i="215"/>
  <c r="BI26" i="215"/>
  <c r="BH26" i="215"/>
  <c r="BG26" i="215"/>
  <c r="AS26" i="215"/>
  <c r="AR26" i="215"/>
  <c r="AQ26" i="215"/>
  <c r="AP26" i="215"/>
  <c r="AO26" i="215"/>
  <c r="AN26" i="215"/>
  <c r="AM26" i="215"/>
  <c r="AL26" i="215"/>
  <c r="AK26" i="215"/>
  <c r="AJ26" i="215"/>
  <c r="AI26" i="215"/>
  <c r="AH26" i="215"/>
  <c r="AC26" i="215"/>
  <c r="AB26" i="215"/>
  <c r="AA26" i="215"/>
  <c r="Z26" i="215"/>
  <c r="I26" i="215"/>
  <c r="H26" i="215"/>
  <c r="G26" i="215"/>
  <c r="F26" i="215"/>
  <c r="EL25" i="215"/>
  <c r="EK25" i="215"/>
  <c r="EJ25" i="215"/>
  <c r="EI25" i="215"/>
  <c r="EH25" i="215"/>
  <c r="EG25" i="215"/>
  <c r="EF25" i="215"/>
  <c r="EE25" i="215"/>
  <c r="ED25" i="215"/>
  <c r="EC25" i="215"/>
  <c r="EB25" i="215"/>
  <c r="EA25" i="215"/>
  <c r="CP25" i="215"/>
  <c r="CO25" i="215"/>
  <c r="CN25" i="215"/>
  <c r="CM25" i="215"/>
  <c r="CL25" i="215"/>
  <c r="CK25" i="215"/>
  <c r="CJ25" i="215"/>
  <c r="CI25" i="215"/>
  <c r="CH25" i="215"/>
  <c r="CG25" i="215"/>
  <c r="CF25" i="215"/>
  <c r="CE25" i="215"/>
  <c r="BR25" i="215"/>
  <c r="BQ25" i="215"/>
  <c r="BP25" i="215"/>
  <c r="BO25" i="215"/>
  <c r="BN25" i="215"/>
  <c r="BM25" i="215"/>
  <c r="BL25" i="215"/>
  <c r="BK25" i="215"/>
  <c r="BJ25" i="215"/>
  <c r="BI25" i="215"/>
  <c r="BH25" i="215"/>
  <c r="BG25" i="215"/>
  <c r="AS25" i="215"/>
  <c r="AR25" i="215"/>
  <c r="AQ25" i="215"/>
  <c r="AP25" i="215"/>
  <c r="AO25" i="215"/>
  <c r="AN25" i="215"/>
  <c r="AM25" i="215"/>
  <c r="AL25" i="215"/>
  <c r="AK25" i="215"/>
  <c r="AJ25" i="215"/>
  <c r="AI25" i="215"/>
  <c r="AH25" i="215"/>
  <c r="AC25" i="215"/>
  <c r="AB25" i="215"/>
  <c r="AA25" i="215"/>
  <c r="Z25" i="215"/>
  <c r="I25" i="215"/>
  <c r="H25" i="215"/>
  <c r="G25" i="215"/>
  <c r="F25" i="215"/>
  <c r="EL24" i="215"/>
  <c r="EK24" i="215"/>
  <c r="EJ24" i="215"/>
  <c r="EI24" i="215"/>
  <c r="EH24" i="215"/>
  <c r="EG24" i="215"/>
  <c r="EF24" i="215"/>
  <c r="EE24" i="215"/>
  <c r="ED24" i="215"/>
  <c r="EC24" i="215"/>
  <c r="EB24" i="215"/>
  <c r="EA24" i="215"/>
  <c r="CP24" i="215"/>
  <c r="CO24" i="215"/>
  <c r="CN24" i="215"/>
  <c r="CM24" i="215"/>
  <c r="CL24" i="215"/>
  <c r="CK24" i="215"/>
  <c r="CJ24" i="215"/>
  <c r="CI24" i="215"/>
  <c r="CH24" i="215"/>
  <c r="CG24" i="215"/>
  <c r="CF24" i="215"/>
  <c r="CE24" i="215"/>
  <c r="BR24" i="215"/>
  <c r="BQ24" i="215"/>
  <c r="BP24" i="215"/>
  <c r="BO24" i="215"/>
  <c r="BN24" i="215"/>
  <c r="BM24" i="215"/>
  <c r="BL24" i="215"/>
  <c r="BK24" i="215"/>
  <c r="BJ24" i="215"/>
  <c r="BI24" i="215"/>
  <c r="BH24" i="215"/>
  <c r="BG24" i="215"/>
  <c r="AS24" i="215"/>
  <c r="AR24" i="215"/>
  <c r="AQ24" i="215"/>
  <c r="AP24" i="215"/>
  <c r="AO24" i="215"/>
  <c r="AN24" i="215"/>
  <c r="AM24" i="215"/>
  <c r="AL24" i="215"/>
  <c r="AK24" i="215"/>
  <c r="AJ24" i="215"/>
  <c r="AI24" i="215"/>
  <c r="AH24" i="215"/>
  <c r="AC24" i="215"/>
  <c r="AB24" i="215"/>
  <c r="AA24" i="215"/>
  <c r="Z24" i="215"/>
  <c r="I24" i="215"/>
  <c r="H24" i="215"/>
  <c r="G24" i="215"/>
  <c r="F24" i="215"/>
  <c r="AG23" i="215"/>
  <c r="AF23" i="215"/>
  <c r="AE23" i="215"/>
  <c r="AD23" i="215"/>
  <c r="AG22" i="215"/>
  <c r="AF22" i="215"/>
  <c r="AE22" i="215"/>
  <c r="AD22" i="215"/>
  <c r="EL21" i="215"/>
  <c r="EK21" i="215"/>
  <c r="EJ21" i="215"/>
  <c r="EI21" i="215"/>
  <c r="EH21" i="215"/>
  <c r="EG21" i="215"/>
  <c r="EF21" i="215"/>
  <c r="EE21" i="215"/>
  <c r="ED21" i="215"/>
  <c r="EC21" i="215"/>
  <c r="EB21" i="215"/>
  <c r="EA21" i="215"/>
  <c r="DZ21" i="215"/>
  <c r="DY21" i="215"/>
  <c r="DX21" i="215"/>
  <c r="DW21" i="215"/>
  <c r="DV21" i="215"/>
  <c r="DU21" i="215"/>
  <c r="DT21" i="215"/>
  <c r="DS21" i="215"/>
  <c r="DR21" i="215"/>
  <c r="DQ21" i="215"/>
  <c r="DP21" i="215"/>
  <c r="DO21" i="215"/>
  <c r="DN21" i="215"/>
  <c r="DM21" i="215"/>
  <c r="DL21" i="215"/>
  <c r="DK21" i="215"/>
  <c r="DJ21" i="215"/>
  <c r="DI21" i="215"/>
  <c r="DH21" i="215"/>
  <c r="DG21" i="215"/>
  <c r="DF21" i="215"/>
  <c r="DE21" i="215"/>
  <c r="DD21" i="215"/>
  <c r="DC21" i="215"/>
  <c r="DB21" i="215"/>
  <c r="DA21" i="215"/>
  <c r="CZ21" i="215"/>
  <c r="CY21" i="215"/>
  <c r="CX21" i="215"/>
  <c r="CW21" i="215"/>
  <c r="CV21" i="215"/>
  <c r="CU21" i="215"/>
  <c r="CT21" i="215"/>
  <c r="CS21" i="215"/>
  <c r="CR21" i="215"/>
  <c r="CQ21" i="215"/>
  <c r="CP21" i="215"/>
  <c r="CO21" i="215"/>
  <c r="CN21" i="215"/>
  <c r="CM21" i="215"/>
  <c r="CL21" i="215"/>
  <c r="CK21" i="215"/>
  <c r="CJ21" i="215"/>
  <c r="CI21" i="215"/>
  <c r="CH21" i="215"/>
  <c r="CG21" i="215"/>
  <c r="CF21" i="215"/>
  <c r="CE21" i="215"/>
  <c r="CD21" i="215"/>
  <c r="CC21" i="215"/>
  <c r="CB21" i="215"/>
  <c r="CA21" i="215"/>
  <c r="BZ21" i="215"/>
  <c r="BY21" i="215"/>
  <c r="BX21" i="215"/>
  <c r="BW21" i="215"/>
  <c r="BV21" i="215"/>
  <c r="BU21" i="215"/>
  <c r="BT21" i="215"/>
  <c r="BS21" i="215"/>
  <c r="Y21" i="215"/>
  <c r="X21" i="215"/>
  <c r="W21" i="215"/>
  <c r="V21" i="215"/>
  <c r="U21" i="215"/>
  <c r="T21" i="215"/>
  <c r="S21" i="215"/>
  <c r="R21" i="215"/>
  <c r="F21" i="215"/>
  <c r="AG20" i="215"/>
  <c r="AF20" i="215"/>
  <c r="AE20" i="215"/>
  <c r="AD20" i="215"/>
  <c r="AC20" i="215"/>
  <c r="AB20" i="215"/>
  <c r="AA20" i="215"/>
  <c r="Z20" i="215"/>
  <c r="I20" i="215"/>
  <c r="BR19" i="215"/>
  <c r="BQ19" i="215"/>
  <c r="BP19" i="215"/>
  <c r="BO19" i="215"/>
  <c r="BN19" i="215"/>
  <c r="BM19" i="215"/>
  <c r="BL19" i="215"/>
  <c r="BK19" i="215"/>
  <c r="BJ19" i="215"/>
  <c r="BI19" i="215"/>
  <c r="BH19" i="215"/>
  <c r="BG19" i="215"/>
  <c r="AW19" i="215"/>
  <c r="AV19" i="215"/>
  <c r="AU19" i="215"/>
  <c r="AT19" i="215"/>
  <c r="AS19" i="215"/>
  <c r="AR19" i="215"/>
  <c r="AQ19" i="215"/>
  <c r="AP19" i="215"/>
  <c r="AO19" i="215"/>
  <c r="AN19" i="215"/>
  <c r="AM19" i="215"/>
  <c r="AL19" i="215"/>
  <c r="AK19" i="215"/>
  <c r="AJ19" i="215"/>
  <c r="AI19" i="215"/>
  <c r="AH19" i="215"/>
  <c r="AG19" i="215"/>
  <c r="AF19" i="215"/>
  <c r="AE19" i="215"/>
  <c r="AD19" i="215"/>
  <c r="AC19" i="215"/>
  <c r="AB19" i="215"/>
  <c r="AA19" i="215"/>
  <c r="Z19" i="215"/>
  <c r="I19" i="215"/>
  <c r="H19" i="215"/>
  <c r="G19" i="215"/>
  <c r="BR18" i="215"/>
  <c r="BQ18" i="215"/>
  <c r="BP18" i="215"/>
  <c r="BO18" i="215"/>
  <c r="BN18" i="215"/>
  <c r="BM18" i="215"/>
  <c r="BL18" i="215"/>
  <c r="BK18" i="215"/>
  <c r="BJ18" i="215"/>
  <c r="BI18" i="215"/>
  <c r="BH18" i="215"/>
  <c r="BG18" i="215"/>
  <c r="AW18" i="215"/>
  <c r="AV18" i="215"/>
  <c r="AU18" i="215"/>
  <c r="AT18" i="215"/>
  <c r="AS18" i="215"/>
  <c r="AR18" i="215"/>
  <c r="AQ18" i="215"/>
  <c r="AP18" i="215"/>
  <c r="AO18" i="215"/>
  <c r="AN18" i="215"/>
  <c r="AM18" i="215"/>
  <c r="AL18" i="215"/>
  <c r="AK18" i="215"/>
  <c r="AJ18" i="215"/>
  <c r="AI18" i="215"/>
  <c r="AH18" i="215"/>
  <c r="AG18" i="215"/>
  <c r="AF18" i="215"/>
  <c r="AE18" i="215"/>
  <c r="AD18" i="215"/>
  <c r="AC18" i="215"/>
  <c r="AB18" i="215"/>
  <c r="AA18" i="215"/>
  <c r="Z18" i="215"/>
  <c r="I18" i="215"/>
  <c r="H18" i="215"/>
  <c r="G18" i="215"/>
  <c r="BR17" i="215"/>
  <c r="BQ17" i="215"/>
  <c r="BP17" i="215"/>
  <c r="BO17" i="215"/>
  <c r="BN17" i="215"/>
  <c r="BM17" i="215"/>
  <c r="BL17" i="215"/>
  <c r="BK17" i="215"/>
  <c r="BJ17" i="215"/>
  <c r="BI17" i="215"/>
  <c r="BH17" i="215"/>
  <c r="BG17" i="215"/>
  <c r="AG17" i="215"/>
  <c r="AF17" i="215"/>
  <c r="AE17" i="215"/>
  <c r="AD17" i="215"/>
  <c r="AG16" i="215"/>
  <c r="AF16" i="215"/>
  <c r="AE16" i="215"/>
  <c r="AD16" i="215"/>
  <c r="U16" i="215"/>
  <c r="T16" i="215"/>
  <c r="S16" i="215"/>
  <c r="R16" i="215"/>
  <c r="H16" i="215"/>
  <c r="AG15" i="215"/>
  <c r="AF15" i="215"/>
  <c r="AE15" i="215"/>
  <c r="AD15" i="215"/>
  <c r="H15" i="215"/>
  <c r="G15" i="215"/>
  <c r="AG14" i="215"/>
  <c r="AF14" i="215"/>
  <c r="AE14" i="215"/>
  <c r="AD14" i="215"/>
  <c r="H14" i="215"/>
  <c r="G14" i="215"/>
  <c r="AG13" i="215"/>
  <c r="AF13" i="215"/>
  <c r="AE13" i="215"/>
  <c r="AD13" i="215"/>
  <c r="H13" i="215"/>
  <c r="G13" i="215"/>
  <c r="AG12" i="215"/>
  <c r="AF12" i="215"/>
  <c r="AE12" i="215"/>
  <c r="AD12" i="215"/>
  <c r="H12" i="215"/>
  <c r="G12" i="215"/>
  <c r="AG11" i="215"/>
  <c r="AF11" i="215"/>
  <c r="AE11" i="215"/>
  <c r="AD11" i="215"/>
  <c r="H11" i="215"/>
  <c r="G11" i="215"/>
  <c r="AG10" i="215"/>
  <c r="AF10" i="215"/>
  <c r="AE10" i="215"/>
  <c r="AD10" i="215"/>
  <c r="H10" i="215"/>
  <c r="G10" i="215"/>
  <c r="AG9" i="215"/>
  <c r="AF9" i="215"/>
  <c r="AE9" i="215"/>
  <c r="AD9" i="215"/>
  <c r="H9" i="215"/>
  <c r="G9" i="215"/>
  <c r="BR8" i="215"/>
  <c r="BQ8" i="215"/>
  <c r="BP8" i="215"/>
  <c r="BO8" i="215"/>
  <c r="BN8" i="215"/>
  <c r="BM8" i="215"/>
  <c r="BL8" i="215"/>
  <c r="BK8" i="215"/>
  <c r="BJ8" i="215"/>
  <c r="BI8" i="215"/>
  <c r="BH8" i="215"/>
  <c r="BG8" i="215"/>
  <c r="AV8" i="215"/>
  <c r="AU8" i="215"/>
  <c r="AT8" i="215"/>
  <c r="AS8" i="215"/>
  <c r="AR8" i="215"/>
  <c r="AQ8" i="215"/>
  <c r="AP8" i="215"/>
  <c r="AO8" i="215"/>
  <c r="AN8" i="215"/>
  <c r="AM8" i="215"/>
  <c r="AL8" i="215"/>
  <c r="AK8" i="215"/>
  <c r="AJ8" i="215"/>
  <c r="AI8" i="215"/>
  <c r="AH8" i="215"/>
  <c r="AG8" i="215"/>
  <c r="AF8" i="215"/>
  <c r="AE8" i="215"/>
  <c r="AD8" i="215"/>
  <c r="AC8" i="215"/>
  <c r="AB8" i="215"/>
  <c r="AA8" i="215"/>
  <c r="Z8" i="215"/>
  <c r="I8" i="215"/>
  <c r="H8" i="215"/>
  <c r="G8" i="215"/>
  <c r="DY136" i="5"/>
  <c r="DY107" i="5" s="1"/>
  <c r="DO136" i="5"/>
  <c r="DO127" i="5" s="1"/>
  <c r="CO136" i="5"/>
  <c r="AC136" i="5" s="1"/>
  <c r="AB136" i="5"/>
  <c r="CJ135" i="5"/>
  <c r="AB135" i="5" s="1"/>
  <c r="AC135" i="5"/>
  <c r="AA135" i="5"/>
  <c r="Z135" i="5"/>
  <c r="EN134" i="5"/>
  <c r="EN107" i="5" s="1"/>
  <c r="DN134" i="5"/>
  <c r="DN107" i="5" s="1"/>
  <c r="DK134" i="5"/>
  <c r="DK107" i="5" s="1"/>
  <c r="CS134" i="5"/>
  <c r="BX134" i="5"/>
  <c r="BX107" i="5" s="1"/>
  <c r="AC134" i="5"/>
  <c r="AB134" i="5"/>
  <c r="AA134" i="5"/>
  <c r="Z134" i="5"/>
  <c r="AC133" i="5"/>
  <c r="AB133" i="5"/>
  <c r="AA133" i="5"/>
  <c r="Z133" i="5"/>
  <c r="AC132" i="5"/>
  <c r="AB132" i="5"/>
  <c r="AA132" i="5"/>
  <c r="Z132" i="5"/>
  <c r="CN128" i="5"/>
  <c r="CM128" i="5"/>
  <c r="CL128" i="5"/>
  <c r="CK128" i="5"/>
  <c r="CJ128" i="5"/>
  <c r="CI128" i="5"/>
  <c r="CH128" i="5"/>
  <c r="CG128" i="5"/>
  <c r="CF128" i="5"/>
  <c r="CE128" i="5"/>
  <c r="CD128" i="5"/>
  <c r="CC128" i="5"/>
  <c r="CB128" i="5"/>
  <c r="CA128" i="5"/>
  <c r="BZ128" i="5"/>
  <c r="BY128" i="5"/>
  <c r="BX128" i="5"/>
  <c r="BW128" i="5"/>
  <c r="BV128" i="5"/>
  <c r="BU128" i="5"/>
  <c r="BT128" i="5"/>
  <c r="BS128" i="5"/>
  <c r="BR128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M128" i="5"/>
  <c r="L128" i="5"/>
  <c r="K128" i="5"/>
  <c r="AU127" i="5"/>
  <c r="EJ127" i="5"/>
  <c r="EI127" i="5"/>
  <c r="EH127" i="5"/>
  <c r="EG127" i="5"/>
  <c r="EF127" i="5"/>
  <c r="EE127" i="5"/>
  <c r="ED127" i="5"/>
  <c r="EC127" i="5"/>
  <c r="EB127" i="5"/>
  <c r="EA127" i="5"/>
  <c r="DZ127" i="5"/>
  <c r="DX127" i="5"/>
  <c r="DW127" i="5"/>
  <c r="DV127" i="5"/>
  <c r="DU127" i="5"/>
  <c r="DT127" i="5"/>
  <c r="DS127" i="5"/>
  <c r="DR127" i="5"/>
  <c r="DQ127" i="5"/>
  <c r="DP127" i="5"/>
  <c r="DN127" i="5"/>
  <c r="DM127" i="5"/>
  <c r="DL127" i="5"/>
  <c r="DK127" i="5"/>
  <c r="DJ127" i="5"/>
  <c r="DI127" i="5"/>
  <c r="DH127" i="5"/>
  <c r="DG127" i="5"/>
  <c r="DF127" i="5"/>
  <c r="DE127" i="5"/>
  <c r="DD127" i="5"/>
  <c r="DC127" i="5"/>
  <c r="DB127" i="5"/>
  <c r="CY127" i="5"/>
  <c r="CV127" i="5"/>
  <c r="CU127" i="5"/>
  <c r="CT127" i="5"/>
  <c r="CS127" i="5"/>
  <c r="CR127" i="5"/>
  <c r="CQ127" i="5"/>
  <c r="CP127" i="5"/>
  <c r="EO126" i="5"/>
  <c r="AU126" i="5" s="1"/>
  <c r="EN126" i="5"/>
  <c r="EM126" i="5"/>
  <c r="EL126" i="5"/>
  <c r="EJ126" i="5"/>
  <c r="EI126" i="5"/>
  <c r="EH126" i="5"/>
  <c r="EG126" i="5"/>
  <c r="EF126" i="5"/>
  <c r="EE126" i="5"/>
  <c r="ED126" i="5"/>
  <c r="EC126" i="5"/>
  <c r="EB126" i="5"/>
  <c r="EA126" i="5"/>
  <c r="DZ126" i="5"/>
  <c r="DX126" i="5"/>
  <c r="DW126" i="5"/>
  <c r="DV126" i="5"/>
  <c r="DU126" i="5"/>
  <c r="DT126" i="5"/>
  <c r="DS126" i="5"/>
  <c r="DR126" i="5"/>
  <c r="DQ126" i="5"/>
  <c r="DP126" i="5"/>
  <c r="DO126" i="5"/>
  <c r="DN126" i="5"/>
  <c r="DL126" i="5"/>
  <c r="DK126" i="5"/>
  <c r="DJ126" i="5"/>
  <c r="DI126" i="5"/>
  <c r="DB126" i="5"/>
  <c r="DA126" i="5"/>
  <c r="CZ126" i="5"/>
  <c r="CY126" i="5"/>
  <c r="CX126" i="5"/>
  <c r="AF126" i="5" s="1"/>
  <c r="CN126" i="5"/>
  <c r="CM126" i="5"/>
  <c r="CL126" i="5"/>
  <c r="CK126" i="5"/>
  <c r="CJ126" i="5"/>
  <c r="CI126" i="5"/>
  <c r="CH126" i="5"/>
  <c r="CG126" i="5"/>
  <c r="CF126" i="5"/>
  <c r="CE126" i="5"/>
  <c r="CC126" i="5"/>
  <c r="CB126" i="5"/>
  <c r="CA126" i="5"/>
  <c r="BZ126" i="5"/>
  <c r="BY126" i="5"/>
  <c r="BX126" i="5"/>
  <c r="BW126" i="5"/>
  <c r="BV126" i="5"/>
  <c r="BU126" i="5"/>
  <c r="BT126" i="5"/>
  <c r="BS126" i="5"/>
  <c r="BR126" i="5"/>
  <c r="AI126" i="5"/>
  <c r="AE126" i="5"/>
  <c r="AD126" i="5"/>
  <c r="BV125" i="5"/>
  <c r="BU125" i="5"/>
  <c r="BT125" i="5"/>
  <c r="EO124" i="5"/>
  <c r="AU124" i="5" s="1"/>
  <c r="EN124" i="5"/>
  <c r="EJ124" i="5"/>
  <c r="EI124" i="5"/>
  <c r="EH124" i="5"/>
  <c r="EG124" i="5"/>
  <c r="EF124" i="5"/>
  <c r="DY124" i="5"/>
  <c r="DX124" i="5"/>
  <c r="DW124" i="5"/>
  <c r="DV124" i="5"/>
  <c r="DU124" i="5"/>
  <c r="DT124" i="5"/>
  <c r="DS124" i="5"/>
  <c r="DR124" i="5"/>
  <c r="DQ124" i="5"/>
  <c r="DP124" i="5"/>
  <c r="DO124" i="5"/>
  <c r="DN124" i="5"/>
  <c r="DM124" i="5"/>
  <c r="DL124" i="5"/>
  <c r="DK124" i="5"/>
  <c r="DJ124" i="5"/>
  <c r="DI124" i="5"/>
  <c r="DH124" i="5"/>
  <c r="DG124" i="5"/>
  <c r="DF124" i="5"/>
  <c r="DE124" i="5"/>
  <c r="DD124" i="5"/>
  <c r="DC124" i="5"/>
  <c r="DB124" i="5"/>
  <c r="DA124" i="5"/>
  <c r="CZ124" i="5"/>
  <c r="CY124" i="5"/>
  <c r="CX124" i="5"/>
  <c r="CW124" i="5"/>
  <c r="EO123" i="5"/>
  <c r="AU123" i="5" s="1"/>
  <c r="EN123" i="5"/>
  <c r="EM123" i="5"/>
  <c r="EL123" i="5"/>
  <c r="EJ123" i="5"/>
  <c r="EI123" i="5"/>
  <c r="EH123" i="5"/>
  <c r="EG123" i="5"/>
  <c r="EF123" i="5"/>
  <c r="EE123" i="5"/>
  <c r="ED123" i="5"/>
  <c r="EC123" i="5"/>
  <c r="EB123" i="5"/>
  <c r="EA123" i="5"/>
  <c r="DZ123" i="5"/>
  <c r="DY123" i="5"/>
  <c r="DX123" i="5"/>
  <c r="DW123" i="5"/>
  <c r="DV123" i="5"/>
  <c r="DU123" i="5"/>
  <c r="DT123" i="5"/>
  <c r="DS123" i="5"/>
  <c r="DR123" i="5"/>
  <c r="DQ123" i="5"/>
  <c r="DP123" i="5"/>
  <c r="DO123" i="5"/>
  <c r="DN123" i="5"/>
  <c r="DM123" i="5"/>
  <c r="DL123" i="5"/>
  <c r="DK123" i="5"/>
  <c r="DJ123" i="5"/>
  <c r="DI123" i="5"/>
  <c r="DH123" i="5"/>
  <c r="DG123" i="5"/>
  <c r="DF123" i="5"/>
  <c r="DE123" i="5"/>
  <c r="DD123" i="5"/>
  <c r="DC123" i="5"/>
  <c r="DB123" i="5"/>
  <c r="DA123" i="5"/>
  <c r="CZ123" i="5"/>
  <c r="CY123" i="5"/>
  <c r="CX123" i="5"/>
  <c r="CW123" i="5"/>
  <c r="CV123" i="5"/>
  <c r="CU123" i="5"/>
  <c r="CT123" i="5"/>
  <c r="CS123" i="5"/>
  <c r="CR123" i="5"/>
  <c r="CQ123" i="5"/>
  <c r="CP123" i="5"/>
  <c r="CO123" i="5"/>
  <c r="CN123" i="5"/>
  <c r="CM123" i="5"/>
  <c r="CL123" i="5"/>
  <c r="CK123" i="5"/>
  <c r="CJ123" i="5"/>
  <c r="CI123" i="5"/>
  <c r="CF123" i="5"/>
  <c r="CE123" i="5"/>
  <c r="CD123" i="5"/>
  <c r="CC123" i="5"/>
  <c r="CB123" i="5"/>
  <c r="CA123" i="5"/>
  <c r="BZ123" i="5"/>
  <c r="BY123" i="5"/>
  <c r="BX123" i="5"/>
  <c r="BW123" i="5"/>
  <c r="BV123" i="5"/>
  <c r="BS123" i="5"/>
  <c r="BR123" i="5"/>
  <c r="EO117" i="5"/>
  <c r="CB9" i="25" s="1"/>
  <c r="EN117" i="5"/>
  <c r="CA9" i="25" s="1"/>
  <c r="EM117" i="5"/>
  <c r="BZ9" i="25" s="1"/>
  <c r="BY9" i="25"/>
  <c r="BX9" i="25"/>
  <c r="EJ117" i="5"/>
  <c r="EI117" i="5"/>
  <c r="EG117" i="5"/>
  <c r="BT9" i="25" s="1"/>
  <c r="EF117" i="5"/>
  <c r="BS9" i="25" s="1"/>
  <c r="EE117" i="5"/>
  <c r="BR9" i="25" s="1"/>
  <c r="ED117" i="5"/>
  <c r="EC117" i="5"/>
  <c r="BP9" i="25" s="1"/>
  <c r="EB117" i="5"/>
  <c r="EA117" i="5"/>
  <c r="DZ117" i="5"/>
  <c r="BM9" i="25" s="1"/>
  <c r="DX117" i="5"/>
  <c r="DW117" i="5"/>
  <c r="BJ9" i="25" s="1"/>
  <c r="DV117" i="5"/>
  <c r="BI9" i="25" s="1"/>
  <c r="DU117" i="5"/>
  <c r="BH9" i="25" s="1"/>
  <c r="DT117" i="5"/>
  <c r="DS117" i="5"/>
  <c r="BF9" i="25" s="1"/>
  <c r="DR117" i="5"/>
  <c r="BE9" i="25" s="1"/>
  <c r="DQ117" i="5"/>
  <c r="BD9" i="25" s="1"/>
  <c r="DP117" i="5"/>
  <c r="BC9" i="25" s="1"/>
  <c r="DO117" i="5"/>
  <c r="BB9" i="25" s="1"/>
  <c r="DN117" i="5"/>
  <c r="DL117" i="5"/>
  <c r="DK117" i="5"/>
  <c r="AX9" i="25" s="1"/>
  <c r="DJ117" i="5"/>
  <c r="DI117" i="5"/>
  <c r="AV9" i="25" s="1"/>
  <c r="DH117" i="5"/>
  <c r="DG117" i="5"/>
  <c r="DF117" i="5"/>
  <c r="AS9" i="25" s="1"/>
  <c r="DE117" i="5"/>
  <c r="DD117" i="5"/>
  <c r="AQ9" i="25" s="1"/>
  <c r="DC117" i="5"/>
  <c r="AP9" i="25" s="1"/>
  <c r="DB117" i="5"/>
  <c r="CZ117" i="5"/>
  <c r="CY117" i="5"/>
  <c r="AL9" i="25" s="1"/>
  <c r="CX117" i="5"/>
  <c r="AK9" i="25" s="1"/>
  <c r="CU117" i="5"/>
  <c r="AH9" i="25" s="1"/>
  <c r="CT117" i="5"/>
  <c r="AG9" i="25" s="1"/>
  <c r="CS117" i="5"/>
  <c r="AF9" i="25" s="1"/>
  <c r="CR117" i="5"/>
  <c r="AE9" i="25" s="1"/>
  <c r="CQ117" i="5"/>
  <c r="AD9" i="25" s="1"/>
  <c r="CP117" i="5"/>
  <c r="AC9" i="25" s="1"/>
  <c r="CN117" i="5"/>
  <c r="CM117" i="5"/>
  <c r="CL117" i="5"/>
  <c r="Y9" i="25" s="1"/>
  <c r="CK117" i="5"/>
  <c r="X9" i="25" s="1"/>
  <c r="CJ117" i="5"/>
  <c r="W9" i="25" s="1"/>
  <c r="CI117" i="5"/>
  <c r="CH117" i="5"/>
  <c r="CG117" i="5"/>
  <c r="T9" i="25" s="1"/>
  <c r="CF117" i="5"/>
  <c r="AG117" i="5"/>
  <c r="AC117" i="5"/>
  <c r="Y117" i="5"/>
  <c r="X117" i="5"/>
  <c r="W117" i="5"/>
  <c r="V117" i="5"/>
  <c r="U115" i="5"/>
  <c r="BR114" i="5" s="1"/>
  <c r="R115" i="5"/>
  <c r="S114" i="5" s="1"/>
  <c r="G114" i="5"/>
  <c r="F115" i="5" s="1"/>
  <c r="DL111" i="5"/>
  <c r="DJ111" i="5"/>
  <c r="DA111" i="5"/>
  <c r="CU111" i="5"/>
  <c r="CT111" i="5"/>
  <c r="G111" i="5"/>
  <c r="BS110" i="5"/>
  <c r="BR110" i="5"/>
  <c r="BR85" i="5" s="1"/>
  <c r="G110" i="5"/>
  <c r="EJ109" i="5"/>
  <c r="DS109" i="5"/>
  <c r="CR109" i="5"/>
  <c r="G109" i="5"/>
  <c r="EO108" i="5"/>
  <c r="EM108" i="5"/>
  <c r="EJ108" i="5"/>
  <c r="EI108" i="5"/>
  <c r="EH108" i="5"/>
  <c r="EG108" i="5"/>
  <c r="EF108" i="5"/>
  <c r="EE108" i="5"/>
  <c r="ED108" i="5"/>
  <c r="EC108" i="5"/>
  <c r="EB108" i="5"/>
  <c r="EA108" i="5"/>
  <c r="DX108" i="5"/>
  <c r="DR108" i="5"/>
  <c r="DQ108" i="5"/>
  <c r="DP108" i="5"/>
  <c r="DO108" i="5"/>
  <c r="DL108" i="5"/>
  <c r="DK108" i="5"/>
  <c r="DJ108" i="5"/>
  <c r="G108" i="5"/>
  <c r="EO107" i="5"/>
  <c r="EM107" i="5"/>
  <c r="EL107" i="5"/>
  <c r="EJ107" i="5"/>
  <c r="EI107" i="5"/>
  <c r="EH107" i="5"/>
  <c r="EG107" i="5"/>
  <c r="EF107" i="5"/>
  <c r="EE107" i="5"/>
  <c r="ED107" i="5"/>
  <c r="EC107" i="5"/>
  <c r="EB107" i="5"/>
  <c r="EA107" i="5"/>
  <c r="DZ107" i="5"/>
  <c r="DX107" i="5"/>
  <c r="DW107" i="5"/>
  <c r="DV107" i="5"/>
  <c r="DU107" i="5"/>
  <c r="DT107" i="5"/>
  <c r="DS107" i="5"/>
  <c r="DR107" i="5"/>
  <c r="DQ107" i="5"/>
  <c r="DP107" i="5"/>
  <c r="DM107" i="5"/>
  <c r="DL107" i="5"/>
  <c r="DJ107" i="5"/>
  <c r="DI107" i="5"/>
  <c r="DH107" i="5"/>
  <c r="DG107" i="5"/>
  <c r="DF107" i="5"/>
  <c r="DE107" i="5"/>
  <c r="DD107" i="5"/>
  <c r="DC107" i="5"/>
  <c r="DB107" i="5"/>
  <c r="DA107" i="5"/>
  <c r="CZ107" i="5"/>
  <c r="CY107" i="5"/>
  <c r="CX107" i="5"/>
  <c r="CW107" i="5"/>
  <c r="CV107" i="5"/>
  <c r="CP107" i="5"/>
  <c r="CJ107" i="5"/>
  <c r="CI107" i="5"/>
  <c r="CH107" i="5"/>
  <c r="CG107" i="5"/>
  <c r="CF107" i="5"/>
  <c r="CC107" i="5"/>
  <c r="CB107" i="5"/>
  <c r="CA107" i="5"/>
  <c r="BZ107" i="5"/>
  <c r="BY107" i="5"/>
  <c r="BW107" i="5"/>
  <c r="BV107" i="5"/>
  <c r="BU107" i="5"/>
  <c r="BT107" i="5"/>
  <c r="BS107" i="5"/>
  <c r="BR107" i="5"/>
  <c r="G107" i="5"/>
  <c r="EO105" i="5"/>
  <c r="EN105" i="5"/>
  <c r="EM105" i="5"/>
  <c r="EL105" i="5"/>
  <c r="EJ105" i="5"/>
  <c r="EI105" i="5"/>
  <c r="CZ105" i="5"/>
  <c r="CP105" i="5"/>
  <c r="CO105" i="5"/>
  <c r="CN105" i="5"/>
  <c r="CM105" i="5"/>
  <c r="CK105" i="5"/>
  <c r="CI105" i="5"/>
  <c r="CH105" i="5"/>
  <c r="CG105" i="5"/>
  <c r="CF105" i="5"/>
  <c r="CE105" i="5"/>
  <c r="CD105" i="5"/>
  <c r="G105" i="5"/>
  <c r="AV101" i="5"/>
  <c r="CO95" i="5"/>
  <c r="U95" i="5"/>
  <c r="G95" i="5" s="1"/>
  <c r="T95" i="5"/>
  <c r="S95" i="5"/>
  <c r="R95" i="5"/>
  <c r="CN94" i="5"/>
  <c r="CM94" i="5"/>
  <c r="CK94" i="5"/>
  <c r="CI94" i="5"/>
  <c r="AA94" i="5" s="1"/>
  <c r="CH94" i="5"/>
  <c r="CC94" i="5"/>
  <c r="Y94" i="5" s="1"/>
  <c r="H94" i="5" s="1"/>
  <c r="AO94" i="5"/>
  <c r="AK94" i="5"/>
  <c r="AG94" i="5"/>
  <c r="AC94" i="5"/>
  <c r="I94" i="5" s="1"/>
  <c r="AB94" i="5"/>
  <c r="L94" i="5"/>
  <c r="K94" i="5"/>
  <c r="G94" i="5"/>
  <c r="CZ93" i="5"/>
  <c r="CW93" i="5"/>
  <c r="CC93" i="5"/>
  <c r="CB93" i="5"/>
  <c r="CA93" i="5"/>
  <c r="BZ93" i="5"/>
  <c r="X93" i="5" s="1"/>
  <c r="BY93" i="5"/>
  <c r="BX93" i="5"/>
  <c r="BW93" i="5"/>
  <c r="W93" i="5" s="1"/>
  <c r="BV93" i="5"/>
  <c r="BU93" i="5"/>
  <c r="BT93" i="5"/>
  <c r="V93" i="5" s="1"/>
  <c r="BS93" i="5"/>
  <c r="BR93" i="5"/>
  <c r="BR127" i="5" s="1"/>
  <c r="AT93" i="5"/>
  <c r="AS93" i="5"/>
  <c r="M93" i="5" s="1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J93" i="5" s="1"/>
  <c r="AD93" i="5"/>
  <c r="AC93" i="5"/>
  <c r="I93" i="5" s="1"/>
  <c r="L93" i="5"/>
  <c r="K93" i="5"/>
  <c r="G93" i="5"/>
  <c r="CP92" i="5"/>
  <c r="CI92" i="5"/>
  <c r="AA92" i="5" s="1"/>
  <c r="CH92" i="5"/>
  <c r="CD92" i="5"/>
  <c r="CE92" i="5" s="1"/>
  <c r="CF92" i="5" s="1"/>
  <c r="BR92" i="5"/>
  <c r="BS92" i="5" s="1"/>
  <c r="BT92" i="5" s="1"/>
  <c r="AT92" i="5"/>
  <c r="AS92" i="5"/>
  <c r="M92" i="5" s="1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J92" i="5" s="1"/>
  <c r="AD92" i="5"/>
  <c r="AC92" i="5"/>
  <c r="AB92" i="5"/>
  <c r="Y92" i="5"/>
  <c r="H92" i="5" s="1"/>
  <c r="L92" i="5"/>
  <c r="K92" i="5"/>
  <c r="G92" i="5"/>
  <c r="CP91" i="5"/>
  <c r="CQ91" i="5" s="1"/>
  <c r="CR91" i="5" s="1"/>
  <c r="AD91" i="5" s="1"/>
  <c r="CD91" i="5"/>
  <c r="BR91" i="5"/>
  <c r="BS91" i="5" s="1"/>
  <c r="BT91" i="5" s="1"/>
  <c r="AT91" i="5"/>
  <c r="AS91" i="5"/>
  <c r="M91" i="5" s="1"/>
  <c r="AR91" i="5"/>
  <c r="AC91" i="5"/>
  <c r="I91" i="5" s="1"/>
  <c r="Y91" i="5"/>
  <c r="H91" i="5" s="1"/>
  <c r="G91" i="5"/>
  <c r="N88" i="5"/>
  <c r="AT88" i="5"/>
  <c r="AS88" i="5"/>
  <c r="AR88" i="5"/>
  <c r="AQ88" i="5"/>
  <c r="M88" i="5" s="1"/>
  <c r="AP88" i="5"/>
  <c r="AO88" i="5"/>
  <c r="AN88" i="5"/>
  <c r="AM88" i="5"/>
  <c r="AL88" i="5"/>
  <c r="AK88" i="5"/>
  <c r="AJ88" i="5"/>
  <c r="AI88" i="5"/>
  <c r="AS87" i="5"/>
  <c r="M87" i="5" s="1"/>
  <c r="EF87" i="5"/>
  <c r="EE87" i="5"/>
  <c r="AQ87" i="5" s="1"/>
  <c r="ED87" i="5"/>
  <c r="EC87" i="5"/>
  <c r="EB87" i="5"/>
  <c r="AP87" i="5" s="1"/>
  <c r="EA87" i="5"/>
  <c r="DZ87" i="5"/>
  <c r="DY87" i="5"/>
  <c r="AO87" i="5" s="1"/>
  <c r="DX87" i="5"/>
  <c r="DW87" i="5"/>
  <c r="DV87" i="5"/>
  <c r="AN87" i="5" s="1"/>
  <c r="DU87" i="5"/>
  <c r="DT87" i="5"/>
  <c r="DS87" i="5"/>
  <c r="AM87" i="5" s="1"/>
  <c r="DR87" i="5"/>
  <c r="DQ87" i="5"/>
  <c r="DP87" i="5"/>
  <c r="DO87" i="5"/>
  <c r="DN87" i="5"/>
  <c r="DM87" i="5"/>
  <c r="DL87" i="5"/>
  <c r="DK87" i="5"/>
  <c r="DJ87" i="5"/>
  <c r="AJ87" i="5" s="1"/>
  <c r="DI87" i="5"/>
  <c r="DH87" i="5"/>
  <c r="DG87" i="5"/>
  <c r="AI87" i="5" s="1"/>
  <c r="DF87" i="5"/>
  <c r="DE87" i="5"/>
  <c r="DD87" i="5"/>
  <c r="AH87" i="5" s="1"/>
  <c r="DC87" i="5"/>
  <c r="DB87" i="5"/>
  <c r="DA87" i="5"/>
  <c r="AG87" i="5" s="1"/>
  <c r="CZ87" i="5"/>
  <c r="CY87" i="5"/>
  <c r="CX87" i="5"/>
  <c r="AF87" i="5" s="1"/>
  <c r="CW87" i="5"/>
  <c r="CV87" i="5"/>
  <c r="CU87" i="5"/>
  <c r="AE87" i="5" s="1"/>
  <c r="J87" i="5" s="1"/>
  <c r="CT87" i="5"/>
  <c r="CS87" i="5"/>
  <c r="CR87" i="5"/>
  <c r="AD87" i="5" s="1"/>
  <c r="CQ87" i="5"/>
  <c r="CP87" i="5"/>
  <c r="CO87" i="5"/>
  <c r="AC87" i="5" s="1"/>
  <c r="I87" i="5" s="1"/>
  <c r="CN87" i="5"/>
  <c r="CM87" i="5"/>
  <c r="CL87" i="5"/>
  <c r="AB87" i="5" s="1"/>
  <c r="CK87" i="5"/>
  <c r="CJ87" i="5"/>
  <c r="CI87" i="5"/>
  <c r="AA87" i="5" s="1"/>
  <c r="CH87" i="5"/>
  <c r="AT87" i="5"/>
  <c r="AR87" i="5"/>
  <c r="Z87" i="5"/>
  <c r="Y87" i="5"/>
  <c r="H87" i="5" s="1"/>
  <c r="X87" i="5"/>
  <c r="W87" i="5"/>
  <c r="V87" i="5"/>
  <c r="G87" i="5"/>
  <c r="EG86" i="5"/>
  <c r="U86" i="5"/>
  <c r="G86" i="5" s="1"/>
  <c r="T86" i="5"/>
  <c r="S86" i="5"/>
  <c r="R86" i="5"/>
  <c r="AS85" i="5"/>
  <c r="M85" i="5" s="1"/>
  <c r="EE85" i="5"/>
  <c r="ED85" i="5"/>
  <c r="EC85" i="5"/>
  <c r="EB85" i="5"/>
  <c r="AP85" i="5" s="1"/>
  <c r="EA85" i="5"/>
  <c r="DZ85" i="5"/>
  <c r="DY85" i="5"/>
  <c r="DY86" i="5" s="1"/>
  <c r="DX85" i="5"/>
  <c r="DW85" i="5"/>
  <c r="DV85" i="5"/>
  <c r="AN85" i="5" s="1"/>
  <c r="DU85" i="5"/>
  <c r="DT85" i="5"/>
  <c r="DS85" i="5"/>
  <c r="AM85" i="5" s="1"/>
  <c r="DR85" i="5"/>
  <c r="DQ85" i="5"/>
  <c r="DP85" i="5"/>
  <c r="DO85" i="5"/>
  <c r="DN85" i="5"/>
  <c r="DM85" i="5"/>
  <c r="DL85" i="5"/>
  <c r="DK85" i="5"/>
  <c r="DJ85" i="5"/>
  <c r="AJ85" i="5" s="1"/>
  <c r="DI85" i="5"/>
  <c r="DH85" i="5"/>
  <c r="DG85" i="5"/>
  <c r="AI85" i="5" s="1"/>
  <c r="DF85" i="5"/>
  <c r="DE85" i="5"/>
  <c r="DD85" i="5"/>
  <c r="AH85" i="5" s="1"/>
  <c r="DC85" i="5"/>
  <c r="DB85" i="5"/>
  <c r="DA85" i="5"/>
  <c r="DA86" i="5" s="1"/>
  <c r="AG86" i="5" s="1"/>
  <c r="CZ85" i="5"/>
  <c r="CY85" i="5"/>
  <c r="CX85" i="5"/>
  <c r="AF85" i="5" s="1"/>
  <c r="CW85" i="5"/>
  <c r="CV85" i="5"/>
  <c r="CV86" i="5" s="1"/>
  <c r="CU85" i="5"/>
  <c r="AE85" i="5" s="1"/>
  <c r="J85" i="5" s="1"/>
  <c r="CT85" i="5"/>
  <c r="CS85" i="5"/>
  <c r="CR85" i="5"/>
  <c r="AD85" i="5" s="1"/>
  <c r="CQ85" i="5"/>
  <c r="CP85" i="5"/>
  <c r="CO85" i="5"/>
  <c r="AC85" i="5" s="1"/>
  <c r="I85" i="5" s="1"/>
  <c r="CN85" i="5"/>
  <c r="CM85" i="5"/>
  <c r="CL85" i="5"/>
  <c r="AB85" i="5" s="1"/>
  <c r="CK85" i="5"/>
  <c r="CJ85" i="5"/>
  <c r="CI85" i="5"/>
  <c r="AA85" i="5" s="1"/>
  <c r="CH85" i="5"/>
  <c r="CG85" i="5"/>
  <c r="CF85" i="5"/>
  <c r="Z85" i="5" s="1"/>
  <c r="CE85" i="5"/>
  <c r="CD85" i="5"/>
  <c r="CC85" i="5"/>
  <c r="CC86" i="5" s="1"/>
  <c r="CB85" i="5"/>
  <c r="AT85" i="5"/>
  <c r="AR85" i="5"/>
  <c r="G85" i="5"/>
  <c r="CZ84" i="5"/>
  <c r="CT84" i="5"/>
  <c r="CP84" i="5"/>
  <c r="CM84" i="5"/>
  <c r="CL84" i="5"/>
  <c r="AB84" i="5" s="1"/>
  <c r="CK84" i="5"/>
  <c r="CJ84" i="5"/>
  <c r="CI84" i="5"/>
  <c r="AA84" i="5" s="1"/>
  <c r="CH84" i="5"/>
  <c r="CG84" i="5"/>
  <c r="CF84" i="5"/>
  <c r="Z84" i="5" s="1"/>
  <c r="CE84" i="5"/>
  <c r="CD84" i="5"/>
  <c r="CB84" i="5"/>
  <c r="CB125" i="5" s="1"/>
  <c r="BZ84" i="5"/>
  <c r="X84" i="5" s="1"/>
  <c r="BY84" i="5"/>
  <c r="BY125" i="5" s="1"/>
  <c r="BR84" i="5"/>
  <c r="AT84" i="5"/>
  <c r="AS84" i="5"/>
  <c r="M84" i="5" s="1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J84" i="5" s="1"/>
  <c r="AD84" i="5"/>
  <c r="AC84" i="5"/>
  <c r="I84" i="5" s="1"/>
  <c r="Y84" i="5"/>
  <c r="H84" i="5" s="1"/>
  <c r="W84" i="5"/>
  <c r="V84" i="5"/>
  <c r="L84" i="5"/>
  <c r="K84" i="5"/>
  <c r="G84" i="5"/>
  <c r="AT83" i="5"/>
  <c r="EM86" i="5"/>
  <c r="EL86" i="5"/>
  <c r="EJ86" i="5"/>
  <c r="EI83" i="5"/>
  <c r="EH83" i="5"/>
  <c r="EF83" i="5"/>
  <c r="EE83" i="5"/>
  <c r="AQ83" i="5" s="1"/>
  <c r="ED83" i="5"/>
  <c r="EC83" i="5"/>
  <c r="EB83" i="5"/>
  <c r="EA83" i="5"/>
  <c r="DZ83" i="5"/>
  <c r="DZ125" i="5" s="1"/>
  <c r="DX83" i="5"/>
  <c r="DW83" i="5"/>
  <c r="DV83" i="5"/>
  <c r="DU83" i="5"/>
  <c r="DT83" i="5"/>
  <c r="DS83" i="5"/>
  <c r="DR83" i="5"/>
  <c r="DQ83" i="5"/>
  <c r="DP83" i="5"/>
  <c r="DO83" i="5"/>
  <c r="DN83" i="5"/>
  <c r="DN125" i="5" s="1"/>
  <c r="DL83" i="5"/>
  <c r="DK83" i="5"/>
  <c r="DJ83" i="5"/>
  <c r="DI83" i="5"/>
  <c r="DH83" i="5"/>
  <c r="DG83" i="5"/>
  <c r="AI83" i="5" s="1"/>
  <c r="DF83" i="5"/>
  <c r="DE83" i="5"/>
  <c r="DD83" i="5"/>
  <c r="DC83" i="5"/>
  <c r="DB83" i="5"/>
  <c r="DB125" i="5" s="1"/>
  <c r="CZ83" i="5"/>
  <c r="CY83" i="5"/>
  <c r="CX83" i="5"/>
  <c r="AF83" i="5" s="1"/>
  <c r="CW83" i="5"/>
  <c r="CU83" i="5"/>
  <c r="CT83" i="5"/>
  <c r="CS83" i="5"/>
  <c r="CR83" i="5"/>
  <c r="AD83" i="5" s="1"/>
  <c r="CQ83" i="5"/>
  <c r="CP83" i="5"/>
  <c r="CN83" i="5"/>
  <c r="CM83" i="5"/>
  <c r="CL83" i="5"/>
  <c r="AB83" i="5" s="1"/>
  <c r="CK83" i="5"/>
  <c r="CJ83" i="5"/>
  <c r="CI83" i="5"/>
  <c r="CH83" i="5"/>
  <c r="CG83" i="5"/>
  <c r="CF83" i="5"/>
  <c r="CD83" i="5"/>
  <c r="BW83" i="5"/>
  <c r="AO83" i="5"/>
  <c r="AK83" i="5"/>
  <c r="AG83" i="5"/>
  <c r="AC83" i="5"/>
  <c r="I83" i="5" s="1"/>
  <c r="Y83" i="5"/>
  <c r="X83" i="5"/>
  <c r="V83" i="5"/>
  <c r="L83" i="5"/>
  <c r="K83" i="5"/>
  <c r="G83" i="5"/>
  <c r="EO81" i="5"/>
  <c r="EN81" i="5"/>
  <c r="AT81" i="5" s="1"/>
  <c r="EH81" i="5"/>
  <c r="AR81" i="5" s="1"/>
  <c r="DY81" i="5"/>
  <c r="L81" i="5" s="1"/>
  <c r="DM81" i="5"/>
  <c r="AK81" i="5" s="1"/>
  <c r="DA81" i="5"/>
  <c r="AG81" i="5" s="1"/>
  <c r="CW81" i="5"/>
  <c r="CV81" i="5"/>
  <c r="CO81" i="5"/>
  <c r="AC81" i="5" s="1"/>
  <c r="I81" i="5" s="1"/>
  <c r="CE81" i="5"/>
  <c r="CD81" i="5"/>
  <c r="CC81" i="5"/>
  <c r="Y81" i="5" s="1"/>
  <c r="H81" i="5" s="1"/>
  <c r="CB81" i="5"/>
  <c r="CA81" i="5"/>
  <c r="BZ81" i="5"/>
  <c r="X81" i="5" s="1"/>
  <c r="BY81" i="5"/>
  <c r="BX81" i="5"/>
  <c r="BW81" i="5"/>
  <c r="W81" i="5" s="1"/>
  <c r="BV81" i="5"/>
  <c r="BU81" i="5"/>
  <c r="BT81" i="5"/>
  <c r="V81" i="5" s="1"/>
  <c r="BS81" i="5"/>
  <c r="BR81" i="5"/>
  <c r="G81" i="5"/>
  <c r="EO79" i="5"/>
  <c r="EN79" i="5"/>
  <c r="AT79" i="5" s="1"/>
  <c r="EM79" i="5"/>
  <c r="EL79" i="5"/>
  <c r="EK79" i="5"/>
  <c r="AS79" i="5" s="1"/>
  <c r="M79" i="5" s="1"/>
  <c r="EJ79" i="5"/>
  <c r="EI79" i="5"/>
  <c r="EH79" i="5"/>
  <c r="AR79" i="5" s="1"/>
  <c r="EG79" i="5"/>
  <c r="EF79" i="5"/>
  <c r="EE79" i="5"/>
  <c r="AQ79" i="5" s="1"/>
  <c r="DY79" i="5"/>
  <c r="DX79" i="5"/>
  <c r="DW79" i="5"/>
  <c r="DV79" i="5"/>
  <c r="AN79" i="5" s="1"/>
  <c r="DU79" i="5"/>
  <c r="DT79" i="5"/>
  <c r="DS79" i="5"/>
  <c r="AM79" i="5" s="1"/>
  <c r="DR79" i="5"/>
  <c r="DQ79" i="5"/>
  <c r="DP79" i="5"/>
  <c r="AL79" i="5" s="1"/>
  <c r="DO79" i="5"/>
  <c r="DN79" i="5"/>
  <c r="DM79" i="5"/>
  <c r="DL79" i="5"/>
  <c r="DK79" i="5"/>
  <c r="DJ79" i="5"/>
  <c r="AJ79" i="5" s="1"/>
  <c r="DI79" i="5"/>
  <c r="DH79" i="5"/>
  <c r="DG79" i="5"/>
  <c r="AI79" i="5" s="1"/>
  <c r="DF79" i="5"/>
  <c r="DE79" i="5"/>
  <c r="DD79" i="5"/>
  <c r="AH79" i="5" s="1"/>
  <c r="DC79" i="5"/>
  <c r="DB79" i="5"/>
  <c r="DA79" i="5"/>
  <c r="CZ79" i="5"/>
  <c r="CY79" i="5"/>
  <c r="CX79" i="5"/>
  <c r="CW79" i="5"/>
  <c r="CV79" i="5"/>
  <c r="U79" i="5"/>
  <c r="G79" i="5" s="1"/>
  <c r="T79" i="5"/>
  <c r="S79" i="5"/>
  <c r="R79" i="5"/>
  <c r="CT78" i="5"/>
  <c r="CS78" i="5"/>
  <c r="CR78" i="5"/>
  <c r="AD78" i="5" s="1"/>
  <c r="CQ78" i="5"/>
  <c r="CP78" i="5"/>
  <c r="CP108" i="5" s="1"/>
  <c r="AT78" i="5"/>
  <c r="AS78" i="5"/>
  <c r="M78" i="5" s="1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J78" i="5" s="1"/>
  <c r="AC78" i="5"/>
  <c r="I78" i="5" s="1"/>
  <c r="AB78" i="5"/>
  <c r="AA78" i="5"/>
  <c r="Z78" i="5"/>
  <c r="Y78" i="5"/>
  <c r="H78" i="5" s="1"/>
  <c r="X78" i="5"/>
  <c r="W78" i="5"/>
  <c r="V78" i="5"/>
  <c r="L78" i="5"/>
  <c r="K78" i="5"/>
  <c r="G78" i="5"/>
  <c r="CA77" i="5"/>
  <c r="BZ77" i="5"/>
  <c r="X77" i="5" s="1"/>
  <c r="BY77" i="5"/>
  <c r="BX77" i="5"/>
  <c r="BW77" i="5"/>
  <c r="W77" i="5" s="1"/>
  <c r="BV77" i="5"/>
  <c r="BU77" i="5"/>
  <c r="BT77" i="5"/>
  <c r="V77" i="5" s="1"/>
  <c r="BS77" i="5"/>
  <c r="BR77" i="5"/>
  <c r="AT77" i="5"/>
  <c r="AS77" i="5"/>
  <c r="M77" i="5" s="1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J77" i="5" s="1"/>
  <c r="AD77" i="5"/>
  <c r="AC77" i="5"/>
  <c r="I77" i="5" s="1"/>
  <c r="AB77" i="5"/>
  <c r="AA77" i="5"/>
  <c r="Z77" i="5"/>
  <c r="Y77" i="5"/>
  <c r="H77" i="5" s="1"/>
  <c r="L77" i="5"/>
  <c r="K77" i="5"/>
  <c r="G77" i="5"/>
  <c r="ED76" i="5"/>
  <c r="EE124" i="5" s="1"/>
  <c r="EC76" i="5"/>
  <c r="EC79" i="5" s="1"/>
  <c r="EB76" i="5"/>
  <c r="EB79" i="5" s="1"/>
  <c r="AP79" i="5" s="1"/>
  <c r="EA76" i="5"/>
  <c r="EA79" i="5" s="1"/>
  <c r="DZ76" i="5"/>
  <c r="DZ124" i="5" s="1"/>
  <c r="CU76" i="5"/>
  <c r="CU79" i="5" s="1"/>
  <c r="CT76" i="5"/>
  <c r="CS76" i="5"/>
  <c r="CR76" i="5"/>
  <c r="AD76" i="5" s="1"/>
  <c r="CQ76" i="5"/>
  <c r="CP76" i="5"/>
  <c r="CO76" i="5"/>
  <c r="CN76" i="5"/>
  <c r="CM76" i="5"/>
  <c r="CL76" i="5"/>
  <c r="CL79" i="5" s="1"/>
  <c r="CK76" i="5"/>
  <c r="CJ76" i="5"/>
  <c r="CJ79" i="5" s="1"/>
  <c r="CI76" i="5"/>
  <c r="AA76" i="5" s="1"/>
  <c r="CH76" i="5"/>
  <c r="CG76" i="5"/>
  <c r="CF76" i="5"/>
  <c r="Z76" i="5" s="1"/>
  <c r="CE76" i="5"/>
  <c r="CE79" i="5" s="1"/>
  <c r="CD76" i="5"/>
  <c r="CC76" i="5"/>
  <c r="Y76" i="5" s="1"/>
  <c r="H76" i="5" s="1"/>
  <c r="CB76" i="5"/>
  <c r="CB79" i="5" s="1"/>
  <c r="CA76" i="5"/>
  <c r="BZ76" i="5"/>
  <c r="BY76" i="5"/>
  <c r="BX76" i="5"/>
  <c r="BW76" i="5"/>
  <c r="BV76" i="5"/>
  <c r="BU76" i="5"/>
  <c r="BT76" i="5"/>
  <c r="V76" i="5" s="1"/>
  <c r="BS76" i="5"/>
  <c r="BR76" i="5"/>
  <c r="AT76" i="5"/>
  <c r="AS76" i="5"/>
  <c r="M76" i="5" s="1"/>
  <c r="AR76" i="5"/>
  <c r="AQ76" i="5"/>
  <c r="AO76" i="5"/>
  <c r="AN76" i="5"/>
  <c r="AM76" i="5"/>
  <c r="AL76" i="5"/>
  <c r="AK76" i="5"/>
  <c r="AJ76" i="5"/>
  <c r="AI76" i="5"/>
  <c r="AH76" i="5"/>
  <c r="AG76" i="5"/>
  <c r="AF76" i="5"/>
  <c r="L76" i="5"/>
  <c r="K76" i="5"/>
  <c r="G76" i="5"/>
  <c r="CG75" i="5"/>
  <c r="CH123" i="5" s="1"/>
  <c r="BT75" i="5"/>
  <c r="AT75" i="5"/>
  <c r="AS75" i="5"/>
  <c r="M75" i="5" s="1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J75" i="5" s="1"/>
  <c r="AD75" i="5"/>
  <c r="AC75" i="5"/>
  <c r="AB75" i="5"/>
  <c r="AA75" i="5"/>
  <c r="Z75" i="5"/>
  <c r="Y75" i="5"/>
  <c r="X75" i="5"/>
  <c r="W75" i="5"/>
  <c r="L75" i="5"/>
  <c r="K75" i="5"/>
  <c r="G75" i="5"/>
  <c r="I74" i="5"/>
  <c r="H74" i="5"/>
  <c r="G74" i="5"/>
  <c r="BR73" i="5"/>
  <c r="BS73" i="5" s="1"/>
  <c r="BT73" i="5" s="1"/>
  <c r="BU73" i="5" s="1"/>
  <c r="BV73" i="5" s="1"/>
  <c r="BW73" i="5" s="1"/>
  <c r="AS73" i="5"/>
  <c r="M73" i="5" s="1"/>
  <c r="AR73" i="5"/>
  <c r="G73" i="5"/>
  <c r="Q70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L69" i="5"/>
  <c r="AW68" i="5"/>
  <c r="AV68" i="5"/>
  <c r="CU67" i="5"/>
  <c r="CU107" i="5" s="1"/>
  <c r="CT67" i="5"/>
  <c r="CT107" i="5" s="1"/>
  <c r="CS67" i="5"/>
  <c r="CR67" i="5"/>
  <c r="CR107" i="5" s="1"/>
  <c r="CQ67" i="5"/>
  <c r="CO67" i="5"/>
  <c r="CN67" i="5"/>
  <c r="CN107" i="5" s="1"/>
  <c r="CM67" i="5"/>
  <c r="CM107" i="5" s="1"/>
  <c r="CL67" i="5"/>
  <c r="CL107" i="5" s="1"/>
  <c r="CK67" i="5"/>
  <c r="CD67" i="5"/>
  <c r="CD107" i="5" s="1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A67" i="5"/>
  <c r="Y67" i="5"/>
  <c r="X67" i="5"/>
  <c r="W67" i="5"/>
  <c r="V67" i="5"/>
  <c r="U67" i="5"/>
  <c r="T67" i="5"/>
  <c r="S67" i="5"/>
  <c r="R67" i="5"/>
  <c r="AS66" i="5"/>
  <c r="CS66" i="5"/>
  <c r="AE66" i="5" s="1"/>
  <c r="CR66" i="5"/>
  <c r="CQ66" i="5"/>
  <c r="CP66" i="5"/>
  <c r="CD66" i="5"/>
  <c r="Z66" i="5" s="1"/>
  <c r="AW66" i="5"/>
  <c r="AV66" i="5"/>
  <c r="AU66" i="5"/>
  <c r="AT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C66" i="5"/>
  <c r="AB66" i="5"/>
  <c r="AA66" i="5"/>
  <c r="Y66" i="5"/>
  <c r="X66" i="5"/>
  <c r="W66" i="5"/>
  <c r="V66" i="5"/>
  <c r="U66" i="5"/>
  <c r="T66" i="5"/>
  <c r="S66" i="5"/>
  <c r="R66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DM64" i="5"/>
  <c r="AK64" i="5" s="1"/>
  <c r="CO64" i="5"/>
  <c r="AC64" i="5" s="1"/>
  <c r="CD64" i="5"/>
  <c r="Z64" i="5" s="1"/>
  <c r="AW64" i="5"/>
  <c r="AV64" i="5"/>
  <c r="AU64" i="5"/>
  <c r="AT64" i="5"/>
  <c r="AS64" i="5"/>
  <c r="AR64" i="5"/>
  <c r="AQ64" i="5"/>
  <c r="AP64" i="5"/>
  <c r="AO64" i="5"/>
  <c r="AN64" i="5"/>
  <c r="AM64" i="5"/>
  <c r="AL64" i="5"/>
  <c r="AJ64" i="5"/>
  <c r="AI64" i="5"/>
  <c r="AH64" i="5"/>
  <c r="AG64" i="5"/>
  <c r="AF64" i="5"/>
  <c r="AE64" i="5"/>
  <c r="AD64" i="5"/>
  <c r="AB64" i="5"/>
  <c r="AA64" i="5"/>
  <c r="Y64" i="5"/>
  <c r="X64" i="5"/>
  <c r="W64" i="5"/>
  <c r="V64" i="5"/>
  <c r="BT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U63" i="5"/>
  <c r="T63" i="5"/>
  <c r="S63" i="5"/>
  <c r="R63" i="5"/>
  <c r="AW62" i="5"/>
  <c r="AV62" i="5"/>
  <c r="EO59" i="5"/>
  <c r="EN59" i="5"/>
  <c r="EM59" i="5"/>
  <c r="EL59" i="5"/>
  <c r="EK59" i="5"/>
  <c r="BV13" i="12" s="1"/>
  <c r="EJ59" i="5"/>
  <c r="BU13" i="12" s="1"/>
  <c r="EI59" i="5"/>
  <c r="BT13" i="12" s="1"/>
  <c r="EH59" i="5"/>
  <c r="BS13" i="12" s="1"/>
  <c r="EG59" i="5"/>
  <c r="BR13" i="12" s="1"/>
  <c r="EF59" i="5"/>
  <c r="BQ13" i="12" s="1"/>
  <c r="EE59" i="5"/>
  <c r="BP13" i="12" s="1"/>
  <c r="ED59" i="5"/>
  <c r="BO13" i="12" s="1"/>
  <c r="EC59" i="5"/>
  <c r="BN13" i="12" s="1"/>
  <c r="EB59" i="5"/>
  <c r="BM13" i="12" s="1"/>
  <c r="EA59" i="5"/>
  <c r="BL13" i="12" s="1"/>
  <c r="DZ59" i="5"/>
  <c r="BK13" i="12" s="1"/>
  <c r="DY59" i="5"/>
  <c r="BJ13" i="12" s="1"/>
  <c r="DX59" i="5"/>
  <c r="BI13" i="12" s="1"/>
  <c r="DW59" i="5"/>
  <c r="BH13" i="12" s="1"/>
  <c r="DV59" i="5"/>
  <c r="BG13" i="12" s="1"/>
  <c r="DU59" i="5"/>
  <c r="BF13" i="12" s="1"/>
  <c r="DT59" i="5"/>
  <c r="BE13" i="12" s="1"/>
  <c r="DS59" i="5"/>
  <c r="BD13" i="12" s="1"/>
  <c r="DR59" i="5"/>
  <c r="BC13" i="12" s="1"/>
  <c r="DQ59" i="5"/>
  <c r="BB13" i="12" s="1"/>
  <c r="DP59" i="5"/>
  <c r="BA13" i="12" s="1"/>
  <c r="DO59" i="5"/>
  <c r="AZ13" i="12" s="1"/>
  <c r="DN59" i="5"/>
  <c r="AY13" i="12" s="1"/>
  <c r="DL59" i="5"/>
  <c r="AW13" i="12" s="1"/>
  <c r="DK59" i="5"/>
  <c r="AV13" i="12" s="1"/>
  <c r="DJ59" i="5"/>
  <c r="AU13" i="12" s="1"/>
  <c r="DI59" i="5"/>
  <c r="AT13" i="12" s="1"/>
  <c r="DG59" i="5"/>
  <c r="AR13" i="12" s="1"/>
  <c r="DF59" i="5"/>
  <c r="AQ13" i="12" s="1"/>
  <c r="DD59" i="5"/>
  <c r="AO13" i="12" s="1"/>
  <c r="DB59" i="5"/>
  <c r="AM13" i="12" s="1"/>
  <c r="DA59" i="5"/>
  <c r="AL13" i="12" s="1"/>
  <c r="CZ59" i="5"/>
  <c r="AK13" i="12" s="1"/>
  <c r="CY59" i="5"/>
  <c r="AJ13" i="12" s="1"/>
  <c r="CX59" i="5"/>
  <c r="AI13" i="12" s="1"/>
  <c r="CW59" i="5"/>
  <c r="AH13" i="12" s="1"/>
  <c r="CQ59" i="5"/>
  <c r="AB13" i="12" s="1"/>
  <c r="CI59" i="5"/>
  <c r="T13" i="12" s="1"/>
  <c r="CF59" i="5"/>
  <c r="Q13" i="12" s="1"/>
  <c r="CC59" i="5"/>
  <c r="N13" i="12" s="1"/>
  <c r="CB59" i="5"/>
  <c r="M13" i="12" s="1"/>
  <c r="CA59" i="5"/>
  <c r="L13" i="12" s="1"/>
  <c r="BZ59" i="5"/>
  <c r="K13" i="12" s="1"/>
  <c r="BQ59" i="5"/>
  <c r="BP59" i="5"/>
  <c r="BO59" i="5"/>
  <c r="BN59" i="5"/>
  <c r="BM59" i="5"/>
  <c r="BL59" i="5"/>
  <c r="BK59" i="5"/>
  <c r="BJ59" i="5"/>
  <c r="BI59" i="5"/>
  <c r="BH59" i="5"/>
  <c r="BG59" i="5"/>
  <c r="BF59" i="5"/>
  <c r="AW59" i="5"/>
  <c r="AV59" i="5"/>
  <c r="DE58" i="5"/>
  <c r="DE59" i="5" s="1"/>
  <c r="AP13" i="12" s="1"/>
  <c r="DC58" i="5"/>
  <c r="AH58" i="5" s="1"/>
  <c r="CU58" i="5"/>
  <c r="CT58" i="5"/>
  <c r="CT59" i="5" s="1"/>
  <c r="AE13" i="12" s="1"/>
  <c r="CS58" i="5"/>
  <c r="CS59" i="5" s="1"/>
  <c r="AD13" i="12" s="1"/>
  <c r="CR58" i="5"/>
  <c r="CP58" i="5"/>
  <c r="CO58" i="5"/>
  <c r="CN58" i="5"/>
  <c r="CM58" i="5"/>
  <c r="CM59" i="5" s="1"/>
  <c r="X13" i="12" s="1"/>
  <c r="CL58" i="5"/>
  <c r="CK58" i="5"/>
  <c r="CH58" i="5"/>
  <c r="BY58" i="5"/>
  <c r="BX58" i="5"/>
  <c r="BW58" i="5"/>
  <c r="BW59" i="5" s="1"/>
  <c r="H13" i="12" s="1"/>
  <c r="BV58" i="5"/>
  <c r="BV59" i="5" s="1"/>
  <c r="G13" i="12" s="1"/>
  <c r="BU58" i="5"/>
  <c r="BT58" i="5"/>
  <c r="BS58" i="5"/>
  <c r="BR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G58" i="5"/>
  <c r="AF58" i="5"/>
  <c r="Z58" i="5"/>
  <c r="Y58" i="5"/>
  <c r="U58" i="5"/>
  <c r="T58" i="5"/>
  <c r="S58" i="5"/>
  <c r="R58" i="5"/>
  <c r="CO57" i="5"/>
  <c r="CN57" i="5"/>
  <c r="CE57" i="5"/>
  <c r="CD57" i="5"/>
  <c r="BT57" i="5"/>
  <c r="V57" i="5" s="1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B57" i="5"/>
  <c r="AA57" i="5"/>
  <c r="Y57" i="5"/>
  <c r="X57" i="5"/>
  <c r="W57" i="5"/>
  <c r="U57" i="5"/>
  <c r="T57" i="5"/>
  <c r="S57" i="5"/>
  <c r="R57" i="5"/>
  <c r="CN56" i="5"/>
  <c r="AC56" i="5" s="1"/>
  <c r="CE56" i="5"/>
  <c r="CD56" i="5"/>
  <c r="BY56" i="5"/>
  <c r="BT56" i="5"/>
  <c r="V56" i="5" s="1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B56" i="5"/>
  <c r="AA56" i="5"/>
  <c r="Y56" i="5"/>
  <c r="W56" i="5"/>
  <c r="U56" i="5"/>
  <c r="T56" i="5"/>
  <c r="S56" i="5"/>
  <c r="R56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V55" i="5"/>
  <c r="U55" i="5"/>
  <c r="T55" i="5"/>
  <c r="S55" i="5"/>
  <c r="R55" i="5"/>
  <c r="DH54" i="5"/>
  <c r="DH59" i="5" s="1"/>
  <c r="AS13" i="12" s="1"/>
  <c r="CU54" i="5"/>
  <c r="CR54" i="5"/>
  <c r="CP54" i="5"/>
  <c r="CN54" i="5"/>
  <c r="BT54" i="5"/>
  <c r="BS54" i="5"/>
  <c r="BR54" i="5"/>
  <c r="AW54" i="5"/>
  <c r="AV54" i="5"/>
  <c r="AU54" i="5"/>
  <c r="AT54" i="5"/>
  <c r="AS54" i="5"/>
  <c r="AR54" i="5"/>
  <c r="AQ54" i="5"/>
  <c r="AP54" i="5"/>
  <c r="AO54" i="5"/>
  <c r="AN54" i="5"/>
  <c r="AM54" i="5"/>
  <c r="AL54" i="5"/>
  <c r="AK54" i="5"/>
  <c r="AI54" i="5"/>
  <c r="AH54" i="5"/>
  <c r="AG54" i="5"/>
  <c r="AF54" i="5"/>
  <c r="AB54" i="5"/>
  <c r="AA54" i="5"/>
  <c r="Z54" i="5"/>
  <c r="Y54" i="5"/>
  <c r="X54" i="5"/>
  <c r="W54" i="5"/>
  <c r="U54" i="5"/>
  <c r="T54" i="5"/>
  <c r="S54" i="5"/>
  <c r="R54" i="5"/>
  <c r="DM53" i="5"/>
  <c r="DM59" i="5" s="1"/>
  <c r="AX13" i="12" s="1"/>
  <c r="CV53" i="5"/>
  <c r="AF53" i="5" s="1"/>
  <c r="CE53" i="5"/>
  <c r="BT53" i="5"/>
  <c r="BS53" i="5"/>
  <c r="BR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J53" i="5"/>
  <c r="AI53" i="5"/>
  <c r="AH53" i="5"/>
  <c r="AG53" i="5"/>
  <c r="AE53" i="5"/>
  <c r="AD53" i="5"/>
  <c r="AC53" i="5"/>
  <c r="AB53" i="5"/>
  <c r="AA53" i="5"/>
  <c r="Y53" i="5"/>
  <c r="X53" i="5"/>
  <c r="W53" i="5"/>
  <c r="U53" i="5"/>
  <c r="T53" i="5"/>
  <c r="S53" i="5"/>
  <c r="R53" i="5"/>
  <c r="CT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CT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H51" i="5"/>
  <c r="CT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H50" i="5"/>
  <c r="G50" i="5"/>
  <c r="EE49" i="5"/>
  <c r="AQ49" i="5" s="1"/>
  <c r="DP49" i="5"/>
  <c r="AL49" i="5" s="1"/>
  <c r="CT49" i="5"/>
  <c r="AW49" i="5"/>
  <c r="AV49" i="5"/>
  <c r="AU49" i="5"/>
  <c r="AT49" i="5"/>
  <c r="AS49" i="5"/>
  <c r="AR49" i="5"/>
  <c r="AP49" i="5"/>
  <c r="AO49" i="5"/>
  <c r="AN49" i="5"/>
  <c r="AM49" i="5"/>
  <c r="AK49" i="5"/>
  <c r="AJ49" i="5"/>
  <c r="AI49" i="5"/>
  <c r="AH49" i="5"/>
  <c r="H49" i="5"/>
  <c r="G49" i="5"/>
  <c r="CT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H48" i="5"/>
  <c r="G48" i="5"/>
  <c r="EO47" i="5"/>
  <c r="EN47" i="5"/>
  <c r="EM47" i="5"/>
  <c r="EL47" i="5"/>
  <c r="ED47" i="5"/>
  <c r="EC47" i="5"/>
  <c r="EB47" i="5"/>
  <c r="EA47" i="5"/>
  <c r="DZ47" i="5"/>
  <c r="DY47" i="5"/>
  <c r="DX47" i="5"/>
  <c r="DW47" i="5"/>
  <c r="DV47" i="5"/>
  <c r="DU47" i="5"/>
  <c r="DT47" i="5"/>
  <c r="DS47" i="5"/>
  <c r="DR47" i="5"/>
  <c r="DQ47" i="5"/>
  <c r="DO47" i="5"/>
  <c r="DN47" i="5"/>
  <c r="DM47" i="5"/>
  <c r="DL47" i="5"/>
  <c r="DK47" i="5"/>
  <c r="DJ47" i="5"/>
  <c r="DI47" i="5"/>
  <c r="DH47" i="5"/>
  <c r="DG47" i="5"/>
  <c r="DF47" i="5"/>
  <c r="DE47" i="5"/>
  <c r="CT47" i="5"/>
  <c r="AW47" i="5"/>
  <c r="AV47" i="5"/>
  <c r="AS47" i="5"/>
  <c r="AR47" i="5"/>
  <c r="AH47" i="5"/>
  <c r="H47" i="5"/>
  <c r="G47" i="5"/>
  <c r="CV46" i="5"/>
  <c r="AF46" i="5" s="1"/>
  <c r="CO46" i="5"/>
  <c r="AC46" i="5" s="1"/>
  <c r="CL46" i="5"/>
  <c r="CK46" i="5"/>
  <c r="CJ46" i="5"/>
  <c r="CJ59" i="5" s="1"/>
  <c r="U13" i="12" s="1"/>
  <c r="CG46" i="5"/>
  <c r="CD46" i="5"/>
  <c r="Z46" i="5" s="1"/>
  <c r="BT46" i="5"/>
  <c r="BS46" i="5"/>
  <c r="BR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E46" i="5"/>
  <c r="AD46" i="5"/>
  <c r="Y46" i="5"/>
  <c r="X46" i="5"/>
  <c r="W46" i="5"/>
  <c r="U46" i="5"/>
  <c r="T46" i="5"/>
  <c r="S46" i="5"/>
  <c r="R46" i="5"/>
  <c r="F46" i="5"/>
  <c r="F59" i="5" s="1"/>
  <c r="AW44" i="5"/>
  <c r="AV44" i="5"/>
  <c r="F44" i="5"/>
  <c r="AV43" i="5"/>
  <c r="AU43" i="5"/>
  <c r="AT43" i="5"/>
  <c r="F41" i="5"/>
  <c r="F40" i="5"/>
  <c r="F38" i="5"/>
  <c r="EO35" i="5"/>
  <c r="EN35" i="5"/>
  <c r="EN41" i="5" s="1"/>
  <c r="EM35" i="5"/>
  <c r="EM41" i="5" s="1"/>
  <c r="EL35" i="5"/>
  <c r="EK35" i="5"/>
  <c r="EK41" i="5" s="1"/>
  <c r="EJ35" i="5"/>
  <c r="EJ41" i="5" s="1"/>
  <c r="EI35" i="5"/>
  <c r="EI41" i="5" s="1"/>
  <c r="EH35" i="5"/>
  <c r="EH41" i="5" s="1"/>
  <c r="EG35" i="5"/>
  <c r="EF35" i="5"/>
  <c r="EF41" i="5" s="1"/>
  <c r="EE35" i="5"/>
  <c r="EE41" i="5" s="1"/>
  <c r="ED35" i="5"/>
  <c r="ED41" i="5" s="1"/>
  <c r="EC35" i="5"/>
  <c r="EC41" i="5" s="1"/>
  <c r="EB35" i="5"/>
  <c r="EB41" i="5" s="1"/>
  <c r="EA35" i="5"/>
  <c r="DZ35" i="5"/>
  <c r="DZ41" i="5" s="1"/>
  <c r="DY35" i="5"/>
  <c r="DY41" i="5" s="1"/>
  <c r="DX35" i="5"/>
  <c r="DX41" i="5" s="1"/>
  <c r="DW35" i="5"/>
  <c r="DW41" i="5" s="1"/>
  <c r="DV35" i="5"/>
  <c r="DV41" i="5" s="1"/>
  <c r="DU35" i="5"/>
  <c r="DU41" i="5" s="1"/>
  <c r="DT35" i="5"/>
  <c r="DS35" i="5"/>
  <c r="DS41" i="5" s="1"/>
  <c r="DR35" i="5"/>
  <c r="DR41" i="5" s="1"/>
  <c r="DQ35" i="5"/>
  <c r="DP35" i="5"/>
  <c r="DP41" i="5" s="1"/>
  <c r="DO35" i="5"/>
  <c r="DO41" i="5" s="1"/>
  <c r="DN35" i="5"/>
  <c r="DN41" i="5" s="1"/>
  <c r="DM35" i="5"/>
  <c r="DM41" i="5" s="1"/>
  <c r="DL35" i="5"/>
  <c r="DL41" i="5" s="1"/>
  <c r="DK35" i="5"/>
  <c r="DK41" i="5" s="1"/>
  <c r="DJ35" i="5"/>
  <c r="DJ41" i="5" s="1"/>
  <c r="DI35" i="5"/>
  <c r="DI41" i="5" s="1"/>
  <c r="DH35" i="5"/>
  <c r="DH41" i="5" s="1"/>
  <c r="DG35" i="5"/>
  <c r="DG41" i="5" s="1"/>
  <c r="DF35" i="5"/>
  <c r="DF41" i="5" s="1"/>
  <c r="DE35" i="5"/>
  <c r="DE41" i="5" s="1"/>
  <c r="DD35" i="5"/>
  <c r="DD41" i="5" s="1"/>
  <c r="DC35" i="5"/>
  <c r="DC41" i="5" s="1"/>
  <c r="DB35" i="5"/>
  <c r="DA35" i="5"/>
  <c r="DA41" i="5" s="1"/>
  <c r="CZ35" i="5"/>
  <c r="CZ41" i="5" s="1"/>
  <c r="CY35" i="5"/>
  <c r="CY41" i="5" s="1"/>
  <c r="CX35" i="5"/>
  <c r="CX41" i="5" s="1"/>
  <c r="CW35" i="5"/>
  <c r="CV35" i="5"/>
  <c r="CV41" i="5" s="1"/>
  <c r="CU35" i="5"/>
  <c r="CU41" i="5" s="1"/>
  <c r="CT35" i="5"/>
  <c r="CT41" i="5" s="1"/>
  <c r="CS35" i="5"/>
  <c r="CR35" i="5"/>
  <c r="CR41" i="5" s="1"/>
  <c r="CQ35" i="5"/>
  <c r="CQ41" i="5" s="1"/>
  <c r="CP35" i="5"/>
  <c r="CP41" i="5" s="1"/>
  <c r="CO35" i="5"/>
  <c r="CO41" i="5" s="1"/>
  <c r="CM35" i="5"/>
  <c r="CL35" i="5"/>
  <c r="CL41" i="5" s="1"/>
  <c r="CK35" i="5"/>
  <c r="CK41" i="5" s="1"/>
  <c r="CJ35" i="5"/>
  <c r="CJ41" i="5" s="1"/>
  <c r="CI35" i="5"/>
  <c r="CI41" i="5" s="1"/>
  <c r="CH35" i="5"/>
  <c r="CH41" i="5" s="1"/>
  <c r="CG35" i="5"/>
  <c r="CG41" i="5" s="1"/>
  <c r="CF35" i="5"/>
  <c r="CF41" i="5" s="1"/>
  <c r="CE35" i="5"/>
  <c r="CE41" i="5" s="1"/>
  <c r="CD35" i="5"/>
  <c r="CD41" i="5" s="1"/>
  <c r="CC35" i="5"/>
  <c r="CC41" i="5" s="1"/>
  <c r="CB35" i="5"/>
  <c r="CB41" i="5" s="1"/>
  <c r="CA35" i="5"/>
  <c r="CA41" i="5" s="1"/>
  <c r="BZ35" i="5"/>
  <c r="BZ41" i="5" s="1"/>
  <c r="BX35" i="5"/>
  <c r="BX41" i="5" s="1"/>
  <c r="BW35" i="5"/>
  <c r="BW41" i="5" s="1"/>
  <c r="BV35" i="5"/>
  <c r="BV41" i="5" s="1"/>
  <c r="BU35" i="5"/>
  <c r="BU41" i="5" s="1"/>
  <c r="BT35" i="5"/>
  <c r="BT41" i="5" s="1"/>
  <c r="BS35" i="5"/>
  <c r="BS41" i="5" s="1"/>
  <c r="BR35" i="5"/>
  <c r="BR41" i="5" s="1"/>
  <c r="BQ35" i="5"/>
  <c r="BQ41" i="5" s="1"/>
  <c r="BP35" i="5"/>
  <c r="BP41" i="5" s="1"/>
  <c r="BO35" i="5"/>
  <c r="BO41" i="5" s="1"/>
  <c r="BN35" i="5"/>
  <c r="BN41" i="5" s="1"/>
  <c r="BM35" i="5"/>
  <c r="BM41" i="5" s="1"/>
  <c r="BL35" i="5"/>
  <c r="BK35" i="5"/>
  <c r="BK41" i="5" s="1"/>
  <c r="BJ35" i="5"/>
  <c r="BJ41" i="5" s="1"/>
  <c r="BI35" i="5"/>
  <c r="BI41" i="5" s="1"/>
  <c r="BH35" i="5"/>
  <c r="BH41" i="5" s="1"/>
  <c r="BG35" i="5"/>
  <c r="BG41" i="5" s="1"/>
  <c r="BF35" i="5"/>
  <c r="BF41" i="5" s="1"/>
  <c r="AW35" i="5"/>
  <c r="AV35" i="5"/>
  <c r="EO34" i="5"/>
  <c r="EN34" i="5"/>
  <c r="EN40" i="5" s="1"/>
  <c r="EM34" i="5"/>
  <c r="EL34" i="5"/>
  <c r="EK34" i="5"/>
  <c r="EK40" i="5" s="1"/>
  <c r="EJ34" i="5"/>
  <c r="EJ40" i="5" s="1"/>
  <c r="EI34" i="5"/>
  <c r="EH34" i="5"/>
  <c r="EH40" i="5" s="1"/>
  <c r="EG34" i="5"/>
  <c r="EF34" i="5"/>
  <c r="EF40" i="5" s="1"/>
  <c r="EE34" i="5"/>
  <c r="ED34" i="5"/>
  <c r="ED40" i="5" s="1"/>
  <c r="EC34" i="5"/>
  <c r="EC40" i="5" s="1"/>
  <c r="EB34" i="5"/>
  <c r="EB40" i="5" s="1"/>
  <c r="EA34" i="5"/>
  <c r="EA40" i="5" s="1"/>
  <c r="DZ34" i="5"/>
  <c r="DY34" i="5"/>
  <c r="DY40" i="5" s="1"/>
  <c r="DX34" i="5"/>
  <c r="DX40" i="5" s="1"/>
  <c r="DW34" i="5"/>
  <c r="DW40" i="5" s="1"/>
  <c r="DV34" i="5"/>
  <c r="DV40" i="5" s="1"/>
  <c r="DU34" i="5"/>
  <c r="DU40" i="5" s="1"/>
  <c r="DT34" i="5"/>
  <c r="DT40" i="5" s="1"/>
  <c r="DS34" i="5"/>
  <c r="DS40" i="5" s="1"/>
  <c r="DR34" i="5"/>
  <c r="DR40" i="5" s="1"/>
  <c r="DQ34" i="5"/>
  <c r="DQ40" i="5" s="1"/>
  <c r="DP34" i="5"/>
  <c r="DP40" i="5" s="1"/>
  <c r="DO34" i="5"/>
  <c r="DO40" i="5" s="1"/>
  <c r="DN34" i="5"/>
  <c r="DN40" i="5" s="1"/>
  <c r="DM34" i="5"/>
  <c r="DM40" i="5" s="1"/>
  <c r="DL34" i="5"/>
  <c r="DL40" i="5" s="1"/>
  <c r="DK34" i="5"/>
  <c r="DK40" i="5" s="1"/>
  <c r="DJ34" i="5"/>
  <c r="DJ40" i="5" s="1"/>
  <c r="DI34" i="5"/>
  <c r="DI40" i="5" s="1"/>
  <c r="DH34" i="5"/>
  <c r="DH40" i="5" s="1"/>
  <c r="DG34" i="5"/>
  <c r="DG40" i="5" s="1"/>
  <c r="DF34" i="5"/>
  <c r="DF40" i="5" s="1"/>
  <c r="DE34" i="5"/>
  <c r="DE40" i="5" s="1"/>
  <c r="DD34" i="5"/>
  <c r="DD40" i="5" s="1"/>
  <c r="CY34" i="5"/>
  <c r="CX34" i="5"/>
  <c r="CX40" i="5" s="1"/>
  <c r="CW34" i="5"/>
  <c r="CW40" i="5" s="1"/>
  <c r="CV34" i="5"/>
  <c r="CV40" i="5" s="1"/>
  <c r="CQ34" i="5"/>
  <c r="CQ40" i="5" s="1"/>
  <c r="CM34" i="5"/>
  <c r="CM40" i="5" s="1"/>
  <c r="CH34" i="5"/>
  <c r="CH40" i="5" s="1"/>
  <c r="BW34" i="5"/>
  <c r="BV34" i="5"/>
  <c r="BV40" i="5" s="1"/>
  <c r="BU34" i="5"/>
  <c r="BU40" i="5" s="1"/>
  <c r="BT34" i="5"/>
  <c r="BT40" i="5" s="1"/>
  <c r="BS34" i="5"/>
  <c r="BS40" i="5" s="1"/>
  <c r="BR34" i="5"/>
  <c r="BR40" i="5" s="1"/>
  <c r="BQ34" i="5"/>
  <c r="BQ40" i="5" s="1"/>
  <c r="BP34" i="5"/>
  <c r="BP40" i="5" s="1"/>
  <c r="BO34" i="5"/>
  <c r="BO40" i="5" s="1"/>
  <c r="BN34" i="5"/>
  <c r="BN40" i="5" s="1"/>
  <c r="BM34" i="5"/>
  <c r="BL34" i="5"/>
  <c r="BL40" i="5" s="1"/>
  <c r="BK34" i="5"/>
  <c r="BK40" i="5" s="1"/>
  <c r="BJ34" i="5"/>
  <c r="BJ40" i="5" s="1"/>
  <c r="BI34" i="5"/>
  <c r="BI40" i="5" s="1"/>
  <c r="BH34" i="5"/>
  <c r="BH40" i="5" s="1"/>
  <c r="BG34" i="5"/>
  <c r="BG40" i="5" s="1"/>
  <c r="BF34" i="5"/>
  <c r="BF40" i="5" s="1"/>
  <c r="AW34" i="5"/>
  <c r="AV34" i="5"/>
  <c r="EO33" i="5"/>
  <c r="EN33" i="5"/>
  <c r="EM33" i="5"/>
  <c r="EM38" i="5" s="1"/>
  <c r="EL33" i="5"/>
  <c r="EK33" i="5"/>
  <c r="EJ33" i="5"/>
  <c r="EJ38" i="5" s="1"/>
  <c r="EI33" i="5"/>
  <c r="EH33" i="5"/>
  <c r="EG33" i="5"/>
  <c r="EF33" i="5"/>
  <c r="EE33" i="5"/>
  <c r="EE38" i="5" s="1"/>
  <c r="ED33" i="5"/>
  <c r="EC33" i="5"/>
  <c r="EB33" i="5"/>
  <c r="EA33" i="5"/>
  <c r="EA38" i="5" s="1"/>
  <c r="DZ33" i="5"/>
  <c r="DZ38" i="5" s="1"/>
  <c r="DY33" i="5"/>
  <c r="DX33" i="5"/>
  <c r="DW33" i="5"/>
  <c r="DV33" i="5"/>
  <c r="DU33" i="5"/>
  <c r="DT33" i="5"/>
  <c r="DS33" i="5"/>
  <c r="DR33" i="5"/>
  <c r="DQ33" i="5"/>
  <c r="DP33" i="5"/>
  <c r="DP38" i="5" s="1"/>
  <c r="DO33" i="5"/>
  <c r="DN33" i="5"/>
  <c r="DM33" i="5"/>
  <c r="DL33" i="5"/>
  <c r="DK33" i="5"/>
  <c r="DJ33" i="5"/>
  <c r="DI33" i="5"/>
  <c r="DH33" i="5"/>
  <c r="DG33" i="5"/>
  <c r="DG38" i="5" s="1"/>
  <c r="DF33" i="5"/>
  <c r="DF38" i="5" s="1"/>
  <c r="DE33" i="5"/>
  <c r="DE38" i="5" s="1"/>
  <c r="DD33" i="5"/>
  <c r="DD38" i="5" s="1"/>
  <c r="DC33" i="5"/>
  <c r="DC38" i="5" s="1"/>
  <c r="DB33" i="5"/>
  <c r="DB38" i="5" s="1"/>
  <c r="DA33" i="5"/>
  <c r="CZ33" i="5"/>
  <c r="CY33" i="5"/>
  <c r="CY38" i="5" s="1"/>
  <c r="CX33" i="5"/>
  <c r="CW33" i="5"/>
  <c r="CV33" i="5"/>
  <c r="CT33" i="5"/>
  <c r="CS33" i="5"/>
  <c r="CR33" i="5"/>
  <c r="CQ33" i="5"/>
  <c r="CQ38" i="5" s="1"/>
  <c r="CO33" i="5"/>
  <c r="CK33" i="5"/>
  <c r="CJ33" i="5"/>
  <c r="CI33" i="5"/>
  <c r="CA33" i="5"/>
  <c r="CA38" i="5" s="1"/>
  <c r="BW33" i="5"/>
  <c r="BW38" i="5" s="1"/>
  <c r="BV33" i="5"/>
  <c r="BV38" i="5" s="1"/>
  <c r="BT33" i="5"/>
  <c r="BT38" i="5" s="1"/>
  <c r="BS33" i="5"/>
  <c r="BS38" i="5" s="1"/>
  <c r="BR33" i="5"/>
  <c r="BR38" i="5" s="1"/>
  <c r="BQ33" i="5"/>
  <c r="BQ38" i="5" s="1"/>
  <c r="BP33" i="5"/>
  <c r="BP38" i="5" s="1"/>
  <c r="BO33" i="5"/>
  <c r="BO38" i="5" s="1"/>
  <c r="BN33" i="5"/>
  <c r="BN38" i="5" s="1"/>
  <c r="BM33" i="5"/>
  <c r="BL33" i="5"/>
  <c r="BK33" i="5"/>
  <c r="BK38" i="5" s="1"/>
  <c r="BJ33" i="5"/>
  <c r="BI33" i="5"/>
  <c r="BI38" i="5" s="1"/>
  <c r="BH33" i="5"/>
  <c r="BH38" i="5" s="1"/>
  <c r="BG33" i="5"/>
  <c r="BG38" i="5" s="1"/>
  <c r="BF33" i="5"/>
  <c r="AW33" i="5"/>
  <c r="AV33" i="5"/>
  <c r="BY30" i="5"/>
  <c r="BY35" i="5" s="1"/>
  <c r="BY41" i="5" s="1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W30" i="5"/>
  <c r="V30" i="5"/>
  <c r="U30" i="5"/>
  <c r="T30" i="5"/>
  <c r="S30" i="5"/>
  <c r="R30" i="5"/>
  <c r="F30" i="5"/>
  <c r="DC29" i="5"/>
  <c r="DB29" i="5"/>
  <c r="DB34" i="5" s="1"/>
  <c r="DB40" i="5" s="1"/>
  <c r="DA29" i="5"/>
  <c r="DA34" i="5" s="1"/>
  <c r="DA40" i="5" s="1"/>
  <c r="CU29" i="5"/>
  <c r="CU34" i="5" s="1"/>
  <c r="CU40" i="5" s="1"/>
  <c r="CT29" i="5"/>
  <c r="CT34" i="5" s="1"/>
  <c r="CT40" i="5" s="1"/>
  <c r="CS29" i="5"/>
  <c r="CR29" i="5"/>
  <c r="CR34" i="5" s="1"/>
  <c r="CR40" i="5" s="1"/>
  <c r="CP29" i="5"/>
  <c r="CP34" i="5" s="1"/>
  <c r="CP40" i="5" s="1"/>
  <c r="CO29" i="5"/>
  <c r="CO34" i="5" s="1"/>
  <c r="CN29" i="5"/>
  <c r="CN34" i="5" s="1"/>
  <c r="CN40" i="5" s="1"/>
  <c r="CL29" i="5"/>
  <c r="CL34" i="5" s="1"/>
  <c r="CL40" i="5" s="1"/>
  <c r="CK29" i="5"/>
  <c r="CK34" i="5" s="1"/>
  <c r="CK40" i="5" s="1"/>
  <c r="CJ29" i="5"/>
  <c r="CJ34" i="5" s="1"/>
  <c r="CI29" i="5"/>
  <c r="CI34" i="5" s="1"/>
  <c r="CG29" i="5"/>
  <c r="CF29" i="5"/>
  <c r="CF34" i="5" s="1"/>
  <c r="CF40" i="5" s="1"/>
  <c r="CE29" i="5"/>
  <c r="CE34" i="5" s="1"/>
  <c r="CE40" i="5" s="1"/>
  <c r="CD29" i="5"/>
  <c r="CC29" i="5"/>
  <c r="CC34" i="5" s="1"/>
  <c r="CC40" i="5" s="1"/>
  <c r="CB29" i="5"/>
  <c r="CB34" i="5" s="1"/>
  <c r="CB40" i="5" s="1"/>
  <c r="CA29" i="5"/>
  <c r="CA34" i="5" s="1"/>
  <c r="BZ29" i="5"/>
  <c r="BZ34" i="5" s="1"/>
  <c r="BZ40" i="5" s="1"/>
  <c r="BY29" i="5"/>
  <c r="BY34" i="5" s="1"/>
  <c r="BY40" i="5" s="1"/>
  <c r="B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F29" i="5"/>
  <c r="W29" i="5"/>
  <c r="V29" i="5"/>
  <c r="U29" i="5"/>
  <c r="T29" i="5"/>
  <c r="S29" i="5"/>
  <c r="R29" i="5"/>
  <c r="F29" i="5"/>
  <c r="CU28" i="5"/>
  <c r="AE28" i="5" s="1"/>
  <c r="CP28" i="5"/>
  <c r="CP33" i="5" s="1"/>
  <c r="CN28" i="5"/>
  <c r="AC28" i="5" s="1"/>
  <c r="CH28" i="5"/>
  <c r="CH33" i="5" s="1"/>
  <c r="CG28" i="5"/>
  <c r="CF28" i="5"/>
  <c r="CF33" i="5" s="1"/>
  <c r="CE28" i="5"/>
  <c r="CE33" i="5" s="1"/>
  <c r="CD28" i="5"/>
  <c r="CC28" i="5"/>
  <c r="CC33" i="5" s="1"/>
  <c r="BZ28" i="5"/>
  <c r="BY28" i="5"/>
  <c r="BY33" i="5" s="1"/>
  <c r="BX28" i="5"/>
  <c r="BU28" i="5"/>
  <c r="W28" i="5" s="1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B28" i="5"/>
  <c r="V28" i="5"/>
  <c r="U28" i="5"/>
  <c r="T28" i="5"/>
  <c r="S28" i="5"/>
  <c r="R28" i="5"/>
  <c r="F28" i="5"/>
  <c r="EO25" i="5"/>
  <c r="CM47" i="25" s="1"/>
  <c r="CM48" i="25" s="1"/>
  <c r="EN25" i="5"/>
  <c r="BY8" i="12" s="1"/>
  <c r="EM25" i="5"/>
  <c r="BX8" i="12" s="1"/>
  <c r="EL25" i="5"/>
  <c r="EK25" i="5"/>
  <c r="BV8" i="12" s="1"/>
  <c r="EJ25" i="5"/>
  <c r="BU8" i="12" s="1"/>
  <c r="EI25" i="5"/>
  <c r="EH25" i="5"/>
  <c r="BS8" i="12" s="1"/>
  <c r="EG25" i="5"/>
  <c r="BR8" i="12" s="1"/>
  <c r="EF25" i="5"/>
  <c r="EE25" i="5"/>
  <c r="BP8" i="12" s="1"/>
  <c r="ED25" i="5"/>
  <c r="BO8" i="12" s="1"/>
  <c r="EC25" i="5"/>
  <c r="BN8" i="12" s="1"/>
  <c r="EB25" i="5"/>
  <c r="BM8" i="12" s="1"/>
  <c r="EA25" i="5"/>
  <c r="BL8" i="12" s="1"/>
  <c r="DZ25" i="5"/>
  <c r="BK8" i="12" s="1"/>
  <c r="DY25" i="5"/>
  <c r="BJ8" i="12" s="1"/>
  <c r="DX25" i="5"/>
  <c r="BI8" i="12" s="1"/>
  <c r="DW25" i="5"/>
  <c r="DV25" i="5"/>
  <c r="BG8" i="12" s="1"/>
  <c r="DU25" i="5"/>
  <c r="BF8" i="12" s="1"/>
  <c r="DT25" i="5"/>
  <c r="DS25" i="5"/>
  <c r="BD8" i="12" s="1"/>
  <c r="DR25" i="5"/>
  <c r="BC8" i="12" s="1"/>
  <c r="DQ25" i="5"/>
  <c r="DP25" i="5"/>
  <c r="BA8" i="12" s="1"/>
  <c r="DO25" i="5"/>
  <c r="AZ8" i="12" s="1"/>
  <c r="DN25" i="5"/>
  <c r="AY8" i="12" s="1"/>
  <c r="DM25" i="5"/>
  <c r="AX8" i="12" s="1"/>
  <c r="DL25" i="5"/>
  <c r="AW8" i="12" s="1"/>
  <c r="DK25" i="5"/>
  <c r="AV8" i="12" s="1"/>
  <c r="DJ25" i="5"/>
  <c r="AU8" i="12" s="1"/>
  <c r="DI25" i="5"/>
  <c r="AT8" i="12" s="1"/>
  <c r="DH25" i="5"/>
  <c r="AS8" i="12" s="1"/>
  <c r="DG25" i="5"/>
  <c r="AR8" i="12" s="1"/>
  <c r="DF25" i="5"/>
  <c r="AQ8" i="12" s="1"/>
  <c r="DE25" i="5"/>
  <c r="AP8" i="12" s="1"/>
  <c r="DD25" i="5"/>
  <c r="AO8" i="12" s="1"/>
  <c r="DB25" i="5"/>
  <c r="AM8" i="12" s="1"/>
  <c r="DA25" i="5"/>
  <c r="AL8" i="12" s="1"/>
  <c r="CY25" i="5"/>
  <c r="CX25" i="5"/>
  <c r="AI8" i="12" s="1"/>
  <c r="CW25" i="5"/>
  <c r="AH8" i="12" s="1"/>
  <c r="CV25" i="5"/>
  <c r="CU25" i="5"/>
  <c r="AF8" i="12" s="1"/>
  <c r="CT25" i="5"/>
  <c r="AE8" i="12" s="1"/>
  <c r="CS25" i="5"/>
  <c r="AD8" i="12" s="1"/>
  <c r="CR25" i="5"/>
  <c r="AC8" i="12" s="1"/>
  <c r="CQ25" i="5"/>
  <c r="AB8" i="12" s="1"/>
  <c r="CP25" i="5"/>
  <c r="AA8" i="12" s="1"/>
  <c r="CO25" i="5"/>
  <c r="Z8" i="12" s="1"/>
  <c r="CK25" i="5"/>
  <c r="V8" i="12" s="1"/>
  <c r="CJ25" i="5"/>
  <c r="U8" i="12" s="1"/>
  <c r="CI25" i="5"/>
  <c r="T8" i="12" s="1"/>
  <c r="CH25" i="5"/>
  <c r="S8" i="12" s="1"/>
  <c r="CF25" i="5"/>
  <c r="Q8" i="12" s="1"/>
  <c r="CE25" i="5"/>
  <c r="P8" i="12" s="1"/>
  <c r="CC25" i="5"/>
  <c r="N8" i="12" s="1"/>
  <c r="CA25" i="5"/>
  <c r="L8" i="12" s="1"/>
  <c r="BZ25" i="5"/>
  <c r="K8" i="12" s="1"/>
  <c r="BY25" i="5"/>
  <c r="J8" i="12" s="1"/>
  <c r="BW25" i="5"/>
  <c r="H8" i="12" s="1"/>
  <c r="BV25" i="5"/>
  <c r="G8" i="12" s="1"/>
  <c r="BU25" i="5"/>
  <c r="F8" i="12" s="1"/>
  <c r="BT25" i="5"/>
  <c r="E8" i="12" s="1"/>
  <c r="BS25" i="5"/>
  <c r="D8" i="12" s="1"/>
  <c r="BR25" i="5"/>
  <c r="C8" i="12" s="1"/>
  <c r="BQ25" i="5"/>
  <c r="BP25" i="5"/>
  <c r="BO25" i="5"/>
  <c r="BN25" i="5"/>
  <c r="BM25" i="5"/>
  <c r="BL25" i="5"/>
  <c r="BK25" i="5"/>
  <c r="BJ25" i="5"/>
  <c r="BI25" i="5"/>
  <c r="BH25" i="5"/>
  <c r="BG25" i="5"/>
  <c r="BF25" i="5"/>
  <c r="AW25" i="5"/>
  <c r="F25" i="5"/>
  <c r="F42" i="5" s="1"/>
  <c r="CN14" i="5"/>
  <c r="CN35" i="5" s="1"/>
  <c r="CN41" i="5" s="1"/>
  <c r="AW14" i="5"/>
  <c r="AV14" i="5"/>
  <c r="AU14" i="5"/>
  <c r="AT14" i="5"/>
  <c r="AS14" i="5"/>
  <c r="AR14" i="5"/>
  <c r="AQ14" i="5"/>
  <c r="AP14" i="5"/>
  <c r="AO14" i="5"/>
  <c r="AN14" i="5"/>
  <c r="AM14" i="5"/>
  <c r="AL14" i="5"/>
  <c r="AK14" i="5"/>
  <c r="AJ14" i="5"/>
  <c r="AI14" i="5"/>
  <c r="AH14" i="5"/>
  <c r="AG14" i="5"/>
  <c r="AF14" i="5"/>
  <c r="AE14" i="5"/>
  <c r="AD14" i="5"/>
  <c r="AB14" i="5"/>
  <c r="AA14" i="5"/>
  <c r="Z14" i="5"/>
  <c r="Y14" i="5"/>
  <c r="X14" i="5"/>
  <c r="W14" i="5"/>
  <c r="V14" i="5"/>
  <c r="U14" i="5"/>
  <c r="T14" i="5"/>
  <c r="S14" i="5"/>
  <c r="R14" i="5"/>
  <c r="DC13" i="5"/>
  <c r="AN6" i="12" s="1"/>
  <c r="CZ13" i="5"/>
  <c r="AK6" i="12" s="1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CD12" i="5"/>
  <c r="CC12" i="5"/>
  <c r="CB12" i="5"/>
  <c r="CA12" i="5"/>
  <c r="BZ12" i="5"/>
  <c r="BY12" i="5"/>
  <c r="BX12" i="5"/>
  <c r="BW12" i="5"/>
  <c r="BV12" i="5"/>
  <c r="BU12" i="5"/>
  <c r="BT12" i="5"/>
  <c r="BS12" i="5"/>
  <c r="BR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A12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H11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H10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H9" i="5"/>
  <c r="ED8" i="5"/>
  <c r="BL7" i="188" s="1"/>
  <c r="AW8" i="5"/>
  <c r="AV8" i="5"/>
  <c r="AU8" i="5"/>
  <c r="AT8" i="5"/>
  <c r="AS8" i="5"/>
  <c r="AR8" i="5"/>
  <c r="AP8" i="5"/>
  <c r="AO8" i="5"/>
  <c r="AN8" i="5"/>
  <c r="AM8" i="5"/>
  <c r="AL8" i="5"/>
  <c r="AK8" i="5"/>
  <c r="AJ8" i="5"/>
  <c r="H8" i="5"/>
  <c r="CN7" i="5"/>
  <c r="Y5" i="12" s="1"/>
  <c r="CM7" i="5"/>
  <c r="X36" i="12" s="1"/>
  <c r="X38" i="12" s="1"/>
  <c r="X39" i="12" s="1"/>
  <c r="CM39" i="5" s="1"/>
  <c r="CL7" i="5"/>
  <c r="CL33" i="5" s="1"/>
  <c r="CG7" i="5"/>
  <c r="R5" i="12" s="1"/>
  <c r="CD7" i="5"/>
  <c r="O5" i="12" s="1"/>
  <c r="CB7" i="5"/>
  <c r="CB33" i="5" s="1"/>
  <c r="BX7" i="5"/>
  <c r="X7" i="5" s="1"/>
  <c r="AW7" i="5"/>
  <c r="AV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W7" i="5"/>
  <c r="V7" i="5"/>
  <c r="U7" i="5"/>
  <c r="T7" i="5"/>
  <c r="S7" i="5"/>
  <c r="R7" i="5"/>
  <c r="BI47" i="12"/>
  <c r="BH47" i="12"/>
  <c r="BG47" i="12"/>
  <c r="BF47" i="12"/>
  <c r="BE47" i="12"/>
  <c r="BD47" i="12"/>
  <c r="BC47" i="12"/>
  <c r="BB47" i="12"/>
  <c r="BA47" i="12"/>
  <c r="AZ47" i="12"/>
  <c r="AY47" i="12"/>
  <c r="N38" i="12"/>
  <c r="N39" i="12" s="1"/>
  <c r="CC39" i="5" s="1"/>
  <c r="M38" i="12"/>
  <c r="M39" i="12" s="1"/>
  <c r="CB39" i="5" s="1"/>
  <c r="L38" i="12"/>
  <c r="L39" i="12" s="1"/>
  <c r="CA39" i="5" s="1"/>
  <c r="K38" i="12"/>
  <c r="K39" i="12" s="1"/>
  <c r="BZ39" i="5" s="1"/>
  <c r="J38" i="12"/>
  <c r="J39" i="12" s="1"/>
  <c r="BY39" i="5" s="1"/>
  <c r="I38" i="12"/>
  <c r="I39" i="12" s="1"/>
  <c r="BX39" i="5" s="1"/>
  <c r="H38" i="12"/>
  <c r="H39" i="12" s="1"/>
  <c r="BW39" i="5" s="1"/>
  <c r="G38" i="12"/>
  <c r="G39" i="12" s="1"/>
  <c r="BV39" i="5" s="1"/>
  <c r="F38" i="12"/>
  <c r="F39" i="12" s="1"/>
  <c r="BU39" i="5" s="1"/>
  <c r="E38" i="12"/>
  <c r="E39" i="12" s="1"/>
  <c r="BT39" i="5" s="1"/>
  <c r="D38" i="12"/>
  <c r="D39" i="12" s="1"/>
  <c r="BS39" i="5" s="1"/>
  <c r="C38" i="12"/>
  <c r="BQ37" i="12"/>
  <c r="BP37" i="12"/>
  <c r="BZ36" i="12"/>
  <c r="BZ38" i="12" s="1"/>
  <c r="BY36" i="12"/>
  <c r="BY38" i="12" s="1"/>
  <c r="BX36" i="12"/>
  <c r="BX38" i="12" s="1"/>
  <c r="BW36" i="12"/>
  <c r="BW38" i="12" s="1"/>
  <c r="BV36" i="12"/>
  <c r="BV38" i="12" s="1"/>
  <c r="BV39" i="12" s="1"/>
  <c r="EK39" i="5" s="1"/>
  <c r="BU36" i="12"/>
  <c r="BU38" i="12" s="1"/>
  <c r="BT36" i="12"/>
  <c r="BT38" i="12" s="1"/>
  <c r="BS36" i="12"/>
  <c r="BS38" i="12" s="1"/>
  <c r="BR36" i="12"/>
  <c r="BR38" i="12" s="1"/>
  <c r="BR39" i="12" s="1"/>
  <c r="EG39" i="5" s="1"/>
  <c r="BQ36" i="12"/>
  <c r="BP36" i="12"/>
  <c r="BO36" i="12"/>
  <c r="BO38" i="12" s="1"/>
  <c r="BO39" i="12" s="1"/>
  <c r="ED39" i="5" s="1"/>
  <c r="BN36" i="12"/>
  <c r="BN38" i="12" s="1"/>
  <c r="BN39" i="12" s="1"/>
  <c r="EC39" i="5" s="1"/>
  <c r="BM36" i="12"/>
  <c r="BM38" i="12" s="1"/>
  <c r="BM39" i="12" s="1"/>
  <c r="EB39" i="5" s="1"/>
  <c r="BL36" i="12"/>
  <c r="BL38" i="12" s="1"/>
  <c r="BL39" i="12" s="1"/>
  <c r="EA39" i="5" s="1"/>
  <c r="BK36" i="12"/>
  <c r="BK38" i="12" s="1"/>
  <c r="BJ36" i="12"/>
  <c r="BJ38" i="12" s="1"/>
  <c r="BJ39" i="12" s="1"/>
  <c r="DY39" i="5" s="1"/>
  <c r="BI36" i="12"/>
  <c r="BI38" i="12" s="1"/>
  <c r="BI39" i="12" s="1"/>
  <c r="DX39" i="5" s="1"/>
  <c r="BH36" i="12"/>
  <c r="BH38" i="12" s="1"/>
  <c r="BH39" i="12" s="1"/>
  <c r="DW39" i="5" s="1"/>
  <c r="BG36" i="12"/>
  <c r="BG38" i="12" s="1"/>
  <c r="BG39" i="12" s="1"/>
  <c r="DV39" i="5" s="1"/>
  <c r="BF36" i="12"/>
  <c r="BF38" i="12" s="1"/>
  <c r="BF39" i="12" s="1"/>
  <c r="DU39" i="5" s="1"/>
  <c r="BE36" i="12"/>
  <c r="BE38" i="12" s="1"/>
  <c r="BE39" i="12" s="1"/>
  <c r="DT39" i="5" s="1"/>
  <c r="BD36" i="12"/>
  <c r="BD38" i="12" s="1"/>
  <c r="BD39" i="12" s="1"/>
  <c r="DS39" i="5" s="1"/>
  <c r="BC36" i="12"/>
  <c r="BC38" i="12" s="1"/>
  <c r="BC39" i="12" s="1"/>
  <c r="DR39" i="5" s="1"/>
  <c r="BB36" i="12"/>
  <c r="BB38" i="12" s="1"/>
  <c r="BB39" i="12" s="1"/>
  <c r="DQ39" i="5" s="1"/>
  <c r="BA36" i="12"/>
  <c r="BA38" i="12" s="1"/>
  <c r="BA39" i="12" s="1"/>
  <c r="DP39" i="5" s="1"/>
  <c r="AZ36" i="12"/>
  <c r="AZ38" i="12" s="1"/>
  <c r="AZ39" i="12" s="1"/>
  <c r="DO39" i="5" s="1"/>
  <c r="AY36" i="12"/>
  <c r="AY38" i="12" s="1"/>
  <c r="AX36" i="12"/>
  <c r="AX38" i="12" s="1"/>
  <c r="AX39" i="12" s="1"/>
  <c r="DM39" i="5" s="1"/>
  <c r="AW36" i="12"/>
  <c r="AW38" i="12" s="1"/>
  <c r="AW39" i="12" s="1"/>
  <c r="DL39" i="5" s="1"/>
  <c r="AV36" i="12"/>
  <c r="AV38" i="12" s="1"/>
  <c r="AV39" i="12" s="1"/>
  <c r="DK39" i="5" s="1"/>
  <c r="AU36" i="12"/>
  <c r="AU38" i="12" s="1"/>
  <c r="AU39" i="12" s="1"/>
  <c r="DJ39" i="5" s="1"/>
  <c r="AT36" i="12"/>
  <c r="AT38" i="12" s="1"/>
  <c r="AT39" i="12" s="1"/>
  <c r="DI39" i="5" s="1"/>
  <c r="AS36" i="12"/>
  <c r="AS38" i="12" s="1"/>
  <c r="AS39" i="12" s="1"/>
  <c r="DH39" i="5" s="1"/>
  <c r="AR36" i="12"/>
  <c r="AR38" i="12" s="1"/>
  <c r="AR39" i="12" s="1"/>
  <c r="DG39" i="5" s="1"/>
  <c r="AQ36" i="12"/>
  <c r="AQ38" i="12" s="1"/>
  <c r="AQ39" i="12" s="1"/>
  <c r="DF39" i="5" s="1"/>
  <c r="AP36" i="12"/>
  <c r="AP38" i="12" s="1"/>
  <c r="AP39" i="12" s="1"/>
  <c r="DE39" i="5" s="1"/>
  <c r="AO36" i="12"/>
  <c r="AO38" i="12" s="1"/>
  <c r="AO39" i="12" s="1"/>
  <c r="DD39" i="5" s="1"/>
  <c r="AN36" i="12"/>
  <c r="AN38" i="12" s="1"/>
  <c r="AN39" i="12" s="1"/>
  <c r="DC39" i="5" s="1"/>
  <c r="AM36" i="12"/>
  <c r="AM38" i="12" s="1"/>
  <c r="AM39" i="12" s="1"/>
  <c r="DB39" i="5" s="1"/>
  <c r="AL36" i="12"/>
  <c r="AL38" i="12" s="1"/>
  <c r="AL39" i="12" s="1"/>
  <c r="DA39" i="5" s="1"/>
  <c r="AK36" i="12"/>
  <c r="AK38" i="12" s="1"/>
  <c r="AK39" i="12" s="1"/>
  <c r="CZ39" i="5" s="1"/>
  <c r="AJ36" i="12"/>
  <c r="AJ38" i="12" s="1"/>
  <c r="AJ39" i="12" s="1"/>
  <c r="CY39" i="5" s="1"/>
  <c r="AI36" i="12"/>
  <c r="AI38" i="12" s="1"/>
  <c r="AI39" i="12" s="1"/>
  <c r="CX39" i="5" s="1"/>
  <c r="AH36" i="12"/>
  <c r="AH38" i="12" s="1"/>
  <c r="AH39" i="12" s="1"/>
  <c r="CW39" i="5" s="1"/>
  <c r="AG36" i="12"/>
  <c r="AG38" i="12" s="1"/>
  <c r="AG39" i="12" s="1"/>
  <c r="CV39" i="5" s="1"/>
  <c r="AF36" i="12"/>
  <c r="AF38" i="12" s="1"/>
  <c r="AF39" i="12" s="1"/>
  <c r="CU39" i="5" s="1"/>
  <c r="AE36" i="12"/>
  <c r="AE38" i="12" s="1"/>
  <c r="AE39" i="12" s="1"/>
  <c r="CT39" i="5" s="1"/>
  <c r="AD36" i="12"/>
  <c r="AD38" i="12" s="1"/>
  <c r="AD39" i="12" s="1"/>
  <c r="CS39" i="5" s="1"/>
  <c r="AC36" i="12"/>
  <c r="AC38" i="12" s="1"/>
  <c r="AC39" i="12" s="1"/>
  <c r="CR39" i="5" s="1"/>
  <c r="AB36" i="12"/>
  <c r="AB38" i="12" s="1"/>
  <c r="AB39" i="12" s="1"/>
  <c r="CQ39" i="5" s="1"/>
  <c r="AA36" i="12"/>
  <c r="AA38" i="12" s="1"/>
  <c r="AA39" i="12" s="1"/>
  <c r="CP39" i="5" s="1"/>
  <c r="Z36" i="12"/>
  <c r="Z38" i="12" s="1"/>
  <c r="Z39" i="12" s="1"/>
  <c r="CO39" i="5" s="1"/>
  <c r="V36" i="12"/>
  <c r="V38" i="12" s="1"/>
  <c r="V39" i="12" s="1"/>
  <c r="CK39" i="5" s="1"/>
  <c r="U36" i="12"/>
  <c r="U38" i="12" s="1"/>
  <c r="U39" i="12" s="1"/>
  <c r="CJ39" i="5" s="1"/>
  <c r="T36" i="12"/>
  <c r="T38" i="12" s="1"/>
  <c r="T39" i="12" s="1"/>
  <c r="CI39" i="5" s="1"/>
  <c r="S36" i="12"/>
  <c r="S38" i="12" s="1"/>
  <c r="S39" i="12" s="1"/>
  <c r="CH39" i="5" s="1"/>
  <c r="Q36" i="12"/>
  <c r="Q38" i="12" s="1"/>
  <c r="Q39" i="12" s="1"/>
  <c r="CF39" i="5" s="1"/>
  <c r="P36" i="12"/>
  <c r="P38" i="12" s="1"/>
  <c r="P39" i="12" s="1"/>
  <c r="CE39" i="5" s="1"/>
  <c r="BK45" i="12"/>
  <c r="BJ45" i="12"/>
  <c r="AX45" i="12"/>
  <c r="AL45" i="12"/>
  <c r="BZ7" i="12"/>
  <c r="BY7" i="12"/>
  <c r="BX7" i="12"/>
  <c r="BW7" i="12"/>
  <c r="BV7" i="12"/>
  <c r="BU7" i="12"/>
  <c r="BT7" i="12"/>
  <c r="BS7" i="12"/>
  <c r="BR7" i="12"/>
  <c r="BQ7" i="12"/>
  <c r="BP7" i="12"/>
  <c r="BO7" i="12"/>
  <c r="BN7" i="12"/>
  <c r="BM7" i="12"/>
  <c r="BL7" i="12"/>
  <c r="BK7" i="12"/>
  <c r="BJ7" i="12"/>
  <c r="BI7" i="12"/>
  <c r="BH7" i="12"/>
  <c r="BG7" i="12"/>
  <c r="BF7" i="12"/>
  <c r="BE7" i="12"/>
  <c r="BD7" i="12"/>
  <c r="BC7" i="12"/>
  <c r="BB7" i="12"/>
  <c r="BA7" i="12"/>
  <c r="AZ7" i="12"/>
  <c r="AY7" i="12"/>
  <c r="AX7" i="12"/>
  <c r="AW7" i="12"/>
  <c r="AV7" i="12"/>
  <c r="AU7" i="12"/>
  <c r="AT7" i="12"/>
  <c r="AS7" i="12"/>
  <c r="AR7" i="12"/>
  <c r="AQ7" i="12"/>
  <c r="AP7" i="12"/>
  <c r="AO7" i="12"/>
  <c r="AN7" i="12"/>
  <c r="AM7" i="12"/>
  <c r="AL7" i="12"/>
  <c r="AK7" i="12"/>
  <c r="AJ7" i="12"/>
  <c r="AI7" i="12"/>
  <c r="AH7" i="12"/>
  <c r="AG7" i="12"/>
  <c r="AF7" i="12"/>
  <c r="AE7" i="12"/>
  <c r="AD7" i="12"/>
  <c r="AC7" i="12"/>
  <c r="AB7" i="12"/>
  <c r="AA7" i="12"/>
  <c r="Z7" i="12"/>
  <c r="X7" i="12"/>
  <c r="W7" i="12"/>
  <c r="V7" i="12"/>
  <c r="U7" i="12"/>
  <c r="T7" i="12"/>
  <c r="S7" i="12"/>
  <c r="R7" i="12"/>
  <c r="Q7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M6" i="12"/>
  <c r="AL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Z5" i="12"/>
  <c r="BY5" i="12"/>
  <c r="BX5" i="12"/>
  <c r="BW5" i="12"/>
  <c r="BV5" i="12"/>
  <c r="BU5" i="12"/>
  <c r="BT5" i="12"/>
  <c r="BS5" i="12"/>
  <c r="BR5" i="12"/>
  <c r="BQ5" i="12"/>
  <c r="BP5" i="12"/>
  <c r="BO5" i="12"/>
  <c r="BN5" i="12"/>
  <c r="BM5" i="12"/>
  <c r="BL5" i="12"/>
  <c r="BK5" i="12"/>
  <c r="BJ5" i="12"/>
  <c r="BI5" i="12"/>
  <c r="BH5" i="12"/>
  <c r="BG5" i="12"/>
  <c r="BF5" i="12"/>
  <c r="BE5" i="12"/>
  <c r="BD5" i="12"/>
  <c r="BC5" i="12"/>
  <c r="BB5" i="12"/>
  <c r="BA5" i="12"/>
  <c r="AZ5" i="12"/>
  <c r="AY5" i="12"/>
  <c r="AX5" i="12"/>
  <c r="AW5" i="12"/>
  <c r="AV5" i="12"/>
  <c r="AU5" i="12"/>
  <c r="AT5" i="12"/>
  <c r="AS5" i="12"/>
  <c r="AR5" i="12"/>
  <c r="AQ5" i="12"/>
  <c r="AP5" i="12"/>
  <c r="AO5" i="12"/>
  <c r="AN5" i="12"/>
  <c r="AM5" i="12"/>
  <c r="AL5" i="12"/>
  <c r="AK5" i="12"/>
  <c r="AJ5" i="12"/>
  <c r="AI5" i="12"/>
  <c r="AH5" i="12"/>
  <c r="AG5" i="12"/>
  <c r="AF5" i="12"/>
  <c r="AE5" i="12"/>
  <c r="AD5" i="12"/>
  <c r="AC5" i="12"/>
  <c r="AB5" i="12"/>
  <c r="AA5" i="12"/>
  <c r="Z5" i="12"/>
  <c r="V5" i="12"/>
  <c r="U5" i="12"/>
  <c r="T5" i="12"/>
  <c r="S5" i="12"/>
  <c r="Q5" i="12"/>
  <c r="P5" i="12"/>
  <c r="N5" i="12"/>
  <c r="L5" i="12"/>
  <c r="K5" i="12"/>
  <c r="J5" i="12"/>
  <c r="H5" i="12"/>
  <c r="G5" i="12"/>
  <c r="F5" i="12"/>
  <c r="E5" i="12"/>
  <c r="D5" i="12"/>
  <c r="C5" i="12"/>
  <c r="AC68" i="14"/>
  <c r="AC35" i="188" l="1"/>
  <c r="AD35" i="188"/>
  <c r="BY39" i="12"/>
  <c r="EN39" i="5" s="1"/>
  <c r="P39" i="5"/>
  <c r="BP31" i="215"/>
  <c r="BP37" i="215" s="1"/>
  <c r="AJ29" i="215"/>
  <c r="AJ35" i="215" s="1"/>
  <c r="DB116" i="215"/>
  <c r="DB41" i="215" s="1"/>
  <c r="CU116" i="215"/>
  <c r="CU41" i="215" s="1"/>
  <c r="N110" i="5"/>
  <c r="N109" i="5"/>
  <c r="N111" i="5"/>
  <c r="N64" i="5"/>
  <c r="N63" i="5"/>
  <c r="BY13" i="12"/>
  <c r="BX13" i="12"/>
  <c r="AD37" i="215"/>
  <c r="CQ53" i="215"/>
  <c r="AH53" i="215" s="1"/>
  <c r="CW53" i="215"/>
  <c r="DI55" i="215"/>
  <c r="DW55" i="215"/>
  <c r="CE55" i="215"/>
  <c r="DH55" i="215"/>
  <c r="DV55" i="215"/>
  <c r="EE55" i="215"/>
  <c r="DX55" i="215"/>
  <c r="ED55" i="215"/>
  <c r="CO55" i="215"/>
  <c r="CO63" i="215" s="1"/>
  <c r="BW39" i="215"/>
  <c r="BW55" i="215" s="1"/>
  <c r="BW63" i="215" s="1"/>
  <c r="CQ116" i="215"/>
  <c r="CQ41" i="215" s="1"/>
  <c r="CQ42" i="215" s="1"/>
  <c r="CX53" i="215"/>
  <c r="CW116" i="215"/>
  <c r="CW41" i="215" s="1"/>
  <c r="AD18" i="185"/>
  <c r="AD26" i="185" s="1"/>
  <c r="BN18" i="185"/>
  <c r="CC26" i="185"/>
  <c r="CD26" i="185"/>
  <c r="BV18" i="185"/>
  <c r="BV26" i="185" s="1"/>
  <c r="BX33" i="185"/>
  <c r="X35" i="188"/>
  <c r="AA35" i="188"/>
  <c r="I35" i="188" s="1"/>
  <c r="H45" i="188"/>
  <c r="AV21" i="215"/>
  <c r="Z27" i="188"/>
  <c r="I27" i="188" s="1"/>
  <c r="AA23" i="188"/>
  <c r="N128" i="5"/>
  <c r="AL83" i="5"/>
  <c r="Z6" i="188"/>
  <c r="I6" i="188" s="1"/>
  <c r="Z13" i="188"/>
  <c r="I13" i="188" s="1"/>
  <c r="N69" i="5"/>
  <c r="AL85" i="5"/>
  <c r="AL87" i="5"/>
  <c r="Z54" i="188"/>
  <c r="I54" i="188" s="1"/>
  <c r="Z56" i="188"/>
  <c r="I56" i="188" s="1"/>
  <c r="Z12" i="188"/>
  <c r="Z26" i="188"/>
  <c r="I26" i="188" s="1"/>
  <c r="Z55" i="188"/>
  <c r="I55" i="188" s="1"/>
  <c r="Z28" i="188"/>
  <c r="I28" i="188" s="1"/>
  <c r="BX39" i="12"/>
  <c r="EM39" i="5" s="1"/>
  <c r="O39" i="5"/>
  <c r="Z52" i="188"/>
  <c r="I52" i="188" s="1"/>
  <c r="Z53" i="188"/>
  <c r="I53" i="188" s="1"/>
  <c r="P47" i="188"/>
  <c r="G47" i="188" s="1"/>
  <c r="P46" i="188"/>
  <c r="G46" i="188" s="1"/>
  <c r="N29" i="5"/>
  <c r="N30" i="5"/>
  <c r="N54" i="5"/>
  <c r="N67" i="5"/>
  <c r="N58" i="5"/>
  <c r="N66" i="5"/>
  <c r="N65" i="5"/>
  <c r="N55" i="5"/>
  <c r="N49" i="5"/>
  <c r="N56" i="5"/>
  <c r="N57" i="5"/>
  <c r="N48" i="5"/>
  <c r="N46" i="5"/>
  <c r="N53" i="5"/>
  <c r="N28" i="5"/>
  <c r="N14" i="5"/>
  <c r="N12" i="5"/>
  <c r="N7" i="5"/>
  <c r="N11" i="5"/>
  <c r="N10" i="5"/>
  <c r="N8" i="5"/>
  <c r="N9" i="5"/>
  <c r="N13" i="5"/>
  <c r="AA7" i="5"/>
  <c r="AA25" i="5" s="1"/>
  <c r="BJ29" i="215"/>
  <c r="BJ35" i="215" s="1"/>
  <c r="BJ31" i="215"/>
  <c r="BJ37" i="215" s="1"/>
  <c r="CU49" i="215"/>
  <c r="CU54" i="215" s="1"/>
  <c r="CR49" i="215"/>
  <c r="CI83" i="215"/>
  <c r="CI88" i="215" s="1"/>
  <c r="CI89" i="215" s="1"/>
  <c r="CW35" i="215"/>
  <c r="CS49" i="215"/>
  <c r="AU24" i="215"/>
  <c r="CR116" i="215"/>
  <c r="CR41" i="215" s="1"/>
  <c r="CR42" i="215" s="1"/>
  <c r="CZ116" i="215"/>
  <c r="CZ41" i="215" s="1"/>
  <c r="CZ42" i="215" s="1"/>
  <c r="J48" i="215"/>
  <c r="G86" i="215"/>
  <c r="BO31" i="215"/>
  <c r="BO37" i="215" s="1"/>
  <c r="DC55" i="215"/>
  <c r="DK55" i="215"/>
  <c r="AI53" i="215"/>
  <c r="BM30" i="215"/>
  <c r="BM36" i="215" s="1"/>
  <c r="CJ55" i="215"/>
  <c r="CJ63" i="215" s="1"/>
  <c r="DA49" i="215"/>
  <c r="CS116" i="215"/>
  <c r="CS41" i="215" s="1"/>
  <c r="BI29" i="215"/>
  <c r="BI35" i="215" s="1"/>
  <c r="BO21" i="215"/>
  <c r="DD55" i="215"/>
  <c r="EB55" i="215"/>
  <c r="R83" i="215"/>
  <c r="AA29" i="215"/>
  <c r="AA35" i="215" s="1"/>
  <c r="AC32" i="215"/>
  <c r="DR55" i="215"/>
  <c r="CH83" i="215"/>
  <c r="CH88" i="215" s="1"/>
  <c r="CH89" i="215" s="1"/>
  <c r="AS42" i="215"/>
  <c r="U97" i="215"/>
  <c r="G97" i="215" s="1"/>
  <c r="S83" i="215"/>
  <c r="CZ39" i="215"/>
  <c r="J52" i="215"/>
  <c r="DB49" i="215"/>
  <c r="DB54" i="215" s="1"/>
  <c r="BK29" i="215"/>
  <c r="BK35" i="215" s="1"/>
  <c r="Y39" i="215"/>
  <c r="Y55" i="215" s="1"/>
  <c r="Y95" i="215" s="1"/>
  <c r="Y106" i="215" s="1"/>
  <c r="Y109" i="215" s="1"/>
  <c r="CT116" i="215"/>
  <c r="CT41" i="215" s="1"/>
  <c r="BG29" i="215"/>
  <c r="BG35" i="215" s="1"/>
  <c r="CY116" i="215"/>
  <c r="CY41" i="215" s="1"/>
  <c r="CY42" i="215" s="1"/>
  <c r="BT39" i="215"/>
  <c r="BT55" i="215" s="1"/>
  <c r="BT63" i="215" s="1"/>
  <c r="CT49" i="215"/>
  <c r="AF36" i="215"/>
  <c r="AC31" i="215"/>
  <c r="AC37" i="215" s="1"/>
  <c r="DA116" i="215"/>
  <c r="DA41" i="215" s="1"/>
  <c r="DA42" i="215" s="1"/>
  <c r="BW8" i="12"/>
  <c r="CJ47" i="25"/>
  <c r="CJ48" i="25" s="1"/>
  <c r="S46" i="25"/>
  <c r="V46" i="25"/>
  <c r="Y46" i="25"/>
  <c r="EC86" i="5"/>
  <c r="BW39" i="12"/>
  <c r="EL39" i="5" s="1"/>
  <c r="N39" i="5"/>
  <c r="AT39" i="5"/>
  <c r="BZ39" i="12"/>
  <c r="EO39" i="5" s="1"/>
  <c r="AU39" i="5"/>
  <c r="BT8" i="12"/>
  <c r="CG47" i="25"/>
  <c r="CG48" i="25" s="1"/>
  <c r="DZ81" i="5"/>
  <c r="AQ42" i="215"/>
  <c r="DI81" i="5"/>
  <c r="CW86" i="5"/>
  <c r="DU86" i="5"/>
  <c r="DP81" i="5"/>
  <c r="AL81" i="5" s="1"/>
  <c r="AZ18" i="185"/>
  <c r="AZ26" i="185" s="1"/>
  <c r="BQ18" i="185"/>
  <c r="BQ26" i="185" s="1"/>
  <c r="AD35" i="215"/>
  <c r="AB31" i="215"/>
  <c r="AB37" i="215" s="1"/>
  <c r="AF24" i="215"/>
  <c r="W83" i="215"/>
  <c r="DG55" i="215"/>
  <c r="EA55" i="215"/>
  <c r="F53" i="188"/>
  <c r="AT123" i="5"/>
  <c r="N123" i="5" s="1"/>
  <c r="AU25" i="215"/>
  <c r="BQ31" i="215"/>
  <c r="BQ37" i="215" s="1"/>
  <c r="AR42" i="215"/>
  <c r="AA21" i="215"/>
  <c r="BP30" i="215"/>
  <c r="BP36" i="215" s="1"/>
  <c r="AD26" i="215"/>
  <c r="BU39" i="12"/>
  <c r="EJ39" i="5" s="1"/>
  <c r="AI31" i="215"/>
  <c r="AI37" i="215" s="1"/>
  <c r="AB21" i="215"/>
  <c r="AD25" i="215"/>
  <c r="AA30" i="215"/>
  <c r="AA36" i="215" s="1"/>
  <c r="BJ54" i="215"/>
  <c r="R35" i="188"/>
  <c r="BG31" i="215"/>
  <c r="BG37" i="215" s="1"/>
  <c r="AC21" i="215"/>
  <c r="DN55" i="215"/>
  <c r="EH55" i="215"/>
  <c r="CJ83" i="215"/>
  <c r="CJ88" i="215" s="1"/>
  <c r="CJ89" i="215" s="1"/>
  <c r="BM29" i="215"/>
  <c r="BM35" i="215" s="1"/>
  <c r="AD21" i="215"/>
  <c r="AT26" i="215"/>
  <c r="CU37" i="215"/>
  <c r="BK31" i="215"/>
  <c r="BK37" i="215" s="1"/>
  <c r="F55" i="215"/>
  <c r="F95" i="215" s="1"/>
  <c r="F106" i="215" s="1"/>
  <c r="F108" i="215" s="1"/>
  <c r="BQ29" i="215"/>
  <c r="BQ35" i="215" s="1"/>
  <c r="BK21" i="215"/>
  <c r="BL31" i="215"/>
  <c r="BL37" i="215" s="1"/>
  <c r="CX39" i="215"/>
  <c r="DS55" i="215"/>
  <c r="BL54" i="215"/>
  <c r="CO83" i="215"/>
  <c r="CO88" i="215" s="1"/>
  <c r="CO89" i="215" s="1"/>
  <c r="H101" i="215"/>
  <c r="BR29" i="215"/>
  <c r="BR35" i="215" s="1"/>
  <c r="BL21" i="215"/>
  <c r="BM31" i="215"/>
  <c r="BM37" i="215" s="1"/>
  <c r="CM55" i="215"/>
  <c r="CM63" i="215" s="1"/>
  <c r="AJ126" i="5"/>
  <c r="CN55" i="215"/>
  <c r="CN63" i="215" s="1"/>
  <c r="BY37" i="215"/>
  <c r="AG18" i="185"/>
  <c r="AG26" i="185" s="1"/>
  <c r="E18" i="185"/>
  <c r="AW18" i="185"/>
  <c r="AW26" i="185" s="1"/>
  <c r="Z18" i="185"/>
  <c r="Z26" i="185" s="1"/>
  <c r="AI18" i="185"/>
  <c r="AI26" i="185" s="1"/>
  <c r="BR18" i="185"/>
  <c r="BR26" i="185" s="1"/>
  <c r="G18" i="185"/>
  <c r="BA18" i="185"/>
  <c r="BA26" i="185" s="1"/>
  <c r="CE26" i="185"/>
  <c r="AI24" i="185"/>
  <c r="R18" i="185"/>
  <c r="R26" i="185" s="1"/>
  <c r="J18" i="185"/>
  <c r="AJ18" i="185"/>
  <c r="AJ26" i="185" s="1"/>
  <c r="H18" i="185"/>
  <c r="BB18" i="185"/>
  <c r="BB26" i="185" s="1"/>
  <c r="I18" i="185"/>
  <c r="BY26" i="185"/>
  <c r="AD23" i="185"/>
  <c r="AZ23" i="185"/>
  <c r="K18" i="185"/>
  <c r="Z24" i="185"/>
  <c r="BN26" i="185"/>
  <c r="L18" i="185"/>
  <c r="J25" i="185"/>
  <c r="BW33" i="185"/>
  <c r="CG26" i="185"/>
  <c r="CI26" i="185"/>
  <c r="CA26" i="185"/>
  <c r="P23" i="188"/>
  <c r="Q14" i="188"/>
  <c r="K12" i="188"/>
  <c r="K23" i="188" s="1"/>
  <c r="DI41" i="188"/>
  <c r="U35" i="188"/>
  <c r="AK33" i="188"/>
  <c r="AK39" i="188" s="1"/>
  <c r="DJ86" i="5"/>
  <c r="AJ86" i="5" s="1"/>
  <c r="AJ124" i="5"/>
  <c r="BQ8" i="12"/>
  <c r="CD47" i="25"/>
  <c r="CD48" i="25" s="1"/>
  <c r="S4" i="25"/>
  <c r="R5" i="25"/>
  <c r="R38" i="25" s="1"/>
  <c r="Q5" i="25"/>
  <c r="Q38" i="25" s="1"/>
  <c r="BK49" i="12"/>
  <c r="AY43" i="188"/>
  <c r="AY51" i="188" s="1"/>
  <c r="AY57" i="188" s="1"/>
  <c r="F11" i="188"/>
  <c r="F10" i="188"/>
  <c r="F9" i="188"/>
  <c r="BR34" i="188"/>
  <c r="BR40" i="188" s="1"/>
  <c r="L34" i="188"/>
  <c r="L40" i="188" s="1"/>
  <c r="Q50" i="188"/>
  <c r="R48" i="188"/>
  <c r="G48" i="188" s="1"/>
  <c r="F20" i="188"/>
  <c r="F28" i="188"/>
  <c r="Q27" i="188"/>
  <c r="AR43" i="188"/>
  <c r="AR51" i="188" s="1"/>
  <c r="AR57" i="188" s="1"/>
  <c r="N32" i="188"/>
  <c r="N38" i="188" s="1"/>
  <c r="P45" i="188"/>
  <c r="G45" i="188" s="1"/>
  <c r="AE76" i="5"/>
  <c r="J76" i="5" s="1"/>
  <c r="AP76" i="5"/>
  <c r="DS81" i="5"/>
  <c r="AM81" i="5" s="1"/>
  <c r="CQ81" i="5"/>
  <c r="CS107" i="5"/>
  <c r="I5" i="12"/>
  <c r="AS81" i="5"/>
  <c r="M81" i="5" s="1"/>
  <c r="CR59" i="5"/>
  <c r="AC13" i="12" s="1"/>
  <c r="BP34" i="188"/>
  <c r="F18" i="188"/>
  <c r="DU23" i="188"/>
  <c r="AX50" i="188"/>
  <c r="Q35" i="188"/>
  <c r="DX34" i="188"/>
  <c r="DX40" i="188" s="1"/>
  <c r="AU43" i="188"/>
  <c r="AU51" i="188" s="1"/>
  <c r="AU57" i="188" s="1"/>
  <c r="W50" i="188"/>
  <c r="H48" i="188"/>
  <c r="F7" i="188"/>
  <c r="BP33" i="188"/>
  <c r="DS23" i="188"/>
  <c r="DG41" i="188"/>
  <c r="M33" i="188"/>
  <c r="M39" i="188" s="1"/>
  <c r="AW50" i="188"/>
  <c r="EC23" i="188"/>
  <c r="AX35" i="188"/>
  <c r="P35" i="188" s="1"/>
  <c r="EL40" i="5"/>
  <c r="EL41" i="5"/>
  <c r="BW13" i="12"/>
  <c r="BD34" i="188"/>
  <c r="BD40" i="188" s="1"/>
  <c r="BT34" i="188"/>
  <c r="BT40" i="188" s="1"/>
  <c r="CY125" i="5"/>
  <c r="CY129" i="5" s="1"/>
  <c r="CU59" i="5"/>
  <c r="AF13" i="12" s="1"/>
  <c r="DG86" i="5"/>
  <c r="AI86" i="5" s="1"/>
  <c r="DH125" i="5"/>
  <c r="DH129" i="5" s="1"/>
  <c r="O36" i="12"/>
  <c r="O38" i="12" s="1"/>
  <c r="O39" i="12" s="1"/>
  <c r="CD39" i="5" s="1"/>
  <c r="CL59" i="5"/>
  <c r="W13" i="12" s="1"/>
  <c r="AZ32" i="188"/>
  <c r="AZ38" i="188" s="1"/>
  <c r="X56" i="188"/>
  <c r="W5" i="12"/>
  <c r="EI125" i="5"/>
  <c r="EI129" i="5" s="1"/>
  <c r="ED86" i="5"/>
  <c r="H110" i="5"/>
  <c r="AS123" i="5"/>
  <c r="R28" i="188"/>
  <c r="Q52" i="188"/>
  <c r="DO125" i="5"/>
  <c r="DO129" i="5" s="1"/>
  <c r="DO103" i="5" s="1"/>
  <c r="AF117" i="5"/>
  <c r="CG125" i="5"/>
  <c r="BV34" i="188"/>
  <c r="K8" i="25"/>
  <c r="K18" i="25" s="1"/>
  <c r="K24" i="25" s="1"/>
  <c r="Q8" i="25"/>
  <c r="Q18" i="25" s="1"/>
  <c r="Q24" i="25" s="1"/>
  <c r="BX127" i="5"/>
  <c r="U34" i="5"/>
  <c r="U40" i="5" s="1"/>
  <c r="AI47" i="5"/>
  <c r="AF123" i="5"/>
  <c r="Q26" i="188"/>
  <c r="H18" i="25"/>
  <c r="H24" i="25" s="1"/>
  <c r="AK25" i="5"/>
  <c r="V53" i="188"/>
  <c r="BR124" i="5"/>
  <c r="CP79" i="5"/>
  <c r="W36" i="12"/>
  <c r="W38" i="12" s="1"/>
  <c r="W39" i="12" s="1"/>
  <c r="CL39" i="5" s="1"/>
  <c r="R33" i="5"/>
  <c r="R38" i="5" s="1"/>
  <c r="CR79" i="5"/>
  <c r="CQ108" i="5"/>
  <c r="J108" i="5" s="1"/>
  <c r="AO81" i="5"/>
  <c r="DP86" i="5"/>
  <c r="AH127" i="5"/>
  <c r="V54" i="188"/>
  <c r="O8" i="25"/>
  <c r="O18" i="25" s="1"/>
  <c r="O24" i="25" s="1"/>
  <c r="AD33" i="5"/>
  <c r="AD38" i="5" s="1"/>
  <c r="AC67" i="5"/>
  <c r="CP86" i="5"/>
  <c r="BA34" i="188"/>
  <c r="BA40" i="188" s="1"/>
  <c r="R36" i="12"/>
  <c r="R38" i="12" s="1"/>
  <c r="R39" i="12" s="1"/>
  <c r="CG39" i="5" s="1"/>
  <c r="W35" i="5"/>
  <c r="W41" i="5" s="1"/>
  <c r="CG25" i="5"/>
  <c r="R8" i="12" s="1"/>
  <c r="CK59" i="5"/>
  <c r="V13" i="12" s="1"/>
  <c r="Z57" i="5"/>
  <c r="DW81" i="5"/>
  <c r="CR86" i="5"/>
  <c r="Y128" i="5"/>
  <c r="BQ38" i="12"/>
  <c r="BQ39" i="12" s="1"/>
  <c r="EF39" i="5" s="1"/>
  <c r="AF86" i="5"/>
  <c r="S8" i="188"/>
  <c r="AU25" i="5"/>
  <c r="Z56" i="5"/>
  <c r="I56" i="5" s="1"/>
  <c r="K57" i="5"/>
  <c r="CL81" i="5"/>
  <c r="AB81" i="5" s="1"/>
  <c r="DF81" i="5"/>
  <c r="X10" i="188"/>
  <c r="S18" i="188"/>
  <c r="S20" i="188"/>
  <c r="BU11" i="25"/>
  <c r="BU16" i="25" s="1"/>
  <c r="AQ34" i="5"/>
  <c r="AQ40" i="5" s="1"/>
  <c r="BS59" i="5"/>
  <c r="D13" i="12" s="1"/>
  <c r="EF81" i="5"/>
  <c r="DD125" i="5"/>
  <c r="DD129" i="5" s="1"/>
  <c r="DD103" i="5" s="1"/>
  <c r="ED125" i="5"/>
  <c r="AH123" i="5"/>
  <c r="BU34" i="188"/>
  <c r="BU40" i="188" s="1"/>
  <c r="U54" i="188"/>
  <c r="W54" i="188"/>
  <c r="V55" i="188"/>
  <c r="S56" i="188"/>
  <c r="R8" i="25"/>
  <c r="R18" i="25" s="1"/>
  <c r="R24" i="25" s="1"/>
  <c r="AD28" i="5"/>
  <c r="J28" i="5" s="1"/>
  <c r="DL44" i="5"/>
  <c r="DL62" i="5" s="1"/>
  <c r="AU34" i="5"/>
  <c r="AC57" i="5"/>
  <c r="CU81" i="5"/>
  <c r="AE81" i="5" s="1"/>
  <c r="J81" i="5" s="1"/>
  <c r="DO81" i="5"/>
  <c r="J111" i="5"/>
  <c r="H114" i="5"/>
  <c r="BA32" i="188"/>
  <c r="BA38" i="188" s="1"/>
  <c r="R7" i="188"/>
  <c r="BW32" i="188"/>
  <c r="DU42" i="5"/>
  <c r="AU59" i="5"/>
  <c r="DQ81" i="5"/>
  <c r="BS85" i="5"/>
  <c r="BT85" i="5" s="1"/>
  <c r="AQ123" i="5"/>
  <c r="R20" i="188"/>
  <c r="AU35" i="5"/>
  <c r="CP59" i="5"/>
  <c r="AA13" i="12" s="1"/>
  <c r="BV79" i="5"/>
  <c r="CY81" i="5"/>
  <c r="DQ86" i="5"/>
  <c r="CJ125" i="5"/>
  <c r="CO86" i="5"/>
  <c r="AR126" i="5"/>
  <c r="BC33" i="188"/>
  <c r="BC39" i="188" s="1"/>
  <c r="V53" i="5"/>
  <c r="H53" i="5" s="1"/>
  <c r="AO85" i="5"/>
  <c r="BZ13" i="12"/>
  <c r="AD29" i="5"/>
  <c r="CO44" i="5"/>
  <c r="Z10" i="12" s="1"/>
  <c r="AL33" i="5"/>
  <c r="AL38" i="5" s="1"/>
  <c r="CM124" i="5"/>
  <c r="CN86" i="5"/>
  <c r="DX125" i="5"/>
  <c r="DX129" i="5" s="1"/>
  <c r="DX103" i="5" s="1"/>
  <c r="DB86" i="5"/>
  <c r="AC95" i="5"/>
  <c r="I95" i="5" s="1"/>
  <c r="Y123" i="5"/>
  <c r="EL129" i="5"/>
  <c r="BR32" i="188"/>
  <c r="BR38" i="188" s="1"/>
  <c r="BQ23" i="188"/>
  <c r="S27" i="188"/>
  <c r="AD58" i="5"/>
  <c r="DI125" i="5"/>
  <c r="DI129" i="5" s="1"/>
  <c r="DI103" i="5" s="1"/>
  <c r="AO127" i="5"/>
  <c r="BT32" i="188"/>
  <c r="BT38" i="188" s="1"/>
  <c r="Q28" i="188"/>
  <c r="AE25" i="5"/>
  <c r="X28" i="5"/>
  <c r="X33" i="5" s="1"/>
  <c r="X38" i="5" s="1"/>
  <c r="AE35" i="5"/>
  <c r="AE41" i="5" s="1"/>
  <c r="AR35" i="5"/>
  <c r="AR41" i="5" s="1"/>
  <c r="AD54" i="5"/>
  <c r="Z67" i="5"/>
  <c r="G103" i="5"/>
  <c r="EB86" i="5"/>
  <c r="AP86" i="5" s="1"/>
  <c r="AD117" i="5"/>
  <c r="AJ127" i="5"/>
  <c r="AP127" i="5"/>
  <c r="BE32" i="188"/>
  <c r="BE38" i="188" s="1"/>
  <c r="BU32" i="188"/>
  <c r="BU38" i="188" s="1"/>
  <c r="BL33" i="188"/>
  <c r="BL39" i="188" s="1"/>
  <c r="AJ33" i="5"/>
  <c r="AJ38" i="5" s="1"/>
  <c r="DR44" i="5"/>
  <c r="BC10" i="12" s="1"/>
  <c r="BC14" i="12" s="1"/>
  <c r="AI58" i="5"/>
  <c r="K58" i="5" s="1"/>
  <c r="CQ124" i="5"/>
  <c r="CP81" i="5"/>
  <c r="DC81" i="5"/>
  <c r="DR81" i="5"/>
  <c r="CJ86" i="5"/>
  <c r="CE125" i="5"/>
  <c r="L87" i="5"/>
  <c r="H108" i="5"/>
  <c r="AS124" i="5"/>
  <c r="S19" i="188"/>
  <c r="L85" i="5"/>
  <c r="AG59" i="5"/>
  <c r="CG124" i="5"/>
  <c r="Y85" i="5"/>
  <c r="H85" i="5" s="1"/>
  <c r="BD32" i="188"/>
  <c r="BD38" i="188" s="1"/>
  <c r="R52" i="188"/>
  <c r="Y36" i="12"/>
  <c r="Y38" i="12" s="1"/>
  <c r="Y39" i="12" s="1"/>
  <c r="CN39" i="5" s="1"/>
  <c r="AQ8" i="5"/>
  <c r="M8" i="5" s="1"/>
  <c r="AI25" i="5"/>
  <c r="U35" i="5"/>
  <c r="U41" i="5" s="1"/>
  <c r="J14" i="5"/>
  <c r="G53" i="5"/>
  <c r="AN59" i="5"/>
  <c r="V54" i="5"/>
  <c r="H54" i="5" s="1"/>
  <c r="L55" i="5"/>
  <c r="L67" i="5"/>
  <c r="DD81" i="5"/>
  <c r="AH81" i="5" s="1"/>
  <c r="EL89" i="5"/>
  <c r="AG85" i="5"/>
  <c r="CY86" i="5"/>
  <c r="DO86" i="5"/>
  <c r="DW86" i="5"/>
  <c r="EE86" i="5"/>
  <c r="AQ86" i="5" s="1"/>
  <c r="X123" i="5"/>
  <c r="AP126" i="5"/>
  <c r="M5" i="12"/>
  <c r="S33" i="5"/>
  <c r="S38" i="5" s="1"/>
  <c r="G13" i="5"/>
  <c r="AD66" i="5"/>
  <c r="J66" i="5" s="1"/>
  <c r="AE67" i="5"/>
  <c r="CO107" i="5"/>
  <c r="BU79" i="5"/>
  <c r="CK124" i="5"/>
  <c r="ED79" i="5"/>
  <c r="CS81" i="5"/>
  <c r="DU81" i="5"/>
  <c r="EM81" i="5"/>
  <c r="EM89" i="5" s="1"/>
  <c r="CC95" i="5"/>
  <c r="K109" i="5"/>
  <c r="L111" i="5"/>
  <c r="AN126" i="5"/>
  <c r="AQ127" i="5"/>
  <c r="AT127" i="5"/>
  <c r="N127" i="5" s="1"/>
  <c r="AC128" i="5"/>
  <c r="J8" i="25"/>
  <c r="J18" i="25" s="1"/>
  <c r="J24" i="25" s="1"/>
  <c r="CQ86" i="5"/>
  <c r="AC7" i="5"/>
  <c r="AF25" i="5"/>
  <c r="S35" i="5"/>
  <c r="S41" i="5" s="1"/>
  <c r="BU33" i="5"/>
  <c r="BU44" i="5" s="1"/>
  <c r="F10" i="12" s="1"/>
  <c r="R34" i="5"/>
  <c r="G56" i="5"/>
  <c r="H66" i="5"/>
  <c r="G67" i="5"/>
  <c r="AG79" i="5"/>
  <c r="EE81" i="5"/>
  <c r="AQ81" i="5" s="1"/>
  <c r="CH86" i="5"/>
  <c r="AB117" i="5"/>
  <c r="AB123" i="5"/>
  <c r="CR124" i="5"/>
  <c r="AK124" i="5"/>
  <c r="DQ125" i="5"/>
  <c r="DQ129" i="5" s="1"/>
  <c r="DQ103" i="5" s="1"/>
  <c r="V10" i="188"/>
  <c r="W13" i="188"/>
  <c r="R15" i="188"/>
  <c r="BE34" i="188"/>
  <c r="BE40" i="188" s="1"/>
  <c r="AH13" i="5"/>
  <c r="K13" i="5" s="1"/>
  <c r="W34" i="5"/>
  <c r="W40" i="5" s="1"/>
  <c r="K30" i="5"/>
  <c r="DL38" i="5"/>
  <c r="S59" i="5"/>
  <c r="AN47" i="5"/>
  <c r="G55" i="5"/>
  <c r="H57" i="5"/>
  <c r="L58" i="5"/>
  <c r="DC59" i="5"/>
  <c r="AN13" i="12" s="1"/>
  <c r="H64" i="5"/>
  <c r="CC79" i="5"/>
  <c r="DZ79" i="5"/>
  <c r="DH86" i="5"/>
  <c r="Y93" i="5"/>
  <c r="H93" i="5" s="1"/>
  <c r="DO107" i="5"/>
  <c r="W126" i="5"/>
  <c r="AM126" i="5"/>
  <c r="AR127" i="5"/>
  <c r="BJ32" i="188"/>
  <c r="BJ38" i="188" s="1"/>
  <c r="X53" i="188"/>
  <c r="R55" i="188"/>
  <c r="AJ25" i="5"/>
  <c r="V25" i="5"/>
  <c r="AH29" i="5"/>
  <c r="K29" i="5" s="1"/>
  <c r="G30" i="5"/>
  <c r="DW42" i="5"/>
  <c r="AR34" i="5"/>
  <c r="AR40" i="5" s="1"/>
  <c r="AG35" i="5"/>
  <c r="AG41" i="5" s="1"/>
  <c r="CO40" i="5"/>
  <c r="EG41" i="5"/>
  <c r="V46" i="5"/>
  <c r="CO59" i="5"/>
  <c r="Z13" i="12" s="1"/>
  <c r="AE58" i="5"/>
  <c r="X58" i="5"/>
  <c r="L64" i="5"/>
  <c r="CF79" i="5"/>
  <c r="CT81" i="5"/>
  <c r="CI125" i="5"/>
  <c r="CK86" i="5"/>
  <c r="CV109" i="5"/>
  <c r="J109" i="5" s="1"/>
  <c r="CS91" i="5"/>
  <c r="CT91" i="5" s="1"/>
  <c r="CU91" i="5" s="1"/>
  <c r="AE91" i="5" s="1"/>
  <c r="I109" i="5"/>
  <c r="H111" i="5"/>
  <c r="EM129" i="5"/>
  <c r="EM103" i="5" s="1"/>
  <c r="BV33" i="188"/>
  <c r="X54" i="188"/>
  <c r="P8" i="25"/>
  <c r="P18" i="25" s="1"/>
  <c r="P24" i="25" s="1"/>
  <c r="T25" i="5"/>
  <c r="Y28" i="5"/>
  <c r="CN33" i="5"/>
  <c r="CN38" i="5" s="1"/>
  <c r="AG29" i="5"/>
  <c r="BZ33" i="5"/>
  <c r="BZ44" i="5" s="1"/>
  <c r="K10" i="12" s="1"/>
  <c r="K14" i="12" s="1"/>
  <c r="DH44" i="5"/>
  <c r="AS10" i="12" s="1"/>
  <c r="AS14" i="12" s="1"/>
  <c r="EF42" i="5"/>
  <c r="EN42" i="5"/>
  <c r="EF44" i="5"/>
  <c r="EF62" i="5" s="1"/>
  <c r="EF101" i="5" s="1"/>
  <c r="L52" i="5"/>
  <c r="K64" i="5"/>
  <c r="I64" i="5"/>
  <c r="EB124" i="5"/>
  <c r="BX124" i="5"/>
  <c r="CG79" i="5"/>
  <c r="K81" i="5"/>
  <c r="DV81" i="5"/>
  <c r="AN81" i="5" s="1"/>
  <c r="AH83" i="5"/>
  <c r="DC125" i="5"/>
  <c r="CD125" i="5"/>
  <c r="AQ85" i="5"/>
  <c r="DN86" i="5"/>
  <c r="L105" i="5"/>
  <c r="AO124" i="5"/>
  <c r="AD127" i="5"/>
  <c r="AM127" i="5"/>
  <c r="W128" i="5"/>
  <c r="R8" i="188"/>
  <c r="BM33" i="188"/>
  <c r="BU33" i="188"/>
  <c r="BU39" i="188" s="1"/>
  <c r="BW33" i="188"/>
  <c r="E18" i="25"/>
  <c r="E24" i="25" s="1"/>
  <c r="CB25" i="5"/>
  <c r="M8" i="12" s="1"/>
  <c r="EO42" i="5"/>
  <c r="EF38" i="5"/>
  <c r="DP47" i="5"/>
  <c r="AL47" i="5" s="1"/>
  <c r="CD59" i="5"/>
  <c r="O13" i="12" s="1"/>
  <c r="CK81" i="5"/>
  <c r="R89" i="5"/>
  <c r="AK127" i="5"/>
  <c r="Z128" i="5"/>
  <c r="BB34" i="188"/>
  <c r="BB40" i="188" s="1"/>
  <c r="DI86" i="5"/>
  <c r="AR33" i="5"/>
  <c r="AR38" i="5" s="1"/>
  <c r="J55" i="5"/>
  <c r="BX59" i="5"/>
  <c r="I13" i="12" s="1"/>
  <c r="H67" i="5"/>
  <c r="BZ124" i="5"/>
  <c r="BR79" i="5"/>
  <c r="CK79" i="5"/>
  <c r="EE125" i="5"/>
  <c r="EE129" i="5" s="1"/>
  <c r="EE103" i="5" s="1"/>
  <c r="DC86" i="5"/>
  <c r="S89" i="5"/>
  <c r="N107" i="5"/>
  <c r="H109" i="5"/>
  <c r="I111" i="5"/>
  <c r="AD123" i="5"/>
  <c r="CF124" i="5"/>
  <c r="Q6" i="188"/>
  <c r="BG32" i="188"/>
  <c r="BG38" i="188" s="1"/>
  <c r="BK34" i="188"/>
  <c r="BK40" i="188" s="1"/>
  <c r="BS34" i="188"/>
  <c r="R56" i="188"/>
  <c r="AO8" i="25"/>
  <c r="BP38" i="12"/>
  <c r="BP39" i="12" s="1"/>
  <c r="EE39" i="5" s="1"/>
  <c r="AB7" i="5"/>
  <c r="AB25" i="5" s="1"/>
  <c r="H13" i="5"/>
  <c r="AN25" i="5"/>
  <c r="CD25" i="5"/>
  <c r="S47" i="25" s="1"/>
  <c r="CL25" i="5"/>
  <c r="W8" i="12" s="1"/>
  <c r="G28" i="5"/>
  <c r="X30" i="5"/>
  <c r="H30" i="5" s="1"/>
  <c r="CU33" i="5"/>
  <c r="AE33" i="5" s="1"/>
  <c r="AE38" i="5" s="1"/>
  <c r="DS42" i="5"/>
  <c r="Z35" i="5"/>
  <c r="Z41" i="5" s="1"/>
  <c r="AP35" i="5"/>
  <c r="AP41" i="5" s="1"/>
  <c r="AJ54" i="5"/>
  <c r="K54" i="5" s="1"/>
  <c r="V58" i="5"/>
  <c r="AB58" i="5"/>
  <c r="BS79" i="5"/>
  <c r="CA79" i="5"/>
  <c r="EO86" i="5"/>
  <c r="EO89" i="5" s="1"/>
  <c r="EP125" i="5"/>
  <c r="EP129" i="5" s="1"/>
  <c r="EP103" i="5" s="1"/>
  <c r="DD86" i="5"/>
  <c r="AH86" i="5" s="1"/>
  <c r="K108" i="5"/>
  <c r="K111" i="5"/>
  <c r="AI123" i="5"/>
  <c r="Y126" i="5"/>
  <c r="AI127" i="5"/>
  <c r="W53" i="188"/>
  <c r="W55" i="188"/>
  <c r="I8" i="25"/>
  <c r="I18" i="25" s="1"/>
  <c r="I24" i="25" s="1"/>
  <c r="AJ47" i="5"/>
  <c r="L50" i="5"/>
  <c r="AM47" i="5"/>
  <c r="AP47" i="5"/>
  <c r="L10" i="5"/>
  <c r="V9" i="188"/>
  <c r="L9" i="5"/>
  <c r="X7" i="188"/>
  <c r="Q10" i="188"/>
  <c r="U9" i="188"/>
  <c r="X9" i="188"/>
  <c r="Q8" i="188"/>
  <c r="AW35" i="215"/>
  <c r="AR36" i="215"/>
  <c r="BP44" i="215"/>
  <c r="AS37" i="215"/>
  <c r="M49" i="5"/>
  <c r="AR35" i="215"/>
  <c r="AM35" i="215"/>
  <c r="AN36" i="215"/>
  <c r="M63" i="5"/>
  <c r="M24" i="215"/>
  <c r="M52" i="5"/>
  <c r="AX46" i="12"/>
  <c r="AX47" i="12" s="1"/>
  <c r="BK39" i="12"/>
  <c r="DZ39" i="5" s="1"/>
  <c r="AP39" i="5"/>
  <c r="CX44" i="5"/>
  <c r="AI10" i="12" s="1"/>
  <c r="AI14" i="12" s="1"/>
  <c r="CX42" i="5"/>
  <c r="EL38" i="5"/>
  <c r="AT33" i="5"/>
  <c r="AT38" i="5" s="1"/>
  <c r="L109" i="5"/>
  <c r="DB39" i="215"/>
  <c r="L56" i="5"/>
  <c r="J105" i="5"/>
  <c r="V114" i="5"/>
  <c r="CT39" i="215"/>
  <c r="CT36" i="215"/>
  <c r="AG37" i="215"/>
  <c r="W12" i="188"/>
  <c r="BR23" i="188"/>
  <c r="BR33" i="188"/>
  <c r="BR39" i="188" s="1"/>
  <c r="S28" i="188"/>
  <c r="L35" i="188"/>
  <c r="S52" i="188"/>
  <c r="AG33" i="5"/>
  <c r="AG38" i="5" s="1"/>
  <c r="DT42" i="5"/>
  <c r="EG40" i="5"/>
  <c r="BS33" i="188"/>
  <c r="BS23" i="188"/>
  <c r="L11" i="5"/>
  <c r="G29" i="5"/>
  <c r="AO33" i="5"/>
  <c r="AO38" i="5" s="1"/>
  <c r="DA42" i="5"/>
  <c r="DR38" i="5"/>
  <c r="K48" i="5"/>
  <c r="K55" i="5"/>
  <c r="AG124" i="5"/>
  <c r="J18" i="215"/>
  <c r="BY35" i="215"/>
  <c r="AB29" i="215"/>
  <c r="AB35" i="215" s="1"/>
  <c r="AA32" i="215"/>
  <c r="Y36" i="215"/>
  <c r="BH54" i="215"/>
  <c r="G29" i="188"/>
  <c r="DG38" i="188"/>
  <c r="H46" i="188"/>
  <c r="F48" i="188"/>
  <c r="AE37" i="215"/>
  <c r="J31" i="215"/>
  <c r="L13" i="5"/>
  <c r="T34" i="5"/>
  <c r="T40" i="5" s="1"/>
  <c r="DS38" i="5"/>
  <c r="G58" i="5"/>
  <c r="K66" i="5"/>
  <c r="J110" i="5"/>
  <c r="AO126" i="5"/>
  <c r="BT36" i="215"/>
  <c r="AF54" i="215"/>
  <c r="V26" i="188"/>
  <c r="AW43" i="188"/>
  <c r="R25" i="5"/>
  <c r="AH35" i="5"/>
  <c r="AH41" i="5" s="1"/>
  <c r="AV25" i="215"/>
  <c r="DM55" i="215"/>
  <c r="EG55" i="215"/>
  <c r="DX38" i="5"/>
  <c r="DX44" i="5"/>
  <c r="BI10" i="12" s="1"/>
  <c r="BI14" i="12" s="1"/>
  <c r="BW23" i="188"/>
  <c r="K7" i="5"/>
  <c r="K28" i="5"/>
  <c r="BF44" i="5"/>
  <c r="BF62" i="5" s="1"/>
  <c r="BF68" i="5" s="1"/>
  <c r="BF70" i="5" s="1"/>
  <c r="DY42" i="5"/>
  <c r="DY38" i="5"/>
  <c r="DM44" i="5"/>
  <c r="AX10" i="12" s="1"/>
  <c r="AX14" i="12" s="1"/>
  <c r="CC35" i="215"/>
  <c r="AC29" i="215"/>
  <c r="AC35" i="215" s="1"/>
  <c r="CC39" i="215"/>
  <c r="CC55" i="215" s="1"/>
  <c r="CC63" i="215" s="1"/>
  <c r="BD33" i="188"/>
  <c r="BD39" i="188" s="1"/>
  <c r="M11" i="5"/>
  <c r="BR47" i="25"/>
  <c r="BR48" i="25" s="1"/>
  <c r="DT44" i="5"/>
  <c r="DT62" i="5" s="1"/>
  <c r="DT68" i="5" s="1"/>
  <c r="DT70" i="5" s="1"/>
  <c r="H83" i="5"/>
  <c r="AT42" i="215"/>
  <c r="DS33" i="188"/>
  <c r="DS39" i="188" s="1"/>
  <c r="V34" i="5"/>
  <c r="V40" i="5" s="1"/>
  <c r="Y35" i="5"/>
  <c r="Y41" i="5" s="1"/>
  <c r="BH44" i="5"/>
  <c r="BH62" i="5" s="1"/>
  <c r="BH68" i="5" s="1"/>
  <c r="BH70" i="5" s="1"/>
  <c r="AI34" i="5"/>
  <c r="AI40" i="5" s="1"/>
  <c r="AB35" i="5"/>
  <c r="AB41" i="5" s="1"/>
  <c r="BF38" i="5"/>
  <c r="DB41" i="5"/>
  <c r="DY44" i="5"/>
  <c r="DY62" i="5" s="1"/>
  <c r="DY101" i="5" s="1"/>
  <c r="AO47" i="5"/>
  <c r="Y59" i="5"/>
  <c r="J63" i="5"/>
  <c r="T89" i="5"/>
  <c r="I92" i="5"/>
  <c r="AI124" i="5"/>
  <c r="CR37" i="215"/>
  <c r="CR39" i="215"/>
  <c r="CD39" i="215"/>
  <c r="CD55" i="215" s="1"/>
  <c r="CD63" i="215" s="1"/>
  <c r="DQ55" i="215"/>
  <c r="F26" i="188"/>
  <c r="L33" i="188"/>
  <c r="L39" i="188" s="1"/>
  <c r="AM39" i="188"/>
  <c r="F47" i="188"/>
  <c r="BJ46" i="12"/>
  <c r="BJ47" i="12" s="1"/>
  <c r="AK34" i="5"/>
  <c r="AK40" i="5" s="1"/>
  <c r="DO42" i="5"/>
  <c r="L48" i="5"/>
  <c r="H55" i="5"/>
  <c r="K79" i="5"/>
  <c r="AK79" i="5"/>
  <c r="CC37" i="215"/>
  <c r="H80" i="215"/>
  <c r="Y83" i="215"/>
  <c r="H83" i="215" s="1"/>
  <c r="DV33" i="188"/>
  <c r="DV39" i="188" s="1"/>
  <c r="DV23" i="188"/>
  <c r="F19" i="188"/>
  <c r="L7" i="5"/>
  <c r="AS25" i="5"/>
  <c r="L28" i="5"/>
  <c r="BJ44" i="5"/>
  <c r="BJ62" i="5" s="1"/>
  <c r="BJ68" i="5" s="1"/>
  <c r="BJ70" i="5" s="1"/>
  <c r="AO34" i="5"/>
  <c r="AO40" i="5" s="1"/>
  <c r="AA35" i="5"/>
  <c r="AA41" i="5" s="1"/>
  <c r="AC35" i="5"/>
  <c r="BJ38" i="5"/>
  <c r="EJ44" i="5"/>
  <c r="BU10" i="12" s="1"/>
  <c r="L49" i="5"/>
  <c r="AC86" i="5"/>
  <c r="I86" i="5" s="1"/>
  <c r="AE127" i="5"/>
  <c r="CE83" i="215"/>
  <c r="CE88" i="215" s="1"/>
  <c r="CE89" i="215" s="1"/>
  <c r="BH33" i="188"/>
  <c r="BH39" i="188" s="1"/>
  <c r="U27" i="188"/>
  <c r="EC33" i="188"/>
  <c r="EC39" i="188" s="1"/>
  <c r="X50" i="188"/>
  <c r="W52" i="188"/>
  <c r="CP42" i="5"/>
  <c r="ED42" i="5"/>
  <c r="AP34" i="5"/>
  <c r="AP40" i="5" s="1"/>
  <c r="AD35" i="5"/>
  <c r="AD41" i="5" s="1"/>
  <c r="AL59" i="5"/>
  <c r="AF79" i="5"/>
  <c r="L110" i="5"/>
  <c r="AU26" i="215"/>
  <c r="AF26" i="215"/>
  <c r="CG55" i="215"/>
  <c r="CG63" i="215" s="1"/>
  <c r="Q9" i="188"/>
  <c r="S26" i="188"/>
  <c r="DK42" i="5"/>
  <c r="DK38" i="5"/>
  <c r="EE42" i="5"/>
  <c r="AM59" i="5"/>
  <c r="AV26" i="215"/>
  <c r="U39" i="215"/>
  <c r="U55" i="215" s="1"/>
  <c r="L29" i="5"/>
  <c r="CR44" i="5"/>
  <c r="BW44" i="5"/>
  <c r="BW62" i="5" s="1"/>
  <c r="BW68" i="5" s="1"/>
  <c r="BW70" i="5" s="1"/>
  <c r="AL35" i="5"/>
  <c r="AL41" i="5" s="1"/>
  <c r="AK35" i="5"/>
  <c r="AK41" i="5" s="1"/>
  <c r="AQ47" i="5"/>
  <c r="J53" i="5"/>
  <c r="L63" i="5"/>
  <c r="BR31" i="215"/>
  <c r="BR37" i="215" s="1"/>
  <c r="AV42" i="215"/>
  <c r="K52" i="215"/>
  <c r="V6" i="188"/>
  <c r="BK32" i="188"/>
  <c r="BK38" i="188" s="1"/>
  <c r="R11" i="188"/>
  <c r="BN44" i="5"/>
  <c r="BN62" i="5" s="1"/>
  <c r="BN68" i="5" s="1"/>
  <c r="BN70" i="5" s="1"/>
  <c r="AK33" i="5"/>
  <c r="AK38" i="5" s="1"/>
  <c r="EG42" i="5"/>
  <c r="AO35" i="5"/>
  <c r="AO41" i="5" s="1"/>
  <c r="DL42" i="5"/>
  <c r="K46" i="5"/>
  <c r="G63" i="5"/>
  <c r="AS126" i="5"/>
  <c r="AA128" i="5"/>
  <c r="AF25" i="215"/>
  <c r="AG26" i="215"/>
  <c r="CH39" i="215"/>
  <c r="CH55" i="215" s="1"/>
  <c r="AE32" i="215"/>
  <c r="BJ34" i="188"/>
  <c r="BJ40" i="188" s="1"/>
  <c r="DY34" i="188"/>
  <c r="DY40" i="188" s="1"/>
  <c r="S14" i="188"/>
  <c r="AN38" i="188"/>
  <c r="AN41" i="188"/>
  <c r="AR38" i="188"/>
  <c r="AN43" i="188"/>
  <c r="AN51" i="188" s="1"/>
  <c r="AN57" i="188" s="1"/>
  <c r="V50" i="188"/>
  <c r="DN44" i="5"/>
  <c r="AY10" i="12" s="1"/>
  <c r="AY14" i="12" s="1"/>
  <c r="EH42" i="5"/>
  <c r="AQ35" i="5"/>
  <c r="AQ41" i="5" s="1"/>
  <c r="L46" i="5"/>
  <c r="AP59" i="5"/>
  <c r="CI55" i="215"/>
  <c r="CI63" i="215" s="1"/>
  <c r="AU38" i="188"/>
  <c r="W33" i="5"/>
  <c r="W38" i="5" s="1"/>
  <c r="R35" i="5"/>
  <c r="R41" i="5" s="1"/>
  <c r="L30" i="5"/>
  <c r="DO44" i="5"/>
  <c r="DO62" i="5" s="1"/>
  <c r="DO101" i="5" s="1"/>
  <c r="EI44" i="5"/>
  <c r="BT10" i="12" s="1"/>
  <c r="DK44" i="5"/>
  <c r="AV10" i="12" s="1"/>
  <c r="AV14" i="12" s="1"/>
  <c r="EE44" i="5"/>
  <c r="BP10" i="12" s="1"/>
  <c r="M46" i="5"/>
  <c r="K56" i="5"/>
  <c r="AD79" i="5"/>
  <c r="Z21" i="215"/>
  <c r="Z29" i="215"/>
  <c r="Z35" i="215" s="1"/>
  <c r="BS35" i="215"/>
  <c r="AK31" i="215"/>
  <c r="AK37" i="215" s="1"/>
  <c r="F8" i="188"/>
  <c r="S9" i="188"/>
  <c r="BL34" i="188"/>
  <c r="BL40" i="188" s="1"/>
  <c r="AW38" i="188"/>
  <c r="AT43" i="188"/>
  <c r="AT51" i="188" s="1"/>
  <c r="AT57" i="188" s="1"/>
  <c r="L8" i="5"/>
  <c r="K14" i="5"/>
  <c r="U33" i="5"/>
  <c r="U38" i="5" s="1"/>
  <c r="BQ44" i="5"/>
  <c r="BQ62" i="5" s="1"/>
  <c r="BQ68" i="5" s="1"/>
  <c r="BQ70" i="5" s="1"/>
  <c r="AF33" i="5"/>
  <c r="AF38" i="5" s="1"/>
  <c r="EJ42" i="5"/>
  <c r="CR38" i="5"/>
  <c r="L65" i="5"/>
  <c r="I110" i="5"/>
  <c r="BH29" i="215"/>
  <c r="BH35" i="215" s="1"/>
  <c r="J19" i="215"/>
  <c r="CK39" i="215"/>
  <c r="CK55" i="215" s="1"/>
  <c r="AF32" i="215"/>
  <c r="DZ55" i="215"/>
  <c r="AW42" i="215"/>
  <c r="AD54" i="215"/>
  <c r="S11" i="188"/>
  <c r="BO33" i="188"/>
  <c r="BO39" i="188" s="1"/>
  <c r="BO23" i="188"/>
  <c r="ED23" i="188"/>
  <c r="ED33" i="188"/>
  <c r="ED39" i="188" s="1"/>
  <c r="V13" i="188"/>
  <c r="F15" i="188"/>
  <c r="AV39" i="188"/>
  <c r="P33" i="188"/>
  <c r="P39" i="188" s="1"/>
  <c r="K35" i="188"/>
  <c r="X27" i="188"/>
  <c r="S35" i="188"/>
  <c r="S5" i="25"/>
  <c r="S38" i="25" s="1"/>
  <c r="T4" i="25"/>
  <c r="U4" i="25" s="1"/>
  <c r="U5" i="25" s="1"/>
  <c r="U38" i="25" s="1"/>
  <c r="BN54" i="215"/>
  <c r="EC55" i="215"/>
  <c r="CG83" i="215"/>
  <c r="CG88" i="215" s="1"/>
  <c r="CG89" i="215" s="1"/>
  <c r="M23" i="188"/>
  <c r="R9" i="188"/>
  <c r="DV34" i="188"/>
  <c r="DV40" i="188" s="1"/>
  <c r="S15" i="188"/>
  <c r="BF34" i="188"/>
  <c r="BF40" i="188" s="1"/>
  <c r="DR41" i="188"/>
  <c r="S50" i="188"/>
  <c r="AT126" i="5"/>
  <c r="N126" i="5" s="1"/>
  <c r="H29" i="215"/>
  <c r="H35" i="215" s="1"/>
  <c r="AE26" i="215"/>
  <c r="ED34" i="188"/>
  <c r="ED40" i="188" s="1"/>
  <c r="BS32" i="188"/>
  <c r="U7" i="188"/>
  <c r="X8" i="188"/>
  <c r="BI34" i="188"/>
  <c r="BI40" i="188" s="1"/>
  <c r="BA33" i="188"/>
  <c r="BA39" i="188" s="1"/>
  <c r="U28" i="188"/>
  <c r="Q56" i="188"/>
  <c r="N105" i="5"/>
  <c r="AB126" i="5"/>
  <c r="AF21" i="215"/>
  <c r="J30" i="215"/>
  <c r="DL55" i="215"/>
  <c r="EF55" i="215"/>
  <c r="BI54" i="215"/>
  <c r="DP55" i="215"/>
  <c r="EJ55" i="215"/>
  <c r="W7" i="188"/>
  <c r="U11" i="188"/>
  <c r="X26" i="188"/>
  <c r="V28" i="188"/>
  <c r="F55" i="188"/>
  <c r="V126" i="5"/>
  <c r="J8" i="215"/>
  <c r="AG25" i="215"/>
  <c r="CF55" i="215"/>
  <c r="CF63" i="215" s="1"/>
  <c r="DO55" i="215"/>
  <c r="EI55" i="215"/>
  <c r="CK83" i="215"/>
  <c r="CK88" i="215" s="1"/>
  <c r="CK89" i="215" s="1"/>
  <c r="V11" i="188"/>
  <c r="Q12" i="188"/>
  <c r="AZ33" i="188"/>
  <c r="AZ39" i="188" s="1"/>
  <c r="BT33" i="188"/>
  <c r="BT39" i="188" s="1"/>
  <c r="X13" i="188"/>
  <c r="DH41" i="188"/>
  <c r="H47" i="188"/>
  <c r="U53" i="188"/>
  <c r="BH32" i="188"/>
  <c r="BH38" i="188" s="1"/>
  <c r="I30" i="5"/>
  <c r="DV44" i="5"/>
  <c r="BG10" i="12" s="1"/>
  <c r="BG14" i="12" s="1"/>
  <c r="CQ44" i="5"/>
  <c r="CQ62" i="5" s="1"/>
  <c r="BY127" i="5"/>
  <c r="AV37" i="215"/>
  <c r="BK30" i="215"/>
  <c r="BK36" i="215" s="1"/>
  <c r="AT25" i="215"/>
  <c r="DT34" i="188"/>
  <c r="DT40" i="188" s="1"/>
  <c r="EK55" i="215"/>
  <c r="J41" i="215"/>
  <c r="CM83" i="215"/>
  <c r="CM88" i="215" s="1"/>
  <c r="CM89" i="215" s="1"/>
  <c r="R10" i="188"/>
  <c r="BB33" i="188"/>
  <c r="BB39" i="188" s="1"/>
  <c r="AY23" i="188"/>
  <c r="AY41" i="188" s="1"/>
  <c r="DJ41" i="188"/>
  <c r="R26" i="188"/>
  <c r="DR43" i="188"/>
  <c r="DR51" i="188" s="1"/>
  <c r="I69" i="5"/>
  <c r="AM123" i="5"/>
  <c r="AG126" i="5"/>
  <c r="AG24" i="215"/>
  <c r="BL30" i="215"/>
  <c r="BL36" i="215" s="1"/>
  <c r="DU34" i="188"/>
  <c r="DU40" i="188" s="1"/>
  <c r="EL55" i="215"/>
  <c r="W9" i="188"/>
  <c r="S10" i="188"/>
  <c r="Q18" i="188"/>
  <c r="DK41" i="188"/>
  <c r="BC32" i="188"/>
  <c r="BC38" i="188" s="1"/>
  <c r="CB127" i="5"/>
  <c r="H105" i="5"/>
  <c r="AR124" i="5"/>
  <c r="X128" i="5"/>
  <c r="BN29" i="215"/>
  <c r="BN35" i="215" s="1"/>
  <c r="AE36" i="215"/>
  <c r="BL29" i="215"/>
  <c r="BL35" i="215" s="1"/>
  <c r="AT24" i="215"/>
  <c r="BN30" i="215"/>
  <c r="BN36" i="215" s="1"/>
  <c r="DT55" i="215"/>
  <c r="J50" i="215"/>
  <c r="BL32" i="188"/>
  <c r="BL38" i="188" s="1"/>
  <c r="Q7" i="188"/>
  <c r="W27" i="188"/>
  <c r="DK43" i="188"/>
  <c r="DK51" i="188" s="1"/>
  <c r="J30" i="5"/>
  <c r="AH59" i="5"/>
  <c r="BO29" i="215"/>
  <c r="BO35" i="215" s="1"/>
  <c r="BI31" i="215"/>
  <c r="BI37" i="215" s="1"/>
  <c r="BO30" i="215"/>
  <c r="BO36" i="215" s="1"/>
  <c r="BU39" i="215"/>
  <c r="BU55" i="215" s="1"/>
  <c r="BU63" i="215" s="1"/>
  <c r="AJ31" i="215"/>
  <c r="AJ37" i="215" s="1"/>
  <c r="DU55" i="215"/>
  <c r="U10" i="188"/>
  <c r="X11" i="188"/>
  <c r="BW34" i="188"/>
  <c r="AJ39" i="188"/>
  <c r="N50" i="188"/>
  <c r="W56" i="188"/>
  <c r="G11" i="25"/>
  <c r="G16" i="25" s="1"/>
  <c r="L11" i="25"/>
  <c r="L16" i="25" s="1"/>
  <c r="BZ26" i="185"/>
  <c r="CB26" i="185"/>
  <c r="AI11" i="25"/>
  <c r="AB46" i="25"/>
  <c r="F8" i="25"/>
  <c r="F18" i="25" s="1"/>
  <c r="F24" i="25" s="1"/>
  <c r="AZ11" i="25"/>
  <c r="BL11" i="25"/>
  <c r="BL16" i="25" s="1"/>
  <c r="H69" i="5"/>
  <c r="AD86" i="5"/>
  <c r="BS127" i="5"/>
  <c r="I108" i="5"/>
  <c r="AE25" i="215"/>
  <c r="AA31" i="215"/>
  <c r="AA37" i="215" s="1"/>
  <c r="CL55" i="215"/>
  <c r="CL63" i="215" s="1"/>
  <c r="DE55" i="215"/>
  <c r="DY55" i="215"/>
  <c r="BM32" i="188"/>
  <c r="V8" i="188"/>
  <c r="BE23" i="188"/>
  <c r="Q15" i="188"/>
  <c r="R18" i="188"/>
  <c r="CH26" i="185"/>
  <c r="CJ26" i="185"/>
  <c r="S8" i="25"/>
  <c r="N4" i="25"/>
  <c r="M4" i="25" s="1"/>
  <c r="L4" i="25" s="1"/>
  <c r="M48" i="5"/>
  <c r="AP36" i="215"/>
  <c r="AV41" i="5"/>
  <c r="K24" i="215"/>
  <c r="L26" i="215"/>
  <c r="N51" i="215"/>
  <c r="L29" i="215"/>
  <c r="AK21" i="215"/>
  <c r="AL37" i="215"/>
  <c r="BQ44" i="215"/>
  <c r="AW37" i="215"/>
  <c r="AO36" i="215"/>
  <c r="AU54" i="215"/>
  <c r="AV38" i="5"/>
  <c r="BH43" i="215"/>
  <c r="M50" i="215"/>
  <c r="AS35" i="215"/>
  <c r="AW41" i="5"/>
  <c r="N18" i="215"/>
  <c r="BG42" i="215"/>
  <c r="AU35" i="215"/>
  <c r="BI42" i="215"/>
  <c r="AI21" i="215"/>
  <c r="BR42" i="215"/>
  <c r="AL39" i="215"/>
  <c r="AM36" i="215"/>
  <c r="AM21" i="215"/>
  <c r="K19" i="215"/>
  <c r="M8" i="215"/>
  <c r="AQ36" i="215"/>
  <c r="M111" i="5"/>
  <c r="M48" i="215"/>
  <c r="N49" i="215"/>
  <c r="L50" i="215"/>
  <c r="N8" i="215"/>
  <c r="M26" i="215"/>
  <c r="M9" i="5"/>
  <c r="M58" i="5"/>
  <c r="AW36" i="215"/>
  <c r="AN37" i="215"/>
  <c r="L53" i="215"/>
  <c r="M29" i="5"/>
  <c r="M56" i="5"/>
  <c r="K26" i="215"/>
  <c r="BG43" i="215"/>
  <c r="L52" i="215"/>
  <c r="M13" i="5"/>
  <c r="AS59" i="5"/>
  <c r="L19" i="215"/>
  <c r="AW38" i="5"/>
  <c r="N43" i="5" s="1"/>
  <c r="M19" i="215"/>
  <c r="AS39" i="215"/>
  <c r="BP42" i="215"/>
  <c r="AV54" i="215"/>
  <c r="M52" i="215"/>
  <c r="N53" i="215"/>
  <c r="AM54" i="215"/>
  <c r="AQ37" i="215"/>
  <c r="M44" i="215"/>
  <c r="M7" i="5"/>
  <c r="M65" i="5"/>
  <c r="M55" i="5"/>
  <c r="L31" i="215"/>
  <c r="L43" i="215"/>
  <c r="AV40" i="5"/>
  <c r="AU37" i="215"/>
  <c r="M25" i="215"/>
  <c r="AP39" i="215"/>
  <c r="N50" i="215"/>
  <c r="AW40" i="5"/>
  <c r="M110" i="5"/>
  <c r="M29" i="215"/>
  <c r="L49" i="215"/>
  <c r="N51" i="5"/>
  <c r="AR37" i="215"/>
  <c r="M28" i="5"/>
  <c r="N50" i="5"/>
  <c r="M67" i="5"/>
  <c r="M66" i="5"/>
  <c r="AU39" i="215"/>
  <c r="M53" i="5"/>
  <c r="M69" i="5"/>
  <c r="M41" i="215"/>
  <c r="N43" i="215"/>
  <c r="K50" i="215"/>
  <c r="CC38" i="5"/>
  <c r="CC44" i="5"/>
  <c r="CC42" i="5"/>
  <c r="CE42" i="5"/>
  <c r="CE44" i="5"/>
  <c r="CE38" i="5"/>
  <c r="L39" i="5"/>
  <c r="AY39" i="12"/>
  <c r="DN39" i="5" s="1"/>
  <c r="BS39" i="12"/>
  <c r="EH39" i="5" s="1"/>
  <c r="CF38" i="5"/>
  <c r="CF42" i="5"/>
  <c r="CF44" i="5"/>
  <c r="CA40" i="5"/>
  <c r="CA42" i="5"/>
  <c r="CH42" i="5"/>
  <c r="CH44" i="5"/>
  <c r="CH38" i="5"/>
  <c r="BK46" i="12"/>
  <c r="BK47" i="12" s="1"/>
  <c r="BL45" i="12"/>
  <c r="CB44" i="5"/>
  <c r="CB38" i="5"/>
  <c r="CJ40" i="5"/>
  <c r="AB34" i="5"/>
  <c r="AB40" i="5" s="1"/>
  <c r="J39" i="5"/>
  <c r="Y7" i="12"/>
  <c r="J7" i="5"/>
  <c r="BX33" i="5"/>
  <c r="BX25" i="5"/>
  <c r="I8" i="12" s="1"/>
  <c r="U25" i="5"/>
  <c r="AO25" i="5"/>
  <c r="AL25" i="5"/>
  <c r="CA47" i="25"/>
  <c r="CA48" i="25" s="1"/>
  <c r="AA28" i="5"/>
  <c r="T33" i="5"/>
  <c r="BL38" i="5"/>
  <c r="BL44" i="5"/>
  <c r="BL62" i="5" s="1"/>
  <c r="BL68" i="5" s="1"/>
  <c r="BL70" i="5" s="1"/>
  <c r="CG33" i="5"/>
  <c r="DW44" i="5"/>
  <c r="AJ34" i="5"/>
  <c r="AJ40" i="5" s="1"/>
  <c r="DJ38" i="5"/>
  <c r="DZ40" i="5"/>
  <c r="CY42" i="5"/>
  <c r="BO44" i="5"/>
  <c r="BO62" i="5" s="1"/>
  <c r="BO68" i="5" s="1"/>
  <c r="BO70" i="5" s="1"/>
  <c r="M54" i="5"/>
  <c r="H75" i="5"/>
  <c r="Y79" i="5"/>
  <c r="H79" i="5" s="1"/>
  <c r="BK44" i="5"/>
  <c r="BK62" i="5" s="1"/>
  <c r="BK68" i="5" s="1"/>
  <c r="BK70" i="5" s="1"/>
  <c r="AM25" i="5"/>
  <c r="BM44" i="5"/>
  <c r="BM62" i="5" s="1"/>
  <c r="BM68" i="5" s="1"/>
  <c r="BM70" i="5" s="1"/>
  <c r="BM38" i="5"/>
  <c r="AC34" i="5"/>
  <c r="AC40" i="5" s="1"/>
  <c r="AS35" i="5"/>
  <c r="AS41" i="5" s="1"/>
  <c r="CM41" i="5"/>
  <c r="BP44" i="5"/>
  <c r="BP62" i="5" s="1"/>
  <c r="BP68" i="5" s="1"/>
  <c r="BP70" i="5" s="1"/>
  <c r="DD44" i="5"/>
  <c r="AU47" i="5"/>
  <c r="Z79" i="5"/>
  <c r="W25" i="5"/>
  <c r="AQ25" i="5"/>
  <c r="AP25" i="5"/>
  <c r="CI44" i="5"/>
  <c r="DE42" i="5"/>
  <c r="DE44" i="5"/>
  <c r="AL34" i="5"/>
  <c r="AT35" i="5"/>
  <c r="BM40" i="5"/>
  <c r="AW42" i="5"/>
  <c r="CV59" i="5"/>
  <c r="AG13" i="12" s="1"/>
  <c r="M64" i="5"/>
  <c r="AA79" i="5"/>
  <c r="AR25" i="5"/>
  <c r="M14" i="5"/>
  <c r="AH33" i="5"/>
  <c r="CJ44" i="5"/>
  <c r="AM34" i="5"/>
  <c r="AM40" i="5" s="1"/>
  <c r="DM38" i="5"/>
  <c r="BT42" i="5"/>
  <c r="DB42" i="5"/>
  <c r="BS44" i="5"/>
  <c r="DI44" i="5"/>
  <c r="CG59" i="5"/>
  <c r="R13" i="12" s="1"/>
  <c r="AA46" i="5"/>
  <c r="AA58" i="5"/>
  <c r="CH59" i="5"/>
  <c r="S13" i="12" s="1"/>
  <c r="AT59" i="5"/>
  <c r="G7" i="5"/>
  <c r="CL44" i="5"/>
  <c r="H14" i="5"/>
  <c r="AT25" i="5"/>
  <c r="Y29" i="5"/>
  <c r="Y34" i="5" s="1"/>
  <c r="Y40" i="5" s="1"/>
  <c r="AE29" i="5"/>
  <c r="CS34" i="5"/>
  <c r="CS44" i="5" s="1"/>
  <c r="AI33" i="5"/>
  <c r="CK42" i="5"/>
  <c r="DG42" i="5"/>
  <c r="AP33" i="5"/>
  <c r="AN34" i="5"/>
  <c r="AN40" i="5" s="1"/>
  <c r="CK38" i="5"/>
  <c r="DN38" i="5"/>
  <c r="BV42" i="5"/>
  <c r="DJ42" i="5"/>
  <c r="BT44" i="5"/>
  <c r="DJ44" i="5"/>
  <c r="K63" i="5"/>
  <c r="CD79" i="5"/>
  <c r="CD124" i="5"/>
  <c r="AO86" i="5"/>
  <c r="L86" i="5"/>
  <c r="L14" i="5"/>
  <c r="DB44" i="5"/>
  <c r="X5" i="12"/>
  <c r="CM33" i="5"/>
  <c r="CM25" i="5"/>
  <c r="AB29" i="5"/>
  <c r="M30" i="5"/>
  <c r="DH42" i="5"/>
  <c r="DH38" i="5"/>
  <c r="EB42" i="5"/>
  <c r="EB44" i="5"/>
  <c r="EB38" i="5"/>
  <c r="V35" i="5"/>
  <c r="CL38" i="5"/>
  <c r="DO38" i="5"/>
  <c r="EE40" i="5"/>
  <c r="CS41" i="5"/>
  <c r="BW42" i="5"/>
  <c r="DM42" i="5"/>
  <c r="L57" i="5"/>
  <c r="V75" i="5"/>
  <c r="V79" i="5" s="1"/>
  <c r="BU123" i="5"/>
  <c r="BT79" i="5"/>
  <c r="BT123" i="5"/>
  <c r="CX127" i="5"/>
  <c r="CW127" i="5"/>
  <c r="K124" i="5"/>
  <c r="AH124" i="5"/>
  <c r="AI30" i="215"/>
  <c r="AI36" i="215" s="1"/>
  <c r="CU36" i="215"/>
  <c r="L12" i="5"/>
  <c r="X25" i="5"/>
  <c r="AC29" i="5"/>
  <c r="X29" i="5"/>
  <c r="X34" i="5" s="1"/>
  <c r="X40" i="5" s="1"/>
  <c r="BX34" i="5"/>
  <c r="BX40" i="5" s="1"/>
  <c r="CO42" i="5"/>
  <c r="CO38" i="5"/>
  <c r="DI42" i="5"/>
  <c r="DI38" i="5"/>
  <c r="EC42" i="5"/>
  <c r="EC44" i="5"/>
  <c r="EC38" i="5"/>
  <c r="AQ33" i="5"/>
  <c r="EI40" i="5"/>
  <c r="AS34" i="5"/>
  <c r="AS40" i="5" s="1"/>
  <c r="DN42" i="5"/>
  <c r="BV44" i="5"/>
  <c r="J46" i="5"/>
  <c r="M50" i="5"/>
  <c r="BR59" i="5"/>
  <c r="C13" i="12" s="1"/>
  <c r="V7" i="188"/>
  <c r="S25" i="5"/>
  <c r="AG8" i="12"/>
  <c r="BS42" i="5"/>
  <c r="CP38" i="5"/>
  <c r="K39" i="5"/>
  <c r="BF47" i="25"/>
  <c r="BF48" i="25" s="1"/>
  <c r="BO47" i="25"/>
  <c r="BO48" i="25" s="1"/>
  <c r="BL47" i="25"/>
  <c r="BL48" i="25" s="1"/>
  <c r="BI47" i="25"/>
  <c r="BI48" i="25" s="1"/>
  <c r="DR42" i="5"/>
  <c r="AF59" i="5"/>
  <c r="Z53" i="5"/>
  <c r="I53" i="5" s="1"/>
  <c r="CE59" i="5"/>
  <c r="P13" i="12" s="1"/>
  <c r="M57" i="5"/>
  <c r="AO9" i="25"/>
  <c r="DB81" i="5"/>
  <c r="H39" i="5"/>
  <c r="S34" i="5"/>
  <c r="S40" i="5" s="1"/>
  <c r="AF35" i="5"/>
  <c r="AF41" i="5" s="1"/>
  <c r="CW41" i="5"/>
  <c r="DQ41" i="5"/>
  <c r="AM35" i="5"/>
  <c r="AM41" i="5" s="1"/>
  <c r="DV38" i="5"/>
  <c r="EA41" i="5"/>
  <c r="C39" i="12"/>
  <c r="BR39" i="5" s="1"/>
  <c r="M12" i="5"/>
  <c r="AJ8" i="12"/>
  <c r="AS33" i="5"/>
  <c r="CY40" i="5"/>
  <c r="AT34" i="5"/>
  <c r="EM40" i="5"/>
  <c r="CS38" i="5"/>
  <c r="BW40" i="5"/>
  <c r="EO40" i="5"/>
  <c r="AC14" i="5"/>
  <c r="CN25" i="5"/>
  <c r="Y8" i="12" s="1"/>
  <c r="CZ25" i="5"/>
  <c r="AK8" i="12" s="1"/>
  <c r="CT44" i="5"/>
  <c r="CT42" i="5"/>
  <c r="CZ34" i="5"/>
  <c r="CZ40" i="5" s="1"/>
  <c r="CT38" i="5"/>
  <c r="CK44" i="5"/>
  <c r="R59" i="5"/>
  <c r="G46" i="5"/>
  <c r="CN59" i="5"/>
  <c r="Y13" i="12" s="1"/>
  <c r="AC54" i="5"/>
  <c r="I54" i="5" s="1"/>
  <c r="BG21" i="215"/>
  <c r="BG30" i="215"/>
  <c r="BG36" i="215" s="1"/>
  <c r="V33" i="5"/>
  <c r="AG13" i="5"/>
  <c r="AG25" i="5" s="1"/>
  <c r="AD25" i="5"/>
  <c r="CD34" i="5"/>
  <c r="Z29" i="5"/>
  <c r="BY44" i="5"/>
  <c r="BY42" i="5"/>
  <c r="BL41" i="5"/>
  <c r="T35" i="5"/>
  <c r="T41" i="5" s="1"/>
  <c r="DT41" i="5"/>
  <c r="AN35" i="5"/>
  <c r="AN41" i="5" s="1"/>
  <c r="DV42" i="5"/>
  <c r="EA44" i="5"/>
  <c r="AK53" i="5"/>
  <c r="AK59" i="5" s="1"/>
  <c r="I13" i="5"/>
  <c r="CV44" i="5"/>
  <c r="DP44" i="5"/>
  <c r="DP42" i="5"/>
  <c r="EO41" i="5"/>
  <c r="CV38" i="5"/>
  <c r="ED38" i="5"/>
  <c r="F62" i="5"/>
  <c r="ED44" i="5"/>
  <c r="T59" i="5"/>
  <c r="L8" i="215"/>
  <c r="AL21" i="215"/>
  <c r="BZ8" i="12"/>
  <c r="DC25" i="5"/>
  <c r="AN8" i="12" s="1"/>
  <c r="BU47" i="25"/>
  <c r="BU48" i="25" s="1"/>
  <c r="BH8" i="12"/>
  <c r="CA44" i="5"/>
  <c r="CW44" i="5"/>
  <c r="CW38" i="5"/>
  <c r="AM33" i="5"/>
  <c r="DQ44" i="5"/>
  <c r="DQ38" i="5"/>
  <c r="DQ42" i="5"/>
  <c r="EK44" i="5"/>
  <c r="EK38" i="5"/>
  <c r="DC34" i="5"/>
  <c r="AH34" i="5" s="1"/>
  <c r="AJ35" i="5"/>
  <c r="AJ41" i="5" s="1"/>
  <c r="CX38" i="5"/>
  <c r="CQ42" i="5"/>
  <c r="I66" i="5"/>
  <c r="Y7" i="5"/>
  <c r="H7" i="5" s="1"/>
  <c r="AA29" i="5"/>
  <c r="BG44" i="5"/>
  <c r="BG62" i="5" s="1"/>
  <c r="BG68" i="5" s="1"/>
  <c r="BG70" i="5" s="1"/>
  <c r="EL44" i="5"/>
  <c r="EL60" i="5" s="1"/>
  <c r="EL42" i="5"/>
  <c r="CG34" i="5"/>
  <c r="CR42" i="5"/>
  <c r="CP44" i="5"/>
  <c r="K49" i="5"/>
  <c r="J56" i="5"/>
  <c r="CK107" i="5"/>
  <c r="AB67" i="5"/>
  <c r="M123" i="5"/>
  <c r="Z7" i="5"/>
  <c r="G14" i="5"/>
  <c r="CY44" i="5"/>
  <c r="DS44" i="5"/>
  <c r="EM44" i="5"/>
  <c r="EM42" i="5"/>
  <c r="AD34" i="5"/>
  <c r="EG38" i="5"/>
  <c r="EI42" i="5"/>
  <c r="EG44" i="5"/>
  <c r="BY59" i="5"/>
  <c r="J13" i="12" s="1"/>
  <c r="X56" i="5"/>
  <c r="H56" i="5" s="1"/>
  <c r="BX125" i="5"/>
  <c r="W83" i="5"/>
  <c r="BW125" i="5"/>
  <c r="W125" i="5" s="1"/>
  <c r="CZ125" i="5"/>
  <c r="DA125" i="5"/>
  <c r="CZ86" i="5"/>
  <c r="DW125" i="5"/>
  <c r="DV125" i="5"/>
  <c r="DV129" i="5" s="1"/>
  <c r="DV103" i="5" s="1"/>
  <c r="DV86" i="5"/>
  <c r="AN83" i="5"/>
  <c r="AC123" i="5"/>
  <c r="AJ123" i="5"/>
  <c r="BB8" i="12"/>
  <c r="M10" i="5"/>
  <c r="BX47" i="25"/>
  <c r="BX48" i="25" s="1"/>
  <c r="Z28" i="5"/>
  <c r="CD33" i="5"/>
  <c r="CZ38" i="5"/>
  <c r="AN33" i="5"/>
  <c r="DT38" i="5"/>
  <c r="EN44" i="5"/>
  <c r="EN38" i="5"/>
  <c r="CI42" i="5"/>
  <c r="CI40" i="5"/>
  <c r="DF42" i="5"/>
  <c r="DZ42" i="5"/>
  <c r="AI35" i="5"/>
  <c r="AI41" i="5" s="1"/>
  <c r="BY38" i="5"/>
  <c r="EH38" i="5"/>
  <c r="CV42" i="5"/>
  <c r="BI44" i="5"/>
  <c r="BI62" i="5" s="1"/>
  <c r="BI68" i="5" s="1"/>
  <c r="BI70" i="5" s="1"/>
  <c r="EH44" i="5"/>
  <c r="BX73" i="5"/>
  <c r="BY73" i="5" s="1"/>
  <c r="BZ73" i="5" s="1"/>
  <c r="W73" i="5"/>
  <c r="BE8" i="12"/>
  <c r="AS39" i="5"/>
  <c r="BT39" i="12"/>
  <c r="EI39" i="5" s="1"/>
  <c r="DA44" i="5"/>
  <c r="DA38" i="5"/>
  <c r="DU44" i="5"/>
  <c r="DU38" i="5"/>
  <c r="EO44" i="5"/>
  <c r="EO38" i="5"/>
  <c r="AU33" i="5"/>
  <c r="AF34" i="5"/>
  <c r="AF40" i="5" s="1"/>
  <c r="EA42" i="5"/>
  <c r="EI38" i="5"/>
  <c r="CW42" i="5"/>
  <c r="EK42" i="5"/>
  <c r="AB46" i="5"/>
  <c r="U59" i="5"/>
  <c r="AQ59" i="5"/>
  <c r="G54" i="5"/>
  <c r="BU59" i="5"/>
  <c r="F13" i="12" s="1"/>
  <c r="W58" i="5"/>
  <c r="K67" i="5"/>
  <c r="CG92" i="5"/>
  <c r="Z92" i="5"/>
  <c r="DB42" i="215"/>
  <c r="BR44" i="5"/>
  <c r="DF44" i="5"/>
  <c r="DZ44" i="5"/>
  <c r="CI38" i="5"/>
  <c r="DW38" i="5"/>
  <c r="BR42" i="5"/>
  <c r="J57" i="5"/>
  <c r="I63" i="5"/>
  <c r="G66" i="5"/>
  <c r="EG81" i="5"/>
  <c r="AP11" i="25"/>
  <c r="AQ8" i="25"/>
  <c r="AQ18" i="25" s="1"/>
  <c r="AQ24" i="25" s="1"/>
  <c r="BK9" i="25"/>
  <c r="DX81" i="5"/>
  <c r="AH126" i="5"/>
  <c r="K126" i="5"/>
  <c r="BP29" i="215"/>
  <c r="BP21" i="215"/>
  <c r="BH30" i="215"/>
  <c r="BH36" i="215" s="1"/>
  <c r="BH21" i="215"/>
  <c r="N41" i="215"/>
  <c r="AT54" i="215"/>
  <c r="CJ38" i="5"/>
  <c r="M51" i="5"/>
  <c r="CL124" i="5"/>
  <c r="AB76" i="5"/>
  <c r="AB79" i="5" s="1"/>
  <c r="CL86" i="5"/>
  <c r="CL125" i="5"/>
  <c r="V91" i="5"/>
  <c r="BU91" i="5"/>
  <c r="BU92" i="5"/>
  <c r="BV92" i="5" s="1"/>
  <c r="BW92" i="5" s="1"/>
  <c r="V92" i="5"/>
  <c r="AS127" i="5"/>
  <c r="AV36" i="215"/>
  <c r="N30" i="215"/>
  <c r="CZ53" i="215"/>
  <c r="AK53" i="215" s="1"/>
  <c r="CZ49" i="215"/>
  <c r="N52" i="5"/>
  <c r="BS124" i="5"/>
  <c r="CM125" i="5"/>
  <c r="CM86" i="5"/>
  <c r="DJ125" i="5"/>
  <c r="DJ129" i="5" s="1"/>
  <c r="DJ103" i="5" s="1"/>
  <c r="AJ83" i="5"/>
  <c r="EF125" i="5"/>
  <c r="EF129" i="5" s="1"/>
  <c r="EF86" i="5"/>
  <c r="EG125" i="5"/>
  <c r="EG129" i="5" s="1"/>
  <c r="EG103" i="5" s="1"/>
  <c r="T11" i="25"/>
  <c r="T16" i="25" s="1"/>
  <c r="U8" i="25"/>
  <c r="AR9" i="25"/>
  <c r="DE81" i="5"/>
  <c r="BN9" i="25"/>
  <c r="EA81" i="5"/>
  <c r="G16" i="215"/>
  <c r="G29" i="215"/>
  <c r="AO21" i="215"/>
  <c r="AO35" i="215"/>
  <c r="BJ21" i="215"/>
  <c r="BJ30" i="215"/>
  <c r="BJ36" i="215" s="1"/>
  <c r="CN83" i="215"/>
  <c r="CN88" i="215" s="1"/>
  <c r="CN89" i="215" s="1"/>
  <c r="CN124" i="5"/>
  <c r="CN79" i="5"/>
  <c r="CN125" i="5"/>
  <c r="CO125" i="5"/>
  <c r="DK125" i="5"/>
  <c r="DK86" i="5"/>
  <c r="AR83" i="5"/>
  <c r="EH125" i="5"/>
  <c r="EH129" i="5" s="1"/>
  <c r="EH103" i="5" s="1"/>
  <c r="U9" i="25"/>
  <c r="CH81" i="5"/>
  <c r="AS11" i="25"/>
  <c r="AT8" i="25"/>
  <c r="BO9" i="25"/>
  <c r="EB81" i="5"/>
  <c r="AP81" i="5" s="1"/>
  <c r="AR123" i="5"/>
  <c r="CB35" i="215"/>
  <c r="I29" i="215"/>
  <c r="I35" i="215" s="1"/>
  <c r="L54" i="5"/>
  <c r="BT127" i="5"/>
  <c r="V63" i="5"/>
  <c r="H63" i="5" s="1"/>
  <c r="CO124" i="5"/>
  <c r="CP124" i="5"/>
  <c r="AC76" i="5"/>
  <c r="I76" i="5" s="1"/>
  <c r="CP125" i="5"/>
  <c r="CQ125" i="5"/>
  <c r="DL125" i="5"/>
  <c r="DL129" i="5" s="1"/>
  <c r="DL103" i="5" s="1"/>
  <c r="DM125" i="5"/>
  <c r="DM129" i="5" s="1"/>
  <c r="DM103" i="5" s="1"/>
  <c r="DL86" i="5"/>
  <c r="V9" i="25"/>
  <c r="AA117" i="5"/>
  <c r="CI81" i="5"/>
  <c r="AA81" i="5" s="1"/>
  <c r="AT9" i="25"/>
  <c r="DG81" i="5"/>
  <c r="AI81" i="5" s="1"/>
  <c r="BP11" i="25"/>
  <c r="BQ8" i="25"/>
  <c r="AE123" i="5"/>
  <c r="BT124" i="5"/>
  <c r="AL127" i="5"/>
  <c r="L127" i="5"/>
  <c r="I55" i="5"/>
  <c r="V73" i="5"/>
  <c r="CG81" i="5"/>
  <c r="DK81" i="5"/>
  <c r="BS125" i="5"/>
  <c r="BR125" i="5"/>
  <c r="BR86" i="5"/>
  <c r="EH86" i="5"/>
  <c r="AK87" i="5"/>
  <c r="K87" i="5"/>
  <c r="X8" i="25"/>
  <c r="X18" i="25" s="1"/>
  <c r="X24" i="25" s="1"/>
  <c r="W11" i="25"/>
  <c r="AU9" i="25"/>
  <c r="DH81" i="5"/>
  <c r="BQ9" i="25"/>
  <c r="ED81" i="5"/>
  <c r="BU124" i="5"/>
  <c r="CD126" i="5"/>
  <c r="Z126" i="5" s="1"/>
  <c r="L126" i="5"/>
  <c r="AL126" i="5"/>
  <c r="CB39" i="215"/>
  <c r="AB33" i="5"/>
  <c r="AV42" i="5"/>
  <c r="DG44" i="5"/>
  <c r="BT59" i="5"/>
  <c r="E13" i="12" s="1"/>
  <c r="AK47" i="5"/>
  <c r="AT47" i="5"/>
  <c r="BW79" i="5"/>
  <c r="W76" i="5"/>
  <c r="W79" i="5" s="1"/>
  <c r="BX79" i="5"/>
  <c r="CJ81" i="5"/>
  <c r="EI86" i="5"/>
  <c r="CE91" i="5"/>
  <c r="BW127" i="5"/>
  <c r="BV127" i="5"/>
  <c r="BW124" i="5"/>
  <c r="CR125" i="5"/>
  <c r="K105" i="5"/>
  <c r="CW125" i="5"/>
  <c r="CP39" i="215"/>
  <c r="AG32" i="215"/>
  <c r="CC125" i="5"/>
  <c r="CB86" i="5"/>
  <c r="Z9" i="25"/>
  <c r="CM81" i="5"/>
  <c r="AX11" i="25"/>
  <c r="AY8" i="25"/>
  <c r="BT11" i="25"/>
  <c r="BU8" i="25"/>
  <c r="BU18" i="25" s="1"/>
  <c r="BU24" i="25" s="1"/>
  <c r="CX125" i="5"/>
  <c r="CS35" i="215"/>
  <c r="CS39" i="215"/>
  <c r="G31" i="215"/>
  <c r="G37" i="215" s="1"/>
  <c r="R37" i="215"/>
  <c r="N31" i="215"/>
  <c r="AT39" i="215"/>
  <c r="AT37" i="215"/>
  <c r="M51" i="215"/>
  <c r="AS54" i="215"/>
  <c r="N35" i="188"/>
  <c r="CU125" i="5"/>
  <c r="CV125" i="5"/>
  <c r="AE83" i="5"/>
  <c r="CU86" i="5"/>
  <c r="DR86" i="5"/>
  <c r="DR125" i="5"/>
  <c r="DR129" i="5" s="1"/>
  <c r="DR103" i="5" s="1"/>
  <c r="EN86" i="5"/>
  <c r="DM86" i="5"/>
  <c r="K85" i="5"/>
  <c r="AK85" i="5"/>
  <c r="AA9" i="25"/>
  <c r="CN81" i="5"/>
  <c r="AY9" i="25"/>
  <c r="DL81" i="5"/>
  <c r="BV9" i="25"/>
  <c r="EI81" i="5"/>
  <c r="L124" i="5"/>
  <c r="AL124" i="5"/>
  <c r="DS86" i="5"/>
  <c r="AM83" i="5"/>
  <c r="AD8" i="25"/>
  <c r="AD18" i="25" s="1"/>
  <c r="AD24" i="25" s="1"/>
  <c r="AC11" i="25"/>
  <c r="AC16" i="25" s="1"/>
  <c r="BA9" i="25"/>
  <c r="BA18" i="25" s="1"/>
  <c r="BA24" i="25" s="1"/>
  <c r="DN81" i="5"/>
  <c r="BW9" i="25"/>
  <c r="EJ81" i="5"/>
  <c r="EJ89" i="5" s="1"/>
  <c r="DB129" i="5"/>
  <c r="I75" i="5"/>
  <c r="CV39" i="215"/>
  <c r="CV35" i="215"/>
  <c r="AI29" i="215"/>
  <c r="M109" i="5"/>
  <c r="AG123" i="5"/>
  <c r="DS125" i="5"/>
  <c r="DS129" i="5" s="1"/>
  <c r="DS103" i="5" s="1"/>
  <c r="DN129" i="5"/>
  <c r="CB36" i="215"/>
  <c r="AC30" i="215"/>
  <c r="AC36" i="215" s="1"/>
  <c r="H31" i="215"/>
  <c r="H37" i="215" s="1"/>
  <c r="V37" i="215"/>
  <c r="L53" i="5"/>
  <c r="BV124" i="5"/>
  <c r="K123" i="5"/>
  <c r="AS36" i="215"/>
  <c r="AS21" i="215"/>
  <c r="CM79" i="5"/>
  <c r="CF86" i="5"/>
  <c r="CF125" i="5"/>
  <c r="DX86" i="5"/>
  <c r="DY125" i="5"/>
  <c r="DY129" i="5" s="1"/>
  <c r="DY103" i="5" s="1"/>
  <c r="U89" i="5"/>
  <c r="G89" i="5" s="1"/>
  <c r="AI8" i="25"/>
  <c r="AI18" i="25" s="1"/>
  <c r="AI24" i="25" s="1"/>
  <c r="AH11" i="25"/>
  <c r="AN124" i="5"/>
  <c r="V128" i="5"/>
  <c r="AT21" i="215"/>
  <c r="AT36" i="215"/>
  <c r="AG35" i="215"/>
  <c r="J64" i="5"/>
  <c r="CO79" i="5"/>
  <c r="DZ86" i="5"/>
  <c r="CE86" i="5"/>
  <c r="AK11" i="25"/>
  <c r="AL8" i="25"/>
  <c r="AL18" i="25" s="1"/>
  <c r="AL24" i="25" s="1"/>
  <c r="BG9" i="25"/>
  <c r="DT81" i="5"/>
  <c r="AU36" i="215"/>
  <c r="AU21" i="215"/>
  <c r="AH29" i="215"/>
  <c r="BR43" i="215"/>
  <c r="BQ43" i="215"/>
  <c r="BP43" i="215"/>
  <c r="H43" i="215"/>
  <c r="L51" i="5"/>
  <c r="AO59" i="5"/>
  <c r="AE54" i="5"/>
  <c r="AC58" i="5"/>
  <c r="CH124" i="5"/>
  <c r="CH79" i="5"/>
  <c r="BY124" i="5"/>
  <c r="CX81" i="5"/>
  <c r="AF81" i="5" s="1"/>
  <c r="EC81" i="5"/>
  <c r="Z83" i="5"/>
  <c r="Z86" i="5" s="1"/>
  <c r="CH125" i="5"/>
  <c r="DE86" i="5"/>
  <c r="DE125" i="5"/>
  <c r="EA125" i="5"/>
  <c r="EA86" i="5"/>
  <c r="CG86" i="5"/>
  <c r="N19" i="215"/>
  <c r="EB28" i="188"/>
  <c r="EB34" i="188" s="1"/>
  <c r="AW26" i="215"/>
  <c r="BC47" i="25"/>
  <c r="BC48" i="25" s="1"/>
  <c r="CJ42" i="5"/>
  <c r="DD42" i="5"/>
  <c r="DX42" i="5"/>
  <c r="AR59" i="5"/>
  <c r="L66" i="5"/>
  <c r="AD67" i="5"/>
  <c r="CQ107" i="5"/>
  <c r="CI124" i="5"/>
  <c r="CI79" i="5"/>
  <c r="CQ79" i="5"/>
  <c r="AB86" i="5"/>
  <c r="AA83" i="5"/>
  <c r="AA86" i="5" s="1"/>
  <c r="CI86" i="5"/>
  <c r="DF125" i="5"/>
  <c r="DF129" i="5" s="1"/>
  <c r="DF103" i="5" s="1"/>
  <c r="DF86" i="5"/>
  <c r="EB125" i="5"/>
  <c r="AP83" i="5"/>
  <c r="EO125" i="5"/>
  <c r="AP21" i="215"/>
  <c r="DM39" i="188"/>
  <c r="DM43" i="188"/>
  <c r="DM51" i="188" s="1"/>
  <c r="CE124" i="5"/>
  <c r="ED124" i="5"/>
  <c r="EC124" i="5"/>
  <c r="CD86" i="5"/>
  <c r="BU127" i="5"/>
  <c r="S9" i="25"/>
  <c r="CF81" i="5"/>
  <c r="Z81" i="5" s="1"/>
  <c r="Z117" i="5"/>
  <c r="AQ11" i="25"/>
  <c r="AR8" i="25"/>
  <c r="BM11" i="25"/>
  <c r="BN8" i="25"/>
  <c r="L123" i="5"/>
  <c r="AL123" i="5"/>
  <c r="EA124" i="5"/>
  <c r="AV35" i="215"/>
  <c r="AV39" i="215"/>
  <c r="BS39" i="215"/>
  <c r="Z32" i="215"/>
  <c r="I32" i="215"/>
  <c r="BI32" i="188"/>
  <c r="U6" i="188"/>
  <c r="CJ124" i="5"/>
  <c r="AO79" i="5"/>
  <c r="L79" i="5"/>
  <c r="BZ127" i="5"/>
  <c r="AJ21" i="215"/>
  <c r="K8" i="215"/>
  <c r="J29" i="215"/>
  <c r="AE35" i="215"/>
  <c r="AB30" i="215"/>
  <c r="AB36" i="215" s="1"/>
  <c r="BZ36" i="215"/>
  <c r="BZ39" i="215"/>
  <c r="BZ55" i="215" s="1"/>
  <c r="BZ63" i="215" s="1"/>
  <c r="AR54" i="215"/>
  <c r="CE63" i="215"/>
  <c r="Z8" i="25"/>
  <c r="Y11" i="25"/>
  <c r="AW9" i="25"/>
  <c r="DJ81" i="5"/>
  <c r="AJ81" i="5" s="1"/>
  <c r="BS11" i="25"/>
  <c r="BT8" i="25"/>
  <c r="BT18" i="25" s="1"/>
  <c r="BT24" i="25" s="1"/>
  <c r="AN123" i="5"/>
  <c r="AW21" i="215"/>
  <c r="AF35" i="215"/>
  <c r="T54" i="215"/>
  <c r="G41" i="215"/>
  <c r="G54" i="215" s="1"/>
  <c r="BL42" i="215"/>
  <c r="BK42" i="215"/>
  <c r="H42" i="215"/>
  <c r="AG21" i="215"/>
  <c r="BM44" i="215"/>
  <c r="BO44" i="215"/>
  <c r="AP40" i="188"/>
  <c r="M34" i="188"/>
  <c r="M40" i="188" s="1"/>
  <c r="DZ129" i="5"/>
  <c r="AP123" i="5"/>
  <c r="AM124" i="5"/>
  <c r="X126" i="5"/>
  <c r="AB128" i="5"/>
  <c r="S39" i="215"/>
  <c r="S55" i="215" s="1"/>
  <c r="S36" i="215"/>
  <c r="G30" i="215"/>
  <c r="G36" i="215" s="1"/>
  <c r="DQ38" i="188"/>
  <c r="DQ43" i="188"/>
  <c r="DQ51" i="188" s="1"/>
  <c r="CB124" i="5"/>
  <c r="CX86" i="5"/>
  <c r="DU125" i="5"/>
  <c r="DU129" i="5" s="1"/>
  <c r="DU103" i="5" s="1"/>
  <c r="DT125" i="5"/>
  <c r="DT129" i="5" s="1"/>
  <c r="DT86" i="5"/>
  <c r="CZ127" i="5"/>
  <c r="DA127" i="5"/>
  <c r="N108" i="5"/>
  <c r="K110" i="5"/>
  <c r="AK123" i="5"/>
  <c r="X76" i="5"/>
  <c r="X79" i="5" s="1"/>
  <c r="BZ79" i="5"/>
  <c r="CT79" i="5"/>
  <c r="CT124" i="5"/>
  <c r="CK125" i="5"/>
  <c r="AK126" i="5"/>
  <c r="CQ39" i="215"/>
  <c r="AH30" i="215"/>
  <c r="CQ36" i="215"/>
  <c r="AS83" i="5"/>
  <c r="M83" i="5" s="1"/>
  <c r="AL11" i="25"/>
  <c r="AM8" i="25"/>
  <c r="BH11" i="25"/>
  <c r="BI8" i="25"/>
  <c r="BI18" i="25" s="1"/>
  <c r="BI24" i="25" s="1"/>
  <c r="G21" i="215"/>
  <c r="BR30" i="215"/>
  <c r="BR36" i="215" s="1"/>
  <c r="BR21" i="215"/>
  <c r="BN31" i="215"/>
  <c r="BN37" i="215" s="1"/>
  <c r="BN21" i="215"/>
  <c r="N44" i="215"/>
  <c r="DN38" i="188"/>
  <c r="DN43" i="188"/>
  <c r="DN51" i="188" s="1"/>
  <c r="CS125" i="5"/>
  <c r="CS86" i="5"/>
  <c r="DP125" i="5"/>
  <c r="DP129" i="5" s="1"/>
  <c r="DP103" i="5" s="1"/>
  <c r="CC127" i="5"/>
  <c r="AG8" i="25"/>
  <c r="AG18" i="25" s="1"/>
  <c r="AG24" i="25" s="1"/>
  <c r="AF11" i="25"/>
  <c r="AF16" i="25" s="1"/>
  <c r="BE8" i="25"/>
  <c r="BE18" i="25" s="1"/>
  <c r="BE24" i="25" s="1"/>
  <c r="BD11" i="25"/>
  <c r="BZ11" i="25"/>
  <c r="CA8" i="25"/>
  <c r="CA18" i="25" s="1"/>
  <c r="CA24" i="25" s="1"/>
  <c r="AV24" i="215"/>
  <c r="AG36" i="215"/>
  <c r="I30" i="215"/>
  <c r="I36" i="215" s="1"/>
  <c r="Z30" i="215"/>
  <c r="Z36" i="215" s="1"/>
  <c r="BS36" i="215"/>
  <c r="CZ37" i="215"/>
  <c r="AN54" i="215"/>
  <c r="M49" i="215"/>
  <c r="AQ54" i="215"/>
  <c r="BP32" i="188"/>
  <c r="BP23" i="188"/>
  <c r="BY79" i="5"/>
  <c r="CS79" i="5"/>
  <c r="CT125" i="5"/>
  <c r="CA125" i="5"/>
  <c r="BZ125" i="5"/>
  <c r="AH8" i="25"/>
  <c r="AH18" i="25" s="1"/>
  <c r="AH24" i="25" s="1"/>
  <c r="AG11" i="25"/>
  <c r="BF8" i="25"/>
  <c r="BF18" i="25" s="1"/>
  <c r="BF24" i="25" s="1"/>
  <c r="BE11" i="25"/>
  <c r="CA11" i="25"/>
  <c r="CB8" i="25"/>
  <c r="CB18" i="25" s="1"/>
  <c r="CB24" i="25" s="1"/>
  <c r="AC126" i="5"/>
  <c r="AE21" i="215"/>
  <c r="L24" i="215"/>
  <c r="DA35" i="215"/>
  <c r="DA39" i="215"/>
  <c r="CZ36" i="215"/>
  <c r="AK30" i="215"/>
  <c r="AK36" i="215" s="1"/>
  <c r="AD32" i="215"/>
  <c r="BU35" i="215"/>
  <c r="BQ54" i="215"/>
  <c r="AE54" i="215"/>
  <c r="BF33" i="188"/>
  <c r="BF39" i="188" s="1"/>
  <c r="BF23" i="188"/>
  <c r="S12" i="188"/>
  <c r="BC34" i="188"/>
  <c r="BC23" i="188"/>
  <c r="R13" i="188"/>
  <c r="BF11" i="25"/>
  <c r="BG8" i="25"/>
  <c r="CB11" i="25"/>
  <c r="CC8" i="25"/>
  <c r="Z123" i="5"/>
  <c r="L18" i="215"/>
  <c r="AD24" i="215"/>
  <c r="L25" i="215"/>
  <c r="BV39" i="215"/>
  <c r="AL36" i="215"/>
  <c r="L30" i="215"/>
  <c r="BV35" i="215"/>
  <c r="AM37" i="215"/>
  <c r="H54" i="215"/>
  <c r="V27" i="188"/>
  <c r="X28" i="188"/>
  <c r="BQ34" i="188"/>
  <c r="BQ21" i="215"/>
  <c r="AW24" i="215"/>
  <c r="T39" i="215"/>
  <c r="BW35" i="215"/>
  <c r="DF55" i="215"/>
  <c r="W8" i="188"/>
  <c r="AQ35" i="215"/>
  <c r="AQ39" i="215"/>
  <c r="AO37" i="215"/>
  <c r="CU42" i="215"/>
  <c r="CF83" i="215"/>
  <c r="CF88" i="215" s="1"/>
  <c r="CF89" i="215" s="1"/>
  <c r="BS55" i="188"/>
  <c r="X55" i="188" s="1"/>
  <c r="J69" i="5"/>
  <c r="CC124" i="5"/>
  <c r="CR81" i="5"/>
  <c r="AD81" i="5" s="1"/>
  <c r="AE117" i="5"/>
  <c r="AM9" i="25"/>
  <c r="CZ81" i="5"/>
  <c r="BJ8" i="25"/>
  <c r="BJ18" i="25" s="1"/>
  <c r="BJ24" i="25" s="1"/>
  <c r="BI11" i="25"/>
  <c r="BI16" i="25" s="1"/>
  <c r="CG123" i="5"/>
  <c r="CS124" i="5"/>
  <c r="AE24" i="215"/>
  <c r="AW25" i="215"/>
  <c r="AP37" i="215"/>
  <c r="M31" i="215"/>
  <c r="DB35" i="215"/>
  <c r="BY39" i="215"/>
  <c r="S13" i="188"/>
  <c r="BG34" i="188"/>
  <c r="BG40" i="188" s="1"/>
  <c r="M35" i="188"/>
  <c r="V35" i="188"/>
  <c r="BK8" i="25"/>
  <c r="BJ11" i="25"/>
  <c r="AO123" i="5"/>
  <c r="AT124" i="5"/>
  <c r="N124" i="5" s="1"/>
  <c r="AQ126" i="5"/>
  <c r="M18" i="215"/>
  <c r="I21" i="215"/>
  <c r="W35" i="215"/>
  <c r="W39" i="215"/>
  <c r="W55" i="215" s="1"/>
  <c r="R36" i="215"/>
  <c r="R39" i="215"/>
  <c r="R55" i="215" s="1"/>
  <c r="M30" i="215"/>
  <c r="L42" i="215"/>
  <c r="L51" i="215"/>
  <c r="BB23" i="188"/>
  <c r="BB32" i="188"/>
  <c r="R6" i="188"/>
  <c r="BV32" i="188"/>
  <c r="BV23" i="188"/>
  <c r="BK23" i="188"/>
  <c r="BK33" i="188"/>
  <c r="V12" i="188"/>
  <c r="DZ33" i="188"/>
  <c r="DZ23" i="188"/>
  <c r="DN41" i="188"/>
  <c r="AL43" i="188"/>
  <c r="AL51" i="188" s="1"/>
  <c r="AL57" i="188" s="1"/>
  <c r="AL38" i="188"/>
  <c r="AJ40" i="188"/>
  <c r="K34" i="188"/>
  <c r="DO40" i="188"/>
  <c r="DO43" i="188"/>
  <c r="DO51" i="188" s="1"/>
  <c r="AW39" i="215"/>
  <c r="H30" i="215"/>
  <c r="H36" i="215" s="1"/>
  <c r="AP35" i="215"/>
  <c r="AD36" i="215"/>
  <c r="AD39" i="215"/>
  <c r="AW54" i="215"/>
  <c r="M53" i="215"/>
  <c r="BF32" i="188"/>
  <c r="S6" i="188"/>
  <c r="AP38" i="188"/>
  <c r="AP43" i="188"/>
  <c r="AP51" i="188" s="1"/>
  <c r="AP57" i="188" s="1"/>
  <c r="AP41" i="188"/>
  <c r="M32" i="188"/>
  <c r="F56" i="188"/>
  <c r="AN39" i="215"/>
  <c r="BL43" i="215"/>
  <c r="BK43" i="215"/>
  <c r="BJ43" i="215"/>
  <c r="M43" i="215"/>
  <c r="AT41" i="188"/>
  <c r="AA126" i="5"/>
  <c r="AN21" i="215"/>
  <c r="AN35" i="215"/>
  <c r="BI21" i="215"/>
  <c r="BI30" i="215"/>
  <c r="BI36" i="215" s="1"/>
  <c r="CU39" i="215"/>
  <c r="CU35" i="215"/>
  <c r="AB32" i="215"/>
  <c r="AO39" i="215"/>
  <c r="BN43" i="215"/>
  <c r="BM43" i="215"/>
  <c r="CV116" i="215"/>
  <c r="CV41" i="215" s="1"/>
  <c r="N34" i="188"/>
  <c r="N40" i="188" s="1"/>
  <c r="AS40" i="188"/>
  <c r="DP43" i="188"/>
  <c r="DP51" i="188" s="1"/>
  <c r="K18" i="215"/>
  <c r="AH21" i="215"/>
  <c r="AU41" i="188"/>
  <c r="EJ125" i="5"/>
  <c r="EJ129" i="5" s="1"/>
  <c r="EJ103" i="5" s="1"/>
  <c r="CT86" i="5"/>
  <c r="CA127" i="5"/>
  <c r="AQ21" i="215"/>
  <c r="K25" i="215"/>
  <c r="CW37" i="215"/>
  <c r="CY39" i="215"/>
  <c r="G80" i="215"/>
  <c r="U83" i="215"/>
  <c r="G83" i="215" s="1"/>
  <c r="AZ34" i="188"/>
  <c r="Q13" i="188"/>
  <c r="H29" i="188"/>
  <c r="AF8" i="25"/>
  <c r="AF18" i="25" s="1"/>
  <c r="AF24" i="25" s="1"/>
  <c r="AE11" i="25"/>
  <c r="BD8" i="25"/>
  <c r="BD18" i="25" s="1"/>
  <c r="BD24" i="25" s="1"/>
  <c r="BC11" i="25"/>
  <c r="BZ8" i="25"/>
  <c r="BZ18" i="25" s="1"/>
  <c r="BZ24" i="25" s="1"/>
  <c r="BY11" i="25"/>
  <c r="M126" i="5"/>
  <c r="K127" i="5"/>
  <c r="AR21" i="215"/>
  <c r="AL35" i="215"/>
  <c r="BQ30" i="215"/>
  <c r="BQ36" i="215" s="1"/>
  <c r="I31" i="215"/>
  <c r="I37" i="215" s="1"/>
  <c r="Z31" i="215"/>
  <c r="Z37" i="215" s="1"/>
  <c r="L41" i="215"/>
  <c r="AL54" i="215"/>
  <c r="BO54" i="215"/>
  <c r="V83" i="215"/>
  <c r="BO32" i="188"/>
  <c r="W6" i="188"/>
  <c r="BD23" i="188"/>
  <c r="W28" i="188"/>
  <c r="BN34" i="188"/>
  <c r="AV41" i="188"/>
  <c r="CA124" i="5"/>
  <c r="CV124" i="5"/>
  <c r="AF124" i="5" s="1"/>
  <c r="CU124" i="5"/>
  <c r="Y8" i="25"/>
  <c r="Y18" i="25" s="1"/>
  <c r="Y24" i="25" s="1"/>
  <c r="X11" i="25"/>
  <c r="AV11" i="25"/>
  <c r="AW8" i="25"/>
  <c r="BR11" i="25"/>
  <c r="BS8" i="25"/>
  <c r="BS18" i="25" s="1"/>
  <c r="BS24" i="25" s="1"/>
  <c r="X39" i="215"/>
  <c r="X55" i="215" s="1"/>
  <c r="X35" i="215"/>
  <c r="AJ30" i="215"/>
  <c r="AJ36" i="215" s="1"/>
  <c r="V39" i="215"/>
  <c r="V55" i="215" s="1"/>
  <c r="BG54" i="215"/>
  <c r="AO54" i="215"/>
  <c r="BR54" i="215"/>
  <c r="J51" i="215"/>
  <c r="DQ41" i="188"/>
  <c r="N33" i="188"/>
  <c r="N39" i="188" s="1"/>
  <c r="AV40" i="188"/>
  <c r="P34" i="188"/>
  <c r="AN127" i="5"/>
  <c r="CA39" i="215"/>
  <c r="CA55" i="215" s="1"/>
  <c r="CA63" i="215" s="1"/>
  <c r="CA35" i="215"/>
  <c r="CW39" i="215"/>
  <c r="AP54" i="215"/>
  <c r="T83" i="215"/>
  <c r="U8" i="188"/>
  <c r="X12" i="188"/>
  <c r="BQ33" i="188"/>
  <c r="F13" i="188"/>
  <c r="U26" i="188"/>
  <c r="K32" i="188"/>
  <c r="BK54" i="215"/>
  <c r="BN42" i="215"/>
  <c r="BM42" i="215"/>
  <c r="BQ32" i="188"/>
  <c r="X6" i="188"/>
  <c r="AR41" i="188"/>
  <c r="AW39" i="188"/>
  <c r="AW41" i="188"/>
  <c r="DG125" i="5"/>
  <c r="DG129" i="5" s="1"/>
  <c r="DG103" i="5" s="1"/>
  <c r="EC125" i="5"/>
  <c r="AE8" i="25"/>
  <c r="AE18" i="25" s="1"/>
  <c r="AE24" i="25" s="1"/>
  <c r="AD11" i="25"/>
  <c r="BC8" i="25"/>
  <c r="BC18" i="25" s="1"/>
  <c r="BC24" i="25" s="1"/>
  <c r="BB11" i="25"/>
  <c r="BX11" i="25"/>
  <c r="BY8" i="25"/>
  <c r="BY18" i="25" s="1"/>
  <c r="BY24" i="25" s="1"/>
  <c r="H21" i="215"/>
  <c r="AH31" i="215"/>
  <c r="BI44" i="215"/>
  <c r="BH44" i="215"/>
  <c r="H44" i="215"/>
  <c r="N48" i="215"/>
  <c r="F14" i="188"/>
  <c r="Q19" i="188"/>
  <c r="Q20" i="188"/>
  <c r="AS41" i="188"/>
  <c r="DL41" i="188"/>
  <c r="DL38" i="188"/>
  <c r="DL43" i="188"/>
  <c r="DL51" i="188" s="1"/>
  <c r="BM54" i="215"/>
  <c r="BK44" i="215"/>
  <c r="BJ44" i="215"/>
  <c r="CY53" i="215"/>
  <c r="CY49" i="215"/>
  <c r="AJ49" i="215" s="1"/>
  <c r="AO43" i="188"/>
  <c r="AO51" i="188" s="1"/>
  <c r="AO57" i="188" s="1"/>
  <c r="AO38" i="188"/>
  <c r="L23" i="188"/>
  <c r="BH23" i="188"/>
  <c r="BH34" i="188"/>
  <c r="U13" i="188"/>
  <c r="DW34" i="188"/>
  <c r="DW40" i="188" s="1"/>
  <c r="AJ41" i="188"/>
  <c r="DM41" i="188"/>
  <c r="DW38" i="188"/>
  <c r="BH31" i="215"/>
  <c r="BH37" i="215" s="1"/>
  <c r="AR39" i="215"/>
  <c r="BX39" i="215"/>
  <c r="BX55" i="215" s="1"/>
  <c r="BX63" i="215" s="1"/>
  <c r="AU42" i="215"/>
  <c r="N52" i="215"/>
  <c r="AL41" i="188"/>
  <c r="DO41" i="188"/>
  <c r="F27" i="188"/>
  <c r="DP41" i="188"/>
  <c r="J49" i="215"/>
  <c r="CL83" i="215"/>
  <c r="CL88" i="215" s="1"/>
  <c r="CL89" i="215" s="1"/>
  <c r="W26" i="188"/>
  <c r="BN32" i="188"/>
  <c r="AK29" i="215"/>
  <c r="AF37" i="215"/>
  <c r="K48" i="215"/>
  <c r="N23" i="188"/>
  <c r="Q11" i="188"/>
  <c r="BE33" i="188"/>
  <c r="DT33" i="188"/>
  <c r="DT39" i="188" s="1"/>
  <c r="DT23" i="188"/>
  <c r="DJ43" i="188"/>
  <c r="DJ51" i="188" s="1"/>
  <c r="DJ39" i="188"/>
  <c r="V56" i="188"/>
  <c r="S55" i="188"/>
  <c r="BG23" i="188"/>
  <c r="BG33" i="188"/>
  <c r="BG39" i="188" s="1"/>
  <c r="DX38" i="188"/>
  <c r="U52" i="188"/>
  <c r="G53" i="188"/>
  <c r="N29" i="215"/>
  <c r="CZ35" i="215"/>
  <c r="L44" i="215"/>
  <c r="L48" i="215"/>
  <c r="BI33" i="188"/>
  <c r="BI39" i="188" s="1"/>
  <c r="BI23" i="188"/>
  <c r="DX23" i="188"/>
  <c r="DX33" i="188"/>
  <c r="DX39" i="188" s="1"/>
  <c r="F52" i="188"/>
  <c r="V52" i="188"/>
  <c r="U55" i="188"/>
  <c r="BP54" i="215"/>
  <c r="BJ23" i="188"/>
  <c r="BJ33" i="188"/>
  <c r="BJ39" i="188" s="1"/>
  <c r="AJ43" i="188"/>
  <c r="AJ51" i="188" s="1"/>
  <c r="AJ57" i="188" s="1"/>
  <c r="DG43" i="188"/>
  <c r="DG51" i="188" s="1"/>
  <c r="F45" i="188"/>
  <c r="K50" i="188"/>
  <c r="BM34" i="188"/>
  <c r="BM23" i="188"/>
  <c r="EB23" i="188"/>
  <c r="BM21" i="215"/>
  <c r="AM39" i="215"/>
  <c r="K51" i="215"/>
  <c r="CP83" i="215"/>
  <c r="CP88" i="215" s="1"/>
  <c r="CP89" i="215" s="1"/>
  <c r="F6" i="188"/>
  <c r="EC34" i="188"/>
  <c r="EC40" i="188" s="1"/>
  <c r="BA23" i="188"/>
  <c r="P32" i="188"/>
  <c r="AV43" i="188"/>
  <c r="AV51" i="188" s="1"/>
  <c r="AV57" i="188" s="1"/>
  <c r="U50" i="188"/>
  <c r="AT35" i="215"/>
  <c r="AP42" i="215"/>
  <c r="BO34" i="188"/>
  <c r="BO40" i="188" s="1"/>
  <c r="DT38" i="188"/>
  <c r="DH43" i="188"/>
  <c r="DH51" i="188" s="1"/>
  <c r="DH39" i="188"/>
  <c r="L50" i="188"/>
  <c r="AQ43" i="188"/>
  <c r="AQ51" i="188" s="1"/>
  <c r="AQ57" i="188" s="1"/>
  <c r="AQ41" i="188"/>
  <c r="M50" i="188"/>
  <c r="W10" i="188"/>
  <c r="R19" i="188"/>
  <c r="EA23" i="188"/>
  <c r="DF43" i="188"/>
  <c r="DF51" i="188" s="1"/>
  <c r="DF38" i="188"/>
  <c r="EA38" i="188"/>
  <c r="Q55" i="188"/>
  <c r="AS38" i="188"/>
  <c r="AS43" i="188"/>
  <c r="AS51" i="188" s="1"/>
  <c r="AS57" i="188" s="1"/>
  <c r="DJ55" i="215"/>
  <c r="BU23" i="188"/>
  <c r="DZ34" i="188"/>
  <c r="DZ40" i="188" s="1"/>
  <c r="R14" i="188"/>
  <c r="AO41" i="188"/>
  <c r="BL23" i="188"/>
  <c r="EA34" i="188"/>
  <c r="EA40" i="188" s="1"/>
  <c r="DF41" i="188"/>
  <c r="DI43" i="188"/>
  <c r="DI51" i="188" s="1"/>
  <c r="U56" i="188"/>
  <c r="X83" i="215"/>
  <c r="U12" i="188"/>
  <c r="DW23" i="188"/>
  <c r="BT23" i="188"/>
  <c r="F29" i="188"/>
  <c r="AZ23" i="188"/>
  <c r="J53" i="215"/>
  <c r="AG54" i="215"/>
  <c r="CX116" i="215"/>
  <c r="CX41" i="215" s="1"/>
  <c r="BN23" i="188"/>
  <c r="BN33" i="188"/>
  <c r="DS34" i="188"/>
  <c r="DS40" i="188" s="1"/>
  <c r="AM43" i="188"/>
  <c r="AM51" i="188" s="1"/>
  <c r="AM57" i="188" s="1"/>
  <c r="AM38" i="188"/>
  <c r="L32" i="188"/>
  <c r="R12" i="188"/>
  <c r="R27" i="188"/>
  <c r="AM41" i="188"/>
  <c r="W11" i="188"/>
  <c r="EB39" i="188"/>
  <c r="X52" i="188"/>
  <c r="DY23" i="188"/>
  <c r="F46" i="188"/>
  <c r="S7" i="188"/>
  <c r="DY33" i="188"/>
  <c r="W23" i="185"/>
  <c r="W18" i="185"/>
  <c r="W26" i="185" s="1"/>
  <c r="AU23" i="185"/>
  <c r="AU18" i="185"/>
  <c r="AU26" i="185" s="1"/>
  <c r="BP18" i="185"/>
  <c r="BP26" i="185" s="1"/>
  <c r="BP23" i="185"/>
  <c r="AA23" i="185"/>
  <c r="AA18" i="185"/>
  <c r="AA26" i="185" s="1"/>
  <c r="M23" i="185"/>
  <c r="M18" i="185"/>
  <c r="AK18" i="185"/>
  <c r="AK26" i="185" s="1"/>
  <c r="AK23" i="185"/>
  <c r="BX24" i="185"/>
  <c r="BX18" i="185"/>
  <c r="BX26" i="185" s="1"/>
  <c r="AB18" i="185"/>
  <c r="AB26" i="185" s="1"/>
  <c r="BK18" i="185"/>
  <c r="BK26" i="185" s="1"/>
  <c r="AJ25" i="185"/>
  <c r="AK8" i="25"/>
  <c r="AK18" i="25" s="1"/>
  <c r="AK24" i="25" s="1"/>
  <c r="AL18" i="185"/>
  <c r="AL26" i="185" s="1"/>
  <c r="BH18" i="185"/>
  <c r="BH26" i="185" s="1"/>
  <c r="AC18" i="185"/>
  <c r="AC26" i="185" s="1"/>
  <c r="BL18" i="185"/>
  <c r="BL26" i="185" s="1"/>
  <c r="O18" i="185"/>
  <c r="BO18" i="185"/>
  <c r="BO26" i="185" s="1"/>
  <c r="AB11" i="25"/>
  <c r="AC8" i="25"/>
  <c r="AC18" i="25" s="1"/>
  <c r="AC24" i="25" s="1"/>
  <c r="P18" i="185"/>
  <c r="BJ18" i="185"/>
  <c r="BJ26" i="185" s="1"/>
  <c r="AE18" i="185"/>
  <c r="AE26" i="185" s="1"/>
  <c r="BN23" i="185"/>
  <c r="Q23" i="185"/>
  <c r="Q18" i="185"/>
  <c r="AO18" i="185"/>
  <c r="AO26" i="185" s="1"/>
  <c r="BT18" i="185"/>
  <c r="BT26" i="185" s="1"/>
  <c r="P57" i="25"/>
  <c r="AP18" i="185"/>
  <c r="AP26" i="185" s="1"/>
  <c r="AP23" i="185"/>
  <c r="AH18" i="185"/>
  <c r="AH26" i="185" s="1"/>
  <c r="BU18" i="185"/>
  <c r="BU26" i="185" s="1"/>
  <c r="BQ23" i="185"/>
  <c r="R24" i="185"/>
  <c r="T23" i="185"/>
  <c r="T18" i="185"/>
  <c r="T26" i="185" s="1"/>
  <c r="AQ18" i="185"/>
  <c r="AQ26" i="185" s="1"/>
  <c r="BM18" i="185"/>
  <c r="BM26" i="185" s="1"/>
  <c r="BW18" i="185"/>
  <c r="BW26" i="185" s="1"/>
  <c r="AL23" i="185"/>
  <c r="BV23" i="185"/>
  <c r="G8" i="25"/>
  <c r="G18" i="25" s="1"/>
  <c r="G24" i="25" s="1"/>
  <c r="F11" i="25"/>
  <c r="F16" i="25" s="1"/>
  <c r="AJ18" i="25"/>
  <c r="AJ24" i="25" s="1"/>
  <c r="AR18" i="185"/>
  <c r="AR26" i="185" s="1"/>
  <c r="AR23" i="185"/>
  <c r="M5" i="25"/>
  <c r="M38" i="25" s="1"/>
  <c r="BJ13" i="25"/>
  <c r="AN18" i="185"/>
  <c r="AN26" i="185" s="1"/>
  <c r="AT18" i="185"/>
  <c r="AT26" i="185" s="1"/>
  <c r="N5" i="25"/>
  <c r="N38" i="25" s="1"/>
  <c r="AV18" i="185"/>
  <c r="AV26" i="185" s="1"/>
  <c r="AV23" i="185"/>
  <c r="L8" i="25"/>
  <c r="L18" i="25" s="1"/>
  <c r="L24" i="25" s="1"/>
  <c r="K11" i="25"/>
  <c r="K16" i="25" s="1"/>
  <c r="AX18" i="185"/>
  <c r="AX26" i="185" s="1"/>
  <c r="AY23" i="185"/>
  <c r="AY18" i="185"/>
  <c r="AY26" i="185" s="1"/>
  <c r="N18" i="185"/>
  <c r="T5" i="25"/>
  <c r="T38" i="25" s="1"/>
  <c r="N8" i="25"/>
  <c r="N18" i="25" s="1"/>
  <c r="N24" i="25" s="1"/>
  <c r="M11" i="25"/>
  <c r="M16" i="25" s="1"/>
  <c r="X13" i="25"/>
  <c r="BM18" i="25"/>
  <c r="BM24" i="25" s="1"/>
  <c r="AD13" i="25"/>
  <c r="U18" i="185"/>
  <c r="U26" i="185" s="1"/>
  <c r="AG13" i="25"/>
  <c r="BC18" i="185"/>
  <c r="BC26" i="185" s="1"/>
  <c r="P23" i="185"/>
  <c r="Y18" i="185"/>
  <c r="Y26" i="185" s="1"/>
  <c r="BD18" i="185"/>
  <c r="BD26" i="185" s="1"/>
  <c r="BH23" i="185"/>
  <c r="G24" i="185"/>
  <c r="D16" i="185"/>
  <c r="D24" i="185" s="1"/>
  <c r="BE18" i="185"/>
  <c r="BE26" i="185" s="1"/>
  <c r="V23" i="185"/>
  <c r="BG18" i="185"/>
  <c r="BG26" i="185" s="1"/>
  <c r="BJ23" i="185"/>
  <c r="AM18" i="185"/>
  <c r="AM26" i="185" s="1"/>
  <c r="BI18" i="185"/>
  <c r="BI26" i="185" s="1"/>
  <c r="M18" i="25"/>
  <c r="M24" i="25" s="1"/>
  <c r="AE46" i="25"/>
  <c r="BW39" i="188" l="1"/>
  <c r="AD33" i="188"/>
  <c r="BW38" i="188"/>
  <c r="AD32" i="188"/>
  <c r="BW40" i="188"/>
  <c r="AD34" i="188"/>
  <c r="AD40" i="188" s="1"/>
  <c r="AX41" i="188"/>
  <c r="AX43" i="188"/>
  <c r="N34" i="5"/>
  <c r="N35" i="5"/>
  <c r="N41" i="5" s="1"/>
  <c r="N33" i="5"/>
  <c r="N38" i="5" s="1"/>
  <c r="EM60" i="5"/>
  <c r="EO60" i="5"/>
  <c r="AU60" i="5" s="1"/>
  <c r="EN60" i="5"/>
  <c r="EN62" i="5" s="1"/>
  <c r="K34" i="5"/>
  <c r="K40" i="5" s="1"/>
  <c r="EL62" i="5"/>
  <c r="CS54" i="215"/>
  <c r="CS55" i="215" s="1"/>
  <c r="CW54" i="215"/>
  <c r="CW55" i="215" s="1"/>
  <c r="AJ53" i="215"/>
  <c r="K53" i="215" s="1"/>
  <c r="CQ54" i="215"/>
  <c r="CQ55" i="215" s="1"/>
  <c r="CW42" i="215"/>
  <c r="CS42" i="215"/>
  <c r="AH42" i="215" s="1"/>
  <c r="AH49" i="215"/>
  <c r="AI49" i="215"/>
  <c r="CT54" i="215"/>
  <c r="CT55" i="215" s="1"/>
  <c r="Y63" i="215"/>
  <c r="AH41" i="215"/>
  <c r="CR54" i="215"/>
  <c r="CR55" i="215" s="1"/>
  <c r="CT42" i="215"/>
  <c r="DB55" i="215"/>
  <c r="AI41" i="215"/>
  <c r="DU43" i="188"/>
  <c r="DU51" i="188" s="1"/>
  <c r="AC32" i="188"/>
  <c r="AC38" i="188" s="1"/>
  <c r="N25" i="5"/>
  <c r="AL86" i="5"/>
  <c r="N59" i="5"/>
  <c r="N47" i="5"/>
  <c r="Z32" i="188"/>
  <c r="Z38" i="188" s="1"/>
  <c r="BM40" i="188"/>
  <c r="Z34" i="188"/>
  <c r="BM39" i="188"/>
  <c r="Z33" i="188"/>
  <c r="BV39" i="188"/>
  <c r="AC33" i="188"/>
  <c r="AC39" i="188" s="1"/>
  <c r="BV40" i="188"/>
  <c r="AC34" i="188"/>
  <c r="AC40" i="188" s="1"/>
  <c r="BP40" i="188"/>
  <c r="AA34" i="188"/>
  <c r="AA40" i="188" s="1"/>
  <c r="BP39" i="188"/>
  <c r="AA33" i="188"/>
  <c r="AA39" i="188" s="1"/>
  <c r="BS38" i="188"/>
  <c r="AB32" i="188"/>
  <c r="AA32" i="188"/>
  <c r="BS39" i="188"/>
  <c r="AB33" i="188"/>
  <c r="AB39" i="188" s="1"/>
  <c r="BS40" i="188"/>
  <c r="AB34" i="188"/>
  <c r="AB40" i="188" s="1"/>
  <c r="Z23" i="188"/>
  <c r="I12" i="188"/>
  <c r="I23" i="188" s="1"/>
  <c r="AU40" i="5"/>
  <c r="AU41" i="5"/>
  <c r="DA54" i="215"/>
  <c r="DA55" i="215" s="1"/>
  <c r="AJ41" i="215"/>
  <c r="AE39" i="215"/>
  <c r="AK41" i="215"/>
  <c r="AD63" i="215"/>
  <c r="AD55" i="215"/>
  <c r="CU55" i="215"/>
  <c r="BM39" i="215"/>
  <c r="BM55" i="215" s="1"/>
  <c r="CY54" i="215"/>
  <c r="CY55" i="215" s="1"/>
  <c r="J25" i="215"/>
  <c r="H39" i="215"/>
  <c r="H55" i="215" s="1"/>
  <c r="H95" i="215" s="1"/>
  <c r="H106" i="215" s="1"/>
  <c r="BU14" i="12"/>
  <c r="M39" i="5"/>
  <c r="BT14" i="12"/>
  <c r="AK41" i="188"/>
  <c r="AK43" i="188"/>
  <c r="AK51" i="188" s="1"/>
  <c r="AK57" i="188" s="1"/>
  <c r="H35" i="188"/>
  <c r="R50" i="188"/>
  <c r="F12" i="188"/>
  <c r="F23" i="188" s="1"/>
  <c r="P50" i="188"/>
  <c r="M42" i="215"/>
  <c r="J26" i="215"/>
  <c r="BK39" i="215"/>
  <c r="BK55" i="215" s="1"/>
  <c r="AF39" i="215"/>
  <c r="K33" i="188"/>
  <c r="K39" i="188" s="1"/>
  <c r="BL39" i="215"/>
  <c r="BL55" i="215" s="1"/>
  <c r="DU41" i="188"/>
  <c r="H50" i="188"/>
  <c r="DW41" i="188"/>
  <c r="DW43" i="188"/>
  <c r="DW51" i="188" s="1"/>
  <c r="V47" i="25"/>
  <c r="V48" i="25" s="1"/>
  <c r="CL42" i="5"/>
  <c r="BP14" i="12"/>
  <c r="ED41" i="188"/>
  <c r="G35" i="188"/>
  <c r="ED43" i="188"/>
  <c r="ED51" i="188" s="1"/>
  <c r="AX51" i="188"/>
  <c r="AX57" i="188" s="1"/>
  <c r="DV43" i="188"/>
  <c r="DV51" i="188" s="1"/>
  <c r="CU38" i="5"/>
  <c r="AE79" i="5"/>
  <c r="J79" i="5" s="1"/>
  <c r="BW101" i="5"/>
  <c r="H10" i="12"/>
  <c r="H14" i="12" s="1"/>
  <c r="EI62" i="5"/>
  <c r="EI101" i="5" s="1"/>
  <c r="BS86" i="5"/>
  <c r="BS89" i="5" s="1"/>
  <c r="BU41" i="188"/>
  <c r="DH62" i="5"/>
  <c r="DH68" i="5" s="1"/>
  <c r="DH70" i="5" s="1"/>
  <c r="O8" i="12"/>
  <c r="I57" i="5"/>
  <c r="BC43" i="188"/>
  <c r="BC51" i="188" s="1"/>
  <c r="BC57" i="188" s="1"/>
  <c r="H54" i="188"/>
  <c r="G27" i="188"/>
  <c r="BT41" i="188"/>
  <c r="AD44" i="5"/>
  <c r="W23" i="188"/>
  <c r="I67" i="5"/>
  <c r="H14" i="188"/>
  <c r="DV41" i="188"/>
  <c r="AW51" i="188"/>
  <c r="AW57" i="188" s="1"/>
  <c r="F35" i="188"/>
  <c r="EP112" i="5"/>
  <c r="CA18" i="12"/>
  <c r="H10" i="188"/>
  <c r="AR39" i="5"/>
  <c r="AD16" i="25"/>
  <c r="V59" i="5"/>
  <c r="CU42" i="5"/>
  <c r="AI59" i="5"/>
  <c r="AQ39" i="5"/>
  <c r="CU44" i="5"/>
  <c r="CU62" i="5" s="1"/>
  <c r="AK42" i="5"/>
  <c r="H15" i="188"/>
  <c r="BJ18" i="12"/>
  <c r="DY68" i="5"/>
  <c r="DY70" i="5" s="1"/>
  <c r="BY129" i="5"/>
  <c r="BY103" i="5" s="1"/>
  <c r="AK44" i="5"/>
  <c r="AK62" i="5" s="1"/>
  <c r="AK68" i="5" s="1"/>
  <c r="AK70" i="5" s="1"/>
  <c r="CO62" i="5"/>
  <c r="CO68" i="5" s="1"/>
  <c r="CO70" i="5" s="1"/>
  <c r="AH25" i="5"/>
  <c r="AH42" i="5" s="1"/>
  <c r="BA41" i="188"/>
  <c r="Z14" i="12"/>
  <c r="H56" i="188"/>
  <c r="G28" i="188"/>
  <c r="AB10" i="12"/>
  <c r="AB14" i="12" s="1"/>
  <c r="G10" i="188"/>
  <c r="X127" i="5"/>
  <c r="I39" i="5"/>
  <c r="V32" i="188"/>
  <c r="V38" i="188" s="1"/>
  <c r="BE41" i="188"/>
  <c r="BR129" i="5"/>
  <c r="BR103" i="5" s="1"/>
  <c r="DR62" i="5"/>
  <c r="DR101" i="5" s="1"/>
  <c r="BC18" i="12" s="1"/>
  <c r="J58" i="5"/>
  <c r="AD59" i="5"/>
  <c r="AA125" i="5"/>
  <c r="G12" i="188"/>
  <c r="CW129" i="5"/>
  <c r="CW103" i="5" s="1"/>
  <c r="K47" i="5"/>
  <c r="AD124" i="5"/>
  <c r="H46" i="5"/>
  <c r="AR44" i="5"/>
  <c r="AR62" i="5" s="1"/>
  <c r="AR68" i="5" s="1"/>
  <c r="AR70" i="5" s="1"/>
  <c r="DL68" i="5"/>
  <c r="DL70" i="5" s="1"/>
  <c r="DL101" i="5"/>
  <c r="DL112" i="5" s="1"/>
  <c r="BT43" i="188"/>
  <c r="BT51" i="188" s="1"/>
  <c r="BT57" i="188" s="1"/>
  <c r="I7" i="5"/>
  <c r="AW10" i="12"/>
  <c r="AW14" i="12" s="1"/>
  <c r="CS129" i="5"/>
  <c r="CS103" i="5" s="1"/>
  <c r="BW41" i="188"/>
  <c r="CQ129" i="5"/>
  <c r="CQ103" i="5" s="1"/>
  <c r="BW43" i="188"/>
  <c r="BW51" i="188" s="1"/>
  <c r="BW57" i="188" s="1"/>
  <c r="G52" i="188"/>
  <c r="Q32" i="188"/>
  <c r="Q38" i="188" s="1"/>
  <c r="BM38" i="188"/>
  <c r="X16" i="25"/>
  <c r="K25" i="5"/>
  <c r="BD43" i="188"/>
  <c r="BD51" i="188" s="1"/>
  <c r="BD57" i="188" s="1"/>
  <c r="I105" i="5"/>
  <c r="J54" i="5"/>
  <c r="AC25" i="5"/>
  <c r="AJ59" i="5"/>
  <c r="AO18" i="25"/>
  <c r="AO24" i="25" s="1"/>
  <c r="BL41" i="188"/>
  <c r="BR89" i="5"/>
  <c r="BZ62" i="5"/>
  <c r="BZ101" i="5" s="1"/>
  <c r="AO44" i="5"/>
  <c r="AO62" i="5" s="1"/>
  <c r="AO68" i="5" s="1"/>
  <c r="AO70" i="5" s="1"/>
  <c r="EE62" i="5"/>
  <c r="EE68" i="5" s="1"/>
  <c r="EE70" i="5" s="1"/>
  <c r="AH125" i="5"/>
  <c r="H107" i="5"/>
  <c r="R44" i="5"/>
  <c r="R62" i="5" s="1"/>
  <c r="R101" i="5" s="1"/>
  <c r="BR43" i="188"/>
  <c r="BR51" i="188" s="1"/>
  <c r="BR57" i="188" s="1"/>
  <c r="BZ42" i="5"/>
  <c r="H27" i="188"/>
  <c r="V127" i="5"/>
  <c r="H58" i="5"/>
  <c r="G33" i="5"/>
  <c r="G38" i="5" s="1"/>
  <c r="DK62" i="5"/>
  <c r="DK68" i="5" s="1"/>
  <c r="DK70" i="5" s="1"/>
  <c r="G8" i="188"/>
  <c r="M127" i="5"/>
  <c r="BZ38" i="5"/>
  <c r="AZ43" i="188"/>
  <c r="AZ51" i="188" s="1"/>
  <c r="AZ57" i="188" s="1"/>
  <c r="EB129" i="5"/>
  <c r="EB103" i="5" s="1"/>
  <c r="AT125" i="5"/>
  <c r="BW129" i="5"/>
  <c r="BW103" i="5" s="1"/>
  <c r="AC124" i="5"/>
  <c r="W44" i="5"/>
  <c r="AE47" i="25"/>
  <c r="AE48" i="25" s="1"/>
  <c r="J29" i="5"/>
  <c r="CR129" i="5"/>
  <c r="CR103" i="5" s="1"/>
  <c r="W42" i="5"/>
  <c r="CB42" i="5"/>
  <c r="L47" i="5"/>
  <c r="BD41" i="188"/>
  <c r="ED129" i="5"/>
  <c r="ED103" i="5" s="1"/>
  <c r="J67" i="5"/>
  <c r="J33" i="5"/>
  <c r="J38" i="5" s="1"/>
  <c r="EJ62" i="5"/>
  <c r="EJ101" i="5" s="1"/>
  <c r="AR42" i="5"/>
  <c r="BJ16" i="25"/>
  <c r="BJ41" i="188"/>
  <c r="AW18" i="25"/>
  <c r="AW24" i="25" s="1"/>
  <c r="H8" i="188"/>
  <c r="CB129" i="5"/>
  <c r="CB103" i="5" s="1"/>
  <c r="CX129" i="5"/>
  <c r="CX103" i="5" s="1"/>
  <c r="BV129" i="5"/>
  <c r="BV103" i="5" s="1"/>
  <c r="I107" i="5"/>
  <c r="DX62" i="5"/>
  <c r="DX68" i="5" s="1"/>
  <c r="DX70" i="5" s="1"/>
  <c r="L25" i="5"/>
  <c r="AL44" i="5"/>
  <c r="AL62" i="5" s="1"/>
  <c r="AL68" i="5" s="1"/>
  <c r="AL70" i="5" s="1"/>
  <c r="CN44" i="5"/>
  <c r="Y10" i="12" s="1"/>
  <c r="Y14" i="12" s="1"/>
  <c r="H28" i="188"/>
  <c r="AU125" i="5"/>
  <c r="R40" i="5"/>
  <c r="CN42" i="5"/>
  <c r="M47" i="5"/>
  <c r="BS41" i="188"/>
  <c r="BB41" i="188"/>
  <c r="L35" i="5"/>
  <c r="L41" i="5" s="1"/>
  <c r="G25" i="5"/>
  <c r="I14" i="5"/>
  <c r="J13" i="5"/>
  <c r="J25" i="5" s="1"/>
  <c r="U44" i="5"/>
  <c r="U62" i="5" s="1"/>
  <c r="Y86" i="5"/>
  <c r="H86" i="5" s="1"/>
  <c r="DC129" i="5"/>
  <c r="DC103" i="5" s="1"/>
  <c r="BL43" i="188"/>
  <c r="BL51" i="188" s="1"/>
  <c r="BL57" i="188" s="1"/>
  <c r="H53" i="188"/>
  <c r="BP41" i="188"/>
  <c r="L108" i="5"/>
  <c r="R33" i="188"/>
  <c r="R39" i="188" s="1"/>
  <c r="BS129" i="5"/>
  <c r="BS103" i="5" s="1"/>
  <c r="AT42" i="5"/>
  <c r="AF127" i="5"/>
  <c r="S18" i="25"/>
  <c r="S24" i="25" s="1"/>
  <c r="H18" i="188"/>
  <c r="G56" i="188"/>
  <c r="G9" i="188"/>
  <c r="H28" i="5"/>
  <c r="H33" i="5" s="1"/>
  <c r="BJ43" i="188"/>
  <c r="BJ51" i="188" s="1"/>
  <c r="BJ57" i="188" s="1"/>
  <c r="G15" i="188"/>
  <c r="CX62" i="5"/>
  <c r="CX101" i="5" s="1"/>
  <c r="G26" i="188"/>
  <c r="W127" i="5"/>
  <c r="G55" i="188"/>
  <c r="BR41" i="188"/>
  <c r="S34" i="188"/>
  <c r="S40" i="188" s="1"/>
  <c r="BZ129" i="5"/>
  <c r="BZ103" i="5" s="1"/>
  <c r="AH47" i="25"/>
  <c r="AH48" i="25" s="1"/>
  <c r="H29" i="5"/>
  <c r="X35" i="5"/>
  <c r="X41" i="5" s="1"/>
  <c r="R26" i="25"/>
  <c r="G18" i="188"/>
  <c r="CT129" i="5"/>
  <c r="CT103" i="5" s="1"/>
  <c r="AC125" i="5"/>
  <c r="DT101" i="5"/>
  <c r="DN62" i="5"/>
  <c r="DN68" i="5" s="1"/>
  <c r="DN70" i="5" s="1"/>
  <c r="DN94" i="5" s="1"/>
  <c r="V34" i="188"/>
  <c r="V40" i="188" s="1"/>
  <c r="BG18" i="25"/>
  <c r="BG24" i="25" s="1"/>
  <c r="V124" i="5"/>
  <c r="BU38" i="5"/>
  <c r="AC41" i="5"/>
  <c r="BQ10" i="12"/>
  <c r="BM43" i="188"/>
  <c r="BM51" i="188" s="1"/>
  <c r="BM57" i="188" s="1"/>
  <c r="AQ125" i="5"/>
  <c r="AM125" i="5"/>
  <c r="AB59" i="5"/>
  <c r="CZ44" i="5"/>
  <c r="AK10" i="12" s="1"/>
  <c r="AK14" i="12" s="1"/>
  <c r="BU42" i="5"/>
  <c r="CV91" i="5"/>
  <c r="CW91" i="5" s="1"/>
  <c r="M124" i="5"/>
  <c r="W59" i="5"/>
  <c r="DA129" i="5"/>
  <c r="DA103" i="5" s="1"/>
  <c r="EF68" i="5"/>
  <c r="EF70" i="5" s="1"/>
  <c r="BU43" i="188"/>
  <c r="BU51" i="188" s="1"/>
  <c r="BU57" i="188" s="1"/>
  <c r="L107" i="5"/>
  <c r="Q23" i="188"/>
  <c r="BK43" i="188"/>
  <c r="BK51" i="188" s="1"/>
  <c r="BK57" i="188" s="1"/>
  <c r="Y95" i="5"/>
  <c r="H95" i="5" s="1"/>
  <c r="J36" i="215"/>
  <c r="J21" i="215"/>
  <c r="M107" i="5"/>
  <c r="J37" i="215"/>
  <c r="N26" i="215"/>
  <c r="M108" i="5"/>
  <c r="N25" i="215"/>
  <c r="EB40" i="188"/>
  <c r="EB43" i="188"/>
  <c r="EB51" i="188" s="1"/>
  <c r="J107" i="5"/>
  <c r="M25" i="5"/>
  <c r="CR62" i="5"/>
  <c r="AC10" i="12"/>
  <c r="AC14" i="12" s="1"/>
  <c r="G14" i="188"/>
  <c r="AQ47" i="25"/>
  <c r="AQ48" i="25" s="1"/>
  <c r="H13" i="188"/>
  <c r="BK18" i="25"/>
  <c r="BK24" i="25" s="1"/>
  <c r="BC41" i="188"/>
  <c r="EK129" i="5"/>
  <c r="CS42" i="5"/>
  <c r="BO39" i="215"/>
  <c r="BO55" i="215" s="1"/>
  <c r="AD42" i="5"/>
  <c r="DO68" i="5"/>
  <c r="DO70" i="5" s="1"/>
  <c r="M34" i="5"/>
  <c r="M40" i="5" s="1"/>
  <c r="CV129" i="5"/>
  <c r="CV103" i="5" s="1"/>
  <c r="BK41" i="188"/>
  <c r="AG127" i="5"/>
  <c r="AZ47" i="25"/>
  <c r="AZ48" i="25" s="1"/>
  <c r="J35" i="5"/>
  <c r="J41" i="5" s="1"/>
  <c r="H19" i="188"/>
  <c r="BV41" i="188"/>
  <c r="AN125" i="5"/>
  <c r="BE10" i="12"/>
  <c r="BE14" i="12" s="1"/>
  <c r="DV62" i="5"/>
  <c r="DV101" i="5" s="1"/>
  <c r="EB41" i="188"/>
  <c r="DX43" i="188"/>
  <c r="DX51" i="188" s="1"/>
  <c r="V4" i="25"/>
  <c r="W4" i="25" s="1"/>
  <c r="BM41" i="188"/>
  <c r="BG43" i="188"/>
  <c r="BG51" i="188" s="1"/>
  <c r="BG57" i="188" s="1"/>
  <c r="H55" i="188"/>
  <c r="DT41" i="188"/>
  <c r="EC41" i="188"/>
  <c r="N43" i="188"/>
  <c r="N51" i="188" s="1"/>
  <c r="N57" i="188" s="1"/>
  <c r="AP124" i="5"/>
  <c r="BS43" i="188"/>
  <c r="BS51" i="188" s="1"/>
  <c r="BS57" i="188" s="1"/>
  <c r="AA124" i="5"/>
  <c r="CP129" i="5"/>
  <c r="I35" i="5"/>
  <c r="S44" i="5"/>
  <c r="S62" i="5" s="1"/>
  <c r="S68" i="5" s="1"/>
  <c r="S70" i="5" s="1"/>
  <c r="BJ10" i="12"/>
  <c r="BJ14" i="12" s="1"/>
  <c r="CC129" i="5"/>
  <c r="CC103" i="5" s="1"/>
  <c r="AK42" i="215"/>
  <c r="N42" i="215"/>
  <c r="BQ39" i="215"/>
  <c r="BQ55" i="215" s="1"/>
  <c r="Y125" i="5"/>
  <c r="Z18" i="25"/>
  <c r="Z24" i="25" s="1"/>
  <c r="Q33" i="188"/>
  <c r="Q39" i="188" s="1"/>
  <c r="K107" i="5"/>
  <c r="AO42" i="5"/>
  <c r="K53" i="5"/>
  <c r="K59" i="5" s="1"/>
  <c r="BT129" i="5"/>
  <c r="BT103" i="5" s="1"/>
  <c r="AJ125" i="5"/>
  <c r="AG125" i="5"/>
  <c r="EI89" i="5"/>
  <c r="L59" i="5"/>
  <c r="BN41" i="188"/>
  <c r="EC43" i="188"/>
  <c r="EC51" i="188" s="1"/>
  <c r="H7" i="188"/>
  <c r="DX41" i="188"/>
  <c r="H26" i="188"/>
  <c r="BA43" i="188"/>
  <c r="BA51" i="188" s="1"/>
  <c r="BA57" i="188" s="1"/>
  <c r="Z25" i="5"/>
  <c r="BG39" i="215"/>
  <c r="BG55" i="215" s="1"/>
  <c r="H9" i="188"/>
  <c r="D18" i="185"/>
  <c r="F50" i="188"/>
  <c r="M125" i="5"/>
  <c r="BR39" i="215"/>
  <c r="BR55" i="215" s="1"/>
  <c r="H34" i="5"/>
  <c r="H40" i="5" s="1"/>
  <c r="AI125" i="5"/>
  <c r="BJ39" i="215"/>
  <c r="BJ55" i="215" s="1"/>
  <c r="DT43" i="188"/>
  <c r="DT51" i="188" s="1"/>
  <c r="V23" i="188"/>
  <c r="DM62" i="5"/>
  <c r="DM101" i="5" s="1"/>
  <c r="AZ10" i="12"/>
  <c r="AZ14" i="12" s="1"/>
  <c r="I29" i="5"/>
  <c r="AL55" i="215"/>
  <c r="M54" i="215"/>
  <c r="N24" i="215"/>
  <c r="M59" i="5"/>
  <c r="AU55" i="215"/>
  <c r="M37" i="215"/>
  <c r="AV55" i="215"/>
  <c r="N21" i="215"/>
  <c r="AS55" i="215"/>
  <c r="L37" i="215"/>
  <c r="M21" i="215"/>
  <c r="AP55" i="215"/>
  <c r="M35" i="215"/>
  <c r="AQ55" i="215"/>
  <c r="N36" i="215"/>
  <c r="L21" i="215"/>
  <c r="AM55" i="215"/>
  <c r="AW55" i="215"/>
  <c r="N37" i="215"/>
  <c r="J54" i="215"/>
  <c r="CS62" i="5"/>
  <c r="AD10" i="12"/>
  <c r="AD14" i="12" s="1"/>
  <c r="P58" i="25"/>
  <c r="G19" i="188"/>
  <c r="AJ39" i="215"/>
  <c r="AA123" i="5"/>
  <c r="AW11" i="25"/>
  <c r="AX8" i="25"/>
  <c r="AX18" i="25" s="1"/>
  <c r="AX24" i="25" s="1"/>
  <c r="S11" i="25"/>
  <c r="S16" i="25" s="1"/>
  <c r="T8" i="25"/>
  <c r="T18" i="25" s="1"/>
  <c r="T24" i="25" s="1"/>
  <c r="BW11" i="25"/>
  <c r="BX8" i="25"/>
  <c r="BX18" i="25" s="1"/>
  <c r="BX24" i="25" s="1"/>
  <c r="AY11" i="25"/>
  <c r="AZ8" i="25"/>
  <c r="AZ18" i="25" s="1"/>
  <c r="AZ24" i="25" s="1"/>
  <c r="AT55" i="215"/>
  <c r="AE59" i="5"/>
  <c r="AM38" i="5"/>
  <c r="AM42" i="5"/>
  <c r="AM44" i="5"/>
  <c r="AM62" i="5" s="1"/>
  <c r="AM68" i="5" s="1"/>
  <c r="AM70" i="5" s="1"/>
  <c r="F101" i="5"/>
  <c r="F112" i="5" s="1"/>
  <c r="F114" i="5" s="1"/>
  <c r="F68" i="5"/>
  <c r="F70" i="5" s="1"/>
  <c r="BX44" i="5"/>
  <c r="BX42" i="5"/>
  <c r="BX38" i="5"/>
  <c r="G34" i="5"/>
  <c r="G40" i="5" s="1"/>
  <c r="AH13" i="25"/>
  <c r="AG16" i="25"/>
  <c r="AB16" i="25"/>
  <c r="L38" i="188"/>
  <c r="L43" i="188"/>
  <c r="L51" i="188" s="1"/>
  <c r="L57" i="188" s="1"/>
  <c r="BI41" i="188"/>
  <c r="AK35" i="215"/>
  <c r="AK39" i="215"/>
  <c r="BX16" i="25"/>
  <c r="K38" i="188"/>
  <c r="F32" i="188"/>
  <c r="W34" i="188"/>
  <c r="W40" i="188" s="1"/>
  <c r="BN40" i="188"/>
  <c r="BY16" i="25"/>
  <c r="AO55" i="215"/>
  <c r="V33" i="188"/>
  <c r="V39" i="188" s="1"/>
  <c r="BK39" i="188"/>
  <c r="Y16" i="25"/>
  <c r="U23" i="188"/>
  <c r="H6" i="188"/>
  <c r="AH39" i="215"/>
  <c r="K29" i="215"/>
  <c r="AH35" i="215"/>
  <c r="CF91" i="5"/>
  <c r="BQ11" i="25"/>
  <c r="BR8" i="25"/>
  <c r="BR18" i="25" s="1"/>
  <c r="BR24" i="25" s="1"/>
  <c r="BP8" i="25"/>
  <c r="BP18" i="25" s="1"/>
  <c r="BP24" i="25" s="1"/>
  <c r="BO11" i="25"/>
  <c r="X125" i="5"/>
  <c r="V41" i="5"/>
  <c r="AT41" i="5"/>
  <c r="EN129" i="5"/>
  <c r="EN103" i="5" s="1"/>
  <c r="EK89" i="5"/>
  <c r="AS89" i="5" s="1"/>
  <c r="M89" i="5" s="1"/>
  <c r="AS86" i="5"/>
  <c r="M86" i="5" s="1"/>
  <c r="S63" i="215"/>
  <c r="S95" i="215"/>
  <c r="S106" i="215" s="1"/>
  <c r="S109" i="215" s="1"/>
  <c r="T108" i="215" s="1"/>
  <c r="BI43" i="188"/>
  <c r="BI51" i="188" s="1"/>
  <c r="BI57" i="188" s="1"/>
  <c r="BI38" i="188"/>
  <c r="BA11" i="25"/>
  <c r="BB8" i="25"/>
  <c r="BB18" i="25" s="1"/>
  <c r="BB24" i="25" s="1"/>
  <c r="AB8" i="25"/>
  <c r="AB18" i="25" s="1"/>
  <c r="AB24" i="25" s="1"/>
  <c r="AA11" i="25"/>
  <c r="AD125" i="5"/>
  <c r="AT18" i="25"/>
  <c r="AT24" i="25" s="1"/>
  <c r="BL8" i="25"/>
  <c r="BL18" i="25" s="1"/>
  <c r="BL24" i="25" s="1"/>
  <c r="BK11" i="25"/>
  <c r="AU44" i="5"/>
  <c r="BZ10" i="12"/>
  <c r="Y33" i="5"/>
  <c r="Y25" i="5"/>
  <c r="CW62" i="5"/>
  <c r="AH10" i="12"/>
  <c r="AH14" i="12" s="1"/>
  <c r="AL40" i="5"/>
  <c r="L34" i="5"/>
  <c r="L40" i="5" s="1"/>
  <c r="CE62" i="5"/>
  <c r="P10" i="12"/>
  <c r="P14" i="12" s="1"/>
  <c r="U33" i="188"/>
  <c r="AN129" i="5"/>
  <c r="DT103" i="5"/>
  <c r="AV8" i="25"/>
  <c r="AV18" i="25" s="1"/>
  <c r="AV24" i="25" s="1"/>
  <c r="AU11" i="25"/>
  <c r="CA62" i="5"/>
  <c r="L10" i="12"/>
  <c r="L14" i="12" s="1"/>
  <c r="AQ42" i="5"/>
  <c r="AQ44" i="5"/>
  <c r="AQ62" i="5" s="1"/>
  <c r="AQ68" i="5" s="1"/>
  <c r="AQ70" i="5" s="1"/>
  <c r="AQ38" i="5"/>
  <c r="EB62" i="5"/>
  <c r="BM10" i="12"/>
  <c r="BM14" i="12" s="1"/>
  <c r="Z124" i="5"/>
  <c r="H25" i="5"/>
  <c r="DE62" i="5"/>
  <c r="AP10" i="12"/>
  <c r="AP14" i="12" s="1"/>
  <c r="DO112" i="5"/>
  <c r="AZ18" i="12"/>
  <c r="Q27" i="25"/>
  <c r="EI103" i="5"/>
  <c r="M43" i="188"/>
  <c r="M51" i="188" s="1"/>
  <c r="M57" i="188" s="1"/>
  <c r="M38" i="188"/>
  <c r="M41" i="188"/>
  <c r="AM11" i="25"/>
  <c r="AN8" i="25"/>
  <c r="AN18" i="25" s="1"/>
  <c r="AN24" i="25" s="1"/>
  <c r="CZ129" i="5"/>
  <c r="CZ103" i="5" s="1"/>
  <c r="DE129" i="5"/>
  <c r="AQ124" i="5"/>
  <c r="AE55" i="215"/>
  <c r="CH63" i="215"/>
  <c r="AE63" i="215" s="1"/>
  <c r="AI27" i="25"/>
  <c r="G35" i="215"/>
  <c r="G39" i="215"/>
  <c r="G55" i="215" s="1"/>
  <c r="G95" i="215" s="1"/>
  <c r="G106" i="215" s="1"/>
  <c r="G109" i="215" s="1"/>
  <c r="H108" i="215" s="1"/>
  <c r="AB125" i="5"/>
  <c r="DU62" i="5"/>
  <c r="BF10" i="12"/>
  <c r="BF14" i="12" s="1"/>
  <c r="X59" i="5"/>
  <c r="G59" i="5"/>
  <c r="U10" i="12"/>
  <c r="U14" i="12" s="1"/>
  <c r="CJ62" i="5"/>
  <c r="AP125" i="5"/>
  <c r="W33" i="188"/>
  <c r="W39" i="188" s="1"/>
  <c r="BN39" i="188"/>
  <c r="AJ27" i="25"/>
  <c r="BQ39" i="188"/>
  <c r="X33" i="188"/>
  <c r="X39" i="188" s="1"/>
  <c r="V95" i="215"/>
  <c r="V106" i="215" s="1"/>
  <c r="V109" i="215" s="1"/>
  <c r="V63" i="215"/>
  <c r="AE16" i="25"/>
  <c r="BV38" i="188"/>
  <c r="BV43" i="188"/>
  <c r="BV51" i="188" s="1"/>
  <c r="BV57" i="188" s="1"/>
  <c r="AI39" i="215"/>
  <c r="AI35" i="215"/>
  <c r="U11" i="25"/>
  <c r="V8" i="25"/>
  <c r="V18" i="25" s="1"/>
  <c r="V24" i="25" s="1"/>
  <c r="EG62" i="5"/>
  <c r="BR10" i="12"/>
  <c r="EC62" i="5"/>
  <c r="BN10" i="12"/>
  <c r="W10" i="12"/>
  <c r="W14" i="12" s="1"/>
  <c r="CL62" i="5"/>
  <c r="AH44" i="5"/>
  <c r="AH62" i="5" s="1"/>
  <c r="AH68" i="5" s="1"/>
  <c r="AH38" i="5"/>
  <c r="K33" i="5"/>
  <c r="T10" i="12"/>
  <c r="T14" i="12" s="1"/>
  <c r="CI62" i="5"/>
  <c r="DY39" i="188"/>
  <c r="DY43" i="188"/>
  <c r="DY51" i="188" s="1"/>
  <c r="N39" i="215"/>
  <c r="N35" i="215"/>
  <c r="AK27" i="25"/>
  <c r="Y127" i="5"/>
  <c r="R23" i="188"/>
  <c r="BQ40" i="188"/>
  <c r="X34" i="188"/>
  <c r="X40" i="188" s="1"/>
  <c r="CC18" i="25"/>
  <c r="CC24" i="25" s="1"/>
  <c r="I39" i="215"/>
  <c r="BS55" i="215"/>
  <c r="Z39" i="215"/>
  <c r="BG11" i="25"/>
  <c r="BH8" i="25"/>
  <c r="BH18" i="25" s="1"/>
  <c r="BH24" i="25" s="1"/>
  <c r="AM129" i="5"/>
  <c r="CP55" i="215"/>
  <c r="AG39" i="215"/>
  <c r="AK49" i="215"/>
  <c r="CZ54" i="215"/>
  <c r="CZ55" i="215" s="1"/>
  <c r="AL10" i="12"/>
  <c r="AL14" i="12" s="1"/>
  <c r="DA62" i="5"/>
  <c r="AH40" i="5"/>
  <c r="DY112" i="5"/>
  <c r="AC59" i="5"/>
  <c r="BO43" i="188"/>
  <c r="BO51" i="188" s="1"/>
  <c r="BO57" i="188" s="1"/>
  <c r="BO38" i="188"/>
  <c r="R32" i="188"/>
  <c r="BB43" i="188"/>
  <c r="BB51" i="188" s="1"/>
  <c r="BB57" i="188" s="1"/>
  <c r="BB38" i="188"/>
  <c r="CB16" i="25"/>
  <c r="BZ16" i="25"/>
  <c r="AH36" i="215"/>
  <c r="K30" i="215"/>
  <c r="K36" i="215" s="1"/>
  <c r="AK86" i="5"/>
  <c r="K86" i="5"/>
  <c r="BO8" i="25"/>
  <c r="BO18" i="25" s="1"/>
  <c r="BO24" i="25" s="1"/>
  <c r="BN11" i="25"/>
  <c r="AJ129" i="5"/>
  <c r="DH103" i="5"/>
  <c r="V10" i="12"/>
  <c r="V14" i="12" s="1"/>
  <c r="CK62" i="5"/>
  <c r="AT47" i="25"/>
  <c r="AT48" i="25" s="1"/>
  <c r="BX129" i="5"/>
  <c r="AN47" i="25"/>
  <c r="AN48" i="25" s="1"/>
  <c r="G35" i="5"/>
  <c r="G41" i="5" s="1"/>
  <c r="CH62" i="5"/>
  <c r="S10" i="12"/>
  <c r="S14" i="12" s="1"/>
  <c r="AM86" i="5"/>
  <c r="EN89" i="5"/>
  <c r="AT86" i="5"/>
  <c r="DP62" i="5"/>
  <c r="BA10" i="12"/>
  <c r="BA14" i="12" s="1"/>
  <c r="AT40" i="5"/>
  <c r="X124" i="5"/>
  <c r="DJ62" i="5"/>
  <c r="AU10" i="12"/>
  <c r="AU14" i="12" s="1"/>
  <c r="AK125" i="5"/>
  <c r="DK129" i="5"/>
  <c r="AR11" i="25"/>
  <c r="AS8" i="25"/>
  <c r="AS18" i="25" s="1"/>
  <c r="AS24" i="25" s="1"/>
  <c r="CV62" i="5"/>
  <c r="AG10" i="12"/>
  <c r="AG14" i="12" s="1"/>
  <c r="BT62" i="5"/>
  <c r="E10" i="12"/>
  <c r="E14" i="12" s="1"/>
  <c r="BH10" i="12"/>
  <c r="BH14" i="12" s="1"/>
  <c r="DW62" i="5"/>
  <c r="CQ101" i="5"/>
  <c r="CQ68" i="5"/>
  <c r="CQ70" i="5" s="1"/>
  <c r="BO41" i="188"/>
  <c r="BT16" i="25"/>
  <c r="AR86" i="5"/>
  <c r="EH89" i="5"/>
  <c r="AR89" i="5" s="1"/>
  <c r="R27" i="25"/>
  <c r="BF16" i="25"/>
  <c r="DZ103" i="5"/>
  <c r="DS43" i="188"/>
  <c r="DS51" i="188" s="1"/>
  <c r="EA129" i="5"/>
  <c r="EA103" i="5" s="1"/>
  <c r="AY18" i="25"/>
  <c r="AY24" i="25" s="1"/>
  <c r="BQ18" i="25"/>
  <c r="BQ24" i="25" s="1"/>
  <c r="U18" i="25"/>
  <c r="U24" i="25" s="1"/>
  <c r="N54" i="215"/>
  <c r="K35" i="5"/>
  <c r="K41" i="5" s="1"/>
  <c r="AG34" i="5"/>
  <c r="AK47" i="25"/>
  <c r="AK48" i="25" s="1"/>
  <c r="X8" i="12"/>
  <c r="CG44" i="5"/>
  <c r="CG38" i="5"/>
  <c r="CG42" i="5"/>
  <c r="AA33" i="5"/>
  <c r="DY41" i="188"/>
  <c r="EA43" i="188"/>
  <c r="EA51" i="188" s="1"/>
  <c r="H52" i="188"/>
  <c r="G20" i="188"/>
  <c r="H20" i="188"/>
  <c r="G13" i="188"/>
  <c r="S23" i="188"/>
  <c r="M36" i="215"/>
  <c r="AL27" i="25"/>
  <c r="U95" i="215"/>
  <c r="U106" i="215" s="1"/>
  <c r="U63" i="215"/>
  <c r="AL129" i="5"/>
  <c r="DN103" i="5"/>
  <c r="AC79" i="5"/>
  <c r="DG62" i="5"/>
  <c r="AR10" i="12"/>
  <c r="AR14" i="12" s="1"/>
  <c r="V125" i="5"/>
  <c r="BP16" i="25"/>
  <c r="AD40" i="5"/>
  <c r="CP62" i="5"/>
  <c r="AA10" i="12"/>
  <c r="AA14" i="12" s="1"/>
  <c r="BY62" i="5"/>
  <c r="J10" i="12"/>
  <c r="J14" i="12" s="1"/>
  <c r="J91" i="5"/>
  <c r="W123" i="5"/>
  <c r="BU129" i="5"/>
  <c r="AC33" i="5"/>
  <c r="CM42" i="5"/>
  <c r="CM44" i="5"/>
  <c r="CM38" i="5"/>
  <c r="AJ44" i="5"/>
  <c r="AL42" i="5"/>
  <c r="CC62" i="5"/>
  <c r="N10" i="12"/>
  <c r="N14" i="12" s="1"/>
  <c r="V5" i="25"/>
  <c r="V38" i="25" s="1"/>
  <c r="BY10" i="12"/>
  <c r="AN86" i="5"/>
  <c r="AE10" i="12"/>
  <c r="AE14" i="12" s="1"/>
  <c r="CT62" i="5"/>
  <c r="AS42" i="5"/>
  <c r="AS44" i="5"/>
  <c r="AS62" i="5" s="1"/>
  <c r="AS68" i="5" s="1"/>
  <c r="AS70" i="5" s="1"/>
  <c r="AS38" i="5"/>
  <c r="AJ42" i="5"/>
  <c r="X63" i="215"/>
  <c r="X95" i="215"/>
  <c r="X106" i="215" s="1"/>
  <c r="X109" i="215" s="1"/>
  <c r="AB39" i="215"/>
  <c r="BY55" i="215"/>
  <c r="CA16" i="25"/>
  <c r="J39" i="215"/>
  <c r="J35" i="215"/>
  <c r="AE86" i="5"/>
  <c r="J83" i="5"/>
  <c r="AA8" i="25"/>
  <c r="AA18" i="25" s="1"/>
  <c r="AA24" i="25" s="1"/>
  <c r="Z11" i="25"/>
  <c r="AB42" i="5"/>
  <c r="AB38" i="5"/>
  <c r="AB44" i="5"/>
  <c r="AL125" i="5"/>
  <c r="AU8" i="25"/>
  <c r="AU18" i="25" s="1"/>
  <c r="AU24" i="25" s="1"/>
  <c r="AT11" i="25"/>
  <c r="M39" i="215"/>
  <c r="BX10" i="12"/>
  <c r="L33" i="5"/>
  <c r="I58" i="5"/>
  <c r="T38" i="5"/>
  <c r="T44" i="5"/>
  <c r="T62" i="5" s="1"/>
  <c r="CF62" i="5"/>
  <c r="Q10" i="12"/>
  <c r="Q14" i="12" s="1"/>
  <c r="O27" i="25"/>
  <c r="G7" i="188"/>
  <c r="R95" i="215"/>
  <c r="R106" i="215" s="1"/>
  <c r="R63" i="215"/>
  <c r="BQ41" i="188"/>
  <c r="BC40" i="188"/>
  <c r="R34" i="188"/>
  <c r="R40" i="188" s="1"/>
  <c r="BP38" i="188"/>
  <c r="BP43" i="188"/>
  <c r="BP51" i="188" s="1"/>
  <c r="BP57" i="188" s="1"/>
  <c r="BN39" i="215"/>
  <c r="BN55" i="215" s="1"/>
  <c r="K21" i="215"/>
  <c r="BN18" i="25"/>
  <c r="BN24" i="25" s="1"/>
  <c r="EO129" i="5"/>
  <c r="AF125" i="5"/>
  <c r="L125" i="5"/>
  <c r="BP35" i="215"/>
  <c r="BP39" i="215"/>
  <c r="BP55" i="215" s="1"/>
  <c r="DZ62" i="5"/>
  <c r="BK10" i="12"/>
  <c r="AN38" i="5"/>
  <c r="AN44" i="5"/>
  <c r="AN62" i="5" s="1"/>
  <c r="AN68" i="5" s="1"/>
  <c r="AN70" i="5" s="1"/>
  <c r="AN42" i="5"/>
  <c r="AO125" i="5"/>
  <c r="DW129" i="5"/>
  <c r="L129" i="5" s="1"/>
  <c r="DS62" i="5"/>
  <c r="BD10" i="12"/>
  <c r="BD14" i="12" s="1"/>
  <c r="AA34" i="5"/>
  <c r="AA40" i="5" s="1"/>
  <c r="CG40" i="5"/>
  <c r="DC42" i="5"/>
  <c r="DC40" i="5"/>
  <c r="DC44" i="5"/>
  <c r="Z34" i="5"/>
  <c r="CD40" i="5"/>
  <c r="AM10" i="12"/>
  <c r="AM14" i="12" s="1"/>
  <c r="DB62" i="5"/>
  <c r="BT86" i="5"/>
  <c r="BT89" i="5" s="1"/>
  <c r="BU85" i="5"/>
  <c r="V85" i="5"/>
  <c r="V86" i="5" s="1"/>
  <c r="V89" i="5" s="1"/>
  <c r="CB62" i="5"/>
  <c r="M10" i="12"/>
  <c r="M14" i="12" s="1"/>
  <c r="M35" i="5"/>
  <c r="M41" i="5" s="1"/>
  <c r="BH41" i="188"/>
  <c r="L39" i="215"/>
  <c r="L36" i="215"/>
  <c r="P26" i="25"/>
  <c r="L41" i="188"/>
  <c r="BM16" i="25"/>
  <c r="DB103" i="5"/>
  <c r="CB55" i="215"/>
  <c r="AC39" i="215"/>
  <c r="DF62" i="5"/>
  <c r="AQ10" i="12"/>
  <c r="AQ14" i="12" s="1"/>
  <c r="CA73" i="5"/>
  <c r="CB73" i="5" s="1"/>
  <c r="CC73" i="5" s="1"/>
  <c r="X73" i="5"/>
  <c r="CY62" i="5"/>
  <c r="AJ10" i="12"/>
  <c r="AJ14" i="12" s="1"/>
  <c r="AW47" i="25"/>
  <c r="AW48" i="25" s="1"/>
  <c r="BI39" i="215"/>
  <c r="BI55" i="215" s="1"/>
  <c r="AP44" i="5"/>
  <c r="AP62" i="5" s="1"/>
  <c r="AP68" i="5" s="1"/>
  <c r="M33" i="5"/>
  <c r="AP38" i="5"/>
  <c r="AP42" i="5"/>
  <c r="AA59" i="5"/>
  <c r="I46" i="5"/>
  <c r="CY103" i="5"/>
  <c r="P27" i="25"/>
  <c r="BR16" i="25"/>
  <c r="Q34" i="188"/>
  <c r="Q40" i="188" s="1"/>
  <c r="AZ40" i="188"/>
  <c r="BF38" i="188"/>
  <c r="BF43" i="188"/>
  <c r="BF51" i="188" s="1"/>
  <c r="BF57" i="188" s="1"/>
  <c r="S32" i="188"/>
  <c r="H12" i="188"/>
  <c r="W95" i="215"/>
  <c r="W106" i="215" s="1"/>
  <c r="W109" i="215" s="1"/>
  <c r="W63" i="215"/>
  <c r="BF41" i="188"/>
  <c r="U34" i="188"/>
  <c r="BH40" i="188"/>
  <c r="L54" i="215"/>
  <c r="K40" i="188"/>
  <c r="F34" i="188"/>
  <c r="F40" i="188" s="1"/>
  <c r="P43" i="188"/>
  <c r="P38" i="188"/>
  <c r="L5" i="25"/>
  <c r="L38" i="25" s="1"/>
  <c r="K4" i="25"/>
  <c r="AZ41" i="188"/>
  <c r="EA41" i="188"/>
  <c r="BV55" i="215"/>
  <c r="AA39" i="215"/>
  <c r="AE125" i="5"/>
  <c r="V11" i="25"/>
  <c r="W8" i="25"/>
  <c r="W18" i="25" s="1"/>
  <c r="W24" i="25" s="1"/>
  <c r="AR129" i="5"/>
  <c r="EF103" i="5"/>
  <c r="W92" i="5"/>
  <c r="BX92" i="5"/>
  <c r="BY92" i="5" s="1"/>
  <c r="BZ92" i="5" s="1"/>
  <c r="BR62" i="5"/>
  <c r="C10" i="12"/>
  <c r="C14" i="12" s="1"/>
  <c r="AT44" i="5"/>
  <c r="BW10" i="12"/>
  <c r="EK62" i="5"/>
  <c r="EK101" i="5" s="1"/>
  <c r="BV10" i="12"/>
  <c r="P41" i="188"/>
  <c r="BN43" i="188"/>
  <c r="BN51" i="188" s="1"/>
  <c r="BN57" i="188" s="1"/>
  <c r="BN38" i="188"/>
  <c r="W32" i="188"/>
  <c r="BH16" i="25"/>
  <c r="K125" i="5"/>
  <c r="CK63" i="215"/>
  <c r="AF63" i="215" s="1"/>
  <c r="AF55" i="215"/>
  <c r="AR125" i="5"/>
  <c r="EC129" i="5"/>
  <c r="CD44" i="5"/>
  <c r="Z33" i="5"/>
  <c r="CD42" i="5"/>
  <c r="CD38" i="5"/>
  <c r="Z125" i="5"/>
  <c r="DI62" i="5"/>
  <c r="AT10" i="12"/>
  <c r="AT14" i="12" s="1"/>
  <c r="DD62" i="5"/>
  <c r="AO10" i="12"/>
  <c r="AO14" i="12" s="1"/>
  <c r="AF44" i="5"/>
  <c r="AF62" i="5" s="1"/>
  <c r="AF68" i="5" s="1"/>
  <c r="AF70" i="5" s="1"/>
  <c r="CX54" i="215"/>
  <c r="CX55" i="215" s="1"/>
  <c r="CX42" i="215"/>
  <c r="X23" i="188"/>
  <c r="S33" i="188"/>
  <c r="BE39" i="188"/>
  <c r="BQ43" i="188"/>
  <c r="BQ51" i="188" s="1"/>
  <c r="BQ57" i="188" s="1"/>
  <c r="X32" i="188"/>
  <c r="BQ38" i="188"/>
  <c r="P40" i="188"/>
  <c r="AR18" i="25"/>
  <c r="AR24" i="25" s="1"/>
  <c r="Q26" i="25"/>
  <c r="G50" i="188"/>
  <c r="BE43" i="188"/>
  <c r="BE51" i="188" s="1"/>
  <c r="BE57" i="188" s="1"/>
  <c r="H11" i="188"/>
  <c r="G11" i="188"/>
  <c r="G6" i="188"/>
  <c r="CU129" i="5"/>
  <c r="CU103" i="5" s="1"/>
  <c r="L35" i="215"/>
  <c r="BV91" i="5"/>
  <c r="W16" i="25"/>
  <c r="N41" i="188"/>
  <c r="AH37" i="215"/>
  <c r="K31" i="215"/>
  <c r="K37" i="215" s="1"/>
  <c r="CV42" i="215"/>
  <c r="CV54" i="215"/>
  <c r="CV55" i="215" s="1"/>
  <c r="AN55" i="215"/>
  <c r="DZ41" i="188"/>
  <c r="BH39" i="215"/>
  <c r="BH55" i="215" s="1"/>
  <c r="J24" i="215"/>
  <c r="AM18" i="25"/>
  <c r="AM24" i="25" s="1"/>
  <c r="AM27" i="25" s="1"/>
  <c r="BS16" i="25"/>
  <c r="BH43" i="188"/>
  <c r="BH51" i="188" s="1"/>
  <c r="BH57" i="188" s="1"/>
  <c r="BW8" i="25"/>
  <c r="BW18" i="25" s="1"/>
  <c r="BW24" i="25" s="1"/>
  <c r="BV18" i="25"/>
  <c r="BV24" i="25" s="1"/>
  <c r="BV11" i="25"/>
  <c r="AU42" i="5"/>
  <c r="AU38" i="5"/>
  <c r="BS10" i="12"/>
  <c r="EH62" i="5"/>
  <c r="I28" i="5"/>
  <c r="ED62" i="5"/>
  <c r="BO10" i="12"/>
  <c r="V44" i="5"/>
  <c r="V42" i="5"/>
  <c r="V38" i="5"/>
  <c r="AS125" i="5"/>
  <c r="BV62" i="5"/>
  <c r="G10" i="12"/>
  <c r="G14" i="12" s="1"/>
  <c r="AI44" i="5"/>
  <c r="AI42" i="5"/>
  <c r="AI38" i="5"/>
  <c r="BS62" i="5"/>
  <c r="D10" i="12"/>
  <c r="D14" i="12" s="1"/>
  <c r="Z59" i="5"/>
  <c r="AF42" i="5"/>
  <c r="F14" i="12"/>
  <c r="AH27" i="25"/>
  <c r="BG41" i="188"/>
  <c r="DS41" i="188"/>
  <c r="AR55" i="215"/>
  <c r="Y124" i="5"/>
  <c r="CA129" i="5"/>
  <c r="DZ39" i="188"/>
  <c r="DZ43" i="188"/>
  <c r="DZ51" i="188" s="1"/>
  <c r="EL103" i="5"/>
  <c r="AE124" i="5"/>
  <c r="T55" i="215"/>
  <c r="AB124" i="5"/>
  <c r="U32" i="188"/>
  <c r="W124" i="5"/>
  <c r="V123" i="5"/>
  <c r="DQ62" i="5"/>
  <c r="BB10" i="12"/>
  <c r="BB14" i="12" s="1"/>
  <c r="EA62" i="5"/>
  <c r="BL10" i="12"/>
  <c r="BL14" i="12" s="1"/>
  <c r="AP8" i="25"/>
  <c r="AP18" i="25" s="1"/>
  <c r="AP24" i="25" s="1"/>
  <c r="AO11" i="25"/>
  <c r="CS40" i="5"/>
  <c r="AE34" i="5"/>
  <c r="CZ42" i="5"/>
  <c r="BU62" i="5"/>
  <c r="AD38" i="188" l="1"/>
  <c r="AD43" i="188"/>
  <c r="AD51" i="188" s="1"/>
  <c r="AD57" i="188" s="1"/>
  <c r="AD41" i="188"/>
  <c r="AD39" i="188"/>
  <c r="AT60" i="5"/>
  <c r="N60" i="5" s="1"/>
  <c r="EL101" i="5"/>
  <c r="EM62" i="5"/>
  <c r="EO62" i="5"/>
  <c r="AJ54" i="215"/>
  <c r="AJ55" i="215" s="1"/>
  <c r="AH54" i="215"/>
  <c r="AH55" i="215" s="1"/>
  <c r="AI54" i="215"/>
  <c r="AI55" i="215" s="1"/>
  <c r="AJ42" i="215"/>
  <c r="AI42" i="215"/>
  <c r="BZ14" i="12"/>
  <c r="BZ16" i="12" s="1"/>
  <c r="BY14" i="12"/>
  <c r="BY16" i="12" s="1"/>
  <c r="N40" i="5"/>
  <c r="BX14" i="12"/>
  <c r="BX16" i="12" s="1"/>
  <c r="N125" i="5"/>
  <c r="N44" i="5"/>
  <c r="Z43" i="188"/>
  <c r="Z51" i="188" s="1"/>
  <c r="Z57" i="188" s="1"/>
  <c r="Z41" i="188"/>
  <c r="AA43" i="188"/>
  <c r="AA51" i="188" s="1"/>
  <c r="AA57" i="188" s="1"/>
  <c r="AA38" i="188"/>
  <c r="AA41" i="188"/>
  <c r="AC41" i="188"/>
  <c r="AB43" i="188"/>
  <c r="AB51" i="188" s="1"/>
  <c r="AB57" i="188" s="1"/>
  <c r="AB38" i="188"/>
  <c r="AB41" i="188"/>
  <c r="AC43" i="188"/>
  <c r="AC51" i="188" s="1"/>
  <c r="AC57" i="188" s="1"/>
  <c r="I33" i="188"/>
  <c r="I39" i="188" s="1"/>
  <c r="Z39" i="188"/>
  <c r="Z40" i="188"/>
  <c r="I34" i="188"/>
  <c r="I40" i="188" s="1"/>
  <c r="I32" i="188"/>
  <c r="BW14" i="12"/>
  <c r="BW16" i="12" s="1"/>
  <c r="K41" i="215"/>
  <c r="AK54" i="215"/>
  <c r="AK55" i="215" s="1"/>
  <c r="H109" i="215"/>
  <c r="BV14" i="12"/>
  <c r="K43" i="188"/>
  <c r="K51" i="188" s="1"/>
  <c r="K57" i="188" s="1"/>
  <c r="BS14" i="12"/>
  <c r="BW112" i="5"/>
  <c r="BR14" i="12"/>
  <c r="CO101" i="5"/>
  <c r="Y47" i="25"/>
  <c r="AB47" i="25" s="1"/>
  <c r="AB48" i="25" s="1"/>
  <c r="P51" i="188"/>
  <c r="P57" i="188" s="1"/>
  <c r="K41" i="188"/>
  <c r="H63" i="215"/>
  <c r="F33" i="188"/>
  <c r="F39" i="188" s="1"/>
  <c r="EI68" i="5"/>
  <c r="EI70" i="5" s="1"/>
  <c r="BQ14" i="12"/>
  <c r="AI62" i="5"/>
  <c r="AI68" i="5" s="1"/>
  <c r="AI70" i="5" s="1"/>
  <c r="DN101" i="5"/>
  <c r="AY18" i="12" s="1"/>
  <c r="EK103" i="5"/>
  <c r="EK112" i="5" s="1"/>
  <c r="AT89" i="5"/>
  <c r="H18" i="12"/>
  <c r="AD62" i="5"/>
  <c r="AD68" i="5" s="1"/>
  <c r="AD70" i="5" s="1"/>
  <c r="DH101" i="5"/>
  <c r="AS18" i="12" s="1"/>
  <c r="DR112" i="5"/>
  <c r="W62" i="5"/>
  <c r="W68" i="5" s="1"/>
  <c r="W70" i="5" s="1"/>
  <c r="BZ68" i="5"/>
  <c r="BZ70" i="5" s="1"/>
  <c r="EE101" i="5"/>
  <c r="EE112" i="5" s="1"/>
  <c r="AW18" i="12"/>
  <c r="DO94" i="5"/>
  <c r="BO14" i="12"/>
  <c r="V62" i="5"/>
  <c r="V68" i="5" s="1"/>
  <c r="V70" i="5" s="1"/>
  <c r="AF10" i="12"/>
  <c r="AF14" i="12" s="1"/>
  <c r="DX101" i="5"/>
  <c r="BI18" i="12" s="1"/>
  <c r="AJ62" i="5"/>
  <c r="AJ68" i="5" s="1"/>
  <c r="AJ70" i="5" s="1"/>
  <c r="I25" i="5"/>
  <c r="BB27" i="25"/>
  <c r="J59" i="5"/>
  <c r="G32" i="188"/>
  <c r="G38" i="188" s="1"/>
  <c r="CX68" i="5"/>
  <c r="CX70" i="5" s="1"/>
  <c r="H59" i="5"/>
  <c r="AH129" i="5"/>
  <c r="BJ27" i="25"/>
  <c r="BJ31" i="25" s="1"/>
  <c r="BJ33" i="25" s="1"/>
  <c r="DR68" i="5"/>
  <c r="DR70" i="5" s="1"/>
  <c r="T26" i="25"/>
  <c r="AD129" i="5"/>
  <c r="CN62" i="5"/>
  <c r="CN68" i="5" s="1"/>
  <c r="CN70" i="5" s="1"/>
  <c r="AB62" i="5"/>
  <c r="AB68" i="5" s="1"/>
  <c r="AB70" i="5" s="1"/>
  <c r="V43" i="188"/>
  <c r="V51" i="188" s="1"/>
  <c r="V57" i="188" s="1"/>
  <c r="CP103" i="5"/>
  <c r="R68" i="5"/>
  <c r="R70" i="5" s="1"/>
  <c r="S27" i="25"/>
  <c r="S26" i="25"/>
  <c r="X42" i="5"/>
  <c r="X44" i="5"/>
  <c r="X62" i="5" s="1"/>
  <c r="X68" i="5" s="1"/>
  <c r="X70" i="5" s="1"/>
  <c r="H35" i="5"/>
  <c r="H41" i="5" s="1"/>
  <c r="DK101" i="5"/>
  <c r="AK101" i="5" s="1"/>
  <c r="AJ26" i="25"/>
  <c r="AJ30" i="25" s="1"/>
  <c r="AJ32" i="25" s="1"/>
  <c r="DT112" i="5"/>
  <c r="I41" i="5"/>
  <c r="EJ68" i="5"/>
  <c r="EJ70" i="5" s="1"/>
  <c r="DV68" i="5"/>
  <c r="DV70" i="5" s="1"/>
  <c r="BL27" i="25"/>
  <c r="BL31" i="25" s="1"/>
  <c r="BL33" i="25" s="1"/>
  <c r="BI27" i="25"/>
  <c r="BI31" i="25" s="1"/>
  <c r="BI33" i="25" s="1"/>
  <c r="AF129" i="5"/>
  <c r="DM68" i="5"/>
  <c r="DM70" i="5" s="1"/>
  <c r="CZ62" i="5"/>
  <c r="CZ101" i="5" s="1"/>
  <c r="AC27" i="25"/>
  <c r="AC31" i="25" s="1"/>
  <c r="AC33" i="25" s="1"/>
  <c r="H38" i="5"/>
  <c r="AS129" i="5"/>
  <c r="AD27" i="25"/>
  <c r="AD31" i="25" s="1"/>
  <c r="AD33" i="25" s="1"/>
  <c r="BH26" i="25"/>
  <c r="BH30" i="25" s="1"/>
  <c r="BH32" i="25" s="1"/>
  <c r="M55" i="215"/>
  <c r="V26" i="25"/>
  <c r="V30" i="25" s="1"/>
  <c r="V32" i="25" s="1"/>
  <c r="S101" i="5"/>
  <c r="S115" i="5" s="1"/>
  <c r="T114" i="5" s="1"/>
  <c r="AT129" i="5"/>
  <c r="AP26" i="25"/>
  <c r="AP30" i="25" s="1"/>
  <c r="AP32" i="25" s="1"/>
  <c r="AS26" i="25"/>
  <c r="AS30" i="25" s="1"/>
  <c r="AS32" i="25" s="1"/>
  <c r="K129" i="5"/>
  <c r="BB26" i="25"/>
  <c r="BB30" i="25" s="1"/>
  <c r="BB32" i="25" s="1"/>
  <c r="AE129" i="5"/>
  <c r="G44" i="5"/>
  <c r="G62" i="5" s="1"/>
  <c r="G101" i="5" s="1"/>
  <c r="G112" i="5" s="1"/>
  <c r="G115" i="5" s="1"/>
  <c r="CR101" i="5"/>
  <c r="CR68" i="5"/>
  <c r="CR70" i="5" s="1"/>
  <c r="K49" i="215"/>
  <c r="J55" i="215"/>
  <c r="N42" i="5"/>
  <c r="AB27" i="25"/>
  <c r="AB31" i="25" s="1"/>
  <c r="AB33" i="25" s="1"/>
  <c r="AH26" i="25"/>
  <c r="AH30" i="25" s="1"/>
  <c r="AH32" i="25" s="1"/>
  <c r="L55" i="215"/>
  <c r="BY26" i="25"/>
  <c r="BY30" i="25" s="1"/>
  <c r="BY32" i="25" s="1"/>
  <c r="BS27" i="25"/>
  <c r="BS31" i="25" s="1"/>
  <c r="BS33" i="25" s="1"/>
  <c r="BO16" i="25"/>
  <c r="BE27" i="25"/>
  <c r="BK26" i="25"/>
  <c r="BK30" i="25" s="1"/>
  <c r="BK32" i="25" s="1"/>
  <c r="BW91" i="5"/>
  <c r="G34" i="188"/>
  <c r="G40" i="188" s="1"/>
  <c r="BU103" i="5"/>
  <c r="W129" i="5"/>
  <c r="CH68" i="5"/>
  <c r="CH70" i="5" s="1"/>
  <c r="CH101" i="5"/>
  <c r="L68" i="5"/>
  <c r="L70" i="5" s="1"/>
  <c r="AH70" i="5"/>
  <c r="DU101" i="5"/>
  <c r="DU68" i="5"/>
  <c r="DU70" i="5" s="1"/>
  <c r="CE68" i="5"/>
  <c r="CE70" i="5" s="1"/>
  <c r="CE101" i="5"/>
  <c r="BK16" i="25"/>
  <c r="BU27" i="25"/>
  <c r="BU31" i="25" s="1"/>
  <c r="BU33" i="25" s="1"/>
  <c r="CA26" i="25"/>
  <c r="CA30" i="25" s="1"/>
  <c r="CA32" i="25" s="1"/>
  <c r="AU26" i="25"/>
  <c r="AU30" i="25" s="1"/>
  <c r="AU32" i="25" s="1"/>
  <c r="BS101" i="5"/>
  <c r="BS68" i="5"/>
  <c r="BS70" i="5" s="1"/>
  <c r="AU27" i="25"/>
  <c r="BA26" i="25"/>
  <c r="BA30" i="25" s="1"/>
  <c r="BA32" i="25" s="1"/>
  <c r="CA27" i="25"/>
  <c r="CA31" i="25" s="1"/>
  <c r="CA33" i="25" s="1"/>
  <c r="AC44" i="5"/>
  <c r="AC62" i="5" s="1"/>
  <c r="AC68" i="5" s="1"/>
  <c r="AC70" i="5" s="1"/>
  <c r="AC42" i="5"/>
  <c r="AC38" i="5"/>
  <c r="DP101" i="5"/>
  <c r="DP68" i="5"/>
  <c r="DP70" i="5" s="1"/>
  <c r="BV27" i="25"/>
  <c r="CB26" i="25"/>
  <c r="CB30" i="25" s="1"/>
  <c r="CB32" i="25" s="1"/>
  <c r="X26" i="25"/>
  <c r="X30" i="25" s="1"/>
  <c r="X32" i="25" s="1"/>
  <c r="AX27" i="25"/>
  <c r="BD26" i="25"/>
  <c r="BD30" i="25" s="1"/>
  <c r="BD32" i="25" s="1"/>
  <c r="EA68" i="5"/>
  <c r="EA70" i="5" s="1"/>
  <c r="EA101" i="5"/>
  <c r="BV63" i="215"/>
  <c r="AA63" i="215" s="1"/>
  <c r="AA55" i="215"/>
  <c r="Q43" i="188"/>
  <c r="Q51" i="188" s="1"/>
  <c r="Q57" i="188" s="1"/>
  <c r="L44" i="5"/>
  <c r="L62" i="5" s="1"/>
  <c r="L42" i="5"/>
  <c r="L38" i="5"/>
  <c r="BD27" i="25"/>
  <c r="BJ26" i="25"/>
  <c r="BJ30" i="25" s="1"/>
  <c r="BJ32" i="25" s="1"/>
  <c r="CC11" i="25"/>
  <c r="CL68" i="5"/>
  <c r="CL70" i="5" s="1"/>
  <c r="CL101" i="5"/>
  <c r="BQ27" i="25"/>
  <c r="BW26" i="25"/>
  <c r="BW30" i="25" s="1"/>
  <c r="BW32" i="25" s="1"/>
  <c r="BW27" i="25"/>
  <c r="CC26" i="25"/>
  <c r="AO27" i="25"/>
  <c r="CC27" i="25"/>
  <c r="P59" i="25"/>
  <c r="W38" i="188"/>
  <c r="W43" i="188"/>
  <c r="W51" i="188" s="1"/>
  <c r="W57" i="188" s="1"/>
  <c r="Y73" i="5"/>
  <c r="CD73" i="5"/>
  <c r="CC89" i="5"/>
  <c r="CC97" i="5" s="1"/>
  <c r="BY63" i="215"/>
  <c r="AB63" i="215" s="1"/>
  <c r="AB55" i="215"/>
  <c r="EN101" i="5"/>
  <c r="EN68" i="5"/>
  <c r="EN70" i="5" s="1"/>
  <c r="AA44" i="5"/>
  <c r="AA62" i="5" s="1"/>
  <c r="AA68" i="5" s="1"/>
  <c r="AA70" i="5" s="1"/>
  <c r="AA42" i="5"/>
  <c r="AA38" i="5"/>
  <c r="AK129" i="5"/>
  <c r="DK103" i="5"/>
  <c r="BE18" i="12"/>
  <c r="AY27" i="25"/>
  <c r="BE26" i="25"/>
  <c r="BE30" i="25" s="1"/>
  <c r="BE32" i="25" s="1"/>
  <c r="BU26" i="25"/>
  <c r="BU30" i="25" s="1"/>
  <c r="BU32" i="25" s="1"/>
  <c r="BQ16" i="25"/>
  <c r="F38" i="188"/>
  <c r="BW16" i="25"/>
  <c r="I79" i="5"/>
  <c r="X129" i="5"/>
  <c r="BX103" i="5"/>
  <c r="BN14" i="12"/>
  <c r="EI112" i="5"/>
  <c r="BT18" i="12"/>
  <c r="BO27" i="25"/>
  <c r="CG91" i="5"/>
  <c r="Z91" i="5"/>
  <c r="AH16" i="25"/>
  <c r="AH31" i="25" s="1"/>
  <c r="AH33" i="25" s="1"/>
  <c r="AI13" i="25"/>
  <c r="BV16" i="25"/>
  <c r="H34" i="188"/>
  <c r="H40" i="188" s="1"/>
  <c r="U40" i="188"/>
  <c r="CB27" i="25"/>
  <c r="CB31" i="25" s="1"/>
  <c r="CB33" i="25" s="1"/>
  <c r="BY27" i="25"/>
  <c r="BY31" i="25" s="1"/>
  <c r="BY33" i="25" s="1"/>
  <c r="Z42" i="5"/>
  <c r="Z44" i="5"/>
  <c r="Z62" i="5" s="1"/>
  <c r="Z68" i="5" s="1"/>
  <c r="Z38" i="5"/>
  <c r="I33" i="5"/>
  <c r="R41" i="188"/>
  <c r="BO26" i="25"/>
  <c r="BO30" i="25" s="1"/>
  <c r="BO32" i="25" s="1"/>
  <c r="AA16" i="25"/>
  <c r="AE26" i="25"/>
  <c r="AE30" i="25" s="1"/>
  <c r="AE32" i="25" s="1"/>
  <c r="Y27" i="25"/>
  <c r="Y31" i="25" s="1"/>
  <c r="Y33" i="25" s="1"/>
  <c r="T27" i="25"/>
  <c r="AC26" i="25"/>
  <c r="AC30" i="25" s="1"/>
  <c r="AC32" i="25" s="1"/>
  <c r="Z26" i="25"/>
  <c r="Z30" i="25" s="1"/>
  <c r="Z32" i="25" s="1"/>
  <c r="W27" i="25"/>
  <c r="W31" i="25" s="1"/>
  <c r="W33" i="25" s="1"/>
  <c r="AA26" i="25"/>
  <c r="AA30" i="25" s="1"/>
  <c r="AA32" i="25" s="1"/>
  <c r="U27" i="25"/>
  <c r="AE40" i="5"/>
  <c r="AE44" i="5"/>
  <c r="AE62" i="5" s="1"/>
  <c r="AE68" i="5" s="1"/>
  <c r="AE70" i="5" s="1"/>
  <c r="AE42" i="5"/>
  <c r="Y129" i="5"/>
  <c r="CA103" i="5"/>
  <c r="EC68" i="5"/>
  <c r="EC70" i="5" s="1"/>
  <c r="EC101" i="5"/>
  <c r="AX26" i="25"/>
  <c r="AX30" i="25" s="1"/>
  <c r="AX32" i="25" s="1"/>
  <c r="AR27" i="25"/>
  <c r="AO129" i="5"/>
  <c r="DW103" i="5"/>
  <c r="L103" i="5" s="1"/>
  <c r="X43" i="188"/>
  <c r="X51" i="188" s="1"/>
  <c r="X57" i="188" s="1"/>
  <c r="X38" i="188"/>
  <c r="J4" i="25"/>
  <c r="K5" i="25"/>
  <c r="K38" i="25" s="1"/>
  <c r="DS68" i="5"/>
  <c r="DS70" i="5" s="1"/>
  <c r="DS101" i="5"/>
  <c r="CD62" i="5"/>
  <c r="O10" i="12"/>
  <c r="O14" i="12" s="1"/>
  <c r="V129" i="5"/>
  <c r="AM26" i="25"/>
  <c r="AM30" i="25" s="1"/>
  <c r="AM32" i="25" s="1"/>
  <c r="AG27" i="25"/>
  <c r="AG31" i="25" s="1"/>
  <c r="AG33" i="25" s="1"/>
  <c r="AU129" i="5"/>
  <c r="EO103" i="5"/>
  <c r="AF26" i="25"/>
  <c r="AF30" i="25" s="1"/>
  <c r="AF32" i="25" s="1"/>
  <c r="Z27" i="25"/>
  <c r="BV101" i="5"/>
  <c r="BV68" i="5"/>
  <c r="BV70" i="5" s="1"/>
  <c r="BR27" i="25"/>
  <c r="BR31" i="25" s="1"/>
  <c r="BR33" i="25" s="1"/>
  <c r="DF68" i="5"/>
  <c r="DF70" i="5" s="1"/>
  <c r="DF101" i="5"/>
  <c r="AG129" i="5"/>
  <c r="BY101" i="5"/>
  <c r="BY68" i="5"/>
  <c r="BY70" i="5" s="1"/>
  <c r="DA68" i="5"/>
  <c r="DA70" i="5" s="1"/>
  <c r="DA101" i="5"/>
  <c r="CG62" i="5"/>
  <c r="R10" i="12"/>
  <c r="R14" i="12" s="1"/>
  <c r="CK68" i="5"/>
  <c r="CK70" i="5" s="1"/>
  <c r="CK101" i="5"/>
  <c r="S39" i="188"/>
  <c r="G33" i="188"/>
  <c r="G39" i="188" s="1"/>
  <c r="BZ27" i="25"/>
  <c r="BZ31" i="25" s="1"/>
  <c r="BZ33" i="25" s="1"/>
  <c r="DI68" i="5"/>
  <c r="DI70" i="5" s="1"/>
  <c r="DI101" i="5"/>
  <c r="V16" i="25"/>
  <c r="DC62" i="5"/>
  <c r="AN10" i="12"/>
  <c r="AN14" i="12" s="1"/>
  <c r="CV68" i="5"/>
  <c r="CV70" i="5" s="1"/>
  <c r="CV101" i="5"/>
  <c r="DQ101" i="5"/>
  <c r="DQ68" i="5"/>
  <c r="DQ70" i="5" s="1"/>
  <c r="AS101" i="5"/>
  <c r="EK68" i="5"/>
  <c r="EK70" i="5" s="1"/>
  <c r="BX26" i="25"/>
  <c r="BX30" i="25" s="1"/>
  <c r="BX32" i="25" s="1"/>
  <c r="CX112" i="5"/>
  <c r="AI18" i="12"/>
  <c r="R38" i="188"/>
  <c r="R43" i="188"/>
  <c r="R51" i="188" s="1"/>
  <c r="R57" i="188" s="1"/>
  <c r="AN26" i="25"/>
  <c r="AN30" i="25" s="1"/>
  <c r="AN32" i="25" s="1"/>
  <c r="U26" i="25"/>
  <c r="U30" i="25" s="1"/>
  <c r="U32" i="25" s="1"/>
  <c r="BQ26" i="25"/>
  <c r="BQ30" i="25" s="1"/>
  <c r="BQ32" i="25" s="1"/>
  <c r="BT26" i="25"/>
  <c r="BT30" i="25" s="1"/>
  <c r="BT32" i="25" s="1"/>
  <c r="CB63" i="215"/>
  <c r="AC63" i="215" s="1"/>
  <c r="AC55" i="215"/>
  <c r="CB101" i="5"/>
  <c r="CB68" i="5"/>
  <c r="CB70" i="5" s="1"/>
  <c r="Y26" i="25"/>
  <c r="Y30" i="25" s="1"/>
  <c r="Y32" i="25" s="1"/>
  <c r="X4" i="25"/>
  <c r="W5" i="25"/>
  <c r="W38" i="25" s="1"/>
  <c r="CQ112" i="5"/>
  <c r="AB18" i="12"/>
  <c r="AQ26" i="25"/>
  <c r="AQ30" i="25" s="1"/>
  <c r="AQ32" i="25" s="1"/>
  <c r="BM26" i="25"/>
  <c r="BM30" i="25" s="1"/>
  <c r="BM32" i="25" s="1"/>
  <c r="BG27" i="25"/>
  <c r="K35" i="215"/>
  <c r="K39" i="215"/>
  <c r="BI26" i="25"/>
  <c r="BI30" i="25" s="1"/>
  <c r="BI32" i="25" s="1"/>
  <c r="BC27" i="25"/>
  <c r="CS101" i="5"/>
  <c r="CS68" i="5"/>
  <c r="CS70" i="5" s="1"/>
  <c r="CB89" i="5"/>
  <c r="G23" i="188"/>
  <c r="V27" i="25"/>
  <c r="EC103" i="5"/>
  <c r="AQ129" i="5"/>
  <c r="BK27" i="25"/>
  <c r="BN27" i="25"/>
  <c r="I59" i="5"/>
  <c r="AZ27" i="25"/>
  <c r="BF26" i="25"/>
  <c r="BF30" i="25" s="1"/>
  <c r="BF32" i="25" s="1"/>
  <c r="CP68" i="5"/>
  <c r="CP70" i="5" s="1"/>
  <c r="CP94" i="5" s="1"/>
  <c r="CP101" i="5"/>
  <c r="AR26" i="25"/>
  <c r="AR30" i="25" s="1"/>
  <c r="AR32" i="25" s="1"/>
  <c r="EG101" i="5"/>
  <c r="EG68" i="5"/>
  <c r="EG70" i="5" s="1"/>
  <c r="CA101" i="5"/>
  <c r="CA68" i="5"/>
  <c r="CA70" i="5" s="1"/>
  <c r="BX62" i="5"/>
  <c r="I10" i="12"/>
  <c r="I14" i="12" s="1"/>
  <c r="BH27" i="25"/>
  <c r="BH31" i="25" s="1"/>
  <c r="BH33" i="25" s="1"/>
  <c r="ED68" i="5"/>
  <c r="ED70" i="5" s="1"/>
  <c r="ED101" i="5"/>
  <c r="X41" i="188"/>
  <c r="EL68" i="5"/>
  <c r="J34" i="5"/>
  <c r="M129" i="5"/>
  <c r="BN16" i="25"/>
  <c r="W41" i="188"/>
  <c r="AG26" i="25"/>
  <c r="AG30" i="25" s="1"/>
  <c r="AG32" i="25" s="1"/>
  <c r="AA27" i="25"/>
  <c r="BF27" i="25"/>
  <c r="BF31" i="25" s="1"/>
  <c r="BF33" i="25" s="1"/>
  <c r="AO26" i="25"/>
  <c r="AO30" i="25" s="1"/>
  <c r="AO32" i="25" s="1"/>
  <c r="W26" i="25"/>
  <c r="W30" i="25" s="1"/>
  <c r="W32" i="25" s="1"/>
  <c r="AV27" i="25"/>
  <c r="AT26" i="25"/>
  <c r="AT30" i="25" s="1"/>
  <c r="AT32" i="25" s="1"/>
  <c r="U38" i="188"/>
  <c r="U43" i="188"/>
  <c r="U51" i="188" s="1"/>
  <c r="U57" i="188" s="1"/>
  <c r="H32" i="188"/>
  <c r="BN26" i="25"/>
  <c r="BN30" i="25" s="1"/>
  <c r="BN32" i="25" s="1"/>
  <c r="BK14" i="12"/>
  <c r="CC101" i="5"/>
  <c r="CC68" i="5"/>
  <c r="CC70" i="5" s="1"/>
  <c r="S41" i="188"/>
  <c r="AP129" i="5"/>
  <c r="DW68" i="5"/>
  <c r="DW70" i="5" s="1"/>
  <c r="DW101" i="5"/>
  <c r="DJ68" i="5"/>
  <c r="DJ70" i="5" s="1"/>
  <c r="DJ101" i="5"/>
  <c r="BT27" i="25"/>
  <c r="BT31" i="25" s="1"/>
  <c r="BT33" i="25" s="1"/>
  <c r="BZ26" i="25"/>
  <c r="BZ30" i="25" s="1"/>
  <c r="BZ32" i="25" s="1"/>
  <c r="U16" i="25"/>
  <c r="BL26" i="25"/>
  <c r="BL30" i="25" s="1"/>
  <c r="BL32" i="25" s="1"/>
  <c r="AN27" i="25"/>
  <c r="H23" i="188"/>
  <c r="BR101" i="5"/>
  <c r="BR68" i="5"/>
  <c r="BV85" i="5"/>
  <c r="BU86" i="5"/>
  <c r="BU89" i="5" s="1"/>
  <c r="DZ101" i="5"/>
  <c r="DZ68" i="5"/>
  <c r="DZ70" i="5" s="1"/>
  <c r="DZ94" i="5" s="1"/>
  <c r="CX91" i="5"/>
  <c r="BP26" i="25"/>
  <c r="BP30" i="25" s="1"/>
  <c r="BP32" i="25" s="1"/>
  <c r="N55" i="215"/>
  <c r="AI26" i="25"/>
  <c r="AI30" i="25" s="1"/>
  <c r="AI32" i="25" s="1"/>
  <c r="U41" i="188"/>
  <c r="V41" i="188"/>
  <c r="EH68" i="5"/>
  <c r="EH70" i="5" s="1"/>
  <c r="EH101" i="5"/>
  <c r="X92" i="5"/>
  <c r="CA92" i="5"/>
  <c r="CB92" i="5" s="1"/>
  <c r="M38" i="5"/>
  <c r="M44" i="5"/>
  <c r="M62" i="5" s="1"/>
  <c r="M42" i="5"/>
  <c r="AG40" i="5"/>
  <c r="AG42" i="5"/>
  <c r="AG44" i="5"/>
  <c r="AG62" i="5" s="1"/>
  <c r="AG68" i="5" s="1"/>
  <c r="AG70" i="5" s="1"/>
  <c r="DV112" i="5"/>
  <c r="BG18" i="12"/>
  <c r="CP63" i="215"/>
  <c r="AG63" i="215" s="1"/>
  <c r="AG55" i="215"/>
  <c r="CW101" i="5"/>
  <c r="CW68" i="5"/>
  <c r="CW70" i="5" s="1"/>
  <c r="T63" i="215"/>
  <c r="F63" i="215" s="1"/>
  <c r="T95" i="215"/>
  <c r="T106" i="215" s="1"/>
  <c r="T109" i="215" s="1"/>
  <c r="U108" i="215" s="1"/>
  <c r="U109" i="215" s="1"/>
  <c r="M68" i="5"/>
  <c r="M70" i="5" s="1"/>
  <c r="AP70" i="5"/>
  <c r="DB68" i="5"/>
  <c r="DB70" i="5" s="1"/>
  <c r="DB94" i="5" s="1"/>
  <c r="DB101" i="5"/>
  <c r="Z16" i="25"/>
  <c r="U101" i="5"/>
  <c r="U68" i="5"/>
  <c r="U70" i="5" s="1"/>
  <c r="BX27" i="25"/>
  <c r="BX31" i="25" s="1"/>
  <c r="BX33" i="25" s="1"/>
  <c r="CJ68" i="5"/>
  <c r="CJ70" i="5" s="1"/>
  <c r="CJ101" i="5"/>
  <c r="BA27" i="25"/>
  <c r="BG26" i="25"/>
  <c r="BG30" i="25" s="1"/>
  <c r="BG32" i="25" s="1"/>
  <c r="AZ26" i="25"/>
  <c r="AZ30" i="25" s="1"/>
  <c r="AZ32" i="25" s="1"/>
  <c r="CF68" i="5"/>
  <c r="CF70" i="5" s="1"/>
  <c r="CF101" i="5"/>
  <c r="AL26" i="25"/>
  <c r="AL30" i="25" s="1"/>
  <c r="AL32" i="25" s="1"/>
  <c r="AF27" i="25"/>
  <c r="AF31" i="25" s="1"/>
  <c r="AF33" i="25" s="1"/>
  <c r="BZ112" i="5"/>
  <c r="K18" i="12"/>
  <c r="BS26" i="25"/>
  <c r="BS30" i="25" s="1"/>
  <c r="BS32" i="25" s="1"/>
  <c r="BM27" i="25"/>
  <c r="BM31" i="25" s="1"/>
  <c r="BM33" i="25" s="1"/>
  <c r="AI129" i="5"/>
  <c r="DE103" i="5"/>
  <c r="DE68" i="5"/>
  <c r="DE70" i="5" s="1"/>
  <c r="DE101" i="5"/>
  <c r="Y42" i="5"/>
  <c r="Y44" i="5"/>
  <c r="Y62" i="5" s="1"/>
  <c r="Y68" i="5" s="1"/>
  <c r="Y70" i="5" s="1"/>
  <c r="Y38" i="5"/>
  <c r="AK26" i="25"/>
  <c r="AK30" i="25" s="1"/>
  <c r="AK32" i="25" s="1"/>
  <c r="AT27" i="25"/>
  <c r="BU101" i="5"/>
  <c r="BU68" i="5"/>
  <c r="BU70" i="5" s="1"/>
  <c r="AB26" i="25"/>
  <c r="AB30" i="25" s="1"/>
  <c r="AB32" i="25" s="1"/>
  <c r="BC26" i="25"/>
  <c r="BC30" i="25" s="1"/>
  <c r="BC32" i="25" s="1"/>
  <c r="AW27" i="25"/>
  <c r="EF112" i="5"/>
  <c r="BQ18" i="12"/>
  <c r="S38" i="188"/>
  <c r="S43" i="188"/>
  <c r="S51" i="188" s="1"/>
  <c r="S57" i="188" s="1"/>
  <c r="T68" i="5"/>
  <c r="T70" i="5" s="1"/>
  <c r="T101" i="5"/>
  <c r="CT101" i="5"/>
  <c r="CT68" i="5"/>
  <c r="CT70" i="5" s="1"/>
  <c r="EJ112" i="5"/>
  <c r="BU18" i="12"/>
  <c r="DG68" i="5"/>
  <c r="DG70" i="5" s="1"/>
  <c r="DG101" i="5"/>
  <c r="AV26" i="25"/>
  <c r="AV30" i="25" s="1"/>
  <c r="AV32" i="25" s="1"/>
  <c r="BT68" i="5"/>
  <c r="BT70" i="5" s="1"/>
  <c r="BT101" i="5"/>
  <c r="AQ27" i="25"/>
  <c r="BG16" i="25"/>
  <c r="CI101" i="5"/>
  <c r="CI68" i="5"/>
  <c r="CI70" i="5" s="1"/>
  <c r="BV26" i="25"/>
  <c r="BV30" i="25" s="1"/>
  <c r="BV32" i="25" s="1"/>
  <c r="AE27" i="25"/>
  <c r="AE31" i="25" s="1"/>
  <c r="AE33" i="25" s="1"/>
  <c r="DD68" i="5"/>
  <c r="DD70" i="5" s="1"/>
  <c r="DD101" i="5"/>
  <c r="Z40" i="5"/>
  <c r="I34" i="5"/>
  <c r="I40" i="5" s="1"/>
  <c r="J86" i="5"/>
  <c r="AP27" i="25"/>
  <c r="AW26" i="25"/>
  <c r="AW30" i="25" s="1"/>
  <c r="AW32" i="25" s="1"/>
  <c r="BP27" i="25"/>
  <c r="BP31" i="25" s="1"/>
  <c r="BP33" i="25" s="1"/>
  <c r="AY26" i="25"/>
  <c r="AY30" i="25" s="1"/>
  <c r="AY32" i="25" s="1"/>
  <c r="AS27" i="25"/>
  <c r="Q41" i="188"/>
  <c r="CY68" i="5"/>
  <c r="CY70" i="5" s="1"/>
  <c r="CY101" i="5"/>
  <c r="X10" i="12"/>
  <c r="X14" i="12" s="1"/>
  <c r="CM62" i="5"/>
  <c r="X27" i="25"/>
  <c r="X31" i="25" s="1"/>
  <c r="X33" i="25" s="1"/>
  <c r="CU101" i="5"/>
  <c r="CU68" i="5"/>
  <c r="CU70" i="5" s="1"/>
  <c r="K44" i="5"/>
  <c r="K62" i="5" s="1"/>
  <c r="K42" i="5"/>
  <c r="K38" i="5"/>
  <c r="DM112" i="5"/>
  <c r="AX18" i="12"/>
  <c r="H33" i="188"/>
  <c r="H39" i="188" s="1"/>
  <c r="U39" i="188"/>
  <c r="AD26" i="25"/>
  <c r="AD30" i="25" s="1"/>
  <c r="AD32" i="25" s="1"/>
  <c r="BR26" i="25"/>
  <c r="BR30" i="25" s="1"/>
  <c r="BR32" i="25" s="1"/>
  <c r="G42" i="5"/>
  <c r="I55" i="215"/>
  <c r="Z55" i="215"/>
  <c r="BS63" i="215"/>
  <c r="EB68" i="5"/>
  <c r="EB70" i="5" s="1"/>
  <c r="EB101" i="5"/>
  <c r="N103" i="5" l="1"/>
  <c r="AT62" i="5"/>
  <c r="EM101" i="5"/>
  <c r="EM68" i="5"/>
  <c r="EO68" i="5"/>
  <c r="EO101" i="5"/>
  <c r="AU62" i="5"/>
  <c r="N62" i="5" s="1"/>
  <c r="N129" i="5"/>
  <c r="I43" i="188"/>
  <c r="I51" i="188" s="1"/>
  <c r="I57" i="188" s="1"/>
  <c r="I38" i="188"/>
  <c r="I41" i="188"/>
  <c r="K54" i="215"/>
  <c r="K55" i="215" s="1"/>
  <c r="G63" i="215"/>
  <c r="F43" i="188"/>
  <c r="F51" i="188" s="1"/>
  <c r="F57" i="188" s="1"/>
  <c r="DN112" i="5"/>
  <c r="Y48" i="25"/>
  <c r="EL112" i="5"/>
  <c r="F41" i="188"/>
  <c r="DH112" i="5"/>
  <c r="M103" i="5"/>
  <c r="DX112" i="5"/>
  <c r="BP18" i="12"/>
  <c r="DP94" i="5"/>
  <c r="K70" i="5"/>
  <c r="K68" i="5"/>
  <c r="BW31" i="25"/>
  <c r="BW33" i="25" s="1"/>
  <c r="CN101" i="5"/>
  <c r="G43" i="188"/>
  <c r="G51" i="188" s="1"/>
  <c r="G57" i="188" s="1"/>
  <c r="J103" i="5"/>
  <c r="H103" i="5"/>
  <c r="H44" i="5"/>
  <c r="H62" i="5" s="1"/>
  <c r="H42" i="5"/>
  <c r="U31" i="25"/>
  <c r="U33" i="25" s="1"/>
  <c r="CZ68" i="5"/>
  <c r="CZ70" i="5" s="1"/>
  <c r="V31" i="25"/>
  <c r="V33" i="25" s="1"/>
  <c r="T115" i="5"/>
  <c r="U114" i="5" s="1"/>
  <c r="AJ101" i="5"/>
  <c r="BK31" i="25"/>
  <c r="BK33" i="25" s="1"/>
  <c r="K103" i="5"/>
  <c r="H68" i="5"/>
  <c r="H70" i="5" s="1"/>
  <c r="J68" i="5"/>
  <c r="J70" i="5"/>
  <c r="AA31" i="25"/>
  <c r="AA33" i="25" s="1"/>
  <c r="DK112" i="5"/>
  <c r="BQ31" i="25"/>
  <c r="BQ33" i="25" s="1"/>
  <c r="AC18" i="12"/>
  <c r="CR112" i="5"/>
  <c r="AV18" i="12"/>
  <c r="G68" i="5"/>
  <c r="G70" i="5" s="1"/>
  <c r="BV31" i="25"/>
  <c r="BV33" i="25" s="1"/>
  <c r="BO31" i="25"/>
  <c r="BO33" i="25" s="1"/>
  <c r="BV112" i="5"/>
  <c r="G18" i="12"/>
  <c r="CH91" i="5"/>
  <c r="DP112" i="5"/>
  <c r="BA18" i="12"/>
  <c r="P60" i="25"/>
  <c r="Y4" i="25"/>
  <c r="X5" i="25"/>
  <c r="X38" i="25" s="1"/>
  <c r="CM101" i="5"/>
  <c r="CM68" i="5"/>
  <c r="CM70" i="5" s="1"/>
  <c r="G41" i="188"/>
  <c r="DQ112" i="5"/>
  <c r="AM101" i="5"/>
  <c r="BB18" i="12"/>
  <c r="BG31" i="25"/>
  <c r="BG33" i="25" s="1"/>
  <c r="BW85" i="5"/>
  <c r="BV86" i="5"/>
  <c r="BV89" i="5" s="1"/>
  <c r="CC112" i="5"/>
  <c r="N18" i="12"/>
  <c r="CV112" i="5"/>
  <c r="AF101" i="5"/>
  <c r="AG18" i="12"/>
  <c r="CD101" i="5"/>
  <c r="CD68" i="5"/>
  <c r="CD70" i="5" s="1"/>
  <c r="CD94" i="5" s="1"/>
  <c r="CE94" i="5" s="1"/>
  <c r="CF94" i="5" s="1"/>
  <c r="DD112" i="5"/>
  <c r="AO18" i="12"/>
  <c r="EB112" i="5"/>
  <c r="BM18" i="12"/>
  <c r="I63" i="215"/>
  <c r="Z63" i="215"/>
  <c r="CB112" i="5"/>
  <c r="M18" i="12"/>
  <c r="AG101" i="5"/>
  <c r="CY112" i="5"/>
  <c r="AJ18" i="12"/>
  <c r="AL101" i="5"/>
  <c r="DB112" i="5"/>
  <c r="AM18" i="12"/>
  <c r="CA112" i="5"/>
  <c r="Y101" i="5"/>
  <c r="L18" i="12"/>
  <c r="BY112" i="5"/>
  <c r="J18" i="12"/>
  <c r="DS112" i="5"/>
  <c r="BD18" i="12"/>
  <c r="J40" i="5"/>
  <c r="J44" i="5"/>
  <c r="J62" i="5" s="1"/>
  <c r="J42" i="5"/>
  <c r="EL70" i="5"/>
  <c r="CP112" i="5"/>
  <c r="AA18" i="12"/>
  <c r="AD101" i="5"/>
  <c r="CQ94" i="5"/>
  <c r="CP95" i="5"/>
  <c r="BS112" i="5"/>
  <c r="D18" i="12"/>
  <c r="BT112" i="5"/>
  <c r="E18" i="12"/>
  <c r="V101" i="5"/>
  <c r="BR112" i="5"/>
  <c r="BR115" i="5" s="1"/>
  <c r="C18" i="12"/>
  <c r="BR18" i="12"/>
  <c r="EG112" i="5"/>
  <c r="AR101" i="5"/>
  <c r="W91" i="5"/>
  <c r="BX91" i="5"/>
  <c r="BU112" i="5"/>
  <c r="F18" i="12"/>
  <c r="W101" i="5"/>
  <c r="CS112" i="5"/>
  <c r="AE101" i="5"/>
  <c r="AD18" i="12"/>
  <c r="EN112" i="5"/>
  <c r="BY18" i="12"/>
  <c r="EA112" i="5"/>
  <c r="BL18" i="12"/>
  <c r="BR70" i="5"/>
  <c r="BR94" i="5"/>
  <c r="DC101" i="5"/>
  <c r="AH101" i="5" s="1"/>
  <c r="DC68" i="5"/>
  <c r="DC70" i="5" s="1"/>
  <c r="DC94" i="5" s="1"/>
  <c r="DD94" i="5" s="1"/>
  <c r="BS18" i="12"/>
  <c r="H38" i="188"/>
  <c r="H43" i="188"/>
  <c r="H51" i="188" s="1"/>
  <c r="H57" i="188" s="1"/>
  <c r="J5" i="25"/>
  <c r="J38" i="25" s="1"/>
  <c r="I4" i="25"/>
  <c r="DG112" i="5"/>
  <c r="AR18" i="12"/>
  <c r="H41" i="188"/>
  <c r="AT18" i="12"/>
  <c r="DI112" i="5"/>
  <c r="DF112" i="5"/>
  <c r="AQ18" i="12"/>
  <c r="CE73" i="5"/>
  <c r="CD89" i="5"/>
  <c r="H73" i="5"/>
  <c r="Y89" i="5"/>
  <c r="H89" i="5" s="1"/>
  <c r="AI16" i="25"/>
  <c r="AI31" i="25" s="1"/>
  <c r="AI33" i="25" s="1"/>
  <c r="AJ13" i="25"/>
  <c r="CW112" i="5"/>
  <c r="AH18" i="12"/>
  <c r="CD18" i="25"/>
  <c r="CD24" i="25" s="1"/>
  <c r="BW18" i="12"/>
  <c r="CC30" i="25"/>
  <c r="CC32" i="25" s="1"/>
  <c r="CC16" i="25"/>
  <c r="CC31" i="25" s="1"/>
  <c r="CC33" i="25" s="1"/>
  <c r="CZ112" i="5"/>
  <c r="AK18" i="12"/>
  <c r="CT112" i="5"/>
  <c r="AE18" i="12"/>
  <c r="AB101" i="5"/>
  <c r="BO18" i="12"/>
  <c r="ED112" i="5"/>
  <c r="DU112" i="5"/>
  <c r="BF18" i="12"/>
  <c r="AN101" i="5"/>
  <c r="AU18" i="12"/>
  <c r="DJ112" i="5"/>
  <c r="CY91" i="5"/>
  <c r="AF91" i="5"/>
  <c r="DW112" i="5"/>
  <c r="AO101" i="5"/>
  <c r="BH18" i="12"/>
  <c r="I44" i="5"/>
  <c r="I62" i="5" s="1"/>
  <c r="I42" i="5"/>
  <c r="I38" i="5"/>
  <c r="CU112" i="5"/>
  <c r="AF18" i="12"/>
  <c r="EA94" i="5"/>
  <c r="EB94" i="5" s="1"/>
  <c r="BN31" i="25"/>
  <c r="BN33" i="25" s="1"/>
  <c r="BX101" i="5"/>
  <c r="BX68" i="5"/>
  <c r="BX70" i="5" s="1"/>
  <c r="BV18" i="12"/>
  <c r="CG101" i="5"/>
  <c r="CG68" i="5"/>
  <c r="CG70" i="5" s="1"/>
  <c r="Z70" i="5"/>
  <c r="I68" i="5"/>
  <c r="I70" i="5" s="1"/>
  <c r="AP101" i="5"/>
  <c r="DZ112" i="5"/>
  <c r="BK18" i="12"/>
  <c r="DA112" i="5"/>
  <c r="AL18" i="12"/>
  <c r="AI101" i="5"/>
  <c r="DE112" i="5"/>
  <c r="AP18" i="12"/>
  <c r="AQ101" i="5"/>
  <c r="BN18" i="12"/>
  <c r="EC112" i="5"/>
  <c r="Z31" i="25"/>
  <c r="Z33" i="25" s="1"/>
  <c r="AT101" i="5" l="1"/>
  <c r="EM112" i="5"/>
  <c r="BX18" i="12"/>
  <c r="AU68" i="5"/>
  <c r="EO70" i="5"/>
  <c r="AU70" i="5" s="1"/>
  <c r="AU101" i="5"/>
  <c r="EO112" i="5"/>
  <c r="BZ18" i="12"/>
  <c r="EM70" i="5"/>
  <c r="AT70" i="5" s="1"/>
  <c r="AT68" i="5"/>
  <c r="AL94" i="5"/>
  <c r="DQ94" i="5"/>
  <c r="DR94" i="5" s="1"/>
  <c r="DS94" i="5" s="1"/>
  <c r="AM94" i="5" s="1"/>
  <c r="K101" i="5"/>
  <c r="P61" i="25"/>
  <c r="L101" i="5"/>
  <c r="AH94" i="5"/>
  <c r="DE94" i="5"/>
  <c r="DF94" i="5" s="1"/>
  <c r="DG94" i="5" s="1"/>
  <c r="Z94" i="5"/>
  <c r="CG94" i="5"/>
  <c r="CD27" i="25"/>
  <c r="CD26" i="25"/>
  <c r="EC94" i="5"/>
  <c r="ED94" i="5" s="1"/>
  <c r="EE94" i="5" s="1"/>
  <c r="AP94" i="5"/>
  <c r="BY91" i="5"/>
  <c r="M101" i="5"/>
  <c r="CZ91" i="5"/>
  <c r="CD93" i="5"/>
  <c r="DC112" i="5"/>
  <c r="AN18" i="12"/>
  <c r="V115" i="5"/>
  <c r="CD11" i="25"/>
  <c r="CE8" i="25"/>
  <c r="CE18" i="25" s="1"/>
  <c r="CF73" i="5"/>
  <c r="CE89" i="5"/>
  <c r="CE93" i="5" s="1"/>
  <c r="BS94" i="5"/>
  <c r="BR95" i="5"/>
  <c r="BR97" i="5" s="1"/>
  <c r="AA101" i="5"/>
  <c r="AC101" i="5"/>
  <c r="BS114" i="5"/>
  <c r="BS115" i="5" s="1"/>
  <c r="BR118" i="5"/>
  <c r="C19" i="12"/>
  <c r="Z4" i="25"/>
  <c r="Y5" i="25"/>
  <c r="Y38" i="25" s="1"/>
  <c r="Z101" i="5"/>
  <c r="BX112" i="5"/>
  <c r="X101" i="5"/>
  <c r="I18" i="12"/>
  <c r="CR94" i="5"/>
  <c r="CQ95" i="5"/>
  <c r="AK13" i="25"/>
  <c r="AJ16" i="25"/>
  <c r="AJ31" i="25" s="1"/>
  <c r="AJ33" i="25" s="1"/>
  <c r="I5" i="25"/>
  <c r="I38" i="25" s="1"/>
  <c r="H4" i="25"/>
  <c r="J101" i="5"/>
  <c r="W85" i="5"/>
  <c r="W86" i="5" s="1"/>
  <c r="W89" i="5" s="1"/>
  <c r="BX85" i="5"/>
  <c r="BW86" i="5"/>
  <c r="BW89" i="5" s="1"/>
  <c r="CI91" i="5"/>
  <c r="N101" i="5" l="1"/>
  <c r="N112" i="5"/>
  <c r="N70" i="5"/>
  <c r="N68" i="5"/>
  <c r="DT94" i="5"/>
  <c r="DU94" i="5" s="1"/>
  <c r="DV94" i="5" s="1"/>
  <c r="DW94" i="5" s="1"/>
  <c r="DX94" i="5" s="1"/>
  <c r="J112" i="5"/>
  <c r="G4" i="25"/>
  <c r="H5" i="25"/>
  <c r="H38" i="25" s="1"/>
  <c r="BZ91" i="5"/>
  <c r="BT94" i="5"/>
  <c r="BS95" i="5"/>
  <c r="BS97" i="5" s="1"/>
  <c r="AL13" i="25"/>
  <c r="AK16" i="25"/>
  <c r="AK31" i="25" s="1"/>
  <c r="AK33" i="25" s="1"/>
  <c r="CS94" i="5"/>
  <c r="CR95" i="5"/>
  <c r="AD94" i="5"/>
  <c r="AD95" i="5" s="1"/>
  <c r="CE127" i="5"/>
  <c r="CE129" i="5" s="1"/>
  <c r="CE103" i="5" s="1"/>
  <c r="CE95" i="5"/>
  <c r="CE97" i="5" s="1"/>
  <c r="AI94" i="5"/>
  <c r="DH94" i="5"/>
  <c r="DI94" i="5" s="1"/>
  <c r="DJ94" i="5" s="1"/>
  <c r="CG73" i="5"/>
  <c r="Z73" i="5"/>
  <c r="Z89" i="5" s="1"/>
  <c r="CF89" i="5"/>
  <c r="CF93" i="5" s="1"/>
  <c r="K112" i="5"/>
  <c r="I101" i="5"/>
  <c r="AQ94" i="5"/>
  <c r="EF94" i="5"/>
  <c r="CD16" i="25"/>
  <c r="CD30" i="25"/>
  <c r="CD32" i="25" s="1"/>
  <c r="H101" i="5"/>
  <c r="H112" i="5" s="1"/>
  <c r="H115" i="5" s="1"/>
  <c r="I114" i="5" s="1"/>
  <c r="P62" i="25"/>
  <c r="V118" i="5"/>
  <c r="W114" i="5"/>
  <c r="W115" i="5" s="1"/>
  <c r="AA4" i="25"/>
  <c r="Z5" i="25"/>
  <c r="Z38" i="25" s="1"/>
  <c r="AA91" i="5"/>
  <c r="CJ91" i="5"/>
  <c r="CD127" i="5"/>
  <c r="CD95" i="5"/>
  <c r="CD97" i="5" s="1"/>
  <c r="BX86" i="5"/>
  <c r="BX89" i="5" s="1"/>
  <c r="BY85" i="5"/>
  <c r="BT114" i="5"/>
  <c r="BT115" i="5" s="1"/>
  <c r="BS118" i="5"/>
  <c r="D19" i="12"/>
  <c r="L112" i="5"/>
  <c r="DA91" i="5"/>
  <c r="AN94" i="5" l="1"/>
  <c r="CE24" i="25"/>
  <c r="CD31" i="25"/>
  <c r="CD33" i="25" s="1"/>
  <c r="P63" i="25"/>
  <c r="CE112" i="5"/>
  <c r="P18" i="12"/>
  <c r="BU114" i="5"/>
  <c r="BU115" i="5" s="1"/>
  <c r="BT118" i="5"/>
  <c r="E19" i="12"/>
  <c r="BZ85" i="5"/>
  <c r="BY86" i="5"/>
  <c r="BY89" i="5" s="1"/>
  <c r="EG94" i="5"/>
  <c r="EF95" i="5"/>
  <c r="CT94" i="5"/>
  <c r="CS95" i="5"/>
  <c r="CD129" i="5"/>
  <c r="CG8" i="25"/>
  <c r="CE11" i="25"/>
  <c r="CK91" i="5"/>
  <c r="AL16" i="25"/>
  <c r="AL31" i="25" s="1"/>
  <c r="AL33" i="25" s="1"/>
  <c r="AM13" i="25"/>
  <c r="V94" i="5"/>
  <c r="V95" i="5" s="1"/>
  <c r="BU94" i="5"/>
  <c r="BT95" i="5"/>
  <c r="BT97" i="5" s="1"/>
  <c r="AB4" i="25"/>
  <c r="AA5" i="25"/>
  <c r="AA38" i="25" s="1"/>
  <c r="Z93" i="5"/>
  <c r="Z95" i="5" s="1"/>
  <c r="CF127" i="5"/>
  <c r="CF129" i="5" s="1"/>
  <c r="CF103" i="5" s="1"/>
  <c r="CF95" i="5"/>
  <c r="CF97" i="5" s="1"/>
  <c r="X114" i="5"/>
  <c r="X115" i="5" s="1"/>
  <c r="W118" i="5"/>
  <c r="CH73" i="5"/>
  <c r="CG89" i="5"/>
  <c r="CG93" i="5" s="1"/>
  <c r="X91" i="5"/>
  <c r="CA91" i="5"/>
  <c r="F4" i="25"/>
  <c r="G5" i="25"/>
  <c r="G38" i="25" s="1"/>
  <c r="AJ94" i="5"/>
  <c r="DK94" i="5"/>
  <c r="DL94" i="5" s="1"/>
  <c r="DB91" i="5"/>
  <c r="DA95" i="5"/>
  <c r="AG91" i="5"/>
  <c r="AG95" i="5" s="1"/>
  <c r="CE27" i="25" l="1"/>
  <c r="CF27" i="25"/>
  <c r="CE26" i="25"/>
  <c r="CE30" i="25" s="1"/>
  <c r="CE32" i="25" s="1"/>
  <c r="AM16" i="25"/>
  <c r="AM31" i="25" s="1"/>
  <c r="AM33" i="25" s="1"/>
  <c r="AN13" i="25"/>
  <c r="E4" i="25"/>
  <c r="F5" i="25"/>
  <c r="F38" i="25" s="1"/>
  <c r="CL91" i="5"/>
  <c r="P64" i="25"/>
  <c r="CB91" i="5"/>
  <c r="CE16" i="25"/>
  <c r="CG127" i="5"/>
  <c r="CG95" i="5"/>
  <c r="CG97" i="5" s="1"/>
  <c r="CI73" i="5"/>
  <c r="CH89" i="5"/>
  <c r="CH93" i="5" s="1"/>
  <c r="Z129" i="5"/>
  <c r="CD103" i="5"/>
  <c r="Z127" i="5"/>
  <c r="Y114" i="5"/>
  <c r="Y115" i="5" s="1"/>
  <c r="X118" i="5"/>
  <c r="CU94" i="5"/>
  <c r="CT95" i="5"/>
  <c r="CF112" i="5"/>
  <c r="Q18" i="12"/>
  <c r="AB5" i="25"/>
  <c r="AB38" i="25" s="1"/>
  <c r="AC4" i="25"/>
  <c r="EH94" i="5"/>
  <c r="EG95" i="5"/>
  <c r="X85" i="5"/>
  <c r="X86" i="5" s="1"/>
  <c r="X89" i="5" s="1"/>
  <c r="CA85" i="5"/>
  <c r="CA86" i="5" s="1"/>
  <c r="CA89" i="5" s="1"/>
  <c r="BZ86" i="5"/>
  <c r="BZ89" i="5" s="1"/>
  <c r="BV94" i="5"/>
  <c r="BU95" i="5"/>
  <c r="BU97" i="5" s="1"/>
  <c r="DB95" i="5"/>
  <c r="DC91" i="5"/>
  <c r="BV114" i="5"/>
  <c r="BV115" i="5" s="1"/>
  <c r="BU118" i="5"/>
  <c r="F19" i="12"/>
  <c r="CE31" i="25" l="1"/>
  <c r="CE33" i="25" s="1"/>
  <c r="CF26" i="25"/>
  <c r="CG129" i="5"/>
  <c r="EH95" i="5"/>
  <c r="AR94" i="5"/>
  <c r="EI94" i="5"/>
  <c r="AC5" i="25"/>
  <c r="AC38" i="25" s="1"/>
  <c r="AD4" i="25"/>
  <c r="AE94" i="5"/>
  <c r="CV94" i="5"/>
  <c r="CU95" i="5"/>
  <c r="P65" i="25"/>
  <c r="DC95" i="5"/>
  <c r="DD91" i="5"/>
  <c r="CM91" i="5"/>
  <c r="AB91" i="5"/>
  <c r="CD112" i="5"/>
  <c r="O18" i="12"/>
  <c r="BV118" i="5"/>
  <c r="G19" i="12"/>
  <c r="BW114" i="5"/>
  <c r="BW115" i="5" s="1"/>
  <c r="E5" i="25"/>
  <c r="E38" i="25" s="1"/>
  <c r="D4" i="25"/>
  <c r="D5" i="25" s="1"/>
  <c r="D38" i="25" s="1"/>
  <c r="Z114" i="5"/>
  <c r="Y118" i="5"/>
  <c r="CH127" i="5"/>
  <c r="CH129" i="5" s="1"/>
  <c r="CH103" i="5" s="1"/>
  <c r="CH95" i="5"/>
  <c r="CH97" i="5" s="1"/>
  <c r="AN16" i="25"/>
  <c r="AN31" i="25" s="1"/>
  <c r="AN33" i="25" s="1"/>
  <c r="AO13" i="25"/>
  <c r="BW94" i="5"/>
  <c r="BV95" i="5"/>
  <c r="BV97" i="5" s="1"/>
  <c r="CJ73" i="5"/>
  <c r="AA73" i="5"/>
  <c r="AA89" i="5" s="1"/>
  <c r="CI89" i="5"/>
  <c r="CI93" i="5" s="1"/>
  <c r="AD5" i="25" l="1"/>
  <c r="AD38" i="25" s="1"/>
  <c r="AE4" i="25"/>
  <c r="EJ94" i="5"/>
  <c r="EK94" i="5" s="1"/>
  <c r="EI95" i="5"/>
  <c r="EI97" i="5" s="1"/>
  <c r="Z115" i="5"/>
  <c r="AR95" i="5"/>
  <c r="EH97" i="5"/>
  <c r="CG103" i="5"/>
  <c r="W94" i="5"/>
  <c r="W95" i="5" s="1"/>
  <c r="BX94" i="5"/>
  <c r="BW95" i="5"/>
  <c r="BW97" i="5" s="1"/>
  <c r="CG18" i="25"/>
  <c r="CG24" i="25" s="1"/>
  <c r="DE91" i="5"/>
  <c r="DD95" i="5"/>
  <c r="AH91" i="5"/>
  <c r="CI127" i="5"/>
  <c r="AA93" i="5"/>
  <c r="AA95" i="5" s="1"/>
  <c r="CI95" i="5"/>
  <c r="CI97" i="5" s="1"/>
  <c r="CF16" i="25"/>
  <c r="CF31" i="25" s="1"/>
  <c r="CF33" i="25" s="1"/>
  <c r="CF30" i="25"/>
  <c r="CF32" i="25" s="1"/>
  <c r="P66" i="25"/>
  <c r="CK73" i="5"/>
  <c r="CJ89" i="5"/>
  <c r="CJ93" i="5" s="1"/>
  <c r="AP13" i="25"/>
  <c r="AO16" i="25"/>
  <c r="AO31" i="25" s="1"/>
  <c r="AO33" i="25" s="1"/>
  <c r="CH112" i="5"/>
  <c r="S18" i="12"/>
  <c r="S55" i="25"/>
  <c r="T55" i="25"/>
  <c r="Q56" i="25"/>
  <c r="R56" i="25"/>
  <c r="R55" i="25"/>
  <c r="Q55" i="25"/>
  <c r="T56" i="25"/>
  <c r="S56" i="25"/>
  <c r="R57" i="25"/>
  <c r="Q57" i="25"/>
  <c r="T57" i="25"/>
  <c r="S57" i="25"/>
  <c r="T58" i="25"/>
  <c r="S58" i="25"/>
  <c r="R58" i="25"/>
  <c r="Q58" i="25"/>
  <c r="R59" i="25"/>
  <c r="Q59" i="25"/>
  <c r="T59" i="25"/>
  <c r="S59" i="25"/>
  <c r="CW94" i="5"/>
  <c r="CV95" i="5"/>
  <c r="CN91" i="5"/>
  <c r="J94" i="5"/>
  <c r="AE95" i="5"/>
  <c r="J95" i="5" s="1"/>
  <c r="BW118" i="5"/>
  <c r="H19" i="12"/>
  <c r="BX114" i="5"/>
  <c r="BX115" i="5" s="1"/>
  <c r="U56" i="25" l="1"/>
  <c r="U55" i="25"/>
  <c r="CG26" i="25"/>
  <c r="CG27" i="25"/>
  <c r="CX94" i="5"/>
  <c r="CW95" i="5"/>
  <c r="CL73" i="5"/>
  <c r="CK89" i="5"/>
  <c r="CK93" i="5" s="1"/>
  <c r="CI129" i="5"/>
  <c r="AA127" i="5"/>
  <c r="U57" i="25"/>
  <c r="BY94" i="5"/>
  <c r="BX95" i="5"/>
  <c r="BX97" i="5" s="1"/>
  <c r="CG112" i="5"/>
  <c r="R18" i="12"/>
  <c r="P67" i="25"/>
  <c r="AQ13" i="25"/>
  <c r="AP16" i="25"/>
  <c r="AP31" i="25" s="1"/>
  <c r="AP33" i="25" s="1"/>
  <c r="BX118" i="5"/>
  <c r="BY114" i="5"/>
  <c r="BY115" i="5" s="1"/>
  <c r="I19" i="12"/>
  <c r="CH8" i="25"/>
  <c r="CG11" i="25"/>
  <c r="DE95" i="5"/>
  <c r="DF91" i="5"/>
  <c r="EJ95" i="5"/>
  <c r="EJ97" i="5" s="1"/>
  <c r="AH95" i="5"/>
  <c r="AF4" i="25"/>
  <c r="AE5" i="25"/>
  <c r="AE38" i="25" s="1"/>
  <c r="U58" i="25"/>
  <c r="AA114" i="5"/>
  <c r="Z118" i="5"/>
  <c r="CJ127" i="5"/>
  <c r="CJ95" i="5"/>
  <c r="CJ97" i="5" s="1"/>
  <c r="U59" i="25"/>
  <c r="AS94" i="5" l="1"/>
  <c r="M94" i="5" s="1"/>
  <c r="EL94" i="5"/>
  <c r="EK95" i="5"/>
  <c r="EK97" i="5" s="1"/>
  <c r="T60" i="25"/>
  <c r="S60" i="25"/>
  <c r="R60" i="25"/>
  <c r="Q60" i="25"/>
  <c r="AF94" i="5"/>
  <c r="AF95" i="5" s="1"/>
  <c r="CY94" i="5"/>
  <c r="CX95" i="5"/>
  <c r="BZ94" i="5"/>
  <c r="BY95" i="5"/>
  <c r="BY97" i="5" s="1"/>
  <c r="CK127" i="5"/>
  <c r="CK129" i="5" s="1"/>
  <c r="CK103" i="5" s="1"/>
  <c r="CK95" i="5"/>
  <c r="CK97" i="5" s="1"/>
  <c r="P68" i="25"/>
  <c r="DG91" i="5"/>
  <c r="DF95" i="5"/>
  <c r="CI103" i="5"/>
  <c r="AA129" i="5"/>
  <c r="BY118" i="5"/>
  <c r="BZ114" i="5"/>
  <c r="BZ115" i="5" s="1"/>
  <c r="J19" i="12"/>
  <c r="AR13" i="25"/>
  <c r="AQ16" i="25"/>
  <c r="AQ31" i="25" s="1"/>
  <c r="AQ33" i="25" s="1"/>
  <c r="CJ129" i="5"/>
  <c r="AF5" i="25"/>
  <c r="AF38" i="25" s="1"/>
  <c r="AG4" i="25"/>
  <c r="CG30" i="25"/>
  <c r="CG32" i="25" s="1"/>
  <c r="CG16" i="25"/>
  <c r="AB73" i="5"/>
  <c r="AB89" i="5" s="1"/>
  <c r="CM73" i="5"/>
  <c r="CL89" i="5"/>
  <c r="CL93" i="5" s="1"/>
  <c r="CG31" i="25" l="1"/>
  <c r="CG33" i="25" s="1"/>
  <c r="P69" i="25"/>
  <c r="AG5" i="25"/>
  <c r="AG38" i="25" s="1"/>
  <c r="AH4" i="25"/>
  <c r="CA94" i="5"/>
  <c r="X94" i="5"/>
  <c r="X95" i="5" s="1"/>
  <c r="BZ95" i="5"/>
  <c r="BZ97" i="5" s="1"/>
  <c r="AS13" i="25"/>
  <c r="AR16" i="25"/>
  <c r="AR31" i="25" s="1"/>
  <c r="AR33" i="25" s="1"/>
  <c r="CI8" i="25"/>
  <c r="CH11" i="25"/>
  <c r="U60" i="25"/>
  <c r="CK112" i="5"/>
  <c r="V18" i="12"/>
  <c r="AS95" i="5"/>
  <c r="M95" i="5" s="1"/>
  <c r="CJ103" i="5"/>
  <c r="CZ94" i="5"/>
  <c r="CZ95" i="5" s="1"/>
  <c r="CY95" i="5"/>
  <c r="CH18" i="25"/>
  <c r="CH24" i="25" s="1"/>
  <c r="DH91" i="5"/>
  <c r="AI91" i="5"/>
  <c r="DG95" i="5"/>
  <c r="EM94" i="5"/>
  <c r="EL95" i="5"/>
  <c r="EL97" i="5" s="1"/>
  <c r="BZ118" i="5"/>
  <c r="CA114" i="5"/>
  <c r="CA115" i="5" s="1"/>
  <c r="K19" i="12"/>
  <c r="CI112" i="5"/>
  <c r="AA115" i="5" s="1"/>
  <c r="T18" i="12"/>
  <c r="CL127" i="5"/>
  <c r="CL129" i="5" s="1"/>
  <c r="CL103" i="5" s="1"/>
  <c r="AB93" i="5"/>
  <c r="AB95" i="5" s="1"/>
  <c r="CL95" i="5"/>
  <c r="CL97" i="5" s="1"/>
  <c r="CN73" i="5"/>
  <c r="CM89" i="5"/>
  <c r="CM93" i="5" s="1"/>
  <c r="DI91" i="5" l="1"/>
  <c r="DH95" i="5"/>
  <c r="CH16" i="25"/>
  <c r="AB129" i="5"/>
  <c r="AS16" i="25"/>
  <c r="AS31" i="25" s="1"/>
  <c r="AS33" i="25" s="1"/>
  <c r="AT13" i="25"/>
  <c r="CB94" i="5"/>
  <c r="CB95" i="5" s="1"/>
  <c r="CB97" i="5" s="1"/>
  <c r="CA95" i="5"/>
  <c r="CA97" i="5" s="1"/>
  <c r="AH5" i="25"/>
  <c r="AH38" i="25" s="1"/>
  <c r="AI4" i="25"/>
  <c r="CH27" i="25"/>
  <c r="CH26" i="25"/>
  <c r="CH30" i="25" s="1"/>
  <c r="CH32" i="25" s="1"/>
  <c r="CB114" i="5"/>
  <c r="CB115" i="5" s="1"/>
  <c r="CA118" i="5"/>
  <c r="L19" i="12"/>
  <c r="P70" i="25"/>
  <c r="CO73" i="5"/>
  <c r="CN89" i="5"/>
  <c r="CN93" i="5" s="1"/>
  <c r="W18" i="12"/>
  <c r="CL112" i="5"/>
  <c r="AB127" i="5"/>
  <c r="AB114" i="5"/>
  <c r="AA118" i="5"/>
  <c r="CJ112" i="5"/>
  <c r="U18" i="12"/>
  <c r="EN94" i="5"/>
  <c r="EM95" i="5"/>
  <c r="EM97" i="5" s="1"/>
  <c r="CM127" i="5"/>
  <c r="CM95" i="5"/>
  <c r="CM97" i="5" s="1"/>
  <c r="AI95" i="5"/>
  <c r="EN95" i="5" l="1"/>
  <c r="EN97" i="5" s="1"/>
  <c r="EO94" i="5"/>
  <c r="EP94" i="5" s="1"/>
  <c r="EQ94" i="5" s="1"/>
  <c r="ER94" i="5" s="1"/>
  <c r="ES94" i="5" s="1"/>
  <c r="AT94" i="5"/>
  <c r="CP73" i="5"/>
  <c r="AC73" i="5"/>
  <c r="CO89" i="5"/>
  <c r="CO97" i="5" s="1"/>
  <c r="CH31" i="25"/>
  <c r="CH33" i="25" s="1"/>
  <c r="AT16" i="25"/>
  <c r="AT31" i="25" s="1"/>
  <c r="AT33" i="25" s="1"/>
  <c r="AU13" i="25"/>
  <c r="Q61" i="25"/>
  <c r="R61" i="25"/>
  <c r="T61" i="25"/>
  <c r="CJ8" i="25"/>
  <c r="CI11" i="25"/>
  <c r="AJ4" i="25"/>
  <c r="AI5" i="25"/>
  <c r="AI38" i="25" s="1"/>
  <c r="P71" i="25"/>
  <c r="DJ91" i="5"/>
  <c r="DI95" i="5"/>
  <c r="CN127" i="5"/>
  <c r="CN129" i="5" s="1"/>
  <c r="CN103" i="5" s="1"/>
  <c r="CO127" i="5"/>
  <c r="CO129" i="5" s="1"/>
  <c r="CO103" i="5" s="1"/>
  <c r="CN95" i="5"/>
  <c r="CN97" i="5" s="1"/>
  <c r="CI18" i="25"/>
  <c r="CI24" i="25" s="1"/>
  <c r="CM129" i="5"/>
  <c r="AB115" i="5"/>
  <c r="CB118" i="5"/>
  <c r="CC114" i="5"/>
  <c r="CC115" i="5" s="1"/>
  <c r="M19" i="12"/>
  <c r="ET94" i="5" l="1"/>
  <c r="ET95" i="5" s="1"/>
  <c r="CI26" i="25"/>
  <c r="CI30" i="25" s="1"/>
  <c r="CI32" i="25" s="1"/>
  <c r="CI27" i="25"/>
  <c r="ES95" i="5"/>
  <c r="ER95" i="5"/>
  <c r="EQ95" i="5"/>
  <c r="AU94" i="5"/>
  <c r="EP95" i="5"/>
  <c r="EP97" i="5" s="1"/>
  <c r="AC127" i="5"/>
  <c r="AB118" i="5"/>
  <c r="AC114" i="5"/>
  <c r="CN112" i="5"/>
  <c r="Y18" i="12"/>
  <c r="CQ73" i="5"/>
  <c r="CP89" i="5"/>
  <c r="CP97" i="5" s="1"/>
  <c r="CC118" i="5"/>
  <c r="CD114" i="5"/>
  <c r="CD115" i="5" s="1"/>
  <c r="N19" i="12"/>
  <c r="AU16" i="25"/>
  <c r="AU31" i="25" s="1"/>
  <c r="AU33" i="25" s="1"/>
  <c r="AV13" i="25"/>
  <c r="AK4" i="25"/>
  <c r="AJ5" i="25"/>
  <c r="AJ38" i="25" s="1"/>
  <c r="EO95" i="5"/>
  <c r="EO97" i="5" s="1"/>
  <c r="AC129" i="5"/>
  <c r="CM103" i="5"/>
  <c r="I73" i="5"/>
  <c r="AC89" i="5"/>
  <c r="I89" i="5" s="1"/>
  <c r="AT95" i="5"/>
  <c r="Z18" i="12"/>
  <c r="CO112" i="5"/>
  <c r="CI16" i="25"/>
  <c r="CJ18" i="25"/>
  <c r="CJ24" i="25" s="1"/>
  <c r="DK91" i="5"/>
  <c r="AJ91" i="5"/>
  <c r="DJ95" i="5"/>
  <c r="AV94" i="5" l="1"/>
  <c r="EU94" i="5"/>
  <c r="ET97" i="5"/>
  <c r="AV95" i="5"/>
  <c r="ES97" i="5"/>
  <c r="ER97" i="5"/>
  <c r="CJ11" i="25"/>
  <c r="CJ16" i="25" s="1"/>
  <c r="CK8" i="25"/>
  <c r="EQ97" i="5"/>
  <c r="AU95" i="5"/>
  <c r="CI31" i="25"/>
  <c r="CI33" i="25" s="1"/>
  <c r="AW13" i="25"/>
  <c r="AV16" i="25"/>
  <c r="AV31" i="25" s="1"/>
  <c r="AV33" i="25" s="1"/>
  <c r="AJ95" i="5"/>
  <c r="AL4" i="25"/>
  <c r="AK5" i="25"/>
  <c r="AK38" i="25" s="1"/>
  <c r="CR73" i="5"/>
  <c r="CQ89" i="5"/>
  <c r="CQ97" i="5" s="1"/>
  <c r="CD118" i="5"/>
  <c r="CE114" i="5"/>
  <c r="CE115" i="5" s="1"/>
  <c r="O19" i="12"/>
  <c r="DL91" i="5"/>
  <c r="DK95" i="5"/>
  <c r="I103" i="5"/>
  <c r="I112" i="5" s="1"/>
  <c r="I115" i="5" s="1"/>
  <c r="J114" i="5" s="1"/>
  <c r="J115" i="5" s="1"/>
  <c r="K114" i="5" s="1"/>
  <c r="K115" i="5" s="1"/>
  <c r="L114" i="5" s="1"/>
  <c r="L115" i="5" s="1"/>
  <c r="M114" i="5" s="1"/>
  <c r="X18" i="12"/>
  <c r="CM112" i="5"/>
  <c r="AC115" i="5" s="1"/>
  <c r="EV94" i="5" l="1"/>
  <c r="EU95" i="5"/>
  <c r="CK18" i="25"/>
  <c r="CK24" i="25" s="1"/>
  <c r="CJ26" i="25"/>
  <c r="CJ30" i="25" s="1"/>
  <c r="CJ32" i="25" s="1"/>
  <c r="CJ27" i="25"/>
  <c r="CJ31" i="25" s="1"/>
  <c r="CJ33" i="25" s="1"/>
  <c r="AD73" i="5"/>
  <c r="AD89" i="5" s="1"/>
  <c r="CS73" i="5"/>
  <c r="CR89" i="5"/>
  <c r="CR97" i="5" s="1"/>
  <c r="AL5" i="25"/>
  <c r="AL38" i="25" s="1"/>
  <c r="AM4" i="25"/>
  <c r="AD114" i="5"/>
  <c r="AD115" i="5" s="1"/>
  <c r="AC118" i="5"/>
  <c r="AX13" i="25"/>
  <c r="AW16" i="25"/>
  <c r="AW31" i="25" s="1"/>
  <c r="AW33" i="25" s="1"/>
  <c r="DM91" i="5"/>
  <c r="DL95" i="5"/>
  <c r="CE118" i="5"/>
  <c r="CF114" i="5"/>
  <c r="CF115" i="5" s="1"/>
  <c r="P19" i="12"/>
  <c r="EU97" i="5" l="1"/>
  <c r="EV95" i="5"/>
  <c r="CK27" i="25"/>
  <c r="CK26" i="25"/>
  <c r="CL8" i="25"/>
  <c r="CK11" i="25"/>
  <c r="DM95" i="5"/>
  <c r="AK91" i="5"/>
  <c r="DN91" i="5"/>
  <c r="K91" i="5"/>
  <c r="AY13" i="25"/>
  <c r="AX16" i="25"/>
  <c r="AX31" i="25" s="1"/>
  <c r="AX33" i="25" s="1"/>
  <c r="AE114" i="5"/>
  <c r="AE115" i="5" s="1"/>
  <c r="AD118" i="5"/>
  <c r="AM5" i="25"/>
  <c r="AM38" i="25" s="1"/>
  <c r="AN4" i="25"/>
  <c r="CT73" i="5"/>
  <c r="CS89" i="5"/>
  <c r="CS97" i="5" s="1"/>
  <c r="CG114" i="5"/>
  <c r="CG115" i="5" s="1"/>
  <c r="CF118" i="5"/>
  <c r="Q19" i="12"/>
  <c r="EV97" i="5" l="1"/>
  <c r="EX94" i="5"/>
  <c r="EW95" i="5"/>
  <c r="AW94" i="5"/>
  <c r="N94" i="5" s="1"/>
  <c r="CK30" i="25"/>
  <c r="CK32" i="25" s="1"/>
  <c r="CK16" i="25"/>
  <c r="AN5" i="25"/>
  <c r="AN38" i="25" s="1"/>
  <c r="AO4" i="25"/>
  <c r="CU73" i="5"/>
  <c r="CT89" i="5"/>
  <c r="CT97" i="5" s="1"/>
  <c r="AY16" i="25"/>
  <c r="AY31" i="25" s="1"/>
  <c r="AY33" i="25" s="1"/>
  <c r="AZ13" i="25"/>
  <c r="AK95" i="5"/>
  <c r="K95" i="5"/>
  <c r="AF114" i="5"/>
  <c r="AF115" i="5" s="1"/>
  <c r="AE118" i="5"/>
  <c r="DO91" i="5"/>
  <c r="DN95" i="5"/>
  <c r="CH114" i="5"/>
  <c r="CH115" i="5" s="1"/>
  <c r="CG118" i="5"/>
  <c r="R19" i="12"/>
  <c r="EW97" i="5" l="1"/>
  <c r="AW95" i="5"/>
  <c r="N95" i="5" s="1"/>
  <c r="EX95" i="5"/>
  <c r="EY94" i="5"/>
  <c r="CL11" i="25"/>
  <c r="CL16" i="25" s="1"/>
  <c r="CM8" i="25"/>
  <c r="CK31" i="25"/>
  <c r="CK33" i="25" s="1"/>
  <c r="CL18" i="25"/>
  <c r="CL24" i="25" s="1"/>
  <c r="CI114" i="5"/>
  <c r="CI115" i="5" s="1"/>
  <c r="CH118" i="5"/>
  <c r="S19" i="12"/>
  <c r="DO95" i="5"/>
  <c r="DP91" i="5"/>
  <c r="AF118" i="5"/>
  <c r="AG114" i="5"/>
  <c r="AG115" i="5" s="1"/>
  <c r="BA13" i="25"/>
  <c r="AZ16" i="25"/>
  <c r="AZ31" i="25" s="1"/>
  <c r="AZ33" i="25" s="1"/>
  <c r="AE73" i="5"/>
  <c r="CV73" i="5"/>
  <c r="CU89" i="5"/>
  <c r="CU97" i="5" s="1"/>
  <c r="AP4" i="25"/>
  <c r="AO5" i="25"/>
  <c r="AO38" i="25" s="1"/>
  <c r="EZ94" i="5" l="1"/>
  <c r="EY95" i="5"/>
  <c r="EX97" i="5"/>
  <c r="CL26" i="25"/>
  <c r="CL30" i="25" s="1"/>
  <c r="CL32" i="25" s="1"/>
  <c r="CL27" i="25"/>
  <c r="CL31" i="25" s="1"/>
  <c r="CL33" i="25" s="1"/>
  <c r="J73" i="5"/>
  <c r="AE89" i="5"/>
  <c r="J89" i="5" s="1"/>
  <c r="BB13" i="25"/>
  <c r="BA16" i="25"/>
  <c r="BA31" i="25" s="1"/>
  <c r="BA33" i="25" s="1"/>
  <c r="CW73" i="5"/>
  <c r="CV89" i="5"/>
  <c r="CV97" i="5" s="1"/>
  <c r="AQ4" i="25"/>
  <c r="AP5" i="25"/>
  <c r="AP38" i="25" s="1"/>
  <c r="AL91" i="5"/>
  <c r="DQ91" i="5"/>
  <c r="DP95" i="5"/>
  <c r="CI118" i="5"/>
  <c r="CJ114" i="5"/>
  <c r="CJ115" i="5" s="1"/>
  <c r="T19" i="12"/>
  <c r="EY97" i="5" l="1"/>
  <c r="FA94" i="5"/>
  <c r="FB94" i="5" s="1"/>
  <c r="EZ95" i="5"/>
  <c r="AX94" i="5"/>
  <c r="DR91" i="5"/>
  <c r="DQ95" i="5"/>
  <c r="AR4" i="25"/>
  <c r="AQ5" i="25"/>
  <c r="AQ38" i="25" s="1"/>
  <c r="AL95" i="5"/>
  <c r="CX73" i="5"/>
  <c r="CW89" i="5"/>
  <c r="CW97" i="5" s="1"/>
  <c r="BB16" i="25"/>
  <c r="BB31" i="25" s="1"/>
  <c r="BB33" i="25" s="1"/>
  <c r="BC13" i="25"/>
  <c r="CK114" i="5"/>
  <c r="CK115" i="5" s="1"/>
  <c r="CJ118" i="5"/>
  <c r="U19" i="12"/>
  <c r="FC94" i="5" l="1"/>
  <c r="FD94" i="5" s="1"/>
  <c r="AX95" i="5"/>
  <c r="EZ97" i="5"/>
  <c r="FA95" i="5"/>
  <c r="CK118" i="5"/>
  <c r="CL114" i="5"/>
  <c r="CL115" i="5" s="1"/>
  <c r="V19" i="12"/>
  <c r="BC16" i="25"/>
  <c r="BC31" i="25" s="1"/>
  <c r="BC33" i="25" s="1"/>
  <c r="BD13" i="25"/>
  <c r="AF73" i="5"/>
  <c r="AF89" i="5" s="1"/>
  <c r="CY73" i="5"/>
  <c r="CX89" i="5"/>
  <c r="CX97" i="5" s="1"/>
  <c r="AS4" i="25"/>
  <c r="AR5" i="25"/>
  <c r="AR38" i="25" s="1"/>
  <c r="DS91" i="5"/>
  <c r="DR95" i="5"/>
  <c r="FC95" i="5" l="1"/>
  <c r="FC97" i="5" s="1"/>
  <c r="AY94" i="5"/>
  <c r="FE94" i="5"/>
  <c r="FF94" i="5" s="1"/>
  <c r="FG94" i="5" s="1"/>
  <c r="FH94" i="5" s="1"/>
  <c r="FI94" i="5" s="1"/>
  <c r="FK94" i="5" s="1"/>
  <c r="FD95" i="5"/>
  <c r="FD97" i="5" s="1"/>
  <c r="FB95" i="5"/>
  <c r="FA97" i="5"/>
  <c r="DS95" i="5"/>
  <c r="AM91" i="5"/>
  <c r="DT91" i="5"/>
  <c r="AS5" i="25"/>
  <c r="AS38" i="25" s="1"/>
  <c r="AT4" i="25"/>
  <c r="BD16" i="25"/>
  <c r="BD31" i="25" s="1"/>
  <c r="BD33" i="25" s="1"/>
  <c r="BE13" i="25"/>
  <c r="BE16" i="25" s="1"/>
  <c r="BE31" i="25" s="1"/>
  <c r="BE33" i="25" s="1"/>
  <c r="CZ73" i="5"/>
  <c r="CY89" i="5"/>
  <c r="CY97" i="5" s="1"/>
  <c r="CM114" i="5"/>
  <c r="CM115" i="5" s="1"/>
  <c r="CL118" i="5"/>
  <c r="W19" i="12"/>
  <c r="BB94" i="5" l="1"/>
  <c r="P94" i="5"/>
  <c r="FK95" i="5"/>
  <c r="FJ95" i="5"/>
  <c r="FI95" i="5"/>
  <c r="BA95" i="5" s="1"/>
  <c r="BA94" i="5"/>
  <c r="FH95" i="5"/>
  <c r="FH97" i="5" s="1"/>
  <c r="O94" i="5"/>
  <c r="FG95" i="5"/>
  <c r="O95" i="5" s="1"/>
  <c r="FF95" i="5"/>
  <c r="AZ94" i="5"/>
  <c r="AY95" i="5"/>
  <c r="FE95" i="5"/>
  <c r="FE97" i="5" s="1"/>
  <c r="FB97" i="5"/>
  <c r="CN114" i="5"/>
  <c r="CN115" i="5" s="1"/>
  <c r="CM118" i="5"/>
  <c r="X19" i="12"/>
  <c r="DA73" i="5"/>
  <c r="CZ89" i="5"/>
  <c r="CZ97" i="5" s="1"/>
  <c r="AT5" i="25"/>
  <c r="AT38" i="25" s="1"/>
  <c r="AU4" i="25"/>
  <c r="DT95" i="5"/>
  <c r="DU91" i="5"/>
  <c r="AM95" i="5"/>
  <c r="FK97" i="5" l="1"/>
  <c r="BB95" i="5"/>
  <c r="P95" i="5"/>
  <c r="FJ97" i="5"/>
  <c r="BB97" i="5" s="1"/>
  <c r="FG97" i="5"/>
  <c r="FF97" i="5"/>
  <c r="AZ95" i="5"/>
  <c r="AV4" i="25"/>
  <c r="AU5" i="25"/>
  <c r="AU38" i="25" s="1"/>
  <c r="DV91" i="5"/>
  <c r="DU95" i="5"/>
  <c r="AG73" i="5"/>
  <c r="AG89" i="5" s="1"/>
  <c r="DB73" i="5"/>
  <c r="DA89" i="5"/>
  <c r="DA97" i="5" s="1"/>
  <c r="CO114" i="5"/>
  <c r="CO115" i="5" s="1"/>
  <c r="CN118" i="5"/>
  <c r="Y19" i="12"/>
  <c r="DC73" i="5" l="1"/>
  <c r="DB89" i="5"/>
  <c r="DB97" i="5" s="1"/>
  <c r="AN91" i="5"/>
  <c r="DW91" i="5"/>
  <c r="DV95" i="5"/>
  <c r="CP114" i="5"/>
  <c r="CP115" i="5" s="1"/>
  <c r="CO118" i="5"/>
  <c r="Z19" i="12"/>
  <c r="AW4" i="25"/>
  <c r="AV5" i="25"/>
  <c r="AV38" i="25" s="1"/>
  <c r="AX4" i="25" l="1"/>
  <c r="AW5" i="25"/>
  <c r="AW38" i="25" s="1"/>
  <c r="CP118" i="5"/>
  <c r="AA19" i="12"/>
  <c r="CQ114" i="5"/>
  <c r="CQ115" i="5" s="1"/>
  <c r="AN95" i="5"/>
  <c r="DW95" i="5"/>
  <c r="DX91" i="5"/>
  <c r="DD73" i="5"/>
  <c r="DC89" i="5"/>
  <c r="DC97" i="5" s="1"/>
  <c r="AH73" i="5" l="1"/>
  <c r="DE73" i="5"/>
  <c r="DD89" i="5"/>
  <c r="CR114" i="5"/>
  <c r="CR115" i="5" s="1"/>
  <c r="CQ118" i="5"/>
  <c r="AB19" i="12"/>
  <c r="DX95" i="5"/>
  <c r="DY91" i="5"/>
  <c r="AX5" i="25"/>
  <c r="AX38" i="25" s="1"/>
  <c r="AY4" i="25"/>
  <c r="AY5" i="25" l="1"/>
  <c r="AY38" i="25" s="1"/>
  <c r="AZ4" i="25"/>
  <c r="AO91" i="5"/>
  <c r="DZ91" i="5"/>
  <c r="DY95" i="5"/>
  <c r="L91" i="5"/>
  <c r="CS114" i="5"/>
  <c r="CS115" i="5" s="1"/>
  <c r="CR118" i="5"/>
  <c r="AC19" i="12"/>
  <c r="AH89" i="5"/>
  <c r="DD97" i="5"/>
  <c r="DF73" i="5"/>
  <c r="DE89" i="5"/>
  <c r="DE97" i="5" s="1"/>
  <c r="DG73" i="5" l="1"/>
  <c r="DF89" i="5"/>
  <c r="DF97" i="5" s="1"/>
  <c r="AZ5" i="25"/>
  <c r="AZ38" i="25" s="1"/>
  <c r="BA4" i="25"/>
  <c r="CT114" i="5"/>
  <c r="CT115" i="5" s="1"/>
  <c r="CS118" i="5"/>
  <c r="AD19" i="12"/>
  <c r="AO95" i="5"/>
  <c r="L95" i="5"/>
  <c r="EA91" i="5"/>
  <c r="DZ95" i="5"/>
  <c r="CT118" i="5" l="1"/>
  <c r="CU114" i="5"/>
  <c r="CU115" i="5" s="1"/>
  <c r="AE19" i="12"/>
  <c r="EB91" i="5"/>
  <c r="EA95" i="5"/>
  <c r="BA5" i="25"/>
  <c r="BA38" i="25" s="1"/>
  <c r="BB4" i="25"/>
  <c r="AI73" i="5"/>
  <c r="DH73" i="5"/>
  <c r="DG89" i="5"/>
  <c r="EB95" i="5" l="1"/>
  <c r="EC91" i="5"/>
  <c r="AP91" i="5"/>
  <c r="AI89" i="5"/>
  <c r="DG97" i="5"/>
  <c r="DI73" i="5"/>
  <c r="DH89" i="5"/>
  <c r="DH97" i="5" s="1"/>
  <c r="BC4" i="25"/>
  <c r="BB5" i="25"/>
  <c r="BB38" i="25" s="1"/>
  <c r="CV114" i="5"/>
  <c r="CV115" i="5" s="1"/>
  <c r="CU118" i="5"/>
  <c r="AF19" i="12"/>
  <c r="CV118" i="5" l="1"/>
  <c r="CW114" i="5"/>
  <c r="CW115" i="5" s="1"/>
  <c r="AG19" i="12"/>
  <c r="BD4" i="25"/>
  <c r="BC5" i="25"/>
  <c r="BC38" i="25" s="1"/>
  <c r="DJ73" i="5"/>
  <c r="DI89" i="5"/>
  <c r="DI97" i="5" s="1"/>
  <c r="ED91" i="5"/>
  <c r="EC95" i="5"/>
  <c r="AP95" i="5"/>
  <c r="DK73" i="5" l="1"/>
  <c r="AJ73" i="5"/>
  <c r="DJ89" i="5"/>
  <c r="EE91" i="5"/>
  <c r="ED95" i="5"/>
  <c r="BE4" i="25"/>
  <c r="BD5" i="25"/>
  <c r="BD38" i="25" s="1"/>
  <c r="CW118" i="5"/>
  <c r="CX114" i="5"/>
  <c r="CX115" i="5" s="1"/>
  <c r="AH19" i="12"/>
  <c r="CX118" i="5" l="1"/>
  <c r="CY114" i="5"/>
  <c r="CY115" i="5" s="1"/>
  <c r="AI19" i="12"/>
  <c r="BF4" i="25"/>
  <c r="BE5" i="25"/>
  <c r="BE38" i="25" s="1"/>
  <c r="AQ91" i="5"/>
  <c r="EE95" i="5"/>
  <c r="AJ89" i="5"/>
  <c r="DJ97" i="5"/>
  <c r="DL73" i="5"/>
  <c r="DK89" i="5"/>
  <c r="DK97" i="5" s="1"/>
  <c r="DM73" i="5" l="1"/>
  <c r="DL89" i="5"/>
  <c r="DL97" i="5" s="1"/>
  <c r="AQ95" i="5"/>
  <c r="CY118" i="5"/>
  <c r="CZ114" i="5"/>
  <c r="CZ115" i="5" s="1"/>
  <c r="AJ19" i="12"/>
  <c r="BF5" i="25"/>
  <c r="BF38" i="25" s="1"/>
  <c r="BG4" i="25"/>
  <c r="BG5" i="25" l="1"/>
  <c r="BG38" i="25" s="1"/>
  <c r="BH4" i="25"/>
  <c r="DA114" i="5"/>
  <c r="DA115" i="5" s="1"/>
  <c r="CZ118" i="5"/>
  <c r="AK19" i="12"/>
  <c r="DN73" i="5"/>
  <c r="K73" i="5"/>
  <c r="AK73" i="5"/>
  <c r="DM89" i="5"/>
  <c r="DO73" i="5" l="1"/>
  <c r="DN89" i="5"/>
  <c r="DN97" i="5" s="1"/>
  <c r="AK89" i="5"/>
  <c r="K89" i="5"/>
  <c r="DM97" i="5"/>
  <c r="DA118" i="5"/>
  <c r="DB114" i="5"/>
  <c r="AL19" i="12"/>
  <c r="BH5" i="25"/>
  <c r="BH38" i="25" s="1"/>
  <c r="BI4" i="25"/>
  <c r="BI5" i="25" l="1"/>
  <c r="BI38" i="25" s="1"/>
  <c r="BJ4" i="25"/>
  <c r="DB115" i="5"/>
  <c r="AH114" i="5"/>
  <c r="AH115" i="5" s="1"/>
  <c r="AI114" i="5" s="1"/>
  <c r="AI115" i="5" s="1"/>
  <c r="AJ114" i="5" s="1"/>
  <c r="AJ115" i="5" s="1"/>
  <c r="AK114" i="5" s="1"/>
  <c r="AK115" i="5" s="1"/>
  <c r="AL114" i="5" s="1"/>
  <c r="AL115" i="5" s="1"/>
  <c r="AM114" i="5" s="1"/>
  <c r="AM115" i="5" s="1"/>
  <c r="AN114" i="5" s="1"/>
  <c r="AN115" i="5" s="1"/>
  <c r="AO114" i="5" s="1"/>
  <c r="AO115" i="5" s="1"/>
  <c r="AP114" i="5" s="1"/>
  <c r="AP115" i="5" s="1"/>
  <c r="AQ114" i="5" s="1"/>
  <c r="AQ115" i="5" s="1"/>
  <c r="AR114" i="5" s="1"/>
  <c r="DP73" i="5"/>
  <c r="DO89" i="5"/>
  <c r="DO97" i="5" s="1"/>
  <c r="AL73" i="5" l="1"/>
  <c r="DQ73" i="5"/>
  <c r="DP89" i="5"/>
  <c r="DB118" i="5"/>
  <c r="DC114" i="5"/>
  <c r="DC115" i="5" s="1"/>
  <c r="AM19" i="12"/>
  <c r="BJ5" i="25"/>
  <c r="BJ38" i="25" s="1"/>
  <c r="BK4" i="25"/>
  <c r="R64" i="25"/>
  <c r="R63" i="25"/>
  <c r="S61" i="25"/>
  <c r="U61" i="25" s="1"/>
  <c r="S62" i="25"/>
  <c r="Q62" i="25"/>
  <c r="T62" i="25"/>
  <c r="S66" i="25"/>
  <c r="T63" i="25"/>
  <c r="T64" i="25"/>
  <c r="R66" i="25"/>
  <c r="R62" i="25"/>
  <c r="Q63" i="25"/>
  <c r="S65" i="25"/>
  <c r="Q64" i="25"/>
  <c r="S63" i="25"/>
  <c r="S64" i="25"/>
  <c r="Q66" i="25"/>
  <c r="Q65" i="25"/>
  <c r="R65" i="25"/>
  <c r="R69" i="25"/>
  <c r="Q69" i="25"/>
  <c r="T66" i="25"/>
  <c r="S67" i="25"/>
  <c r="S68" i="25"/>
  <c r="Q68" i="25"/>
  <c r="T67" i="25"/>
  <c r="Q67" i="25"/>
  <c r="T65" i="25"/>
  <c r="S69" i="25"/>
  <c r="U69" i="25" s="1"/>
  <c r="T68" i="25"/>
  <c r="R67" i="25"/>
  <c r="T70" i="25"/>
  <c r="R68" i="25"/>
  <c r="T69" i="25"/>
  <c r="S70" i="25"/>
  <c r="R70" i="25"/>
  <c r="U68" i="25" l="1"/>
  <c r="U66" i="25"/>
  <c r="DC118" i="5"/>
  <c r="DD114" i="5"/>
  <c r="DD115" i="5" s="1"/>
  <c r="AN19" i="12"/>
  <c r="U64" i="25"/>
  <c r="U63" i="25"/>
  <c r="AL89" i="5"/>
  <c r="DP97" i="5"/>
  <c r="U62" i="25"/>
  <c r="BL4" i="25"/>
  <c r="BK5" i="25"/>
  <c r="BK38" i="25" s="1"/>
  <c r="DR73" i="5"/>
  <c r="DQ89" i="5"/>
  <c r="DQ97" i="5" s="1"/>
  <c r="U67" i="25"/>
  <c r="U70" i="25"/>
  <c r="U65" i="25"/>
  <c r="DS73" i="5" l="1"/>
  <c r="DR89" i="5"/>
  <c r="DR97" i="5" s="1"/>
  <c r="DE114" i="5"/>
  <c r="DE115" i="5" s="1"/>
  <c r="DD118" i="5"/>
  <c r="AO19" i="12"/>
  <c r="BM4" i="25"/>
  <c r="BL5" i="25"/>
  <c r="BL38" i="25" s="1"/>
  <c r="DE118" i="5" l="1"/>
  <c r="DF114" i="5"/>
  <c r="DF115" i="5" s="1"/>
  <c r="AP19" i="12"/>
  <c r="T71" i="25"/>
  <c r="Q70" i="25"/>
  <c r="R71" i="25"/>
  <c r="Q71" i="25"/>
  <c r="S71" i="25"/>
  <c r="U71" i="25" s="1"/>
  <c r="BN4" i="25"/>
  <c r="BM5" i="25"/>
  <c r="BM38" i="25" s="1"/>
  <c r="AM73" i="5"/>
  <c r="DT73" i="5"/>
  <c r="DS89" i="5"/>
  <c r="BO4" i="25" l="1"/>
  <c r="BN5" i="25"/>
  <c r="BN38" i="25" s="1"/>
  <c r="DU73" i="5"/>
  <c r="DT89" i="5"/>
  <c r="DT97" i="5" s="1"/>
  <c r="DG114" i="5"/>
  <c r="DG115" i="5" s="1"/>
  <c r="DF118" i="5"/>
  <c r="AQ19" i="12"/>
  <c r="AM89" i="5"/>
  <c r="DS97" i="5"/>
  <c r="DH114" i="5" l="1"/>
  <c r="DH115" i="5" s="1"/>
  <c r="DG118" i="5"/>
  <c r="AR19" i="12"/>
  <c r="DV73" i="5"/>
  <c r="DU89" i="5"/>
  <c r="DU97" i="5" s="1"/>
  <c r="BP4" i="25"/>
  <c r="BO5" i="25"/>
  <c r="BO38" i="25" s="1"/>
  <c r="AN73" i="5" l="1"/>
  <c r="DW73" i="5"/>
  <c r="DV89" i="5"/>
  <c r="BQ4" i="25"/>
  <c r="BP5" i="25"/>
  <c r="BP38" i="25" s="1"/>
  <c r="DI114" i="5"/>
  <c r="DI115" i="5" s="1"/>
  <c r="DH118" i="5"/>
  <c r="AS19" i="12"/>
  <c r="DJ114" i="5" l="1"/>
  <c r="DJ115" i="5" s="1"/>
  <c r="DI118" i="5"/>
  <c r="AT19" i="12"/>
  <c r="BR4" i="25"/>
  <c r="BQ5" i="25"/>
  <c r="BQ38" i="25" s="1"/>
  <c r="AN89" i="5"/>
  <c r="DV97" i="5"/>
  <c r="DX73" i="5"/>
  <c r="DW89" i="5"/>
  <c r="DW97" i="5" s="1"/>
  <c r="DY73" i="5" l="1"/>
  <c r="DX89" i="5"/>
  <c r="DX97" i="5" s="1"/>
  <c r="BS4" i="25"/>
  <c r="BR5" i="25"/>
  <c r="BR38" i="25" s="1"/>
  <c r="DJ118" i="5"/>
  <c r="AU19" i="12"/>
  <c r="DK114" i="5"/>
  <c r="DK115" i="5" s="1"/>
  <c r="AV19" i="12" l="1"/>
  <c r="DK118" i="5"/>
  <c r="DL114" i="5"/>
  <c r="DL115" i="5" s="1"/>
  <c r="BT4" i="25"/>
  <c r="BS5" i="25"/>
  <c r="BS38" i="25" s="1"/>
  <c r="DZ73" i="5"/>
  <c r="L73" i="5"/>
  <c r="AO73" i="5"/>
  <c r="DY89" i="5"/>
  <c r="EA73" i="5" l="1"/>
  <c r="DZ89" i="5"/>
  <c r="DZ97" i="5" s="1"/>
  <c r="AO89" i="5"/>
  <c r="L89" i="5"/>
  <c r="DY97" i="5"/>
  <c r="BT5" i="25"/>
  <c r="BT38" i="25" s="1"/>
  <c r="BU4" i="25"/>
  <c r="DL118" i="5"/>
  <c r="DM114" i="5"/>
  <c r="DM115" i="5" s="1"/>
  <c r="AW19" i="12"/>
  <c r="BU5" i="25" l="1"/>
  <c r="BU38" i="25" s="1"/>
  <c r="BV4" i="25"/>
  <c r="DN114" i="5"/>
  <c r="DN115" i="5" s="1"/>
  <c r="DM118" i="5"/>
  <c r="AX19" i="12"/>
  <c r="EB73" i="5"/>
  <c r="EA89" i="5"/>
  <c r="EA97" i="5" s="1"/>
  <c r="AP73" i="5" l="1"/>
  <c r="EC73" i="5"/>
  <c r="EB89" i="5"/>
  <c r="DO114" i="5"/>
  <c r="DO115" i="5" s="1"/>
  <c r="DN118" i="5"/>
  <c r="AY19" i="12"/>
  <c r="BW4" i="25"/>
  <c r="BV5" i="25"/>
  <c r="BV38" i="25" s="1"/>
  <c r="BX4" i="25" l="1"/>
  <c r="BW5" i="25"/>
  <c r="BW38" i="25" s="1"/>
  <c r="DP114" i="5"/>
  <c r="DP115" i="5" s="1"/>
  <c r="DO118" i="5"/>
  <c r="AZ19" i="12"/>
  <c r="AP89" i="5"/>
  <c r="EB97" i="5"/>
  <c r="ED73" i="5"/>
  <c r="EC89" i="5"/>
  <c r="EC97" i="5" s="1"/>
  <c r="DP118" i="5" l="1"/>
  <c r="DQ114" i="5"/>
  <c r="DQ115" i="5" s="1"/>
  <c r="BA19" i="12"/>
  <c r="EE73" i="5"/>
  <c r="ED89" i="5"/>
  <c r="ED97" i="5" s="1"/>
  <c r="BY4" i="25"/>
  <c r="BX5" i="25"/>
  <c r="BX38" i="25" s="1"/>
  <c r="BZ4" i="25" l="1"/>
  <c r="BY5" i="25"/>
  <c r="BY38" i="25" s="1"/>
  <c r="EF73" i="5"/>
  <c r="AQ73" i="5"/>
  <c r="EE89" i="5"/>
  <c r="DQ118" i="5"/>
  <c r="DR114" i="5"/>
  <c r="DR115" i="5" s="1"/>
  <c r="BB19" i="12"/>
  <c r="DR118" i="5" l="1"/>
  <c r="DS114" i="5"/>
  <c r="DS115" i="5" s="1"/>
  <c r="BC19" i="12"/>
  <c r="EG73" i="5"/>
  <c r="EF89" i="5"/>
  <c r="EF97" i="5" s="1"/>
  <c r="AQ89" i="5"/>
  <c r="EE97" i="5"/>
  <c r="CA4" i="25"/>
  <c r="BZ5" i="25"/>
  <c r="BZ38" i="25" s="1"/>
  <c r="DS118" i="5" l="1"/>
  <c r="DT114" i="5"/>
  <c r="DT115" i="5" s="1"/>
  <c r="BD19" i="12"/>
  <c r="CB4" i="25"/>
  <c r="CA5" i="25"/>
  <c r="CA38" i="25" s="1"/>
  <c r="EH105" i="5"/>
  <c r="EG89" i="5"/>
  <c r="EG97" i="5" s="1"/>
  <c r="M105" i="5" l="1"/>
  <c r="EH112" i="5"/>
  <c r="CB5" i="25"/>
  <c r="CB38" i="25" s="1"/>
  <c r="CC4" i="25"/>
  <c r="DU114" i="5"/>
  <c r="DU115" i="5" s="1"/>
  <c r="DT118" i="5"/>
  <c r="BE19" i="12"/>
  <c r="CC5" i="25" l="1"/>
  <c r="CC38" i="25" s="1"/>
  <c r="CD4" i="25"/>
  <c r="DU118" i="5"/>
  <c r="DV114" i="5"/>
  <c r="DV115" i="5" s="1"/>
  <c r="BF19" i="12"/>
  <c r="AR115" i="5"/>
  <c r="AS114" i="5" s="1"/>
  <c r="AS115" i="5" s="1"/>
  <c r="AT114" i="5" s="1"/>
  <c r="M112" i="5"/>
  <c r="M115" i="5" s="1"/>
  <c r="N114" i="5" l="1"/>
  <c r="N115" i="5" s="1"/>
  <c r="AT115" i="5"/>
  <c r="CD5" i="25"/>
  <c r="CD38" i="25" s="1"/>
  <c r="CE4" i="25"/>
  <c r="DV118" i="5"/>
  <c r="DW114" i="5"/>
  <c r="DW115" i="5" s="1"/>
  <c r="BG19" i="12"/>
  <c r="AU114" i="5" l="1"/>
  <c r="CE5" i="25"/>
  <c r="CE38" i="25" s="1"/>
  <c r="CF4" i="25"/>
  <c r="DW118" i="5"/>
  <c r="DX114" i="5"/>
  <c r="DX115" i="5" s="1"/>
  <c r="BH19" i="12"/>
  <c r="CG4" i="25" l="1"/>
  <c r="CF5" i="25"/>
  <c r="CF38" i="25" s="1"/>
  <c r="DX118" i="5"/>
  <c r="DY114" i="5"/>
  <c r="DY115" i="5" s="1"/>
  <c r="BI19" i="12"/>
  <c r="DY118" i="5" l="1"/>
  <c r="DZ114" i="5"/>
  <c r="DZ115" i="5" s="1"/>
  <c r="BJ19" i="12"/>
  <c r="CG5" i="25"/>
  <c r="CG38" i="25" s="1"/>
  <c r="CH4" i="25"/>
  <c r="EA114" i="5" l="1"/>
  <c r="EA115" i="5" s="1"/>
  <c r="DZ118" i="5"/>
  <c r="BK19" i="12"/>
  <c r="CH5" i="25"/>
  <c r="CH38" i="25" s="1"/>
  <c r="CI4" i="25"/>
  <c r="CJ4" i="25" l="1"/>
  <c r="CI5" i="25"/>
  <c r="CI38" i="25" s="1"/>
  <c r="EB114" i="5"/>
  <c r="EB115" i="5" s="1"/>
  <c r="EA118" i="5"/>
  <c r="BL19" i="12"/>
  <c r="CJ5" i="25" l="1"/>
  <c r="CJ38" i="25" s="1"/>
  <c r="CK4" i="25"/>
  <c r="EC114" i="5"/>
  <c r="EC115" i="5" s="1"/>
  <c r="EB118" i="5"/>
  <c r="BM19" i="12"/>
  <c r="CL4" i="25" l="1"/>
  <c r="CK5" i="25"/>
  <c r="CK38" i="25" s="1"/>
  <c r="ED114" i="5"/>
  <c r="ED115" i="5" s="1"/>
  <c r="EC118" i="5"/>
  <c r="BN19" i="12"/>
  <c r="CL5" i="25" l="1"/>
  <c r="CL38" i="25" s="1"/>
  <c r="CM4" i="25"/>
  <c r="ED118" i="5"/>
  <c r="EE114" i="5"/>
  <c r="EE115" i="5" s="1"/>
  <c r="BO19" i="12"/>
  <c r="CN4" i="25" l="1"/>
  <c r="CN5" i="25" s="1"/>
  <c r="CN38" i="25" s="1"/>
  <c r="CM5" i="25"/>
  <c r="CM38" i="25" s="1"/>
  <c r="EF114" i="5"/>
  <c r="EF115" i="5" s="1"/>
  <c r="EE118" i="5"/>
  <c r="BP19" i="12"/>
  <c r="EF118" i="5" l="1"/>
  <c r="EG114" i="5"/>
  <c r="EG115" i="5" s="1"/>
  <c r="BQ19" i="12"/>
  <c r="EH114" i="5" l="1"/>
  <c r="EH115" i="5" s="1"/>
  <c r="EG118" i="5"/>
  <c r="BR19" i="12"/>
  <c r="EI114" i="5" l="1"/>
  <c r="EI115" i="5" s="1"/>
  <c r="EH118" i="5"/>
  <c r="BS19" i="12"/>
  <c r="EJ114" i="5" l="1"/>
  <c r="EJ115" i="5" s="1"/>
  <c r="EI118" i="5"/>
  <c r="BT19" i="12"/>
  <c r="EK114" i="5" l="1"/>
  <c r="EK115" i="5" s="1"/>
  <c r="EK118" i="5" s="1"/>
  <c r="EJ118" i="5"/>
  <c r="BU19" i="12"/>
  <c r="EL114" i="5" l="1"/>
  <c r="EL115" i="5" s="1"/>
  <c r="BV19" i="12"/>
  <c r="EL118" i="5" l="1"/>
  <c r="EM114" i="5"/>
  <c r="EM115" i="5" s="1"/>
  <c r="BW19" i="12"/>
  <c r="EM118" i="5" l="1"/>
  <c r="EN114" i="5"/>
  <c r="EN115" i="5" s="1"/>
  <c r="BX19" i="12"/>
  <c r="EO114" i="5" l="1"/>
  <c r="EN118" i="5"/>
  <c r="BY19" i="12"/>
  <c r="EO115" i="5" l="1"/>
  <c r="EP114" i="5" l="1"/>
  <c r="EP115" i="5" s="1"/>
  <c r="EP118" i="5" s="1"/>
  <c r="EO118" i="5"/>
  <c r="BZ19" i="12"/>
  <c r="EQ114" i="5" l="1"/>
  <c r="EQ115" i="5" s="1"/>
  <c r="CA19" i="12"/>
  <c r="AU115" i="5"/>
  <c r="AV114" i="5" s="1"/>
  <c r="EQ118" i="5" l="1"/>
  <c r="ER114" i="5"/>
  <c r="CB19" i="12"/>
  <c r="ER115" i="5" l="1"/>
  <c r="ES114" i="5" s="1"/>
  <c r="ES115" i="5" s="1"/>
  <c r="ET114" i="5" s="1"/>
  <c r="ET115" i="5" s="1"/>
  <c r="AV115" i="5" l="1"/>
  <c r="AW114" i="5" s="1"/>
  <c r="EU114" i="5"/>
  <c r="ET118" i="5"/>
  <c r="CE19" i="12"/>
  <c r="ES118" i="5"/>
  <c r="CD19" i="12"/>
  <c r="ER118" i="5"/>
  <c r="CC19" i="12"/>
  <c r="EU115" i="5" l="1"/>
  <c r="CF19" i="12" l="1"/>
  <c r="EV114" i="5"/>
  <c r="EU118" i="5"/>
  <c r="EV115" i="5" l="1"/>
  <c r="EW114" i="5" l="1"/>
  <c r="EW115" i="5" s="1"/>
  <c r="CG19" i="12"/>
  <c r="EV118" i="5"/>
  <c r="CH19" i="12" l="1"/>
  <c r="EX114" i="5"/>
  <c r="AW115" i="5"/>
  <c r="AX114" i="5" s="1"/>
  <c r="O114" i="5" s="1"/>
  <c r="O115" i="5" s="1"/>
  <c r="EW118" i="5"/>
  <c r="EX115" i="5" l="1"/>
  <c r="EX118" i="5" s="1"/>
  <c r="CI19" i="12" l="1"/>
  <c r="EY114" i="5"/>
  <c r="EY115" i="5" l="1"/>
  <c r="EY118" i="5" l="1"/>
  <c r="EZ114" i="5"/>
  <c r="CJ19" i="12"/>
  <c r="CN11" i="25"/>
  <c r="CY19" i="12" l="1"/>
  <c r="EZ115" i="5"/>
  <c r="CO18" i="25"/>
  <c r="CO24" i="25" s="1"/>
  <c r="CO11" i="25"/>
  <c r="CP8" i="25"/>
  <c r="CN16" i="25"/>
  <c r="FA114" i="5" l="1"/>
  <c r="AX115" i="5"/>
  <c r="CK19" i="12"/>
  <c r="EZ117" i="5"/>
  <c r="EZ118" i="5" s="1"/>
  <c r="CO16" i="25"/>
  <c r="AY114" i="5" l="1"/>
  <c r="FA115" i="5"/>
  <c r="CM9" i="25"/>
  <c r="CP11" i="25"/>
  <c r="CP16" i="25" s="1"/>
  <c r="CP18" i="25"/>
  <c r="CP24" i="25" s="1"/>
  <c r="CM18" i="25" l="1"/>
  <c r="CM24" i="25" s="1"/>
  <c r="CM11" i="25"/>
  <c r="CM16" i="25" s="1"/>
  <c r="CN8" i="25"/>
  <c r="CN18" i="25" s="1"/>
  <c r="CN24" i="25" s="1"/>
  <c r="FB114" i="5"/>
  <c r="FB115" i="5" s="1"/>
  <c r="FA118" i="5"/>
  <c r="CL19" i="12"/>
  <c r="CQ18" i="25"/>
  <c r="CQ24" i="25" s="1"/>
  <c r="CP27" i="25" l="1"/>
  <c r="CP31" i="25" s="1"/>
  <c r="CP33" i="25" s="1"/>
  <c r="CP26" i="25"/>
  <c r="CP30" i="25" s="1"/>
  <c r="CP32" i="25" s="1"/>
  <c r="FC114" i="5"/>
  <c r="FC115" i="5" s="1"/>
  <c r="FD114" i="5" s="1"/>
  <c r="FD115" i="5" s="1"/>
  <c r="FE114" i="5" s="1"/>
  <c r="FE115" i="5" s="1"/>
  <c r="FF114" i="5" s="1"/>
  <c r="FF115" i="5" s="1"/>
  <c r="FB118" i="5"/>
  <c r="CQ26" i="25"/>
  <c r="CM27" i="25"/>
  <c r="CM31" i="25" s="1"/>
  <c r="CM33" i="25" s="1"/>
  <c r="CN26" i="25"/>
  <c r="CN30" i="25" s="1"/>
  <c r="CN32" i="25" s="1"/>
  <c r="CN27" i="25"/>
  <c r="CN31" i="25" s="1"/>
  <c r="CN33" i="25" s="1"/>
  <c r="CM26" i="25"/>
  <c r="CM30" i="25" s="1"/>
  <c r="CM32" i="25" s="1"/>
  <c r="CO26" i="25"/>
  <c r="CO30" i="25" s="1"/>
  <c r="CO32" i="25" s="1"/>
  <c r="CO27" i="25"/>
  <c r="CO31" i="25" s="1"/>
  <c r="CO33" i="25" s="1"/>
  <c r="CQ27" i="25"/>
  <c r="CR8" i="25"/>
  <c r="CQ11" i="25"/>
  <c r="AZ115" i="5" l="1"/>
  <c r="BA114" i="5" s="1"/>
  <c r="FG114" i="5"/>
  <c r="FG115" i="5" s="1"/>
  <c r="FF118" i="5"/>
  <c r="CQ19" i="12"/>
  <c r="CP19" i="12"/>
  <c r="FE118" i="5"/>
  <c r="FD118" i="5"/>
  <c r="CO19" i="12"/>
  <c r="CN19" i="12"/>
  <c r="FC118" i="5"/>
  <c r="AY115" i="5"/>
  <c r="AZ114" i="5" s="1"/>
  <c r="CM19" i="12"/>
  <c r="CR18" i="25"/>
  <c r="CR24" i="25" s="1"/>
  <c r="CQ30" i="25"/>
  <c r="CQ32" i="25" s="1"/>
  <c r="CQ16" i="25"/>
  <c r="CQ31" i="25" s="1"/>
  <c r="CQ33" i="25" s="1"/>
  <c r="CR19" i="12" l="1"/>
  <c r="FH114" i="5"/>
  <c r="FH115" i="5" s="1"/>
  <c r="FI114" i="5" s="1"/>
  <c r="FI115" i="5" s="1"/>
  <c r="FG118" i="5"/>
  <c r="CR27" i="25"/>
  <c r="CR26" i="25"/>
  <c r="CS8" i="25"/>
  <c r="CR11" i="25"/>
  <c r="CR16" i="25" s="1"/>
  <c r="BA115" i="5" l="1"/>
  <c r="FJ114" i="5"/>
  <c r="FI118" i="5"/>
  <c r="CT19" i="12"/>
  <c r="FH118" i="5"/>
  <c r="CS19" i="12"/>
  <c r="CR31" i="25"/>
  <c r="CR33" i="25" s="1"/>
  <c r="CR30" i="25"/>
  <c r="CR32" i="25" s="1"/>
  <c r="FJ115" i="5" l="1"/>
  <c r="CU19" i="12" s="1"/>
  <c r="P114" i="5"/>
  <c r="CT8" i="25"/>
  <c r="CS11" i="25"/>
  <c r="CS18" i="25"/>
  <c r="CS24" i="25" s="1"/>
  <c r="FJ118" i="5" l="1"/>
  <c r="FK114" i="5"/>
  <c r="FK115" i="5" s="1"/>
  <c r="P115" i="5"/>
  <c r="CS27" i="25"/>
  <c r="CS26" i="25"/>
  <c r="CS30" i="25" s="1"/>
  <c r="CS32" i="25" s="1"/>
  <c r="CS16" i="25"/>
  <c r="CT18" i="25"/>
  <c r="CT24" i="25" s="1"/>
  <c r="CT27" i="25" s="1"/>
  <c r="FK118" i="5" l="1"/>
  <c r="BB115" i="5"/>
  <c r="CV19" i="12"/>
  <c r="CZ19" i="12" s="1"/>
  <c r="CU8" i="25"/>
  <c r="CT11" i="25"/>
  <c r="CT26" i="25"/>
  <c r="CS31" i="25"/>
  <c r="CS33" i="25" s="1"/>
  <c r="CT30" i="25" l="1"/>
  <c r="CT32" i="25" s="1"/>
  <c r="CT16" i="25"/>
  <c r="CT31" i="25" s="1"/>
  <c r="CT33" i="25" s="1"/>
  <c r="CU18" i="25"/>
  <c r="CU24" i="25" s="1"/>
  <c r="CU26" i="25" l="1"/>
  <c r="CU27" i="25"/>
  <c r="CU11" i="25"/>
  <c r="CV8" i="25"/>
  <c r="CU30" i="25" l="1"/>
  <c r="CU32" i="25" s="1"/>
  <c r="CU16" i="25"/>
  <c r="CU31" i="25" s="1"/>
  <c r="CU33" i="25" s="1"/>
  <c r="CV11" i="25" l="1"/>
  <c r="CV16" i="25" s="1"/>
  <c r="CW8" i="25"/>
  <c r="CV18" i="25"/>
  <c r="CV24" i="25" s="1"/>
  <c r="CV26" i="25" l="1"/>
  <c r="CV30" i="25" s="1"/>
  <c r="CV32" i="25" s="1"/>
  <c r="CV27" i="25"/>
  <c r="CW18" i="25"/>
  <c r="CW24" i="25" s="1"/>
  <c r="CV31" i="25" l="1"/>
  <c r="CV33" i="25" s="1"/>
  <c r="CW27" i="25"/>
  <c r="CW26" i="25"/>
  <c r="CX8" i="25"/>
  <c r="CW11" i="25"/>
  <c r="CW16" i="25" s="1"/>
  <c r="CW31" i="25" l="1"/>
  <c r="CW33" i="25" s="1"/>
  <c r="CX11" i="25"/>
  <c r="CX16" i="25" s="1"/>
  <c r="CW30" i="25"/>
  <c r="CW32" i="25" s="1"/>
  <c r="CX18" i="25" l="1"/>
  <c r="CX24" i="25" s="1"/>
  <c r="DB27" i="25" l="1"/>
  <c r="DB31" i="25" s="1"/>
  <c r="DB33" i="25" s="1"/>
  <c r="CZ27" i="25"/>
  <c r="DA27" i="25"/>
  <c r="DA26" i="25"/>
  <c r="DA30" i="25" s="1"/>
  <c r="DA32" i="25" s="1"/>
  <c r="DB26" i="25"/>
  <c r="DB30" i="25" s="1"/>
  <c r="DB32" i="25" s="1"/>
  <c r="CY27" i="25"/>
  <c r="CY31" i="25" s="1"/>
  <c r="CY33" i="25" s="1"/>
  <c r="CY26" i="25"/>
  <c r="CY30" i="25" s="1"/>
  <c r="CY32" i="25" s="1"/>
  <c r="CZ26" i="25"/>
  <c r="CZ30" i="25" s="1"/>
  <c r="CZ32" i="25" s="1"/>
  <c r="DA31" i="25"/>
  <c r="DA33" i="25" s="1"/>
  <c r="CZ31" i="25"/>
  <c r="CZ33" i="25" s="1"/>
  <c r="CX26" i="25"/>
  <c r="CX30" i="25" s="1"/>
  <c r="CX32" i="25" s="1"/>
  <c r="CX27" i="25"/>
  <c r="CX31" i="25" l="1"/>
  <c r="CX33" i="25" s="1"/>
  <c r="FI86" i="5" l="1"/>
  <c r="FI89" i="5" l="1"/>
  <c r="BA89" i="5" s="1"/>
  <c r="BA86" i="5"/>
  <c r="FI9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 Powell</author>
    <author>Elaine Zhu</author>
  </authors>
  <commentList>
    <comment ref="CH64" authorId="0" shapeId="0" xr:uid="{0584FD61-3E7E-4EE5-A765-6D690943BB56}">
      <text>
        <r>
          <rPr>
            <b/>
            <sz val="9"/>
            <color indexed="81"/>
            <rFont val="Tahoma"/>
            <family val="2"/>
          </rPr>
          <t>Robert Powell:</t>
        </r>
        <r>
          <rPr>
            <sz val="9"/>
            <color indexed="81"/>
            <rFont val="Tahoma"/>
            <family val="2"/>
          </rPr>
          <t xml:space="preserve">
Clydesdale costs</t>
        </r>
      </text>
    </comment>
    <comment ref="CJ107" authorId="0" shapeId="0" xr:uid="{493501EA-6F1C-4985-956A-8191F89B4C56}">
      <text>
        <r>
          <rPr>
            <sz val="9"/>
            <color indexed="81"/>
            <rFont val="Tahoma"/>
            <family val="2"/>
          </rPr>
          <t xml:space="preserve">Clydesdale interest repayment
</t>
        </r>
      </text>
    </comment>
    <comment ref="CK107" authorId="0" shapeId="0" xr:uid="{62854913-0758-4934-B73F-EDD3DAABDE88}">
      <text>
        <r>
          <rPr>
            <sz val="9"/>
            <color indexed="81"/>
            <rFont val="Tahoma"/>
            <family val="2"/>
          </rPr>
          <t>Mainly commitment fee on undrawn Clydesdale £1.5m</t>
        </r>
      </text>
    </comment>
    <comment ref="CM107" authorId="0" shapeId="0" xr:uid="{148E6DFD-3130-4E45-8291-1D2514D3CED4}">
      <text>
        <r>
          <rPr>
            <sz val="9"/>
            <color indexed="81"/>
            <rFont val="Tahoma"/>
            <family val="2"/>
          </rPr>
          <t>Clysdesdale interest repayment</t>
        </r>
      </text>
    </comment>
    <comment ref="CN107" authorId="0" shapeId="0" xr:uid="{6522E04A-F5F2-40F6-9E70-1E629EEEDA3C}">
      <text>
        <r>
          <rPr>
            <sz val="9"/>
            <color indexed="81"/>
            <rFont val="Tahoma"/>
            <family val="2"/>
          </rPr>
          <t>Undrawn commitment fee</t>
        </r>
      </text>
    </comment>
    <comment ref="DW108" authorId="0" shapeId="0" xr:uid="{6D2BF46F-3583-4620-81EF-692A97AB6A17}">
      <text>
        <r>
          <rPr>
            <sz val="9"/>
            <color indexed="81"/>
            <rFont val="Tahoma"/>
            <family val="2"/>
          </rPr>
          <t>Brazil corporation tax 2022</t>
        </r>
      </text>
    </comment>
    <comment ref="DX108" authorId="0" shapeId="0" xr:uid="{C430F3D7-29A1-4FE8-9D1F-1ABE1E82CF00}">
      <text>
        <r>
          <rPr>
            <sz val="9"/>
            <color indexed="81"/>
            <rFont val="Tahoma"/>
            <family val="2"/>
          </rPr>
          <t xml:space="preserve">Brazil corp tax 2022
</t>
        </r>
      </text>
    </comment>
    <comment ref="EW124" authorId="0" shapeId="0" xr:uid="{59700D8F-9FF0-482B-81E2-64445AC788F0}">
      <text>
        <r>
          <rPr>
            <b/>
            <sz val="9"/>
            <color indexed="81"/>
            <rFont val="Tahoma"/>
            <family val="2"/>
          </rPr>
          <t>Robert Powell:
£111k is MTM movement on swap</t>
        </r>
      </text>
    </comment>
    <comment ref="CN125" authorId="0" shapeId="0" xr:uid="{E16F1F8B-A166-4863-A40B-BD47564173FC}">
      <text>
        <r>
          <rPr>
            <sz val="9"/>
            <color indexed="81"/>
            <rFont val="Tahoma"/>
            <family val="2"/>
          </rPr>
          <t>capital accruals adjusted</t>
        </r>
      </text>
    </comment>
    <comment ref="DS125" authorId="0" shapeId="0" xr:uid="{BC74F6C7-A85E-4A74-A2E0-FF7BFBDF8B20}">
      <text>
        <r>
          <rPr>
            <sz val="9"/>
            <color indexed="81"/>
            <rFont val="Tahoma"/>
            <family val="2"/>
          </rPr>
          <t xml:space="preserve">Arrangement fee accrual release adjusted here. Arrangement fee cash payment shown in Debt funding in cash flow
</t>
        </r>
      </text>
    </comment>
    <comment ref="ET125" authorId="1" shapeId="0" xr:uid="{7982242E-CE5B-4DED-9894-019D9FCB64D6}">
      <text>
        <r>
          <rPr>
            <sz val="9"/>
            <color indexed="81"/>
            <rFont val="Tahoma"/>
            <family val="2"/>
          </rPr>
          <t>Telus convertible loan cost in Loan Transaction Fees adjusted here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K125" authorId="1" shapeId="0" xr:uid="{6CEFE5B3-803B-457E-A348-19260996E0B3}">
      <text>
        <r>
          <rPr>
            <sz val="9"/>
            <color indexed="81"/>
            <rFont val="Tahoma"/>
            <family val="2"/>
          </rPr>
          <t>Telus convertible loan cost in Loan Transaction Fees adjusted here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tc={5832EC45-8F20-43B1-B0FA-E410653362A2}</author>
  </authors>
  <commentList>
    <comment ref="CP51" authorId="0" shapeId="0" xr:uid="{5832EC45-8F20-43B1-B0FA-E410653362A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@Harry Aldred @Elaine Zhu we should probably start adding the MTN numbers in this tab, potentially the customer data tab as well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Harry Aldred</author>
  </authors>
  <commentList>
    <comment ref="CI84" authorId="0" shapeId="0" xr:uid="{57FF75B7-5B56-4444-8F3C-0EBB5E1B134B}">
      <text>
        <r>
          <rPr>
            <b/>
            <sz val="9"/>
            <color indexed="81"/>
            <rFont val="Tahoma"/>
            <family val="2"/>
          </rPr>
          <t>Harry Aldred:</t>
        </r>
        <r>
          <rPr>
            <sz val="9"/>
            <color indexed="81"/>
            <rFont val="Tahoma"/>
            <family val="2"/>
          </rPr>
          <t xml:space="preserve">
This looks at whole balance rather than what is overdue - heavily influenced by AT&amp;T + MTN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tc={9753CA24-4309-499F-ACF9-42DF44A2CA8F}</author>
  </authors>
  <commentList>
    <comment ref="AM9" authorId="0" shapeId="0" xr:uid="{9753CA24-4309-499F-ACF9-42DF44A2CA8F}">
      <text>
        <t>[Threaded comment]
Your version of Excel allows you to read this threaded comment; however, any edits to it will get removed if the file is opened in a newer version of Excel. Learn more: https://go.microsoft.com/fwlink/?linkid=870924
Comment:
    Crane units used more data than usual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tc={1721FAAE-A75D-44C9-9333-7D44906AEBAD}</author>
  </authors>
  <commentList>
    <comment ref="U13" authorId="0" shapeId="0" xr:uid="{1721FAAE-A75D-44C9-9333-7D44906AEBAD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Includes £300k tranche 1 retained until end July for HSBC bank to bank indemnity</t>
      </text>
    </comment>
  </commentList>
</comments>
</file>

<file path=xl/sharedStrings.xml><?xml version="1.0" encoding="utf-8"?>
<sst xmlns="http://schemas.openxmlformats.org/spreadsheetml/2006/main" count="2473" uniqueCount="917">
  <si>
    <t>Auto+Hide+Values</t>
  </si>
  <si>
    <t xml:space="preserve">  </t>
  </si>
  <si>
    <t xml:space="preserve"> </t>
  </si>
  <si>
    <t>Management Accounts</t>
  </si>
  <si>
    <t>Company Confidential</t>
  </si>
  <si>
    <t>Key Performance Indicators</t>
  </si>
  <si>
    <t>YTD 2025</t>
  </si>
  <si>
    <t>Actual</t>
  </si>
  <si>
    <t>Plan</t>
  </si>
  <si>
    <t>Managed services</t>
  </si>
  <si>
    <t>Hardware</t>
  </si>
  <si>
    <t>Consultancy</t>
  </si>
  <si>
    <t>Total revenue</t>
  </si>
  <si>
    <t>Gross profit</t>
  </si>
  <si>
    <t xml:space="preserve">Overheads </t>
  </si>
  <si>
    <t>EBITDA before bonus</t>
  </si>
  <si>
    <t>Bonus</t>
  </si>
  <si>
    <t>EBITDA after bonus</t>
  </si>
  <si>
    <t>Operating cash inflow/(outflow)</t>
  </si>
  <si>
    <t>Cash</t>
  </si>
  <si>
    <t>No of customers</t>
  </si>
  <si>
    <t xml:space="preserve">No of devices </t>
  </si>
  <si>
    <t>% of devices paygo</t>
  </si>
  <si>
    <t>% of devices emerging markets</t>
  </si>
  <si>
    <t>Total ARPU (£s) *</t>
  </si>
  <si>
    <t xml:space="preserve">Deploying </t>
  </si>
  <si>
    <t>Pre-deployment</t>
  </si>
  <si>
    <t>Other accounts</t>
  </si>
  <si>
    <t>Brazil</t>
  </si>
  <si>
    <t>All regions</t>
  </si>
  <si>
    <t>* for consistency, prior period comparatives have been updated for reallocation of Tier 4 accounts and regions in August 2019</t>
  </si>
  <si>
    <t>Service revenue excl SIM sales</t>
  </si>
  <si>
    <t>Service COS from above excl SIMs</t>
  </si>
  <si>
    <t>Gross service profit excl SIMS</t>
  </si>
  <si>
    <t>Managed services GM% EXC SIMS</t>
  </si>
  <si>
    <t>GBP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</si>
  <si>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</si>
  <si>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</si>
  <si>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</si>
  <si>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</si>
  <si>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</si>
  <si>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</si>
  <si>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</si>
  <si>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</si>
  <si>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</si>
  <si>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</si>
  <si>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Q1-17</t>
  </si>
  <si>
    <t>Q2-17</t>
  </si>
  <si>
    <t>Q3-17</t>
  </si>
  <si>
    <t>Q4-17</t>
  </si>
  <si>
    <t>Q1-18</t>
  </si>
  <si>
    <t>Q2-18</t>
  </si>
  <si>
    <t>Q3-18</t>
  </si>
  <si>
    <t>Q4-18</t>
  </si>
  <si>
    <t>Q1-19</t>
  </si>
  <si>
    <t>Q2-19</t>
  </si>
  <si>
    <t>Q3-19</t>
  </si>
  <si>
    <t>Q4-19</t>
  </si>
  <si>
    <t>Q1-20</t>
  </si>
  <si>
    <t>Q2-20</t>
  </si>
  <si>
    <t>Q3-20</t>
  </si>
  <si>
    <t>Q4-20</t>
  </si>
  <si>
    <t>Q1-21</t>
  </si>
  <si>
    <t>Q2-21</t>
  </si>
  <si>
    <t>Q3-21</t>
  </si>
  <si>
    <t>Q4-21</t>
  </si>
  <si>
    <t>Q1-22</t>
  </si>
  <si>
    <t>Q2-22</t>
  </si>
  <si>
    <t>Q3-22</t>
  </si>
  <si>
    <t>Q4-22</t>
  </si>
  <si>
    <t>Q1-23</t>
  </si>
  <si>
    <t>Q2-23</t>
  </si>
  <si>
    <t>Q3-23</t>
  </si>
  <si>
    <t>Q4-23</t>
  </si>
  <si>
    <t>Q1-24</t>
  </si>
  <si>
    <t>Q2-24</t>
  </si>
  <si>
    <t>Q3-24</t>
  </si>
  <si>
    <t>Q4-24</t>
  </si>
  <si>
    <t>Q1-25</t>
  </si>
  <si>
    <t>Q2-25</t>
  </si>
  <si>
    <t>Q3-25</t>
  </si>
  <si>
    <t>Q4-25</t>
  </si>
  <si>
    <t>actual</t>
  </si>
  <si>
    <t>plan</t>
  </si>
  <si>
    <t>actual YTD</t>
  </si>
  <si>
    <t>budget</t>
  </si>
  <si>
    <t>Profit &amp; loss account</t>
  </si>
  <si>
    <t>Revenue</t>
  </si>
  <si>
    <t>Connectivity</t>
  </si>
  <si>
    <t>AddOns</t>
  </si>
  <si>
    <t xml:space="preserve">Variable </t>
  </si>
  <si>
    <t>SIM Sales</t>
  </si>
  <si>
    <t>Launchpad</t>
  </si>
  <si>
    <t>General Consultancy</t>
  </si>
  <si>
    <t>Deployment Services</t>
  </si>
  <si>
    <t>Migration Services</t>
  </si>
  <si>
    <t>Software Licensing Service</t>
  </si>
  <si>
    <t>Device Design</t>
  </si>
  <si>
    <t>IOT Advisory Services</t>
  </si>
  <si>
    <t>Device Certification Services</t>
  </si>
  <si>
    <t>Interconnect</t>
  </si>
  <si>
    <t>VPN Set Up Fees</t>
  </si>
  <si>
    <t>Recurring Professional Services</t>
  </si>
  <si>
    <t>Total Revenue</t>
  </si>
  <si>
    <t>Cost of sales</t>
  </si>
  <si>
    <t>Gross margin %</t>
  </si>
  <si>
    <t>Managed services inc sims</t>
  </si>
  <si>
    <t>Managed services exc sims</t>
  </si>
  <si>
    <t>Overall</t>
  </si>
  <si>
    <t>Total Gross Profit</t>
  </si>
  <si>
    <t>Overheads</t>
  </si>
  <si>
    <t>Staff Costs before bonus</t>
  </si>
  <si>
    <t>Gross pay/bonus/pension etc</t>
  </si>
  <si>
    <t>Recruitment costs</t>
  </si>
  <si>
    <t>Other staff costs (training etc)</t>
  </si>
  <si>
    <t>Technical</t>
  </si>
  <si>
    <t>Office</t>
  </si>
  <si>
    <t>Travel &amp; Entertainment</t>
  </si>
  <si>
    <t>Legal Patents &amp; audit</t>
  </si>
  <si>
    <t>Marketing</t>
  </si>
  <si>
    <t>Finance &amp; bad debt</t>
  </si>
  <si>
    <t>Total Overheads</t>
  </si>
  <si>
    <t>Bonus expense</t>
  </si>
  <si>
    <t>EBITDA</t>
  </si>
  <si>
    <t>Forex (loss) / gain</t>
  </si>
  <si>
    <t>Exceptionals</t>
  </si>
  <si>
    <t>Recoverable taxes</t>
  </si>
  <si>
    <t>Depreciation &amp; amortization</t>
  </si>
  <si>
    <t>Interest</t>
  </si>
  <si>
    <t>PBT</t>
  </si>
  <si>
    <t>Tax (charge)/credit</t>
  </si>
  <si>
    <t>PAT</t>
  </si>
  <si>
    <t>Balance Sheet</t>
  </si>
  <si>
    <t>Fixed Assets</t>
  </si>
  <si>
    <t>Stock</t>
  </si>
  <si>
    <t>Trade  &amp; other debtors</t>
  </si>
  <si>
    <t>Prepayments &amp; accrued Income</t>
  </si>
  <si>
    <t>R&amp;D tax credit</t>
  </si>
  <si>
    <t>Current Assets</t>
  </si>
  <si>
    <t>Bank</t>
  </si>
  <si>
    <t>Creditors</t>
  </si>
  <si>
    <t>Accruals &amp; deferred Income</t>
  </si>
  <si>
    <t>Loans</t>
  </si>
  <si>
    <t>Current Liabilities</t>
  </si>
  <si>
    <t>Creditors &gt; 1 year /Other Provisions</t>
  </si>
  <si>
    <t>Net Assets</t>
  </si>
  <si>
    <t>Share capital &amp; premium</t>
  </si>
  <si>
    <t>Other reserves</t>
  </si>
  <si>
    <t>FX Consl movement</t>
  </si>
  <si>
    <t>P&amp;L</t>
  </si>
  <si>
    <t>Total Shareholders Funds</t>
  </si>
  <si>
    <t>Check</t>
  </si>
  <si>
    <t>Cashflow</t>
  </si>
  <si>
    <t>Movements in working capital</t>
  </si>
  <si>
    <t>Capital expenditure</t>
  </si>
  <si>
    <t>Tax</t>
  </si>
  <si>
    <t>Debt funding/(repayments)</t>
  </si>
  <si>
    <t>Convertible notes</t>
  </si>
  <si>
    <t>Equity funding</t>
  </si>
  <si>
    <t>Net cashflow</t>
  </si>
  <si>
    <t>Cash b/f</t>
  </si>
  <si>
    <t>Cash c/f</t>
  </si>
  <si>
    <t>Cash c/f per JET</t>
  </si>
  <si>
    <t>Notes to cash flow</t>
  </si>
  <si>
    <t>Working capital movements</t>
  </si>
  <si>
    <t>(Increase) / decrease in stock</t>
  </si>
  <si>
    <t>(Increase) / decrease in debtors</t>
  </si>
  <si>
    <t>Increase / (decrease) in creditors</t>
  </si>
  <si>
    <t>Non-cash exceptionals</t>
  </si>
  <si>
    <t>Other non-cash</t>
  </si>
  <si>
    <t>Opening differences - see memo below</t>
  </si>
  <si>
    <t>Total working capital movements</t>
  </si>
  <si>
    <t>Memo:</t>
  </si>
  <si>
    <t>Opening difference in share cap</t>
  </si>
  <si>
    <t>Opening difference in P&amp;L reserves</t>
  </si>
  <si>
    <t>Rolled up interest per loan analysis (see month end file)</t>
  </si>
  <si>
    <t>Other exchange rate movements</t>
  </si>
  <si>
    <t>Non-cash interest</t>
  </si>
  <si>
    <t>Capex accrual</t>
  </si>
  <si>
    <t>EU</t>
  </si>
  <si>
    <t>US</t>
  </si>
  <si>
    <t>Africa</t>
  </si>
  <si>
    <t>Major projects</t>
  </si>
  <si>
    <t>Amazon</t>
  </si>
  <si>
    <t>New countries</t>
  </si>
  <si>
    <t>Other</t>
  </si>
  <si>
    <t>TASK</t>
  </si>
  <si>
    <t>Consultancy &amp; support</t>
  </si>
  <si>
    <t>Staff Costs</t>
  </si>
  <si>
    <t>Forex loss / (gain)</t>
  </si>
  <si>
    <t>Cost saving task</t>
  </si>
  <si>
    <t>Company bonus</t>
  </si>
  <si>
    <t>ELT bonus</t>
  </si>
  <si>
    <t>Staff costs</t>
  </si>
  <si>
    <t>REVENUE</t>
  </si>
  <si>
    <t>Type</t>
  </si>
  <si>
    <t>Service Revenue</t>
  </si>
  <si>
    <t>Variable charges</t>
  </si>
  <si>
    <t>Total</t>
  </si>
  <si>
    <t>Service MRR</t>
  </si>
  <si>
    <t>Channel</t>
  </si>
  <si>
    <t>Variable MRR</t>
  </si>
  <si>
    <t xml:space="preserve"> -   </t>
  </si>
  <si>
    <t>TOTAL MRR</t>
  </si>
  <si>
    <t>Accounting adjustments</t>
  </si>
  <si>
    <t>Deferred revenue</t>
  </si>
  <si>
    <t>FX</t>
  </si>
  <si>
    <t>REPORTED CONNECTIVITY REVENUE</t>
  </si>
  <si>
    <t>NO OF DEVICES</t>
  </si>
  <si>
    <t>M-Kopa Ltd</t>
  </si>
  <si>
    <t>Total MRR</t>
  </si>
  <si>
    <t>Total ARPU</t>
  </si>
  <si>
    <t>Service ARPU</t>
  </si>
  <si>
    <t>Unused SIMs</t>
  </si>
  <si>
    <t>Unused SIMs %</t>
  </si>
  <si>
    <t>Used SIMs %</t>
  </si>
  <si>
    <t>Just 'external'</t>
  </si>
  <si>
    <t>Customer Support &amp; Service</t>
  </si>
  <si>
    <t>Sales</t>
  </si>
  <si>
    <t>Engineering and R&amp;D</t>
  </si>
  <si>
    <t>G&amp;A</t>
  </si>
  <si>
    <t>£000s</t>
  </si>
  <si>
    <t>Eseye Stock Analysis</t>
  </si>
  <si>
    <t>Total balance at 30 April per accounts</t>
  </si>
  <si>
    <t>Turkey TRL</t>
  </si>
  <si>
    <t>Turkey GBP</t>
  </si>
  <si>
    <t>Sim Cards</t>
  </si>
  <si>
    <t>Sim Cards South Africa</t>
  </si>
  <si>
    <t>Sim Cards Brazil</t>
  </si>
  <si>
    <t>Sim Cards USA</t>
  </si>
  <si>
    <t>WIP</t>
  </si>
  <si>
    <t>Emlite Meters</t>
  </si>
  <si>
    <t>Modems</t>
  </si>
  <si>
    <t>Pelican</t>
  </si>
  <si>
    <t>Hera 500</t>
  </si>
  <si>
    <t>ESEYE LTD</t>
  </si>
  <si>
    <t>Total Eseye Stock</t>
  </si>
  <si>
    <t>Dataflex Stock Analysis</t>
  </si>
  <si>
    <t>Component Stock</t>
  </si>
  <si>
    <t>Paid Buffer Stock</t>
  </si>
  <si>
    <t>Paid Material Deposits</t>
  </si>
  <si>
    <t>Vine Finished Products</t>
  </si>
  <si>
    <t>Vine Finished Products (Apac)</t>
  </si>
  <si>
    <t xml:space="preserve">H601N2-007-00-001 </t>
  </si>
  <si>
    <t>GVR Install Kits</t>
  </si>
  <si>
    <t>H601N2-007-00-001 (Apac)</t>
  </si>
  <si>
    <t>H601N2-008-52-001</t>
  </si>
  <si>
    <t>H601N2-008-52-001 (Apac)</t>
  </si>
  <si>
    <t>H601N2-018-52-001</t>
  </si>
  <si>
    <t>H600N2-004-51-001</t>
  </si>
  <si>
    <t>H604N2-418-52-001 USA</t>
  </si>
  <si>
    <t>H600F1-014-51-001</t>
  </si>
  <si>
    <t>H601F2-007-D3-001</t>
  </si>
  <si>
    <t>H604N2-418-51-001</t>
  </si>
  <si>
    <t>H604N2-418-C0-001</t>
  </si>
  <si>
    <t>H604F2-418-D3-001</t>
  </si>
  <si>
    <t>Hera 804N2</t>
  </si>
  <si>
    <t>H604N2-517-C2-001</t>
  </si>
  <si>
    <t>H604F2-518-D3-001</t>
  </si>
  <si>
    <t>H604N2-518-51-001</t>
  </si>
  <si>
    <t>H604N2-516-C3-002</t>
  </si>
  <si>
    <t>H604N2-516-54-001</t>
  </si>
  <si>
    <t>H604N2-515-C2-003</t>
  </si>
  <si>
    <t>H604N2-517-55-001</t>
  </si>
  <si>
    <t>H604N2-518-52-001</t>
  </si>
  <si>
    <t>H604N2-516-C3-001</t>
  </si>
  <si>
    <t>H604N2-618-00-000 - NEW</t>
  </si>
  <si>
    <t>H604N2-618-C0-001 - NEW</t>
  </si>
  <si>
    <t>H604N2-618-51-001 - NEW</t>
  </si>
  <si>
    <t>H204N2-118-52-000 - NEW</t>
  </si>
  <si>
    <t>H204N2-118-52-001 - NEW</t>
  </si>
  <si>
    <t>H204N2-118-51-000 - NEW</t>
  </si>
  <si>
    <t>H604N2-515-C4-001</t>
  </si>
  <si>
    <t>H604N2-517-C4-CGA</t>
  </si>
  <si>
    <t>H604N2-518-40-001</t>
  </si>
  <si>
    <t>H604-INST-D3-001</t>
  </si>
  <si>
    <t> </t>
  </si>
  <si>
    <t>Stock Provision</t>
  </si>
  <si>
    <t>Total Dataflex Stock</t>
  </si>
  <si>
    <t>Total Stock</t>
  </si>
  <si>
    <t>Eseye UK</t>
  </si>
  <si>
    <t>Current</t>
  </si>
  <si>
    <t>1 - 30</t>
  </si>
  <si>
    <t>31 - 60</t>
  </si>
  <si>
    <t>61 - 90</t>
  </si>
  <si>
    <t>&gt; 90</t>
  </si>
  <si>
    <t>Provisions</t>
  </si>
  <si>
    <t>TOTAL</t>
  </si>
  <si>
    <t xml:space="preserve">DSO </t>
  </si>
  <si>
    <t>Eseye Switzerland</t>
  </si>
  <si>
    <t>Eseye Brazil</t>
  </si>
  <si>
    <t>Eseye South Africa</t>
  </si>
  <si>
    <t>Eseye Kenya</t>
  </si>
  <si>
    <t>Eseye LLC</t>
  </si>
  <si>
    <t>Dataflex APAC</t>
  </si>
  <si>
    <t>Dataflex</t>
  </si>
  <si>
    <t>DSO</t>
  </si>
  <si>
    <t>Invoicing</t>
  </si>
  <si>
    <t>Eseye</t>
  </si>
  <si>
    <t>Eseye SA</t>
  </si>
  <si>
    <t xml:space="preserve">Dataflex </t>
  </si>
  <si>
    <t>UK Top 20 aged debtors</t>
  </si>
  <si>
    <t>Customer</t>
  </si>
  <si>
    <t>Instavolt Ltd</t>
  </si>
  <si>
    <t xml:space="preserve">TELUS - Eseye Billing Portfolio </t>
  </si>
  <si>
    <t>Nand Group (GBP)</t>
  </si>
  <si>
    <t>Optomany - DNA Payments Ltd</t>
  </si>
  <si>
    <t>Costa Express Limited - Vending</t>
  </si>
  <si>
    <t>Last Mile Solutions</t>
  </si>
  <si>
    <t>Technolog Limited</t>
  </si>
  <si>
    <t>Ovarro LD Ltd</t>
  </si>
  <si>
    <t xml:space="preserve">Accell Solutions </t>
  </si>
  <si>
    <t>Everon UK</t>
  </si>
  <si>
    <t>Payter BV</t>
  </si>
  <si>
    <t>Synox SAS</t>
  </si>
  <si>
    <t>The New Motion</t>
  </si>
  <si>
    <t>POD Point Ltd</t>
  </si>
  <si>
    <t>MicroSystems</t>
  </si>
  <si>
    <t>All other customers</t>
  </si>
  <si>
    <t>US Top 5 aged debtors</t>
  </si>
  <si>
    <t>Amazon Key for Business</t>
  </si>
  <si>
    <t>AT&amp;T Services Inc</t>
  </si>
  <si>
    <t>MSA Worldwide, LLC</t>
  </si>
  <si>
    <t>SmartMeter LLC</t>
  </si>
  <si>
    <t>Zeco Systems, Inc dba Shell EV Charging Solution- (Shell Recharge USA)</t>
  </si>
  <si>
    <t>Connections by Customer (Eseye)</t>
  </si>
  <si>
    <t>Tigrillo ID</t>
  </si>
  <si>
    <t>MTN</t>
  </si>
  <si>
    <t>0ec2c45ec2ee078c312c9ae5856cac3f</t>
  </si>
  <si>
    <t>13684a2cbedd59c7579fff1e442c3286</t>
  </si>
  <si>
    <t>CHEP USA - Brambles</t>
  </si>
  <si>
    <t>d89e918e9c35c7256d9304271fd9a332</t>
  </si>
  <si>
    <t>Bosch Lawn &amp; Garden Ltd</t>
  </si>
  <si>
    <t>93f196e02f3ea64e45a8f844923debc4</t>
  </si>
  <si>
    <t>cab407584db30c45c13227f1f83b4d1a</t>
  </si>
  <si>
    <t>e6a7f3721e7c4a8fac6cd39cd9d19cf9</t>
  </si>
  <si>
    <t>Last Mile Solution</t>
  </si>
  <si>
    <t>96b479da541e3006fa556b817ee0b18f</t>
  </si>
  <si>
    <t>Telli Health LLC</t>
  </si>
  <si>
    <t>7781412b7a323245c7cc64387c83d163</t>
  </si>
  <si>
    <t>2de2a05766fa33c6f6a7fb35ba145e37</t>
  </si>
  <si>
    <t>Amazon EV Charging</t>
  </si>
  <si>
    <t>dc24b22786aed9ff26b3d3484463a5fb</t>
  </si>
  <si>
    <t>N - And Group Limited</t>
  </si>
  <si>
    <t>07c1f0c4166b8b322287aab16dec7d33</t>
  </si>
  <si>
    <t>1f810eecb009473682f5efaee47ce396</t>
  </si>
  <si>
    <t>Secure SMSO Limited</t>
  </si>
  <si>
    <t>764412296c838a67afbe5074bfaec744</t>
  </si>
  <si>
    <t>Ovarro LD UK Ltd</t>
  </si>
  <si>
    <t>61280cadd5c2c1a7eb36236dc009d3d5</t>
  </si>
  <si>
    <t>Itron Mexico</t>
  </si>
  <si>
    <t>8f9198ef1a93bde001690e25f6711487</t>
  </si>
  <si>
    <t>Itron Labs Kft</t>
  </si>
  <si>
    <t>d6cb79015ea51fb4deb13bf61198ec6b</t>
  </si>
  <si>
    <t>Itron India (Delhi)</t>
  </si>
  <si>
    <t>ce7f9ebfa42c3c7fd241c0927d12e453</t>
  </si>
  <si>
    <t>Itron OH Allmess (Germany)</t>
  </si>
  <si>
    <t>11c5805aa93075a45f632f33435de57d</t>
  </si>
  <si>
    <t>Itron Networked Solutions (San Jose)</t>
  </si>
  <si>
    <t>b39c6229de608a165d0dc93eb0113c15</t>
  </si>
  <si>
    <t>Trackunit ApS</t>
  </si>
  <si>
    <t>07abeadb53b5779fe750820b50fa93f4</t>
  </si>
  <si>
    <t>CPI UK</t>
  </si>
  <si>
    <t>28bac8e4ce84d4bd6f8a16ca4b0759e3</t>
  </si>
  <si>
    <t>Crane Payment Innovations</t>
  </si>
  <si>
    <t>c814c902c5797302bebeea584efccac0</t>
  </si>
  <si>
    <t>Crane Merchandising Systems.</t>
  </si>
  <si>
    <t>965fe652834d50a08fcb141913500a4d</t>
  </si>
  <si>
    <t>Amazon E-lockers</t>
  </si>
  <si>
    <t>3b42454852f4ef5f0e17a8c9a321ed2f</t>
  </si>
  <si>
    <t>Amazon e-lockers - Germany Lockers</t>
  </si>
  <si>
    <t>1f0a47594e707aebd7fc3937d8b32648</t>
  </si>
  <si>
    <t>Amazon e-lockers - UK Lockers</t>
  </si>
  <si>
    <t>0259749183f0b477107f4994e362a868</t>
  </si>
  <si>
    <t>Amazon e-lockers - France Lockers</t>
  </si>
  <si>
    <t>37d9e8e554701c67fe8fb98702de5dec</t>
  </si>
  <si>
    <t>Amazon e-lockers - Japan Lockers</t>
  </si>
  <si>
    <t>3261ad49ed5691529a34b1fda8d3013d</t>
  </si>
  <si>
    <t>Amazon e-lockers - Italy Lockers</t>
  </si>
  <si>
    <t>1c8f60d86491d0682ce3e57d1a98b8da</t>
  </si>
  <si>
    <t>Amazon e-lockers - Spain Lockers</t>
  </si>
  <si>
    <t>64f6b97c97cc96aa7ea038d588070c34</t>
  </si>
  <si>
    <t>Costa Express</t>
  </si>
  <si>
    <t>4a23618c7959d44dca5736955c7a9b60</t>
  </si>
  <si>
    <t>Optomany Ltd</t>
  </si>
  <si>
    <t>75abd16ba4bbef07c59e16c7504cab83</t>
  </si>
  <si>
    <t>Golden Sat</t>
  </si>
  <si>
    <t>c0fda8494353bab0c7c9b1aaa7ab4513</t>
  </si>
  <si>
    <t>XGlobal</t>
  </si>
  <si>
    <t>97dcc254874fdcdc1aa815a97671ae17</t>
  </si>
  <si>
    <t>Supergasbras</t>
  </si>
  <si>
    <t>a563ff30436369d8c5e1ccae8832a75a</t>
  </si>
  <si>
    <t>286b85cbce7a3f7cc4f8403187f1b3e2</t>
  </si>
  <si>
    <t>d1bef7566616ffe2ecbf6a545cf98cf1</t>
  </si>
  <si>
    <t>Abode</t>
  </si>
  <si>
    <t>8f1833adf3ee8d0f6eea2bb21cf6bb93</t>
  </si>
  <si>
    <t>Greenroad - (USA)</t>
  </si>
  <si>
    <t>f566cb399921d31b3c1a3e41e838b281</t>
  </si>
  <si>
    <t>Greenroad Technologies UK Limited</t>
  </si>
  <si>
    <t>bc5b42e1c5f5250526c62cb02e8f6205</t>
  </si>
  <si>
    <t>GreenRoadTest USD</t>
  </si>
  <si>
    <t>eaa113ca51d8cd5d3f4cd1f80895a539</t>
  </si>
  <si>
    <t>ceaa35343b3d33f993ed0dd999798286</t>
  </si>
  <si>
    <t>Khronos Seguranca Privada Ltda</t>
  </si>
  <si>
    <t>6745fd631b1b7f392dab752dc9bc6cff</t>
  </si>
  <si>
    <t>Sezseg</t>
  </si>
  <si>
    <t>bc13f0342b57f5cd7bc240d7fc2e27f9</t>
  </si>
  <si>
    <t>Haltian Oy</t>
  </si>
  <si>
    <t>3fe3e8698b1328527c40e7621caded22</t>
  </si>
  <si>
    <t>8581c0e01d27f2c290f4e8e33743a34a</t>
  </si>
  <si>
    <t>Access Tec</t>
  </si>
  <si>
    <t>91d5e396c3024d3ecead96ae8a381237</t>
  </si>
  <si>
    <t>30e042418fc280917419ab5e2bb9858a</t>
  </si>
  <si>
    <t>Positec Technology (China) Co. Ltd</t>
  </si>
  <si>
    <t>fdd27e6a55dd6ef6a42adbafc1eb8c43</t>
  </si>
  <si>
    <t>2dd8b0dd1a10b490d1918ed7b820e233</t>
  </si>
  <si>
    <t>Telus - AceAge</t>
  </si>
  <si>
    <t>70eaef8324f4ea06ec466c5bd1ea850f</t>
  </si>
  <si>
    <t>Telus - SUNCOR ENERGY SERVICES INC</t>
  </si>
  <si>
    <t>76e1a84103f1de6807d689cfc989943c</t>
  </si>
  <si>
    <t>Yoco Technologies</t>
  </si>
  <si>
    <t>dd8c430c8306061f207bb431f255ad88</t>
  </si>
  <si>
    <t>Agility Monitoramento</t>
  </si>
  <si>
    <t>e672f80a3021584a7060e00c3b124e12</t>
  </si>
  <si>
    <t>Cantaloupe Inc</t>
  </si>
  <si>
    <t>7ccbe17b21430edab03e296f21d2cf09</t>
  </si>
  <si>
    <t>Webtrac</t>
  </si>
  <si>
    <t>3a1d2fab0594ff81ef99d10289c5a409</t>
  </si>
  <si>
    <t>Link Labs, Inc.</t>
  </si>
  <si>
    <t>fbce62f68680e5ffa045c75009ad9216</t>
  </si>
  <si>
    <t>American Pharma Technologies, Inc</t>
  </si>
  <si>
    <t>c0e8cf52c1c20342a28195ac3e9ebcd6</t>
  </si>
  <si>
    <t>Avatek Solucoes E Servicos De Tec Ltda</t>
  </si>
  <si>
    <t>fc1906912a4535e98043cd3f94c6c62e</t>
  </si>
  <si>
    <t>Essity UK Ltd</t>
  </si>
  <si>
    <t>aee56a78b44253093d4b4943d4962b77</t>
  </si>
  <si>
    <t>Essity Tena Sweden</t>
  </si>
  <si>
    <t>0f88fbe2ba8634e197d25875b5d3fe1c</t>
  </si>
  <si>
    <t>Essity North America Inc.</t>
  </si>
  <si>
    <t>5b38fc1957b8967fd480fb6bc35c1496</t>
  </si>
  <si>
    <t>Essity France SAS</t>
  </si>
  <si>
    <t>4b243c1fbfd0ab22b91f0084c495d19d</t>
  </si>
  <si>
    <t>Essity Hygiene and Health AB</t>
  </si>
  <si>
    <t>3f5762e817da9bd2ba44a17f2af3612b</t>
  </si>
  <si>
    <t>Telluria Tecnologia</t>
  </si>
  <si>
    <t>e2517735d5b68088f2da5a2362dd6f84</t>
  </si>
  <si>
    <t>Armac</t>
  </si>
  <si>
    <t>aa2ba843b04de5b6c59a591399a413b8</t>
  </si>
  <si>
    <t>Companhia Paulista De Forca E Luz</t>
  </si>
  <si>
    <t>3409720fc31098f7cfd3ef44e11905d5</t>
  </si>
  <si>
    <t>CTRACK</t>
  </si>
  <si>
    <t>dd79fc5970cb8deda6f1c4e1a0e363b9</t>
  </si>
  <si>
    <t>CTRACK Fleet Management Solutions (PTY)</t>
  </si>
  <si>
    <t>c2ce0a7fc9f222df3d300cf84b7d7247</t>
  </si>
  <si>
    <t>Barn Owl</t>
  </si>
  <si>
    <t>f2d48618123ed2a8194701226bb7d024</t>
  </si>
  <si>
    <t>WeWash GmbH</t>
  </si>
  <si>
    <t>74b7a39e8c1999d7031fee812c162634</t>
  </si>
  <si>
    <t>Nimble Wireless</t>
  </si>
  <si>
    <t>c4671f3888729f0c05ac1f63582a6972</t>
  </si>
  <si>
    <t>Ama</t>
  </si>
  <si>
    <t>1bad83e6adfa7495d31079f9602d44a2</t>
  </si>
  <si>
    <t>t42</t>
  </si>
  <si>
    <t>8e6b55a04ab76f4a496379fa6c939c79</t>
  </si>
  <si>
    <t>3SAT</t>
  </si>
  <si>
    <t>924086967275043088e061c568b80ea0</t>
  </si>
  <si>
    <t>Integrated Technology Solutions Ltd</t>
  </si>
  <si>
    <t>ebff4a0db3334f2da20aeb164c082eb5</t>
  </si>
  <si>
    <t>Eze System, Inc.</t>
  </si>
  <si>
    <t>04b5b8e51e4214cf94da7050de7ea0bb</t>
  </si>
  <si>
    <t>Delta Assist</t>
  </si>
  <si>
    <t>750231b2faab13659ac2970f9f6f057d</t>
  </si>
  <si>
    <t>Neokohm</t>
  </si>
  <si>
    <t>5b6ccc284597fd680dfc477e976b0ab2</t>
  </si>
  <si>
    <t>Credi Shop</t>
  </si>
  <si>
    <t>19adc3ebba1015065b8a562b64b57f67</t>
  </si>
  <si>
    <t>iTER Telecomunicações LTDA</t>
  </si>
  <si>
    <t>d896fdbf1ed936a4208bb2cd5c3687d6</t>
  </si>
  <si>
    <t>Corpvs Eletronica</t>
  </si>
  <si>
    <t>f8a2c983b50b47465bd4d5cf0ffe4582</t>
  </si>
  <si>
    <t>Secure Meters (UK) Ltd C&amp;I</t>
  </si>
  <si>
    <t>5c7310ff90281639119f2bfb9faf09f4</t>
  </si>
  <si>
    <t>Flowbird Smart City UK Ltd</t>
  </si>
  <si>
    <t>d7b4ec6c043d296ef76c80fce28965e3</t>
  </si>
  <si>
    <t>True-Kare, Serviços e Equipamentos, Lda</t>
  </si>
  <si>
    <t>2b86ef7a37645519505df62f571ed300</t>
  </si>
  <si>
    <t>Quatenus Sist Intel de Loc Global</t>
  </si>
  <si>
    <t>c7a668a052b7cda2f5dee28aa17aa7ae</t>
  </si>
  <si>
    <t>TI5 Rastreamento</t>
  </si>
  <si>
    <t>b3fe8d36e76287fcda36f1bc898cc566</t>
  </si>
  <si>
    <t>V2Com</t>
  </si>
  <si>
    <t>490865e12c49f556d48de6ec1711f160</t>
  </si>
  <si>
    <t>Pointer Cielo Tecnologia</t>
  </si>
  <si>
    <t>928853a6a27224b04f530662240bc4f1</t>
  </si>
  <si>
    <t>Lucy Electric GridKey</t>
  </si>
  <si>
    <t>2a762e9846fc64a0f7ec1dbb83ff3ee4</t>
  </si>
  <si>
    <t>Softrack Solucoes em Monitoramento Ltda</t>
  </si>
  <si>
    <t>3994d6a005e007f8514498a072545b08</t>
  </si>
  <si>
    <t>Silicon Harbour (IKEDC)</t>
  </si>
  <si>
    <t>39764aaff5437ae5f88ec3305d164192</t>
  </si>
  <si>
    <t>Silicon Harbour (Zenith Bank)</t>
  </si>
  <si>
    <t>f49cfd1f7586b831981275f5525a4215</t>
  </si>
  <si>
    <t>Silicon Harbour (Access Bank Plc)</t>
  </si>
  <si>
    <t>16355d09479c0da5ea54cb0cb34a18be</t>
  </si>
  <si>
    <t>Low Carbon Exchange</t>
  </si>
  <si>
    <t>cde8c53d4287b1c1bfef6bf7782d6552</t>
  </si>
  <si>
    <t>Lucy Zodion Ltd</t>
  </si>
  <si>
    <t>9961f4f4e4bbd1047e51b9817ac5adce</t>
  </si>
  <si>
    <t>Just Checking</t>
  </si>
  <si>
    <t>1aa6c6b328cf80672c54be14502770dd</t>
  </si>
  <si>
    <t>SYMOTRONIC</t>
  </si>
  <si>
    <t>85d343b9cca87cf30b4e0608cad71db6</t>
  </si>
  <si>
    <t>Esparta Monitoramento</t>
  </si>
  <si>
    <t>ff91358b67f1a01495282e64bd574aae</t>
  </si>
  <si>
    <t>Ben Morley Ltd</t>
  </si>
  <si>
    <t>6541d7542d3bd945ee90d60c2c5fe5f8</t>
  </si>
  <si>
    <t>Spider Tracks Ltd</t>
  </si>
  <si>
    <t>ca80fe3a5d067a51bc6735a8fdfc07d2</t>
  </si>
  <si>
    <t>Alertacall Ltd</t>
  </si>
  <si>
    <t>70d5dfa412cc6c6c076fe6b29d325e56</t>
  </si>
  <si>
    <t>Futurepump Ltd</t>
  </si>
  <si>
    <t>8903abbad2cf7e9d2c522a8f9df46783</t>
  </si>
  <si>
    <t>Gendis Ltd</t>
  </si>
  <si>
    <t>1eaee41aca3e8be69f880951b1adf4f8</t>
  </si>
  <si>
    <t>Faro Protecao Contra Roubos</t>
  </si>
  <si>
    <t>142e865c8aa177aae60911942cd73087</t>
  </si>
  <si>
    <t>Online Solutions (PTY) LTD.</t>
  </si>
  <si>
    <t>b68c98774f57c38a3857eb71468aabd0</t>
  </si>
  <si>
    <t>Fertrac-Sistemas De Rastreamento</t>
  </si>
  <si>
    <t>4c1c1144b866363f11952f2d34240597</t>
  </si>
  <si>
    <t>LAN Control Systems Ltd</t>
  </si>
  <si>
    <t>a0dd787404e9e5c8b6336f2f4ee8172a</t>
  </si>
  <si>
    <t>BPChargemaster</t>
  </si>
  <si>
    <t>224f8ec43aebe4ba7591c199fe682b55</t>
  </si>
  <si>
    <t>Simples Sistemas De Franchising Ltda</t>
  </si>
  <si>
    <t>e81612b826c2d8268c132d931158b6e9</t>
  </si>
  <si>
    <t>Sagi Solutions</t>
  </si>
  <si>
    <t>315bb45f0bbad26571d5dc28cfe733b9</t>
  </si>
  <si>
    <t>Gilbarco Veeder-Root</t>
  </si>
  <si>
    <t>c7b566d0cee29429e8284d6ef8250d35</t>
  </si>
  <si>
    <t>Gilbarco AFS - ESA</t>
  </si>
  <si>
    <t>ee3588852c509e680378173be720e9ba</t>
  </si>
  <si>
    <t>Skytag Ltd</t>
  </si>
  <si>
    <t>6c2474b6fdf004f619eb8e0262b63d7d</t>
  </si>
  <si>
    <t>Eurotech-Domino</t>
  </si>
  <si>
    <t>a2ee0cdc6d9b42a094212183cd80004c</t>
  </si>
  <si>
    <t>SSE Contracting Ltd</t>
  </si>
  <si>
    <t>8b8cf32a2cf134ee55dea575eeb76dbb</t>
  </si>
  <si>
    <t>Vegasat Rastreamento E Gestao</t>
  </si>
  <si>
    <t>3543d3e1b29ab5646cbefb9ba94513b9</t>
  </si>
  <si>
    <t>Inova Rastreamento</t>
  </si>
  <si>
    <t>ec78423f5fd6c7c4cd7d434f05c0eb2b</t>
  </si>
  <si>
    <t>AJ3 Equipadora E Rastreamentos</t>
  </si>
  <si>
    <t>27a392089d438ea5b2033c4bbb298962</t>
  </si>
  <si>
    <t>Rotsat</t>
  </si>
  <si>
    <t>56f856f69dff69b26cdb062065a35f5b</t>
  </si>
  <si>
    <t>Intelligent Health Ltd</t>
  </si>
  <si>
    <t>5209f1eb2ff8d4d0256699a913d8f39a</t>
  </si>
  <si>
    <t>Racemap GmbH</t>
  </si>
  <si>
    <t>d85d358b72c5f156e0b3232ead6df491</t>
  </si>
  <si>
    <t>Ayvu Tecnologia</t>
  </si>
  <si>
    <t>7fbd1bbb78c4d8740eca1308cbdbf49a</t>
  </si>
  <si>
    <t>Ranor Rastreamento</t>
  </si>
  <si>
    <t>cb99fda6de3bc8c52840c1ddff3a5417</t>
  </si>
  <si>
    <t>Novatec Sarl</t>
  </si>
  <si>
    <t>183f27b606443175ad5e9f7edd1e5a6f</t>
  </si>
  <si>
    <t>Re-Trac Pecas e Servicos Ltda</t>
  </si>
  <si>
    <t>bc24057b3b6458c591e0913b2a851357</t>
  </si>
  <si>
    <t>Atec Electronique</t>
  </si>
  <si>
    <t>cc013a5dd8d4e64ab9dd0f4506f005c4</t>
  </si>
  <si>
    <t>Telensat Rastreamento E Monit Eireli</t>
  </si>
  <si>
    <t>aedcbeae2b5185b06e6acefd826f9318</t>
  </si>
  <si>
    <t>Signal Solucoes</t>
  </si>
  <si>
    <t>a97adca11c24022f8fba0beae6a86c88</t>
  </si>
  <si>
    <t>eWATERservices - AWS</t>
  </si>
  <si>
    <t>f853ae68d9fe900092f772f09b1965fc</t>
  </si>
  <si>
    <t>Logbank</t>
  </si>
  <si>
    <t>f4223ad45cc25dd2e2ad380013e8c5a4</t>
  </si>
  <si>
    <t>Energy Billing Ltd</t>
  </si>
  <si>
    <t>10892fec37d2f42f390ea35f26c8b00f</t>
  </si>
  <si>
    <t>Circumtec Pty Ltd</t>
  </si>
  <si>
    <t>27d1507b1af627bfbcc4faa559c1c60a</t>
  </si>
  <si>
    <t>Cobli</t>
  </si>
  <si>
    <t>325a5885704aa1b7bb843dca9d9fb077</t>
  </si>
  <si>
    <t>Andres Comunic e Tecnol Ltda (ACT Soluc)</t>
  </si>
  <si>
    <t>e58e800947eab7e5317ee0543f33f9cb</t>
  </si>
  <si>
    <t>World System GPS - Quanta</t>
  </si>
  <si>
    <t>24a1e6ec5dae8ccd02d0f7e0388684f5</t>
  </si>
  <si>
    <t>Lira-Sat Servicos de Rastreamento Veicular</t>
  </si>
  <si>
    <t>87b6a0676bacb087d4fae57306b027d2</t>
  </si>
  <si>
    <t>Ativa Solucoes</t>
  </si>
  <si>
    <t>0e404b369e1ec99f222627c13591ea55</t>
  </si>
  <si>
    <t>HPS Tecnologia Ltda</t>
  </si>
  <si>
    <t>9d1ec9ef2f0881b33806814d7db22beb</t>
  </si>
  <si>
    <t>Outform EMEA Ltd</t>
  </si>
  <si>
    <t>ac9f267cd6072e374d6a342351b332d1</t>
  </si>
  <si>
    <t>T&amp;T S.r.l.</t>
  </si>
  <si>
    <t>5651bfdd2b022ff91c93507cc940c332</t>
  </si>
  <si>
    <t>Shop Dos Alarmes</t>
  </si>
  <si>
    <t>6d37e8d28286caa6c8cedd5475ea3558</t>
  </si>
  <si>
    <t>Elektroniske Betalings Systemer AS</t>
  </si>
  <si>
    <t>d72829ed56c42a106517f1da3beb02d3</t>
  </si>
  <si>
    <t xml:space="preserve">BT Plc ( BT Redcare) </t>
  </si>
  <si>
    <t>1bd810325a90ac9c062ae05f0bf571f5</t>
  </si>
  <si>
    <t>Fleet Control S.p.A.</t>
  </si>
  <si>
    <t>24624e4122430264039baaf33f4b0147</t>
  </si>
  <si>
    <t>Tracking Solutions</t>
  </si>
  <si>
    <t>7b78e21b8ac198a1e28a9b5986e6a52c</t>
  </si>
  <si>
    <t>Re-Tech UK Ltd</t>
  </si>
  <si>
    <t>719b39ed818f0193ac609d65915b24b7</t>
  </si>
  <si>
    <t>Revierwelt Media GmbH</t>
  </si>
  <si>
    <t>83df6a93d2edb2ac5b894adab0a09dea</t>
  </si>
  <si>
    <t>TH System (Thiago Santos Menezes)</t>
  </si>
  <si>
    <t>9a28764a8f573a2c5dc183fb737f9ffd</t>
  </si>
  <si>
    <t>Rastro Seguro</t>
  </si>
  <si>
    <t>62a1935626768cc6ad411961152626cb</t>
  </si>
  <si>
    <t>Comgas</t>
  </si>
  <si>
    <t>e9a24020f0e21300ff4c186c28935fbf</t>
  </si>
  <si>
    <t>Servis Eletronica Defense Ltda</t>
  </si>
  <si>
    <t>252ae02d545a585c7eb928ecd5214f93</t>
  </si>
  <si>
    <t>7PSolutions LLC</t>
  </si>
  <si>
    <t>61c7d8c69341fbe427fc93abc45223b3</t>
  </si>
  <si>
    <t>Global System Rastreamento 24h</t>
  </si>
  <si>
    <t>af271615f8affd1ea7953fdd2f594b1a</t>
  </si>
  <si>
    <t>ParkSat</t>
  </si>
  <si>
    <t>2c14aa7165388a1b9b7df0b0356888d0</t>
  </si>
  <si>
    <t>iKhokha</t>
  </si>
  <si>
    <t>12092daedf29fa66de400a8ebb622885</t>
  </si>
  <si>
    <t>Invicta Assistencia Automotiva Eireli</t>
  </si>
  <si>
    <t>58e9866082c66e2ec8bd43886fbe3e80</t>
  </si>
  <si>
    <t>Competitive Tracking Ltd</t>
  </si>
  <si>
    <t>b906d0da8168653a53dfb1cd596affae</t>
  </si>
  <si>
    <t>Alcolock GB Ltd</t>
  </si>
  <si>
    <t>e6a5f78ed1c8f13abb49f2e481027d22</t>
  </si>
  <si>
    <t>Edenred Solucoes de Pagamentos Hyla S.A.</t>
  </si>
  <si>
    <t>8a989b372e65b3e52c03de179ca20086</t>
  </si>
  <si>
    <t>Barclays Bank Botswana - USD</t>
  </si>
  <si>
    <t>5fab5b29472d22de56bca773b2814365</t>
  </si>
  <si>
    <t>Freddy Hirsch - SA</t>
  </si>
  <si>
    <t>43460ca9af03949b6123ef2130484a58</t>
  </si>
  <si>
    <t>Siemens (Pty) Ltd - ESA (SRE Project)</t>
  </si>
  <si>
    <t>f93d44d1808092a2ef5c5c9dbc932b09</t>
  </si>
  <si>
    <t>Siemens (Pty) Ltd - ESA</t>
  </si>
  <si>
    <t>fecf694d258c5a1e6ebcb44eb7dc78cf</t>
  </si>
  <si>
    <t>EDC Technologies Inc</t>
  </si>
  <si>
    <t>8fc54b429e9346b356d76cbd7ddac44d</t>
  </si>
  <si>
    <t>Angel Sense Limited</t>
  </si>
  <si>
    <t>dd148ff465666f6daa88c7070bd2b77a</t>
  </si>
  <si>
    <t>Pro-Africa Freight (PTY) LTD</t>
  </si>
  <si>
    <t>d23bffd4e547f301943417c9c6833c42</t>
  </si>
  <si>
    <t>Eseye - James</t>
  </si>
  <si>
    <t>f0d5aff6a515fd5ae2905e2fe6cd559e</t>
  </si>
  <si>
    <t>Accuhealth Technologies LLC</t>
  </si>
  <si>
    <t>3cffd8e16a1400f50ccf5ea54d798e1b</t>
  </si>
  <si>
    <t>Yes Brasil Telecom</t>
  </si>
  <si>
    <t>b2ec3f100d519d3e72c07f483937c8e7</t>
  </si>
  <si>
    <t>ASW 3 Locacoes &amp; Empreendimentos</t>
  </si>
  <si>
    <t>ea511e514706f73144090e42029121aa</t>
  </si>
  <si>
    <t>Minder T/A Mindme</t>
  </si>
  <si>
    <t>b0d9c784f2fd4ce75c663dac0498ce67</t>
  </si>
  <si>
    <t>Ingenico (Lmcontrol)</t>
  </si>
  <si>
    <t>5a79dc493b2ae8dc03993ed649c5a3ee</t>
  </si>
  <si>
    <t>Telus - Odotrack</t>
  </si>
  <si>
    <t>95ef61fb908cc5f1d73748838b49f788</t>
  </si>
  <si>
    <t>ABSA Bank Zambia Plc</t>
  </si>
  <si>
    <t>bea3ac08af9557555e11510d8de90dd2</t>
  </si>
  <si>
    <t>Transaction Network Services Australia</t>
  </si>
  <si>
    <t>d5812575d3db3dfa5a4fb23cc752ad96</t>
  </si>
  <si>
    <t>Movisat Solucoes Tecnologicas </t>
  </si>
  <si>
    <t>98b57b3e96c0cbce85e3a30272ee13c9</t>
  </si>
  <si>
    <t>Mobile Telephone Networks (Pty) Ltd</t>
  </si>
  <si>
    <t>abc0c00afec29196b1c0d09576f0e1f7</t>
  </si>
  <si>
    <t>Cash Connect Management Solutions (PTY) LTD - ZAR</t>
  </si>
  <si>
    <t>d36ba30fc83352432a6ad7e92d75cc69</t>
  </si>
  <si>
    <t>Xlink Communications</t>
  </si>
  <si>
    <t>2bf24460205400eebb1d90b4c6b59ae1</t>
  </si>
  <si>
    <t>Venpay S.P.A</t>
  </si>
  <si>
    <t>935fc9e51136cd3013a945fa71aa1b2a</t>
  </si>
  <si>
    <t>Utilita Energy</t>
  </si>
  <si>
    <t>9551505dca330e4a058654a19a91e336</t>
  </si>
  <si>
    <t>Friendly Robotics</t>
  </si>
  <si>
    <t>f8c86919ff17712c2441ae6bb067ebba</t>
  </si>
  <si>
    <t>VBK (PesaPal Limited)</t>
  </si>
  <si>
    <t>d579a78162a40f9bec07b24d3bd25f7b</t>
  </si>
  <si>
    <t>TRANSIRE FABRIC DE COMP ELETRONIC LTDA</t>
  </si>
  <si>
    <t>1f001e69cfe45dad51b71fd703b1d7fc</t>
  </si>
  <si>
    <t>Kenya Commercial Bank - KES</t>
  </si>
  <si>
    <t>d8b75d8bd095bad43666463808c396ea</t>
  </si>
  <si>
    <t>Elmtronics Ltd</t>
  </si>
  <si>
    <t>9eb2ccad26c3f245467c25db86ade895</t>
  </si>
  <si>
    <t>Savi</t>
  </si>
  <si>
    <t>57b5ed39d935a87207ce811d9689f661</t>
  </si>
  <si>
    <t>Evoluservices</t>
  </si>
  <si>
    <t>0e91e335224aaec1744af869555a3066</t>
  </si>
  <si>
    <t>SolarNow SolarNow</t>
  </si>
  <si>
    <t>f20503b9be6eeeeeab45693698a60afa</t>
  </si>
  <si>
    <t>Philips Netherland B.V.</t>
  </si>
  <si>
    <t>e4133822618cc62cb1f61fa105a8dfc9</t>
  </si>
  <si>
    <t>MOVILE</t>
  </si>
  <si>
    <t>4b27f432bf0e9bfccc8711b9e3b5e98c</t>
  </si>
  <si>
    <t>TEFTI</t>
  </si>
  <si>
    <t>d540f01a413395082e6c06f358956388</t>
  </si>
  <si>
    <t>Chargemaster Plc</t>
  </si>
  <si>
    <t>318e88f5cd806844d2d38026c342c9f0</t>
  </si>
  <si>
    <t>Charge Your Car Limited</t>
  </si>
  <si>
    <t>c08e29b0964fe94fe6f03aa600672d84</t>
  </si>
  <si>
    <t>Total Security Installations Ltd</t>
  </si>
  <si>
    <t>Philips Healthcare</t>
  </si>
  <si>
    <t>IPKeys Power Partners, LLC</t>
  </si>
  <si>
    <t>9f01a3f2b4bd8ab3968172a7ed288221</t>
  </si>
  <si>
    <t>HWM Water</t>
  </si>
  <si>
    <t>8a1c7694d2691e152495618a9b640bef</t>
  </si>
  <si>
    <t>Voltswitch GPS</t>
  </si>
  <si>
    <t>6ed9f0ca2b474c37906f55134bc0869b</t>
  </si>
  <si>
    <t>Quanta</t>
  </si>
  <si>
    <t>0760960f894ab7d76ecb84bd6fd64090</t>
  </si>
  <si>
    <t>AGILIS CIKLO TECNOLOGIA</t>
  </si>
  <si>
    <t>57e490a5ed242beff7725ad2d84896a4</t>
  </si>
  <si>
    <t>Tramigo Ltd</t>
  </si>
  <si>
    <t>923fb1a86e28509be7a7168a95752002</t>
  </si>
  <si>
    <t>Vappusnet LLC</t>
  </si>
  <si>
    <t>c3425dad9f126290eabb0d74a90349fc</t>
  </si>
  <si>
    <t>Silicon Harbour (UBA Nigeria)</t>
  </si>
  <si>
    <t>1c00645c5e3ad6f45a0a168bb8cf074c</t>
  </si>
  <si>
    <t>Crane Merchandising Systems, Inc</t>
  </si>
  <si>
    <t>6471eab5a194651db81ec2ab5a9d731b</t>
  </si>
  <si>
    <t>Vectio</t>
  </si>
  <si>
    <t>024a49260f882f880d03de127c5ac4b9</t>
  </si>
  <si>
    <t>Unitracker (F&amp;S Locação de Maquinas)</t>
  </si>
  <si>
    <t>9b611cbec5e5399f648f57658d595f9e</t>
  </si>
  <si>
    <t>Senff</t>
  </si>
  <si>
    <t>80536c0f2c75d3f5e637d81c42100337</t>
  </si>
  <si>
    <t>BANESE CARD</t>
  </si>
  <si>
    <t>6804ff1da1855fb0419c670881676958</t>
  </si>
  <si>
    <t>Philips Medizin Systeme Boeblingen GmbH</t>
  </si>
  <si>
    <t>4e2987919d729930c496bf49d3dd5f72</t>
  </si>
  <si>
    <t>StarcomSystems-USA-ZERO</t>
  </si>
  <si>
    <t>242e16428bcd82fa15f32d093e936f85</t>
  </si>
  <si>
    <t>Ikeja Electricity Distribution Company</t>
  </si>
  <si>
    <t>9b68286201fb395bea952c8f584bd5e7</t>
  </si>
  <si>
    <t>Security Monitoring Centres Ltd</t>
  </si>
  <si>
    <t>f9c8ed288f411375f9aa7ed5d0858118</t>
  </si>
  <si>
    <t>Yoco Technologies API Testing</t>
  </si>
  <si>
    <t>3d6ce20d34d7682c4ef15abe5487599b</t>
  </si>
  <si>
    <t>CPI Australia</t>
  </si>
  <si>
    <t>7bf16377cfbbc93e5494a34b3957ed66</t>
  </si>
  <si>
    <t>Pelipod Ltd</t>
  </si>
  <si>
    <t>f41aa7bc8dd74b3bcf8b5588797d6e03</t>
  </si>
  <si>
    <t>Wares Sp. zo.o.</t>
  </si>
  <si>
    <t>0f77a3c173938bb33a1fbc95b6115f25</t>
  </si>
  <si>
    <t>Oak and Gold Ltd</t>
  </si>
  <si>
    <t>0dc812c563a4261afd8640285dc216a9</t>
  </si>
  <si>
    <t>International Telematics</t>
  </si>
  <si>
    <t>7fe73aad31da764c3e63f3411a257302</t>
  </si>
  <si>
    <t>Vianet Ltd</t>
  </si>
  <si>
    <t>46aa350fe51e10572bed54b51dfb38a7</t>
  </si>
  <si>
    <t>Pinbank Brasil</t>
  </si>
  <si>
    <t>0b883d24d142c842d2a0f7953c339301</t>
  </si>
  <si>
    <t>BBoxx Ltd</t>
  </si>
  <si>
    <t>ed5297e8ffb913a6bf7d5e8056a7e0e9</t>
  </si>
  <si>
    <t>Datacet</t>
  </si>
  <si>
    <t>163dd391aaf273442ca681f5475d5c9e</t>
  </si>
  <si>
    <t>PAD Technology Ltd</t>
  </si>
  <si>
    <t>b697466e0396893d342016a4204cbac7</t>
  </si>
  <si>
    <t>Icomon Tecnologia </t>
  </si>
  <si>
    <t>6e007b8f9634994160685cc443e4412a</t>
  </si>
  <si>
    <t>Biofourmis - (EvoMedtech)</t>
  </si>
  <si>
    <t>01805278fbeb4a6b02ff699a9149c754</t>
  </si>
  <si>
    <t>Hybrid Control Corporation</t>
  </si>
  <si>
    <t>c8c2125f83048e747ced2ee7fa0986f3</t>
  </si>
  <si>
    <t>Barclays Bank Kenya</t>
  </si>
  <si>
    <t>8173df487417b90490f24f14082c8330</t>
  </si>
  <si>
    <t>Biofourmis AG</t>
  </si>
  <si>
    <t>563a62e3f7d91d61aef238034a4cb24d</t>
  </si>
  <si>
    <t>Accessbank Botswana Limited</t>
  </si>
  <si>
    <t>2c93a887b5efd09e8723cce1b007848d</t>
  </si>
  <si>
    <t>Customer Numbers</t>
  </si>
  <si>
    <t>Number of Sims per customer  Range</t>
  </si>
  <si>
    <t>2 to 9</t>
  </si>
  <si>
    <t>10 to 49</t>
  </si>
  <si>
    <t>50 to 99</t>
  </si>
  <si>
    <t>100 to 499</t>
  </si>
  <si>
    <t>500 to 999</t>
  </si>
  <si>
    <t>1000-4999</t>
  </si>
  <si>
    <t>5000-9999</t>
  </si>
  <si>
    <t>10000-49999</t>
  </si>
  <si>
    <t>50000-99999</t>
  </si>
  <si>
    <t>100000+</t>
  </si>
  <si>
    <t>Active devices and stats</t>
  </si>
  <si>
    <t>Total number of SIMS per SIM report</t>
  </si>
  <si>
    <t>Total active SIMS</t>
  </si>
  <si>
    <t>M Kopa</t>
  </si>
  <si>
    <t>Emerging Markets customers</t>
  </si>
  <si>
    <t>Total customers</t>
  </si>
  <si>
    <t>Manx Interconnect</t>
  </si>
  <si>
    <t>Data (MB)</t>
  </si>
  <si>
    <t>Mb</t>
  </si>
  <si>
    <t>RoW</t>
  </si>
  <si>
    <t>UK</t>
  </si>
  <si>
    <t>USA</t>
  </si>
  <si>
    <t>Cost</t>
  </si>
  <si>
    <t>£</t>
  </si>
  <si>
    <t>Av cost per MB</t>
  </si>
  <si>
    <t xml:space="preserve"> Voda NL IMSI</t>
  </si>
  <si>
    <t>Cost (£)</t>
  </si>
  <si>
    <t>Av cost per MB (£)</t>
  </si>
  <si>
    <t>O2 IMSI (all UK)</t>
  </si>
  <si>
    <t>Surf (Brazil)</t>
  </si>
  <si>
    <t>X-rate</t>
  </si>
  <si>
    <t>Cost (BRL)</t>
  </si>
  <si>
    <t>Cost (GBP)</t>
  </si>
  <si>
    <t>Auto+Hide</t>
  </si>
  <si>
    <t>Cash held overseas covenant</t>
  </si>
  <si>
    <t>USD</t>
  </si>
  <si>
    <t>INR</t>
  </si>
  <si>
    <t>fx</t>
  </si>
  <si>
    <t>Total GBP</t>
  </si>
  <si>
    <t>Itau BBA</t>
  </si>
  <si>
    <t>YES Bank</t>
  </si>
  <si>
    <t>HDFC Bank</t>
  </si>
  <si>
    <t>Eseye Limited LIVE</t>
  </si>
  <si>
    <t xml:space="preserve">Eseye Limited </t>
  </si>
  <si>
    <t>Eseye Design LIVE</t>
  </si>
  <si>
    <t xml:space="preserve">Eseye Design </t>
  </si>
  <si>
    <t>Total UK cash balances</t>
  </si>
  <si>
    <t>EUR</t>
  </si>
  <si>
    <t>Eseye France LIVE</t>
  </si>
  <si>
    <t xml:space="preserve">Eseye France </t>
  </si>
  <si>
    <t>CHF</t>
  </si>
  <si>
    <t>Eseye Switzerland LIVE</t>
  </si>
  <si>
    <t xml:space="preserve">Eseye Switzerland </t>
  </si>
  <si>
    <t>BRL</t>
  </si>
  <si>
    <t>Eseye Brazil LIVE</t>
  </si>
  <si>
    <t xml:space="preserve">Eseye Brazil </t>
  </si>
  <si>
    <t>AUD</t>
  </si>
  <si>
    <t>Dataflex APAC LIVE</t>
  </si>
  <si>
    <t xml:space="preserve">Dataflex APAC </t>
  </si>
  <si>
    <t>Eseye India LIVE</t>
  </si>
  <si>
    <t xml:space="preserve">Eseye India </t>
  </si>
  <si>
    <t>KES</t>
  </si>
  <si>
    <t>Eseye East Africa LIVE</t>
  </si>
  <si>
    <t xml:space="preserve">Eseye East Africa </t>
  </si>
  <si>
    <t>ZAR</t>
  </si>
  <si>
    <t>Eseye South Africa LIVE</t>
  </si>
  <si>
    <t xml:space="preserve">Eseye South Africa </t>
  </si>
  <si>
    <t>Eseye LLC LIVE</t>
  </si>
  <si>
    <t xml:space="preserve">Eseye LLC </t>
  </si>
  <si>
    <t>TRY</t>
  </si>
  <si>
    <t>Eseye Turkey LIVE</t>
  </si>
  <si>
    <t xml:space="preserve">Eseye Turkey </t>
  </si>
  <si>
    <t>Total overseas  cash balances subject to monthly limit</t>
  </si>
  <si>
    <t>Total cash at bank</t>
  </si>
  <si>
    <t>Montly limit on overseas cash balances per covenant</t>
  </si>
  <si>
    <t>Overseas cash within monthly limit?</t>
  </si>
  <si>
    <t>Cash Consumption Covenant</t>
  </si>
  <si>
    <t>Inputs</t>
  </si>
  <si>
    <t>forecast</t>
  </si>
  <si>
    <t xml:space="preserve">Opening Cash </t>
  </si>
  <si>
    <t>(to be linked with monthly cash flow)</t>
  </si>
  <si>
    <t xml:space="preserve">Closing Cash </t>
  </si>
  <si>
    <t>(A) Cash</t>
  </si>
  <si>
    <t>tranche 2 limit undrawn</t>
  </si>
  <si>
    <t>RCF undrawn</t>
  </si>
  <si>
    <t>(B) Cash + Facility Headroom</t>
  </si>
  <si>
    <t>Cash Consumption / (generation)</t>
  </si>
  <si>
    <t xml:space="preserve">Equity advanced </t>
  </si>
  <si>
    <t xml:space="preserve">Loan advanced </t>
  </si>
  <si>
    <t>CYBG loan advanced</t>
  </si>
  <si>
    <t>Existing loan repayment</t>
  </si>
  <si>
    <t xml:space="preserve">RCF drawdown </t>
  </si>
  <si>
    <t>Cash Consumption Calc</t>
  </si>
  <si>
    <t>(B) Average Cash Consumption (generation) L12M</t>
  </si>
  <si>
    <t>(C) Average Cash Consumption (generation) L6M</t>
  </si>
  <si>
    <t>No. months cash</t>
  </si>
  <si>
    <t>Required ratio</t>
  </si>
  <si>
    <t>Actual ratio (A / B) - re L12M</t>
  </si>
  <si>
    <t>Actual ratio (B / C) - re L6M</t>
  </si>
  <si>
    <t>Covenant Pass/Fail - re L12M</t>
  </si>
  <si>
    <t>Covenant Pass/Fail - re L6M</t>
  </si>
  <si>
    <t>Revenue Covenant (quarterly only)</t>
  </si>
  <si>
    <t>Covenant Period</t>
  </si>
  <si>
    <t>L3M</t>
  </si>
  <si>
    <t>L6M</t>
  </si>
  <si>
    <t>L9M</t>
  </si>
  <si>
    <t>L12M</t>
  </si>
  <si>
    <t>Budgeted Revenue in Covenant Period</t>
  </si>
  <si>
    <t>Covenant (% of Budget)</t>
  </si>
  <si>
    <t>Covenant level</t>
  </si>
  <si>
    <t>Actual revenue in covenant period</t>
  </si>
  <si>
    <t>Covenant Pass/Fail</t>
  </si>
  <si>
    <t>Waived 28 Feb 2025</t>
  </si>
  <si>
    <t>Test Date</t>
  </si>
  <si>
    <t>Period</t>
  </si>
  <si>
    <t>Revenue (£000s)</t>
  </si>
  <si>
    <t>Covenant (£000s)</t>
  </si>
  <si>
    <t>Forecast EBITDA £000s</t>
  </si>
  <si>
    <t>Headroom %</t>
  </si>
  <si>
    <t>N/A</t>
  </si>
  <si>
    <t>Costa Express Limited - VPN</t>
  </si>
  <si>
    <t>Positec (Macao Commercial Offshore) LTD</t>
  </si>
  <si>
    <t>Amazon EV Charging Products</t>
  </si>
  <si>
    <t>Var to Jan-26 budget</t>
  </si>
  <si>
    <t>YTD-26</t>
  </si>
  <si>
    <t>Var to YTD-26 budget</t>
  </si>
  <si>
    <t>FY26</t>
  </si>
  <si>
    <t>Q1-26</t>
  </si>
  <si>
    <t>Q2-26</t>
  </si>
  <si>
    <t>Q3-26</t>
  </si>
  <si>
    <t>Q4-26</t>
  </si>
  <si>
    <t>YTD 2026</t>
  </si>
  <si>
    <t xml:space="preserve">Tellihealth LLC Production </t>
  </si>
  <si>
    <t>CraneNXT / CPI UK</t>
  </si>
  <si>
    <t>Secure Meters (UK) Limited</t>
  </si>
  <si>
    <t>Symotronic</t>
  </si>
  <si>
    <t>Total balance at 
28 February 2026
 per accounts</t>
  </si>
  <si>
    <t>Var to Jan-26</t>
  </si>
  <si>
    <t>Var to Feb-26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</si>
</sst>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164" formatCode="_(* #,##0_);_(* \(#,##0\);_(* &quot;-&quot;_);_(@_)"/>
    <numFmt numFmtId="165" formatCode="_(* #,##0.00_);_(* \(#,##0.00\);_(* &quot;-&quot;??_);_(@_)"/>
    <numFmt numFmtId="166" formatCode="_(&quot;£&quot;* #,##0.00_);_(&quot;£&quot;* \(#,##0.00\);_(&quot;£&quot;* &quot;-&quot;??_);_(@_)"/>
    <numFmt numFmtId="167" formatCode="#,##0,&quot;k&quot;;\(#,##0,&quot;k&quot;\);&quot;-&quot;"/>
    <numFmt numFmtId="168" formatCode="#,##0.0,,&quot;M&quot;;\(#,##0.0,,&quot;M&quot;\);&quot;-&quot;"/>
    <numFmt numFmtId="169" formatCode="0.0%"/>
    <numFmt numFmtId="170" formatCode="[$-F800]dddd\,\ mmmm\ dd\,\ yyyy"/>
    <numFmt numFmtId="171" formatCode="#,##0.000,,&quot;M&quot;;\(#,##0.000,,&quot;M&quot;\);&quot;-&quot;"/>
    <numFmt numFmtId="172" formatCode="#,##0.000,&quot;k&quot;;\(#,##0.000,&quot;k&quot;\);&quot;-&quot;"/>
    <numFmt numFmtId="173" formatCode="#,##0;[Red]\(#,##0\)"/>
    <numFmt numFmtId="174" formatCode="#,##0;[Red]\(#,##0\);&quot;-&quot;"/>
    <numFmt numFmtId="175" formatCode="0.000"/>
    <numFmt numFmtId="176" formatCode="_-* #,##0_-;\-* #,##0_-;_-* &quot;-&quot;??_-;_-@_-"/>
    <numFmt numFmtId="177" formatCode="_-* #,##0.000_-;\-* #,##0.000_-;_-* &quot;-&quot;??_-;_-@_-"/>
    <numFmt numFmtId="178" formatCode="mmmm\ yyyy"/>
    <numFmt numFmtId="179" formatCode="#,##0.0000,&quot;k&quot;;\(#,##0.0000,&quot;k&quot;\);&quot;-&quot;"/>
    <numFmt numFmtId="180" formatCode="#,##0,\k;\(#,##0,\k\);&quot;-&quot;"/>
    <numFmt numFmtId="181" formatCode="&quot;£&quot;#,##0,\k;\(&quot;£&quot;#,##0,\k\);&quot;-&quot;"/>
    <numFmt numFmtId="182" formatCode="&quot;£&quot;#,##0.00"/>
    <numFmt numFmtId="183" formatCode="&quot;£&quot;#,##0,&quot;k&quot;;\(&quot;£&quot;#,##0,&quot;k&quot;\);&quot;-&quot;"/>
    <numFmt numFmtId="184" formatCode="#,##0.00,&quot;k&quot;;\(#,##0.00,&quot;k&quot;\);&quot;-&quot;"/>
    <numFmt numFmtId="185" formatCode="_-* #,##0.0_-;\-* #,##0.0_-;_-* &quot;-&quot;??_-;_-@_-"/>
    <numFmt numFmtId="186" formatCode="#,##0.00,,&quot;M&quot;;\(#,##0.00,,&quot;M&quot;\);&quot;-&quot;"/>
    <numFmt numFmtId="187" formatCode="&quot;Tier &quot;0"/>
    <numFmt numFmtId="188" formatCode="0.00000"/>
    <numFmt numFmtId="189" formatCode="#,##0.00000,&quot;k&quot;;\(#,##0.00000,&quot;k&quot;\);&quot;-&quot;"/>
    <numFmt numFmtId="190" formatCode="#,##0.0000000,&quot;k&quot;;\(#,##0.0000000,&quot;k&quot;\);&quot;-&quot;"/>
    <numFmt numFmtId="191" formatCode="_-[$$-409]* #,##0.0_ ;_-[$$-409]* \-#,##0.0\ ;_-[$$-409]* &quot;-&quot;??_ ;_-@_ "/>
    <numFmt numFmtId="192" formatCode="mmm\ yy"/>
    <numFmt numFmtId="193" formatCode="#,##0_);&quot;(&quot;#,##0&quot;)&quot;;&quot;-&quot;_)"/>
    <numFmt numFmtId="194" formatCode="_-[$$-409]* #,##0_ ;_-[$$-409]* \-#,##0\ ;_-[$$-409]* &quot;-&quot;??_ ;_-@_ "/>
    <numFmt numFmtId="195" formatCode="&quot;£&quot;#,##0"/>
    <numFmt numFmtId="196" formatCode="#,##0.000000,&quot;k&quot;;\(#,##0.000000,&quot;k&quot;\);&quot;-&quot;"/>
    <numFmt numFmtId="197" formatCode="#,##0.000000000,&quot;k&quot;;\(#,##0.000000000,&quot;k&quot;\);&quot;-&quot;"/>
    <numFmt numFmtId="198" formatCode="#,##0.000"/>
    <numFmt numFmtId="199" formatCode="##,##0_-;\(##,##0\);\-_;"/>
    <numFmt numFmtId="200" formatCode="#,##0.00000000000000000,&quot;k&quot;;\(#,##0.00000000000000000,&quot;k&quot;\);&quot;-&quot;"/>
    <numFmt numFmtId="201" formatCode="0.000000"/>
    <numFmt numFmtId="202" formatCode="#,##0.0,&quot;k&quot;;\(#,##0.0,&quot;k&quot;\);&quot;-&quot;"/>
    <numFmt numFmtId="203" formatCode="#,##0.0000000000"/>
    <numFmt numFmtId="204" formatCode="&quot;£&quot;#,##0.0,&quot;k&quot;;\(&quot;£&quot;#,##0.0,&quot;k&quot;\);&quot;-&quot;"/>
    <numFmt numFmtId="205" formatCode="&quot;£&quot;#,##0.00,&quot;k&quot;;\(&quot;£&quot;#,##0.00,&quot;k&quot;\);&quot;-&quot;"/>
    <numFmt numFmtId="206" formatCode="&quot;£&quot;#,##0.000,\k;\(&quot;£&quot;#,##0.000,\k\);&quot;-&quot;"/>
    <numFmt numFmtId="207" formatCode="#,##0.0,\k;\(#,##0.0,\k\);&quot;-&quot;"/>
    <numFmt numFmtId="208" formatCode="#,##0.000000000"/>
    <numFmt numFmtId="209" formatCode="_(* #,##0_);_(* \(#,##0\);_(* &quot;-&quot;??_);_(@_)"/>
    <numFmt numFmtId="210" formatCode="0.000%"/>
    <numFmt numFmtId="211" formatCode="#,##0.000000,,&quot;M&quot;;\(#,##0.000000,,&quot;M&quot;\);&quot;-&quot;"/>
    <numFmt numFmtId="212" formatCode="#,##0.000,\k;\(#,##0.000,\k\);&quot;-&quot;"/>
    <numFmt numFmtId="213" formatCode="#,##0;\(#,##0\);&quot;-&quot;"/>
    <numFmt numFmtId="214" formatCode="0.0"/>
    <numFmt numFmtId="215" formatCode="_(* #,##0.0_);_(* \(#,##0.0\);_(* &quot;-&quot;??_);_(@_)"/>
    <numFmt numFmtId="216" formatCode="_(* #,##0.000_);_(* \(#,##0.000\);_(* &quot;-&quot;??_);_(@_)"/>
    <numFmt numFmtId="217" formatCode="&quot;£&quot;#,##0.000000,\k;\(&quot;£&quot;#,##0.000000,\k\);&quot;-&quot;"/>
    <numFmt numFmtId="218" formatCode="#,##0.00;[Red]\(#,##0.00\);&quot;-&quot;"/>
    <numFmt numFmtId="219" formatCode="_(* #,##0.0000_);_(* \(#,##0.0000\);_(* &quot;-&quot;??_);_(@_)"/>
  </numFmts>
  <fonts count="7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color theme="2" tint="-0.499984740745262"/>
      <name val="Calibri"/>
      <family val="2"/>
      <scheme val="minor"/>
    </font>
    <font>
      <i/>
      <u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theme="1"/>
      <name val="Verdana"/>
      <family val="2"/>
    </font>
    <font>
      <sz val="10"/>
      <color theme="1"/>
      <name val="Times New Roman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  <font>
      <u/>
      <sz val="11"/>
      <color theme="1"/>
      <name val="Calibri"/>
      <family val="2"/>
    </font>
    <font>
      <b/>
      <i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  <font>
      <u val="singleAccounting"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444444"/>
      <name val="Segoe UI"/>
      <family val="2"/>
    </font>
    <font>
      <sz val="11"/>
      <color rgb="FFFF000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F5496"/>
      <name val="Calibri"/>
      <family val="2"/>
      <charset val="1"/>
    </font>
    <font>
      <sz val="11"/>
      <color rgb="FF201F1E"/>
      <name val="Calibri"/>
      <family val="2"/>
      <charset val="1"/>
    </font>
    <font>
      <i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name val="Calibri"/>
      <family val="2"/>
      <scheme val="minor"/>
    </font>
    <font>
      <b/>
      <i/>
      <sz val="9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9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i/>
      <sz val="11"/>
      <color theme="4"/>
      <name val="Calibri"/>
      <family val="2"/>
      <scheme val="minor"/>
    </font>
    <font>
      <i/>
      <sz val="12"/>
      <color theme="4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name val="Calibri"/>
      <family val="2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/>
      <top style="thin">
        <color theme="1"/>
      </top>
      <bottom/>
      <diagonal/>
    </border>
  </borders>
  <cellStyleXfs count="1620">
    <xf numFmtId="0" fontId="0" fillId="0" borderId="0"/>
    <xf numFmtId="9" fontId="1" fillId="0" borderId="0" applyFont="0" applyFill="0" applyBorder="0" applyAlignment="0" applyProtection="0"/>
    <xf numFmtId="170" fontId="12" fillId="0" borderId="0"/>
    <xf numFmtId="165" fontId="1" fillId="0" borderId="0" applyFont="0" applyFill="0" applyBorder="0" applyAlignment="0" applyProtection="0"/>
    <xf numFmtId="0" fontId="14" fillId="0" borderId="0"/>
    <xf numFmtId="0" fontId="14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91" fontId="1" fillId="0" borderId="0"/>
    <xf numFmtId="165" fontId="1" fillId="0" borderId="0" applyFont="0" applyFill="0" applyBorder="0" applyAlignment="0" applyProtection="0"/>
    <xf numFmtId="194" fontId="1" fillId="0" borderId="0"/>
    <xf numFmtId="165" fontId="1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4" fillId="0" borderId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3" fillId="0" borderId="0" applyNumberFormat="0" applyFill="0" applyBorder="0" applyAlignment="0" applyProtection="0"/>
    <xf numFmtId="0" fontId="44" fillId="0" borderId="19" applyNumberFormat="0" applyFill="0" applyAlignment="0" applyProtection="0"/>
    <xf numFmtId="0" fontId="45" fillId="0" borderId="20" applyNumberFormat="0" applyFill="0" applyAlignment="0" applyProtection="0"/>
    <xf numFmtId="0" fontId="46" fillId="0" borderId="21" applyNumberFormat="0" applyFill="0" applyAlignment="0" applyProtection="0"/>
    <xf numFmtId="0" fontId="46" fillId="0" borderId="0" applyNumberFormat="0" applyFill="0" applyBorder="0" applyAlignment="0" applyProtection="0"/>
    <xf numFmtId="0" fontId="47" fillId="16" borderId="0" applyNumberFormat="0" applyBorder="0" applyAlignment="0" applyProtection="0"/>
    <xf numFmtId="0" fontId="48" fillId="17" borderId="0" applyNumberFormat="0" applyBorder="0" applyAlignment="0" applyProtection="0"/>
    <xf numFmtId="0" fontId="49" fillId="18" borderId="0" applyNumberFormat="0" applyBorder="0" applyAlignment="0" applyProtection="0"/>
    <xf numFmtId="0" fontId="50" fillId="19" borderId="22" applyNumberFormat="0" applyAlignment="0" applyProtection="0"/>
    <xf numFmtId="0" fontId="51" fillId="20" borderId="23" applyNumberFormat="0" applyAlignment="0" applyProtection="0"/>
    <xf numFmtId="0" fontId="52" fillId="20" borderId="22" applyNumberFormat="0" applyAlignment="0" applyProtection="0"/>
    <xf numFmtId="0" fontId="53" fillId="0" borderId="24" applyNumberFormat="0" applyFill="0" applyAlignment="0" applyProtection="0"/>
    <xf numFmtId="0" fontId="54" fillId="21" borderId="25" applyNumberFormat="0" applyAlignment="0" applyProtection="0"/>
    <xf numFmtId="0" fontId="42" fillId="0" borderId="0" applyNumberFormat="0" applyFill="0" applyBorder="0" applyAlignment="0" applyProtection="0"/>
    <xf numFmtId="0" fontId="1" fillId="22" borderId="26" applyNumberFormat="0" applyFont="0" applyAlignment="0" applyProtection="0"/>
    <xf numFmtId="0" fontId="55" fillId="0" borderId="0" applyNumberFormat="0" applyFill="0" applyBorder="0" applyAlignment="0" applyProtection="0"/>
    <xf numFmtId="0" fontId="2" fillId="0" borderId="27" applyNumberFormat="0" applyFill="0" applyAlignment="0" applyProtection="0"/>
    <xf numFmtId="0" fontId="40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40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40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0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40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40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4" fillId="0" borderId="0"/>
    <xf numFmtId="0" fontId="56" fillId="0" borderId="0"/>
    <xf numFmtId="0" fontId="13" fillId="0" borderId="0"/>
    <xf numFmtId="165" fontId="1" fillId="0" borderId="0" applyFont="0" applyFill="0" applyBorder="0" applyAlignment="0" applyProtection="0"/>
    <xf numFmtId="0" fontId="1" fillId="0" borderId="0"/>
  </cellStyleXfs>
  <cellXfs count="80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 indent="1"/>
    </xf>
    <xf numFmtId="168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0" fontId="8" fillId="0" borderId="0" xfId="0" applyFont="1"/>
    <xf numFmtId="0" fontId="2" fillId="0" borderId="0" xfId="0" applyFont="1"/>
    <xf numFmtId="168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 indent="1"/>
    </xf>
    <xf numFmtId="168" fontId="9" fillId="0" borderId="5" xfId="0" applyNumberFormat="1" applyFont="1" applyBorder="1" applyAlignment="1">
      <alignment horizontal="center"/>
    </xf>
    <xf numFmtId="167" fontId="9" fillId="0" borderId="0" xfId="0" applyNumberFormat="1" applyFont="1" applyAlignment="1">
      <alignment horizontal="center"/>
    </xf>
    <xf numFmtId="167" fontId="9" fillId="0" borderId="5" xfId="0" applyNumberFormat="1" applyFont="1" applyBorder="1" applyAlignment="1">
      <alignment horizontal="center"/>
    </xf>
    <xf numFmtId="168" fontId="9" fillId="0" borderId="0" xfId="0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2" fillId="0" borderId="6" xfId="0" applyFont="1" applyBorder="1"/>
    <xf numFmtId="0" fontId="0" fillId="0" borderId="6" xfId="0" applyBorder="1"/>
    <xf numFmtId="168" fontId="2" fillId="0" borderId="6" xfId="0" applyNumberFormat="1" applyFont="1" applyBorder="1" applyAlignment="1">
      <alignment horizontal="center"/>
    </xf>
    <xf numFmtId="167" fontId="2" fillId="0" borderId="6" xfId="0" applyNumberFormat="1" applyFont="1" applyBorder="1" applyAlignment="1">
      <alignment horizontal="center"/>
    </xf>
    <xf numFmtId="0" fontId="10" fillId="0" borderId="0" xfId="0" applyFont="1"/>
    <xf numFmtId="168" fontId="8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169" fontId="8" fillId="0" borderId="0" xfId="1" applyNumberFormat="1" applyFont="1" applyBorder="1" applyAlignment="1">
      <alignment horizontal="center"/>
    </xf>
    <xf numFmtId="169" fontId="8" fillId="0" borderId="0" xfId="1" applyNumberFormat="1" applyFont="1" applyAlignment="1">
      <alignment horizontal="center"/>
    </xf>
    <xf numFmtId="0" fontId="8" fillId="0" borderId="5" xfId="0" applyFont="1" applyBorder="1" applyAlignment="1">
      <alignment horizontal="left" indent="1"/>
    </xf>
    <xf numFmtId="168" fontId="8" fillId="0" borderId="5" xfId="0" applyNumberFormat="1" applyFont="1" applyBorder="1" applyAlignment="1">
      <alignment horizontal="center"/>
    </xf>
    <xf numFmtId="167" fontId="8" fillId="0" borderId="5" xfId="0" applyNumberFormat="1" applyFont="1" applyBorder="1" applyAlignment="1">
      <alignment horizontal="center"/>
    </xf>
    <xf numFmtId="0" fontId="8" fillId="0" borderId="0" xfId="0" applyFont="1" applyAlignment="1">
      <alignment horizontal="left" indent="1"/>
    </xf>
    <xf numFmtId="167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2" xfId="0" applyBorder="1"/>
    <xf numFmtId="168" fontId="0" fillId="0" borderId="2" xfId="0" applyNumberFormat="1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2" fillId="0" borderId="8" xfId="0" applyFont="1" applyBorder="1"/>
    <xf numFmtId="0" fontId="0" fillId="0" borderId="8" xfId="0" applyBorder="1"/>
    <xf numFmtId="168" fontId="2" fillId="0" borderId="8" xfId="0" applyNumberFormat="1" applyFont="1" applyBorder="1" applyAlignment="1">
      <alignment horizontal="center"/>
    </xf>
    <xf numFmtId="167" fontId="0" fillId="0" borderId="8" xfId="0" applyNumberForma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168" fontId="0" fillId="0" borderId="0" xfId="0" applyNumberFormat="1"/>
    <xf numFmtId="0" fontId="11" fillId="0" borderId="0" xfId="0" applyFont="1"/>
    <xf numFmtId="168" fontId="11" fillId="0" borderId="0" xfId="0" applyNumberFormat="1" applyFont="1" applyAlignment="1">
      <alignment horizontal="center"/>
    </xf>
    <xf numFmtId="167" fontId="11" fillId="0" borderId="0" xfId="0" applyNumberFormat="1" applyFont="1" applyAlignment="1">
      <alignment horizontal="center"/>
    </xf>
    <xf numFmtId="170" fontId="13" fillId="0" borderId="0" xfId="2" applyFont="1" applyAlignment="1">
      <alignment horizontal="left"/>
    </xf>
    <xf numFmtId="169" fontId="8" fillId="0" borderId="0" xfId="1" applyNumberFormat="1" applyFont="1" applyFill="1" applyAlignment="1">
      <alignment horizontal="center"/>
    </xf>
    <xf numFmtId="165" fontId="0" fillId="0" borderId="0" xfId="3" applyFont="1" applyFill="1" applyBorder="1" applyAlignment="1">
      <alignment horizontal="center"/>
    </xf>
    <xf numFmtId="171" fontId="2" fillId="0" borderId="0" xfId="0" applyNumberFormat="1" applyFont="1" applyAlignment="1">
      <alignment horizontal="center"/>
    </xf>
    <xf numFmtId="172" fontId="11" fillId="0" borderId="0" xfId="0" applyNumberFormat="1" applyFont="1" applyAlignment="1">
      <alignment horizontal="center"/>
    </xf>
    <xf numFmtId="167" fontId="0" fillId="0" borderId="0" xfId="0" applyNumberFormat="1"/>
    <xf numFmtId="0" fontId="2" fillId="0" borderId="0" xfId="0" applyFont="1" applyAlignment="1">
      <alignment horizontal="center"/>
    </xf>
    <xf numFmtId="17" fontId="2" fillId="0" borderId="4" xfId="0" applyNumberFormat="1" applyFont="1" applyBorder="1" applyAlignment="1">
      <alignment horizontal="center"/>
    </xf>
    <xf numFmtId="17" fontId="2" fillId="0" borderId="3" xfId="0" applyNumberFormat="1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17" fontId="2" fillId="0" borderId="7" xfId="0" applyNumberFormat="1" applyFont="1" applyBorder="1" applyAlignment="1">
      <alignment horizontal="center"/>
    </xf>
    <xf numFmtId="0" fontId="0" fillId="0" borderId="0" xfId="0" applyAlignment="1">
      <alignment vertical="top"/>
    </xf>
    <xf numFmtId="174" fontId="2" fillId="0" borderId="2" xfId="0" applyNumberFormat="1" applyFont="1" applyBorder="1" applyAlignment="1">
      <alignment horizontal="center"/>
    </xf>
    <xf numFmtId="174" fontId="2" fillId="0" borderId="0" xfId="0" applyNumberFormat="1" applyFont="1" applyAlignment="1">
      <alignment horizontal="center"/>
    </xf>
    <xf numFmtId="0" fontId="4" fillId="0" borderId="0" xfId="0" applyFont="1"/>
    <xf numFmtId="0" fontId="3" fillId="4" borderId="0" xfId="0" applyFont="1" applyFill="1"/>
    <xf numFmtId="0" fontId="0" fillId="4" borderId="0" xfId="0" applyFill="1"/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7" fontId="2" fillId="4" borderId="0" xfId="0" applyNumberFormat="1" applyFont="1" applyFill="1" applyAlignment="1">
      <alignment horizontal="center"/>
    </xf>
    <xf numFmtId="17" fontId="2" fillId="5" borderId="0" xfId="0" applyNumberFormat="1" applyFont="1" applyFill="1" applyAlignment="1">
      <alignment horizontal="center"/>
    </xf>
    <xf numFmtId="173" fontId="2" fillId="0" borderId="9" xfId="0" applyNumberFormat="1" applyFont="1" applyBorder="1"/>
    <xf numFmtId="173" fontId="2" fillId="0" borderId="10" xfId="0" applyNumberFormat="1" applyFont="1" applyBorder="1"/>
    <xf numFmtId="0" fontId="2" fillId="5" borderId="0" xfId="0" applyFont="1" applyFill="1"/>
    <xf numFmtId="17" fontId="2" fillId="5" borderId="0" xfId="0" applyNumberFormat="1" applyFont="1" applyFill="1"/>
    <xf numFmtId="0" fontId="16" fillId="5" borderId="0" xfId="0" applyFont="1" applyFill="1" applyAlignment="1">
      <alignment horizontal="center"/>
    </xf>
    <xf numFmtId="0" fontId="4" fillId="4" borderId="4" xfId="0" applyFont="1" applyFill="1" applyBorder="1"/>
    <xf numFmtId="0" fontId="15" fillId="4" borderId="3" xfId="0" applyFont="1" applyFill="1" applyBorder="1"/>
    <xf numFmtId="0" fontId="0" fillId="0" borderId="3" xfId="0" applyBorder="1"/>
    <xf numFmtId="0" fontId="0" fillId="6" borderId="0" xfId="0" applyFill="1"/>
    <xf numFmtId="0" fontId="2" fillId="0" borderId="3" xfId="0" applyFont="1" applyBorder="1"/>
    <xf numFmtId="0" fontId="17" fillId="0" borderId="0" xfId="0" applyFont="1"/>
    <xf numFmtId="172" fontId="0" fillId="0" borderId="0" xfId="0" applyNumberFormat="1" applyAlignment="1">
      <alignment horizontal="center"/>
    </xf>
    <xf numFmtId="172" fontId="2" fillId="0" borderId="0" xfId="0" applyNumberFormat="1" applyFont="1" applyAlignment="1">
      <alignment horizontal="center"/>
    </xf>
    <xf numFmtId="167" fontId="0" fillId="0" borderId="0" xfId="3" applyNumberFormat="1" applyFont="1" applyFill="1" applyBorder="1" applyAlignment="1">
      <alignment horizontal="center"/>
    </xf>
    <xf numFmtId="10" fontId="0" fillId="0" borderId="0" xfId="1" applyNumberFormat="1" applyFont="1" applyBorder="1"/>
    <xf numFmtId="0" fontId="3" fillId="5" borderId="0" xfId="0" applyFont="1" applyFill="1" applyAlignment="1">
      <alignment horizontal="center"/>
    </xf>
    <xf numFmtId="0" fontId="0" fillId="0" borderId="1" xfId="0" applyBorder="1"/>
    <xf numFmtId="181" fontId="0" fillId="0" borderId="0" xfId="3" applyNumberFormat="1" applyFont="1" applyFill="1" applyBorder="1" applyAlignment="1">
      <alignment horizontal="center"/>
    </xf>
    <xf numFmtId="17" fontId="2" fillId="4" borderId="5" xfId="0" applyNumberFormat="1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181" fontId="0" fillId="0" borderId="0" xfId="0" applyNumberFormat="1" applyAlignment="1">
      <alignment horizontal="center"/>
    </xf>
    <xf numFmtId="17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6" borderId="2" xfId="0" applyFill="1" applyBorder="1" applyAlignment="1">
      <alignment horizontal="center"/>
    </xf>
    <xf numFmtId="181" fontId="2" fillId="0" borderId="0" xfId="0" applyNumberFormat="1" applyFont="1" applyAlignment="1">
      <alignment horizontal="center"/>
    </xf>
    <xf numFmtId="181" fontId="2" fillId="6" borderId="0" xfId="0" applyNumberFormat="1" applyFont="1" applyFill="1" applyAlignment="1">
      <alignment horizontal="center"/>
    </xf>
    <xf numFmtId="0" fontId="0" fillId="0" borderId="3" xfId="0" applyBorder="1" applyAlignment="1">
      <alignment horizontal="left" indent="2"/>
    </xf>
    <xf numFmtId="181" fontId="2" fillId="6" borderId="6" xfId="0" applyNumberFormat="1" applyFont="1" applyFill="1" applyBorder="1" applyAlignment="1">
      <alignment horizontal="center"/>
    </xf>
    <xf numFmtId="181" fontId="2" fillId="0" borderId="6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 indent="1"/>
    </xf>
    <xf numFmtId="180" fontId="0" fillId="0" borderId="0" xfId="0" applyNumberFormat="1" applyAlignment="1">
      <alignment horizontal="center"/>
    </xf>
    <xf numFmtId="174" fontId="2" fillId="0" borderId="9" xfId="0" applyNumberFormat="1" applyFont="1" applyBorder="1" applyAlignment="1">
      <alignment horizontal="center"/>
    </xf>
    <xf numFmtId="174" fontId="2" fillId="0" borderId="10" xfId="0" applyNumberFormat="1" applyFont="1" applyBorder="1" applyAlignment="1">
      <alignment horizontal="center"/>
    </xf>
    <xf numFmtId="17" fontId="2" fillId="5" borderId="0" xfId="0" applyNumberFormat="1" applyFont="1" applyFill="1" applyAlignment="1">
      <alignment horizontal="center" wrapText="1"/>
    </xf>
    <xf numFmtId="183" fontId="0" fillId="0" borderId="0" xfId="0" applyNumberFormat="1" applyAlignment="1">
      <alignment horizontal="center"/>
    </xf>
    <xf numFmtId="0" fontId="19" fillId="0" borderId="0" xfId="0" applyFont="1"/>
    <xf numFmtId="169" fontId="19" fillId="0" borderId="0" xfId="1" applyNumberFormat="1" applyFont="1" applyFill="1" applyAlignment="1">
      <alignment horizontal="center"/>
    </xf>
    <xf numFmtId="167" fontId="19" fillId="0" borderId="0" xfId="0" applyNumberFormat="1" applyFont="1" applyAlignment="1">
      <alignment horizontal="center"/>
    </xf>
    <xf numFmtId="169" fontId="19" fillId="0" borderId="0" xfId="1" applyNumberFormat="1" applyFont="1" applyAlignment="1">
      <alignment horizontal="center"/>
    </xf>
    <xf numFmtId="179" fontId="0" fillId="0" borderId="0" xfId="0" applyNumberFormat="1" applyAlignment="1">
      <alignment horizontal="center"/>
    </xf>
    <xf numFmtId="0" fontId="0" fillId="5" borderId="0" xfId="0" applyFill="1"/>
    <xf numFmtId="0" fontId="0" fillId="2" borderId="0" xfId="0" applyFill="1"/>
    <xf numFmtId="10" fontId="0" fillId="0" borderId="0" xfId="1" applyNumberFormat="1" applyFont="1" applyFill="1" applyBorder="1"/>
    <xf numFmtId="186" fontId="2" fillId="0" borderId="6" xfId="0" applyNumberFormat="1" applyFont="1" applyBorder="1" applyAlignment="1">
      <alignment horizontal="center"/>
    </xf>
    <xf numFmtId="172" fontId="0" fillId="0" borderId="0" xfId="0" applyNumberFormat="1"/>
    <xf numFmtId="0" fontId="20" fillId="0" borderId="0" xfId="0" applyFont="1"/>
    <xf numFmtId="179" fontId="0" fillId="0" borderId="0" xfId="0" applyNumberFormat="1"/>
    <xf numFmtId="185" fontId="0" fillId="0" borderId="0" xfId="3" applyNumberFormat="1" applyFont="1" applyFill="1"/>
    <xf numFmtId="9" fontId="6" fillId="0" borderId="0" xfId="1" applyFont="1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182" fontId="0" fillId="0" borderId="0" xfId="3" applyNumberFormat="1" applyFont="1" applyFill="1" applyBorder="1" applyAlignment="1">
      <alignment horizontal="center"/>
    </xf>
    <xf numFmtId="189" fontId="11" fillId="0" borderId="0" xfId="0" applyNumberFormat="1" applyFont="1" applyAlignment="1">
      <alignment horizontal="center"/>
    </xf>
    <xf numFmtId="190" fontId="11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176" fontId="0" fillId="0" borderId="0" xfId="0" applyNumberFormat="1"/>
    <xf numFmtId="0" fontId="2" fillId="0" borderId="0" xfId="0" applyFont="1" applyAlignment="1">
      <alignment wrapText="1"/>
    </xf>
    <xf numFmtId="191" fontId="23" fillId="0" borderId="0" xfId="9" applyFont="1" applyAlignment="1">
      <alignment horizontal="center"/>
    </xf>
    <xf numFmtId="191" fontId="23" fillId="0" borderId="0" xfId="9" applyFont="1"/>
    <xf numFmtId="191" fontId="23" fillId="2" borderId="0" xfId="9" applyFont="1" applyFill="1"/>
    <xf numFmtId="191" fontId="25" fillId="0" borderId="0" xfId="9" applyFont="1"/>
    <xf numFmtId="176" fontId="25" fillId="0" borderId="0" xfId="10" applyNumberFormat="1" applyFont="1" applyFill="1"/>
    <xf numFmtId="176" fontId="25" fillId="0" borderId="0" xfId="10" applyNumberFormat="1" applyFont="1" applyFill="1" applyBorder="1"/>
    <xf numFmtId="191" fontId="26" fillId="0" borderId="0" xfId="9" applyFont="1" applyAlignment="1">
      <alignment horizontal="center"/>
    </xf>
    <xf numFmtId="191" fontId="26" fillId="0" borderId="0" xfId="9" applyFont="1"/>
    <xf numFmtId="191" fontId="26" fillId="2" borderId="0" xfId="9" applyFont="1" applyFill="1"/>
    <xf numFmtId="17" fontId="27" fillId="9" borderId="0" xfId="9" applyNumberFormat="1" applyFont="1" applyFill="1" applyAlignment="1">
      <alignment horizontal="center"/>
    </xf>
    <xf numFmtId="0" fontId="26" fillId="0" borderId="0" xfId="9" applyNumberFormat="1" applyFont="1"/>
    <xf numFmtId="0" fontId="26" fillId="0" borderId="0" xfId="9" applyNumberFormat="1" applyFont="1" applyAlignment="1">
      <alignment horizontal="center"/>
    </xf>
    <xf numFmtId="0" fontId="26" fillId="2" borderId="0" xfId="9" applyNumberFormat="1" applyFont="1" applyFill="1"/>
    <xf numFmtId="193" fontId="26" fillId="0" borderId="0" xfId="9" applyNumberFormat="1" applyFont="1" applyAlignment="1">
      <alignment horizontal="center"/>
    </xf>
    <xf numFmtId="193" fontId="26" fillId="0" borderId="0" xfId="9" applyNumberFormat="1" applyFont="1"/>
    <xf numFmtId="191" fontId="28" fillId="0" borderId="0" xfId="9" applyFont="1"/>
    <xf numFmtId="191" fontId="27" fillId="4" borderId="0" xfId="9" applyFont="1" applyFill="1"/>
    <xf numFmtId="191" fontId="27" fillId="2" borderId="0" xfId="9" applyFont="1" applyFill="1"/>
    <xf numFmtId="191" fontId="30" fillId="4" borderId="0" xfId="9" applyFont="1" applyFill="1"/>
    <xf numFmtId="191" fontId="30" fillId="0" borderId="0" xfId="9" applyFont="1"/>
    <xf numFmtId="191" fontId="30" fillId="2" borderId="0" xfId="9" applyFont="1" applyFill="1"/>
    <xf numFmtId="194" fontId="26" fillId="0" borderId="0" xfId="11" applyFont="1"/>
    <xf numFmtId="193" fontId="26" fillId="0" borderId="0" xfId="9" applyNumberFormat="1" applyFont="1" applyAlignment="1">
      <alignment horizontal="center" vertical="center"/>
    </xf>
    <xf numFmtId="194" fontId="26" fillId="2" borderId="0" xfId="11" applyFont="1" applyFill="1"/>
    <xf numFmtId="194" fontId="30" fillId="0" borderId="0" xfId="11" applyFont="1"/>
    <xf numFmtId="193" fontId="26" fillId="0" borderId="0" xfId="12" applyNumberFormat="1" applyFont="1" applyFill="1" applyBorder="1" applyAlignment="1">
      <alignment horizontal="center"/>
    </xf>
    <xf numFmtId="193" fontId="26" fillId="0" borderId="0" xfId="12" applyNumberFormat="1" applyFont="1" applyFill="1" applyBorder="1" applyAlignment="1">
      <alignment horizontal="right"/>
    </xf>
    <xf numFmtId="194" fontId="27" fillId="0" borderId="0" xfId="11" applyFont="1"/>
    <xf numFmtId="193" fontId="27" fillId="0" borderId="0" xfId="12" applyNumberFormat="1" applyFont="1" applyFill="1" applyBorder="1" applyAlignment="1">
      <alignment horizontal="right"/>
    </xf>
    <xf numFmtId="193" fontId="27" fillId="0" borderId="0" xfId="12" applyNumberFormat="1" applyFont="1" applyFill="1" applyBorder="1" applyAlignment="1">
      <alignment horizontal="center"/>
    </xf>
    <xf numFmtId="194" fontId="27" fillId="2" borderId="0" xfId="11" applyFont="1" applyFill="1"/>
    <xf numFmtId="193" fontId="26" fillId="0" borderId="0" xfId="12" applyNumberFormat="1" applyFont="1" applyFill="1" applyAlignment="1">
      <alignment horizontal="center"/>
    </xf>
    <xf numFmtId="193" fontId="26" fillId="0" borderId="0" xfId="12" applyNumberFormat="1" applyFont="1" applyFill="1" applyAlignment="1">
      <alignment horizontal="right"/>
    </xf>
    <xf numFmtId="194" fontId="29" fillId="4" borderId="0" xfId="11" applyFont="1" applyFill="1"/>
    <xf numFmtId="193" fontId="27" fillId="4" borderId="0" xfId="12" applyNumberFormat="1" applyFont="1" applyFill="1" applyBorder="1" applyAlignment="1">
      <alignment horizontal="right"/>
    </xf>
    <xf numFmtId="193" fontId="27" fillId="4" borderId="0" xfId="12" applyNumberFormat="1" applyFont="1" applyFill="1" applyBorder="1" applyAlignment="1">
      <alignment horizontal="center"/>
    </xf>
    <xf numFmtId="194" fontId="27" fillId="4" borderId="0" xfId="11" applyFont="1" applyFill="1"/>
    <xf numFmtId="194" fontId="31" fillId="0" borderId="0" xfId="11" applyFont="1"/>
    <xf numFmtId="193" fontId="26" fillId="0" borderId="0" xfId="11" applyNumberFormat="1" applyFont="1" applyAlignment="1">
      <alignment horizontal="center"/>
    </xf>
    <xf numFmtId="193" fontId="26" fillId="0" borderId="0" xfId="11" applyNumberFormat="1" applyFont="1"/>
    <xf numFmtId="193" fontId="26" fillId="0" borderId="0" xfId="11" applyNumberFormat="1" applyFont="1" applyAlignment="1">
      <alignment horizontal="right"/>
    </xf>
    <xf numFmtId="191" fontId="26" fillId="0" borderId="0" xfId="9" applyFont="1" applyAlignment="1">
      <alignment horizontal="left"/>
    </xf>
    <xf numFmtId="191" fontId="26" fillId="0" borderId="0" xfId="9" applyFont="1" applyAlignment="1">
      <alignment horizontal="right"/>
    </xf>
    <xf numFmtId="191" fontId="26" fillId="2" borderId="0" xfId="9" applyFont="1" applyFill="1" applyAlignment="1">
      <alignment horizontal="left"/>
    </xf>
    <xf numFmtId="193" fontId="26" fillId="0" borderId="0" xfId="9" applyNumberFormat="1" applyFont="1" applyAlignment="1">
      <alignment horizontal="right"/>
    </xf>
    <xf numFmtId="181" fontId="26" fillId="0" borderId="0" xfId="9" applyNumberFormat="1" applyFont="1" applyAlignment="1">
      <alignment horizontal="center"/>
    </xf>
    <xf numFmtId="9" fontId="26" fillId="0" borderId="0" xfId="13" applyFont="1" applyAlignment="1">
      <alignment horizontal="left"/>
    </xf>
    <xf numFmtId="9" fontId="26" fillId="0" borderId="0" xfId="13" applyFont="1" applyAlignment="1">
      <alignment horizontal="right"/>
    </xf>
    <xf numFmtId="9" fontId="26" fillId="0" borderId="0" xfId="13" applyFont="1" applyAlignment="1">
      <alignment horizontal="center"/>
    </xf>
    <xf numFmtId="9" fontId="32" fillId="2" borderId="0" xfId="13" applyFont="1" applyFill="1" applyAlignment="1">
      <alignment horizontal="right"/>
    </xf>
    <xf numFmtId="0" fontId="26" fillId="0" borderId="0" xfId="14" applyFont="1"/>
    <xf numFmtId="0" fontId="26" fillId="0" borderId="0" xfId="14" applyFont="1" applyAlignment="1">
      <alignment horizontal="center"/>
    </xf>
    <xf numFmtId="3" fontId="30" fillId="10" borderId="18" xfId="11" applyNumberFormat="1" applyFont="1" applyFill="1" applyBorder="1" applyAlignment="1">
      <alignment horizontal="center"/>
    </xf>
    <xf numFmtId="9" fontId="26" fillId="0" borderId="0" xfId="13" applyFont="1" applyBorder="1" applyAlignment="1">
      <alignment horizontal="center"/>
    </xf>
    <xf numFmtId="14" fontId="30" fillId="0" borderId="18" xfId="11" applyNumberFormat="1" applyFont="1" applyBorder="1" applyAlignment="1">
      <alignment horizontal="center"/>
    </xf>
    <xf numFmtId="3" fontId="30" fillId="0" borderId="18" xfId="11" applyNumberFormat="1" applyFont="1" applyBorder="1" applyAlignment="1">
      <alignment horizontal="center"/>
    </xf>
    <xf numFmtId="191" fontId="33" fillId="0" borderId="0" xfId="9" applyFont="1" applyAlignment="1">
      <alignment horizontal="center"/>
    </xf>
    <xf numFmtId="165" fontId="26" fillId="0" borderId="0" xfId="3" applyFont="1" applyBorder="1" applyAlignment="1">
      <alignment horizontal="center"/>
    </xf>
    <xf numFmtId="191" fontId="35" fillId="0" borderId="0" xfId="9" applyFont="1"/>
    <xf numFmtId="191" fontId="34" fillId="5" borderId="0" xfId="9" applyFont="1" applyFill="1"/>
    <xf numFmtId="192" fontId="34" fillId="5" borderId="0" xfId="9" applyNumberFormat="1" applyFont="1" applyFill="1" applyAlignment="1">
      <alignment horizontal="center"/>
    </xf>
    <xf numFmtId="191" fontId="29" fillId="0" borderId="0" xfId="9" applyFont="1"/>
    <xf numFmtId="191" fontId="27" fillId="0" borderId="0" xfId="9" applyFont="1"/>
    <xf numFmtId="193" fontId="27" fillId="0" borderId="0" xfId="9" applyNumberFormat="1" applyFont="1"/>
    <xf numFmtId="193" fontId="27" fillId="0" borderId="0" xfId="9" applyNumberFormat="1" applyFont="1" applyAlignment="1">
      <alignment horizontal="center"/>
    </xf>
    <xf numFmtId="193" fontId="30" fillId="0" borderId="0" xfId="9" applyNumberFormat="1" applyFont="1"/>
    <xf numFmtId="193" fontId="30" fillId="0" borderId="0" xfId="9" applyNumberFormat="1" applyFont="1" applyAlignment="1">
      <alignment horizontal="center"/>
    </xf>
    <xf numFmtId="3" fontId="30" fillId="0" borderId="0" xfId="11" applyNumberFormat="1" applyFont="1" applyAlignment="1">
      <alignment horizontal="center"/>
    </xf>
    <xf numFmtId="183" fontId="30" fillId="0" borderId="0" xfId="11" applyNumberFormat="1" applyFont="1" applyAlignment="1">
      <alignment horizontal="center"/>
    </xf>
    <xf numFmtId="193" fontId="33" fillId="0" borderId="0" xfId="9" applyNumberFormat="1" applyFont="1" applyAlignment="1">
      <alignment horizontal="center"/>
    </xf>
    <xf numFmtId="191" fontId="36" fillId="2" borderId="0" xfId="9" applyFont="1" applyFill="1"/>
    <xf numFmtId="191" fontId="36" fillId="8" borderId="0" xfId="9" applyFont="1" applyFill="1"/>
    <xf numFmtId="165" fontId="0" fillId="0" borderId="0" xfId="0" applyNumberFormat="1"/>
    <xf numFmtId="194" fontId="29" fillId="0" borderId="0" xfId="11" applyFont="1"/>
    <xf numFmtId="193" fontId="26" fillId="0" borderId="0" xfId="9" applyNumberFormat="1" applyFont="1" applyAlignment="1">
      <alignment vertical="center"/>
    </xf>
    <xf numFmtId="193" fontId="26" fillId="0" borderId="0" xfId="12" applyNumberFormat="1" applyFont="1" applyFill="1" applyBorder="1" applyAlignment="1"/>
    <xf numFmtId="193" fontId="27" fillId="0" borderId="0" xfId="12" applyNumberFormat="1" applyFont="1" applyFill="1" applyBorder="1" applyAlignment="1"/>
    <xf numFmtId="193" fontId="26" fillId="0" borderId="0" xfId="12" applyNumberFormat="1" applyFont="1" applyFill="1" applyAlignment="1"/>
    <xf numFmtId="193" fontId="27" fillId="4" borderId="0" xfId="12" applyNumberFormat="1" applyFont="1" applyFill="1" applyBorder="1" applyAlignment="1"/>
    <xf numFmtId="165" fontId="0" fillId="0" borderId="0" xfId="3" applyFont="1" applyFill="1"/>
    <xf numFmtId="191" fontId="34" fillId="5" borderId="0" xfId="9" applyFont="1" applyFill="1" applyAlignment="1">
      <alignment horizontal="left"/>
    </xf>
    <xf numFmtId="192" fontId="34" fillId="5" borderId="0" xfId="9" applyNumberFormat="1" applyFont="1" applyFill="1" applyAlignment="1">
      <alignment horizontal="right"/>
    </xf>
    <xf numFmtId="191" fontId="34" fillId="0" borderId="0" xfId="9" applyFont="1"/>
    <xf numFmtId="191" fontId="34" fillId="0" borderId="0" xfId="9" applyFont="1" applyAlignment="1">
      <alignment horizontal="center"/>
    </xf>
    <xf numFmtId="191" fontId="34" fillId="0" borderId="0" xfId="9" applyFont="1" applyAlignment="1">
      <alignment horizontal="left"/>
    </xf>
    <xf numFmtId="194" fontId="34" fillId="5" borderId="18" xfId="11" applyFont="1" applyFill="1" applyBorder="1" applyAlignment="1">
      <alignment horizontal="center" vertical="top" wrapText="1"/>
    </xf>
    <xf numFmtId="183" fontId="30" fillId="0" borderId="18" xfId="11" applyNumberFormat="1" applyFont="1" applyBorder="1" applyAlignment="1">
      <alignment horizontal="center"/>
    </xf>
    <xf numFmtId="14" fontId="30" fillId="0" borderId="0" xfId="11" applyNumberFormat="1" applyFont="1" applyAlignment="1">
      <alignment horizontal="center"/>
    </xf>
    <xf numFmtId="195" fontId="26" fillId="0" borderId="0" xfId="9" applyNumberFormat="1" applyFont="1" applyAlignment="1">
      <alignment horizontal="center"/>
    </xf>
    <xf numFmtId="9" fontId="30" fillId="0" borderId="18" xfId="1" applyFont="1" applyBorder="1" applyAlignment="1">
      <alignment horizontal="center"/>
    </xf>
    <xf numFmtId="0" fontId="3" fillId="0" borderId="0" xfId="0" quotePrefix="1" applyFont="1"/>
    <xf numFmtId="196" fontId="0" fillId="0" borderId="0" xfId="0" applyNumberFormat="1"/>
    <xf numFmtId="9" fontId="26" fillId="0" borderId="0" xfId="13" applyFont="1" applyFill="1" applyAlignment="1">
      <alignment horizontal="center"/>
    </xf>
    <xf numFmtId="196" fontId="0" fillId="0" borderId="0" xfId="0" applyNumberFormat="1" applyAlignment="1">
      <alignment horizontal="center"/>
    </xf>
    <xf numFmtId="197" fontId="11" fillId="0" borderId="0" xfId="0" applyNumberFormat="1" applyFont="1" applyAlignment="1">
      <alignment horizontal="center"/>
    </xf>
    <xf numFmtId="167" fontId="3" fillId="0" borderId="0" xfId="0" applyNumberFormat="1" applyFont="1"/>
    <xf numFmtId="0" fontId="0" fillId="0" borderId="0" xfId="0" applyAlignment="1">
      <alignment horizontal="right"/>
    </xf>
    <xf numFmtId="14" fontId="0" fillId="0" borderId="0" xfId="0" applyNumberFormat="1"/>
    <xf numFmtId="3" fontId="0" fillId="0" borderId="0" xfId="0" applyNumberFormat="1" applyAlignment="1">
      <alignment horizontal="center"/>
    </xf>
    <xf numFmtId="17" fontId="2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74" fontId="0" fillId="0" borderId="11" xfId="0" applyNumberFormat="1" applyBorder="1"/>
    <xf numFmtId="174" fontId="0" fillId="0" borderId="5" xfId="0" applyNumberFormat="1" applyBorder="1"/>
    <xf numFmtId="0" fontId="0" fillId="0" borderId="4" xfId="0" applyBorder="1"/>
    <xf numFmtId="0" fontId="0" fillId="0" borderId="5" xfId="0" applyBorder="1"/>
    <xf numFmtId="174" fontId="0" fillId="0" borderId="12" xfId="0" applyNumberFormat="1" applyBorder="1"/>
    <xf numFmtId="174" fontId="0" fillId="0" borderId="0" xfId="0" applyNumberFormat="1"/>
    <xf numFmtId="174" fontId="0" fillId="0" borderId="3" xfId="0" applyNumberFormat="1" applyBorder="1"/>
    <xf numFmtId="174" fontId="0" fillId="0" borderId="13" xfId="0" applyNumberFormat="1" applyBorder="1"/>
    <xf numFmtId="174" fontId="0" fillId="0" borderId="2" xfId="0" applyNumberFormat="1" applyBorder="1"/>
    <xf numFmtId="174" fontId="0" fillId="0" borderId="1" xfId="0" applyNumberFormat="1" applyBorder="1"/>
    <xf numFmtId="174" fontId="0" fillId="0" borderId="6" xfId="0" applyNumberFormat="1" applyBorder="1"/>
    <xf numFmtId="174" fontId="0" fillId="0" borderId="4" xfId="0" applyNumberFormat="1" applyBorder="1"/>
    <xf numFmtId="174" fontId="0" fillId="0" borderId="17" xfId="0" applyNumberFormat="1" applyBorder="1"/>
    <xf numFmtId="174" fontId="0" fillId="0" borderId="7" xfId="0" applyNumberFormat="1" applyBorder="1"/>
    <xf numFmtId="1" fontId="0" fillId="0" borderId="0" xfId="0" applyNumberFormat="1"/>
    <xf numFmtId="17" fontId="0" fillId="5" borderId="0" xfId="0" applyNumberFormat="1" applyFill="1"/>
    <xf numFmtId="1" fontId="2" fillId="0" borderId="0" xfId="0" applyNumberFormat="1" applyFont="1"/>
    <xf numFmtId="174" fontId="2" fillId="0" borderId="0" xfId="0" applyNumberFormat="1" applyFont="1"/>
    <xf numFmtId="174" fontId="2" fillId="0" borderId="5" xfId="0" applyNumberFormat="1" applyFont="1" applyBorder="1"/>
    <xf numFmtId="0" fontId="15" fillId="0" borderId="0" xfId="0" applyFont="1"/>
    <xf numFmtId="0" fontId="2" fillId="3" borderId="0" xfId="0" applyFont="1" applyFill="1"/>
    <xf numFmtId="17" fontId="2" fillId="3" borderId="0" xfId="0" applyNumberFormat="1" applyFont="1" applyFill="1"/>
    <xf numFmtId="17" fontId="2" fillId="0" borderId="0" xfId="0" applyNumberFormat="1" applyFont="1"/>
    <xf numFmtId="17" fontId="2" fillId="3" borderId="0" xfId="0" applyNumberFormat="1" applyFont="1" applyFill="1" applyAlignment="1">
      <alignment horizontal="right"/>
    </xf>
    <xf numFmtId="17" fontId="2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" fontId="2" fillId="7" borderId="0" xfId="0" applyNumberFormat="1" applyFont="1" applyFill="1"/>
    <xf numFmtId="2" fontId="0" fillId="0" borderId="0" xfId="0" applyNumberFormat="1"/>
    <xf numFmtId="17" fontId="0" fillId="0" borderId="0" xfId="0" applyNumberFormat="1" applyAlignment="1">
      <alignment horizontal="left"/>
    </xf>
    <xf numFmtId="175" fontId="0" fillId="0" borderId="0" xfId="0" applyNumberFormat="1"/>
    <xf numFmtId="188" fontId="0" fillId="0" borderId="0" xfId="0" applyNumberFormat="1"/>
    <xf numFmtId="2" fontId="2" fillId="0" borderId="0" xfId="0" applyNumberFormat="1" applyFont="1"/>
    <xf numFmtId="175" fontId="2" fillId="0" borderId="0" xfId="0" applyNumberFormat="1" applyFont="1"/>
    <xf numFmtId="0" fontId="0" fillId="5" borderId="0" xfId="0" applyFill="1" applyAlignment="1">
      <alignment horizontal="center"/>
    </xf>
    <xf numFmtId="173" fontId="0" fillId="0" borderId="0" xfId="0" applyNumberFormat="1"/>
    <xf numFmtId="173" fontId="0" fillId="0" borderId="0" xfId="0" applyNumberFormat="1" applyAlignment="1">
      <alignment horizontal="center"/>
    </xf>
    <xf numFmtId="173" fontId="0" fillId="0" borderId="5" xfId="0" applyNumberFormat="1" applyBorder="1"/>
    <xf numFmtId="174" fontId="0" fillId="0" borderId="5" xfId="0" applyNumberFormat="1" applyBorder="1" applyAlignment="1">
      <alignment horizontal="center"/>
    </xf>
    <xf numFmtId="173" fontId="0" fillId="0" borderId="5" xfId="0" applyNumberFormat="1" applyBorder="1" applyAlignment="1">
      <alignment horizontal="center"/>
    </xf>
    <xf numFmtId="173" fontId="0" fillId="6" borderId="5" xfId="0" applyNumberFormat="1" applyFill="1" applyBorder="1" applyAlignment="1">
      <alignment horizontal="center"/>
    </xf>
    <xf numFmtId="0" fontId="13" fillId="0" borderId="0" xfId="4" applyFont="1"/>
    <xf numFmtId="174" fontId="13" fillId="0" borderId="0" xfId="4" applyNumberFormat="1" applyFont="1" applyAlignment="1">
      <alignment horizontal="center"/>
    </xf>
    <xf numFmtId="173" fontId="2" fillId="0" borderId="9" xfId="0" applyNumberFormat="1" applyFont="1" applyBorder="1" applyAlignment="1">
      <alignment horizontal="center"/>
    </xf>
    <xf numFmtId="173" fontId="2" fillId="0" borderId="0" xfId="0" applyNumberFormat="1" applyFont="1" applyAlignment="1">
      <alignment horizontal="center"/>
    </xf>
    <xf numFmtId="0" fontId="13" fillId="0" borderId="0" xfId="5" applyFont="1"/>
    <xf numFmtId="174" fontId="13" fillId="0" borderId="0" xfId="5" applyNumberFormat="1" applyFont="1" applyAlignment="1">
      <alignment horizontal="center"/>
    </xf>
    <xf numFmtId="173" fontId="2" fillId="0" borderId="10" xfId="0" applyNumberFormat="1" applyFont="1" applyBorder="1" applyAlignment="1">
      <alignment horizontal="center"/>
    </xf>
    <xf numFmtId="4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193" fontId="27" fillId="0" borderId="0" xfId="9" applyNumberFormat="1" applyFont="1" applyAlignment="1">
      <alignment horizontal="right"/>
    </xf>
    <xf numFmtId="193" fontId="30" fillId="0" borderId="0" xfId="9" applyNumberFormat="1" applyFont="1" applyAlignment="1">
      <alignment horizontal="right"/>
    </xf>
    <xf numFmtId="172" fontId="7" fillId="0" borderId="0" xfId="0" applyNumberFormat="1" applyFont="1" applyAlignment="1">
      <alignment horizontal="center"/>
    </xf>
    <xf numFmtId="172" fontId="2" fillId="0" borderId="6" xfId="0" applyNumberFormat="1" applyFont="1" applyBorder="1" applyAlignment="1">
      <alignment horizontal="center"/>
    </xf>
    <xf numFmtId="189" fontId="0" fillId="0" borderId="0" xfId="0" applyNumberFormat="1"/>
    <xf numFmtId="198" fontId="0" fillId="0" borderId="0" xfId="0" applyNumberFormat="1"/>
    <xf numFmtId="0" fontId="2" fillId="0" borderId="0" xfId="0" applyFont="1" applyAlignment="1">
      <alignment vertical="center"/>
    </xf>
    <xf numFmtId="168" fontId="2" fillId="0" borderId="0" xfId="0" applyNumberFormat="1" applyFon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83" fontId="2" fillId="0" borderId="0" xfId="0" applyNumberFormat="1" applyFont="1" applyAlignment="1">
      <alignment horizontal="center"/>
    </xf>
    <xf numFmtId="171" fontId="9" fillId="0" borderId="0" xfId="0" applyNumberFormat="1" applyFont="1" applyAlignment="1">
      <alignment horizontal="center"/>
    </xf>
    <xf numFmtId="165" fontId="9" fillId="0" borderId="0" xfId="3" applyFont="1" applyAlignment="1">
      <alignment horizontal="center"/>
    </xf>
    <xf numFmtId="3" fontId="9" fillId="0" borderId="0" xfId="0" applyNumberFormat="1" applyFont="1" applyAlignment="1">
      <alignment horizontal="center"/>
    </xf>
    <xf numFmtId="3" fontId="9" fillId="0" borderId="0" xfId="0" applyNumberFormat="1" applyFont="1"/>
    <xf numFmtId="167" fontId="9" fillId="0" borderId="0" xfId="0" applyNumberFormat="1" applyFont="1"/>
    <xf numFmtId="171" fontId="0" fillId="0" borderId="0" xfId="0" applyNumberFormat="1" applyAlignment="1">
      <alignment horizontal="center"/>
    </xf>
    <xf numFmtId="167" fontId="2" fillId="0" borderId="0" xfId="0" applyNumberFormat="1" applyFont="1"/>
    <xf numFmtId="184" fontId="2" fillId="0" borderId="0" xfId="0" applyNumberFormat="1" applyFont="1" applyAlignment="1">
      <alignment horizontal="center"/>
    </xf>
    <xf numFmtId="167" fontId="8" fillId="0" borderId="0" xfId="0" applyNumberFormat="1" applyFont="1"/>
    <xf numFmtId="167" fontId="2" fillId="0" borderId="2" xfId="0" applyNumberFormat="1" applyFont="1" applyBorder="1" applyAlignment="1">
      <alignment horizontal="center"/>
    </xf>
    <xf numFmtId="183" fontId="0" fillId="0" borderId="2" xfId="0" applyNumberFormat="1" applyBorder="1" applyAlignment="1">
      <alignment horizontal="center"/>
    </xf>
    <xf numFmtId="183" fontId="2" fillId="0" borderId="6" xfId="0" applyNumberFormat="1" applyFont="1" applyBorder="1" applyAlignment="1">
      <alignment horizontal="center"/>
    </xf>
    <xf numFmtId="183" fontId="2" fillId="0" borderId="8" xfId="0" applyNumberFormat="1" applyFont="1" applyBorder="1" applyAlignment="1">
      <alignment horizontal="center"/>
    </xf>
    <xf numFmtId="183" fontId="0" fillId="0" borderId="0" xfId="0" applyNumberFormat="1"/>
    <xf numFmtId="183" fontId="2" fillId="0" borderId="5" xfId="0" applyNumberFormat="1" applyFont="1" applyBorder="1" applyAlignment="1">
      <alignment horizontal="center"/>
    </xf>
    <xf numFmtId="183" fontId="11" fillId="0" borderId="0" xfId="0" applyNumberFormat="1" applyFont="1" applyAlignment="1">
      <alignment horizontal="center"/>
    </xf>
    <xf numFmtId="189" fontId="0" fillId="0" borderId="0" xfId="0" applyNumberFormat="1" applyAlignment="1">
      <alignment horizontal="center"/>
    </xf>
    <xf numFmtId="180" fontId="0" fillId="0" borderId="0" xfId="0" applyNumberFormat="1"/>
    <xf numFmtId="172" fontId="2" fillId="0" borderId="8" xfId="0" applyNumberFormat="1" applyFont="1" applyBorder="1" applyAlignment="1">
      <alignment horizontal="center"/>
    </xf>
    <xf numFmtId="196" fontId="11" fillId="0" borderId="0" xfId="0" applyNumberFormat="1" applyFont="1" applyAlignment="1">
      <alignment horizontal="center"/>
    </xf>
    <xf numFmtId="0" fontId="41" fillId="0" borderId="0" xfId="0" applyFont="1"/>
    <xf numFmtId="167" fontId="7" fillId="0" borderId="0" xfId="0" applyNumberFormat="1" applyFont="1"/>
    <xf numFmtId="200" fontId="0" fillId="0" borderId="0" xfId="0" applyNumberFormat="1"/>
    <xf numFmtId="201" fontId="0" fillId="0" borderId="0" xfId="0" applyNumberFormat="1"/>
    <xf numFmtId="199" fontId="2" fillId="0" borderId="0" xfId="3" applyNumberFormat="1" applyFont="1" applyFill="1" applyBorder="1"/>
    <xf numFmtId="190" fontId="0" fillId="0" borderId="0" xfId="0" applyNumberFormat="1" applyAlignment="1">
      <alignment horizontal="center"/>
    </xf>
    <xf numFmtId="202" fontId="11" fillId="0" borderId="0" xfId="0" applyNumberFormat="1" applyFont="1" applyAlignment="1">
      <alignment horizontal="center"/>
    </xf>
    <xf numFmtId="190" fontId="0" fillId="0" borderId="0" xfId="0" applyNumberFormat="1"/>
    <xf numFmtId="203" fontId="0" fillId="0" borderId="0" xfId="0" applyNumberFormat="1"/>
    <xf numFmtId="172" fontId="8" fillId="0" borderId="0" xfId="0" applyNumberFormat="1" applyFont="1" applyAlignment="1">
      <alignment horizontal="center"/>
    </xf>
    <xf numFmtId="202" fontId="0" fillId="0" borderId="0" xfId="0" applyNumberFormat="1" applyAlignment="1">
      <alignment horizontal="center"/>
    </xf>
    <xf numFmtId="176" fontId="0" fillId="0" borderId="0" xfId="15" applyNumberFormat="1" applyFont="1" applyFill="1"/>
    <xf numFmtId="174" fontId="0" fillId="0" borderId="0" xfId="15" applyNumberFormat="1" applyFont="1"/>
    <xf numFmtId="176" fontId="0" fillId="0" borderId="0" xfId="15" applyNumberFormat="1" applyFont="1"/>
    <xf numFmtId="176" fontId="0" fillId="0" borderId="3" xfId="15" applyNumberFormat="1" applyFont="1" applyBorder="1"/>
    <xf numFmtId="174" fontId="2" fillId="0" borderId="3" xfId="0" applyNumberFormat="1" applyFont="1" applyBorder="1"/>
    <xf numFmtId="0" fontId="5" fillId="5" borderId="0" xfId="0" applyFont="1" applyFill="1"/>
    <xf numFmtId="0" fontId="18" fillId="0" borderId="0" xfId="0" applyFont="1"/>
    <xf numFmtId="165" fontId="0" fillId="0" borderId="0" xfId="15" applyFont="1" applyFill="1" applyBorder="1" applyAlignment="1">
      <alignment horizontal="center"/>
    </xf>
    <xf numFmtId="181" fontId="0" fillId="0" borderId="0" xfId="0" applyNumberFormat="1"/>
    <xf numFmtId="9" fontId="3" fillId="0" borderId="0" xfId="1" applyFont="1" applyBorder="1" applyAlignment="1">
      <alignment horizontal="center"/>
    </xf>
    <xf numFmtId="181" fontId="2" fillId="0" borderId="0" xfId="0" applyNumberFormat="1" applyFont="1"/>
    <xf numFmtId="180" fontId="2" fillId="0" borderId="6" xfId="0" applyNumberFormat="1" applyFont="1" applyBorder="1" applyAlignment="1">
      <alignment horizontal="center"/>
    </xf>
    <xf numFmtId="182" fontId="0" fillId="0" borderId="0" xfId="15" applyNumberFormat="1" applyFont="1" applyBorder="1" applyAlignment="1">
      <alignment horizontal="center"/>
    </xf>
    <xf numFmtId="182" fontId="0" fillId="0" borderId="0" xfId="15" applyNumberFormat="1" applyFont="1" applyFill="1" applyBorder="1" applyAlignment="1">
      <alignment horizontal="center"/>
    </xf>
    <xf numFmtId="182" fontId="2" fillId="0" borderId="6" xfId="15" applyNumberFormat="1" applyFont="1" applyBorder="1" applyAlignment="1">
      <alignment horizontal="center"/>
    </xf>
    <xf numFmtId="182" fontId="2" fillId="0" borderId="6" xfId="15" applyNumberFormat="1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176" fontId="1" fillId="0" borderId="0" xfId="15" applyNumberFormat="1"/>
    <xf numFmtId="176" fontId="1" fillId="0" borderId="0" xfId="15" applyNumberFormat="1" applyFill="1"/>
    <xf numFmtId="176" fontId="2" fillId="0" borderId="0" xfId="15" applyNumberFormat="1" applyFont="1"/>
    <xf numFmtId="176" fontId="2" fillId="0" borderId="0" xfId="15" applyNumberFormat="1" applyFont="1" applyFill="1"/>
    <xf numFmtId="165" fontId="0" fillId="0" borderId="0" xfId="15" applyFont="1"/>
    <xf numFmtId="165" fontId="0" fillId="0" borderId="0" xfId="15" applyFont="1" applyFill="1"/>
    <xf numFmtId="177" fontId="0" fillId="0" borderId="0" xfId="15" applyNumberFormat="1" applyFont="1"/>
    <xf numFmtId="177" fontId="0" fillId="0" borderId="0" xfId="15" applyNumberFormat="1" applyFont="1" applyFill="1"/>
    <xf numFmtId="165" fontId="0" fillId="0" borderId="0" xfId="15" applyFont="1" applyAlignment="1">
      <alignment horizontal="center"/>
    </xf>
    <xf numFmtId="0" fontId="2" fillId="0" borderId="0" xfId="0" applyFont="1" applyAlignment="1">
      <alignment horizontal="center" wrapText="1"/>
    </xf>
    <xf numFmtId="199" fontId="2" fillId="0" borderId="0" xfId="15" applyNumberFormat="1" applyFont="1" applyFill="1" applyBorder="1"/>
    <xf numFmtId="184" fontId="0" fillId="0" borderId="0" xfId="0" applyNumberFormat="1" applyAlignment="1">
      <alignment horizontal="center"/>
    </xf>
    <xf numFmtId="0" fontId="0" fillId="12" borderId="0" xfId="0" applyFill="1"/>
    <xf numFmtId="176" fontId="0" fillId="0" borderId="0" xfId="3" applyNumberFormat="1" applyFont="1" applyFill="1"/>
    <xf numFmtId="176" fontId="2" fillId="12" borderId="0" xfId="15" applyNumberFormat="1" applyFont="1" applyFill="1"/>
    <xf numFmtId="17" fontId="2" fillId="13" borderId="0" xfId="0" applyNumberFormat="1" applyFont="1" applyFill="1"/>
    <xf numFmtId="0" fontId="2" fillId="7" borderId="0" xfId="0" applyFont="1" applyFill="1"/>
    <xf numFmtId="17" fontId="2" fillId="14" borderId="0" xfId="0" applyNumberFormat="1" applyFont="1" applyFill="1" applyAlignment="1">
      <alignment horizontal="right"/>
    </xf>
    <xf numFmtId="17" fontId="2" fillId="11" borderId="0" xfId="0" applyNumberFormat="1" applyFont="1" applyFill="1" applyAlignment="1">
      <alignment horizontal="right"/>
    </xf>
    <xf numFmtId="176" fontId="0" fillId="12" borderId="0" xfId="15" applyNumberFormat="1" applyFont="1" applyFill="1"/>
    <xf numFmtId="176" fontId="2" fillId="11" borderId="0" xfId="15" applyNumberFormat="1" applyFont="1" applyFill="1"/>
    <xf numFmtId="176" fontId="0" fillId="11" borderId="0" xfId="15" applyNumberFormat="1" applyFont="1" applyFill="1"/>
    <xf numFmtId="0" fontId="16" fillId="12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173" fontId="0" fillId="12" borderId="0" xfId="0" applyNumberFormat="1" applyFill="1" applyAlignment="1">
      <alignment horizontal="center"/>
    </xf>
    <xf numFmtId="174" fontId="0" fillId="12" borderId="5" xfId="0" applyNumberFormat="1" applyFill="1" applyBorder="1" applyAlignment="1">
      <alignment horizontal="center"/>
    </xf>
    <xf numFmtId="174" fontId="0" fillId="12" borderId="0" xfId="0" applyNumberFormat="1" applyFill="1" applyAlignment="1">
      <alignment horizontal="center"/>
    </xf>
    <xf numFmtId="173" fontId="0" fillId="11" borderId="0" xfId="0" applyNumberFormat="1" applyFill="1"/>
    <xf numFmtId="199" fontId="0" fillId="0" borderId="0" xfId="15" applyNumberFormat="1" applyFont="1" applyFill="1" applyBorder="1"/>
    <xf numFmtId="171" fontId="2" fillId="0" borderId="8" xfId="0" applyNumberFormat="1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0" fillId="0" borderId="0" xfId="0" applyAlignment="1">
      <alignment horizontal="left" indent="1"/>
    </xf>
    <xf numFmtId="204" fontId="0" fillId="0" borderId="0" xfId="0" applyNumberFormat="1" applyAlignment="1">
      <alignment horizontal="center"/>
    </xf>
    <xf numFmtId="187" fontId="0" fillId="0" borderId="0" xfId="0" applyNumberFormat="1" applyAlignment="1">
      <alignment horizontal="left" indent="1"/>
    </xf>
    <xf numFmtId="205" fontId="0" fillId="0" borderId="0" xfId="0" applyNumberFormat="1" applyAlignment="1">
      <alignment horizontal="center"/>
    </xf>
    <xf numFmtId="206" fontId="0" fillId="0" borderId="0" xfId="0" applyNumberFormat="1" applyAlignment="1">
      <alignment horizontal="center"/>
    </xf>
    <xf numFmtId="176" fontId="0" fillId="0" borderId="0" xfId="3" applyNumberFormat="1" applyFont="1"/>
    <xf numFmtId="0" fontId="0" fillId="0" borderId="0" xfId="0" applyAlignment="1">
      <alignment horizontal="center" vertical="center"/>
    </xf>
    <xf numFmtId="185" fontId="0" fillId="0" borderId="0" xfId="3" applyNumberFormat="1" applyFont="1"/>
    <xf numFmtId="172" fontId="2" fillId="0" borderId="0" xfId="15" applyNumberFormat="1" applyFont="1" applyFill="1" applyBorder="1"/>
    <xf numFmtId="207" fontId="0" fillId="0" borderId="0" xfId="0" applyNumberFormat="1" applyAlignment="1">
      <alignment horizontal="center"/>
    </xf>
    <xf numFmtId="167" fontId="2" fillId="0" borderId="0" xfId="15" applyNumberFormat="1" applyFont="1" applyFill="1" applyBorder="1"/>
    <xf numFmtId="184" fontId="0" fillId="0" borderId="0" xfId="3" applyNumberFormat="1" applyFont="1" applyFill="1" applyBorder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167" fontId="0" fillId="0" borderId="0" xfId="0" applyNumberFormat="1" applyAlignment="1">
      <alignment horizontal="center" vertical="center"/>
    </xf>
    <xf numFmtId="0" fontId="0" fillId="15" borderId="0" xfId="0" applyFill="1"/>
    <xf numFmtId="167" fontId="0" fillId="2" borderId="0" xfId="0" applyNumberFormat="1" applyFill="1" applyAlignment="1">
      <alignment horizontal="center"/>
    </xf>
    <xf numFmtId="167" fontId="7" fillId="2" borderId="0" xfId="0" applyNumberFormat="1" applyFont="1" applyFill="1" applyAlignment="1">
      <alignment horizontal="center"/>
    </xf>
    <xf numFmtId="168" fontId="2" fillId="2" borderId="0" xfId="0" applyNumberFormat="1" applyFont="1" applyFill="1" applyAlignment="1">
      <alignment horizontal="center"/>
    </xf>
    <xf numFmtId="167" fontId="2" fillId="2" borderId="0" xfId="0" applyNumberFormat="1" applyFont="1" applyFill="1" applyAlignment="1">
      <alignment horizontal="center"/>
    </xf>
    <xf numFmtId="167" fontId="9" fillId="2" borderId="0" xfId="0" applyNumberFormat="1" applyFont="1" applyFill="1" applyAlignment="1">
      <alignment horizontal="center"/>
    </xf>
    <xf numFmtId="168" fontId="2" fillId="2" borderId="6" xfId="0" applyNumberFormat="1" applyFont="1" applyFill="1" applyBorder="1" applyAlignment="1">
      <alignment horizontal="center"/>
    </xf>
    <xf numFmtId="167" fontId="2" fillId="2" borderId="6" xfId="0" applyNumberFormat="1" applyFont="1" applyFill="1" applyBorder="1" applyAlignment="1">
      <alignment horizontal="center"/>
    </xf>
    <xf numFmtId="167" fontId="0" fillId="2" borderId="6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/>
    <xf numFmtId="0" fontId="5" fillId="2" borderId="0" xfId="0" applyFont="1" applyFill="1"/>
    <xf numFmtId="0" fontId="7" fillId="2" borderId="0" xfId="0" applyFont="1" applyFill="1"/>
    <xf numFmtId="0" fontId="7" fillId="2" borderId="0" xfId="0" applyFont="1" applyFill="1" applyAlignment="1">
      <alignment horizontal="left" indent="1"/>
    </xf>
    <xf numFmtId="0" fontId="2" fillId="2" borderId="0" xfId="0" applyFont="1" applyFill="1"/>
    <xf numFmtId="0" fontId="9" fillId="2" borderId="0" xfId="0" applyFont="1" applyFill="1"/>
    <xf numFmtId="0" fontId="9" fillId="2" borderId="0" xfId="0" applyFont="1" applyFill="1" applyAlignment="1">
      <alignment horizontal="left" indent="1"/>
    </xf>
    <xf numFmtId="0" fontId="2" fillId="2" borderId="6" xfId="0" applyFont="1" applyFill="1" applyBorder="1"/>
    <xf numFmtId="0" fontId="0" fillId="2" borderId="6" xfId="0" applyFill="1" applyBorder="1"/>
    <xf numFmtId="0" fontId="0" fillId="2" borderId="6" xfId="0" applyFill="1" applyBorder="1" applyAlignment="1">
      <alignment horizontal="center"/>
    </xf>
    <xf numFmtId="167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167" fontId="8" fillId="2" borderId="0" xfId="0" applyNumberFormat="1" applyFont="1" applyFill="1" applyAlignment="1">
      <alignment horizontal="center"/>
    </xf>
    <xf numFmtId="0" fontId="8" fillId="2" borderId="0" xfId="0" applyFont="1" applyFill="1"/>
    <xf numFmtId="0" fontId="10" fillId="2" borderId="0" xfId="0" applyFont="1" applyFill="1"/>
    <xf numFmtId="169" fontId="8" fillId="2" borderId="0" xfId="1" applyNumberFormat="1" applyFont="1" applyFill="1" applyAlignment="1">
      <alignment horizontal="center"/>
    </xf>
    <xf numFmtId="167" fontId="19" fillId="2" borderId="0" xfId="0" applyNumberFormat="1" applyFont="1" applyFill="1" applyAlignment="1">
      <alignment horizontal="center"/>
    </xf>
    <xf numFmtId="0" fontId="19" fillId="2" borderId="0" xfId="0" applyFont="1" applyFill="1"/>
    <xf numFmtId="169" fontId="19" fillId="2" borderId="0" xfId="1" applyNumberFormat="1" applyFont="1" applyFill="1" applyAlignment="1">
      <alignment horizontal="center"/>
    </xf>
    <xf numFmtId="167" fontId="8" fillId="2" borderId="5" xfId="0" applyNumberFormat="1" applyFont="1" applyFill="1" applyBorder="1" applyAlignment="1">
      <alignment horizontal="center"/>
    </xf>
    <xf numFmtId="0" fontId="8" fillId="2" borderId="0" xfId="0" applyFont="1" applyFill="1" applyAlignment="1">
      <alignment horizontal="left" indent="1"/>
    </xf>
    <xf numFmtId="0" fontId="2" fillId="2" borderId="6" xfId="0" applyFont="1" applyFill="1" applyBorder="1" applyAlignment="1">
      <alignment horizontal="center"/>
    </xf>
    <xf numFmtId="167" fontId="0" fillId="2" borderId="0" xfId="0" applyNumberFormat="1" applyFill="1"/>
    <xf numFmtId="17" fontId="2" fillId="3" borderId="0" xfId="0" applyNumberFormat="1" applyFont="1" applyFill="1" applyAlignment="1">
      <alignment horizontal="center"/>
    </xf>
    <xf numFmtId="177" fontId="0" fillId="0" borderId="0" xfId="15" applyNumberFormat="1" applyFont="1" applyFill="1" applyAlignment="1">
      <alignment horizontal="center"/>
    </xf>
    <xf numFmtId="176" fontId="0" fillId="0" borderId="0" xfId="0" applyNumberFormat="1" applyAlignment="1">
      <alignment horizontal="center"/>
    </xf>
    <xf numFmtId="167" fontId="9" fillId="2" borderId="5" xfId="0" applyNumberFormat="1" applyFont="1" applyFill="1" applyBorder="1" applyAlignment="1">
      <alignment horizontal="center"/>
    </xf>
    <xf numFmtId="165" fontId="0" fillId="0" borderId="0" xfId="3" applyFont="1"/>
    <xf numFmtId="208" fontId="0" fillId="0" borderId="0" xfId="0" applyNumberFormat="1"/>
    <xf numFmtId="209" fontId="0" fillId="0" borderId="0" xfId="3" applyNumberFormat="1" applyFont="1" applyFill="1"/>
    <xf numFmtId="169" fontId="8" fillId="0" borderId="0" xfId="1" applyNumberFormat="1" applyFont="1" applyFill="1" applyBorder="1" applyAlignment="1">
      <alignment horizontal="center"/>
    </xf>
    <xf numFmtId="9" fontId="0" fillId="0" borderId="0" xfId="1" applyFont="1"/>
    <xf numFmtId="179" fontId="11" fillId="0" borderId="0" xfId="0" applyNumberFormat="1" applyFont="1" applyAlignment="1">
      <alignment horizontal="center"/>
    </xf>
    <xf numFmtId="209" fontId="0" fillId="0" borderId="0" xfId="3" applyNumberFormat="1" applyFont="1" applyFill="1" applyAlignment="1">
      <alignment horizontal="center"/>
    </xf>
    <xf numFmtId="0" fontId="57" fillId="47" borderId="0" xfId="0" applyFont="1" applyFill="1" applyAlignment="1">
      <alignment wrapText="1"/>
    </xf>
    <xf numFmtId="0" fontId="58" fillId="47" borderId="0" xfId="0" applyFont="1" applyFill="1" applyAlignment="1">
      <alignment wrapText="1"/>
    </xf>
    <xf numFmtId="0" fontId="57" fillId="47" borderId="0" xfId="0" applyFont="1" applyFill="1"/>
    <xf numFmtId="0" fontId="56" fillId="0" borderId="0" xfId="0" applyFont="1"/>
    <xf numFmtId="209" fontId="26" fillId="0" borderId="0" xfId="3" applyNumberFormat="1" applyFont="1"/>
    <xf numFmtId="1" fontId="0" fillId="0" borderId="0" xfId="0" applyNumberFormat="1" applyAlignment="1">
      <alignment horizontal="center"/>
    </xf>
    <xf numFmtId="172" fontId="0" fillId="0" borderId="0" xfId="3" applyNumberFormat="1" applyFont="1" applyFill="1" applyBorder="1" applyAlignment="1">
      <alignment horizontal="center"/>
    </xf>
    <xf numFmtId="0" fontId="21" fillId="0" borderId="0" xfId="0" applyFont="1" applyAlignment="1">
      <alignment horizontal="left"/>
    </xf>
    <xf numFmtId="176" fontId="2" fillId="0" borderId="0" xfId="0" applyNumberFormat="1" applyFont="1"/>
    <xf numFmtId="177" fontId="0" fillId="0" borderId="0" xfId="15" applyNumberFormat="1" applyFont="1" applyFill="1" applyAlignment="1">
      <alignment horizontal="center" vertical="center"/>
    </xf>
    <xf numFmtId="169" fontId="0" fillId="0" borderId="0" xfId="1" applyNumberFormat="1" applyFont="1" applyAlignment="1">
      <alignment horizontal="center"/>
    </xf>
    <xf numFmtId="169" fontId="0" fillId="0" borderId="0" xfId="1" applyNumberFormat="1" applyFont="1" applyFill="1" applyAlignment="1">
      <alignment horizontal="center"/>
    </xf>
    <xf numFmtId="169" fontId="0" fillId="0" borderId="0" xfId="0" applyNumberFormat="1" applyAlignment="1">
      <alignment horizontal="center"/>
    </xf>
    <xf numFmtId="210" fontId="0" fillId="0" borderId="0" xfId="0" applyNumberFormat="1" applyAlignment="1">
      <alignment horizontal="center"/>
    </xf>
    <xf numFmtId="0" fontId="11" fillId="0" borderId="3" xfId="0" applyFont="1" applyBorder="1" applyAlignment="1">
      <alignment horizontal="left" indent="1"/>
    </xf>
    <xf numFmtId="0" fontId="0" fillId="48" borderId="0" xfId="0" applyFill="1"/>
    <xf numFmtId="0" fontId="0" fillId="11" borderId="0" xfId="0" applyFill="1"/>
    <xf numFmtId="211" fontId="2" fillId="0" borderId="0" xfId="0" applyNumberFormat="1" applyFont="1" applyAlignment="1">
      <alignment horizontal="center"/>
    </xf>
    <xf numFmtId="0" fontId="0" fillId="0" borderId="0" xfId="0" applyAlignment="1">
      <alignment horizontal="center" vertical="top"/>
    </xf>
    <xf numFmtId="209" fontId="2" fillId="0" borderId="0" xfId="3" applyNumberFormat="1" applyFont="1" applyFill="1"/>
    <xf numFmtId="0" fontId="59" fillId="0" borderId="0" xfId="0" applyFont="1" applyAlignment="1">
      <alignment horizontal="center"/>
    </xf>
    <xf numFmtId="0" fontId="18" fillId="2" borderId="0" xfId="0" applyFont="1" applyFill="1"/>
    <xf numFmtId="189" fontId="0" fillId="0" borderId="0" xfId="3" applyNumberFormat="1" applyFont="1" applyFill="1" applyBorder="1" applyAlignment="1">
      <alignment horizontal="center"/>
    </xf>
    <xf numFmtId="167" fontId="2" fillId="15" borderId="0" xfId="0" applyNumberFormat="1" applyFont="1" applyFill="1" applyAlignment="1">
      <alignment horizontal="center"/>
    </xf>
    <xf numFmtId="169" fontId="8" fillId="15" borderId="0" xfId="1" applyNumberFormat="1" applyFont="1" applyFill="1" applyAlignment="1">
      <alignment horizontal="center"/>
    </xf>
    <xf numFmtId="0" fontId="0" fillId="15" borderId="0" xfId="0" applyFill="1" applyAlignment="1">
      <alignment horizontal="center"/>
    </xf>
    <xf numFmtId="167" fontId="0" fillId="15" borderId="0" xfId="0" applyNumberFormat="1" applyFill="1" applyAlignment="1">
      <alignment horizontal="center"/>
    </xf>
    <xf numFmtId="167" fontId="2" fillId="15" borderId="6" xfId="0" applyNumberFormat="1" applyFont="1" applyFill="1" applyBorder="1" applyAlignment="1">
      <alignment horizontal="center"/>
    </xf>
    <xf numFmtId="174" fontId="0" fillId="0" borderId="28" xfId="0" applyNumberFormat="1" applyBorder="1"/>
    <xf numFmtId="0" fontId="0" fillId="0" borderId="3" xfId="0" applyBorder="1" applyAlignment="1">
      <alignment horizontal="left" indent="1"/>
    </xf>
    <xf numFmtId="187" fontId="0" fillId="0" borderId="3" xfId="0" applyNumberFormat="1" applyBorder="1" applyAlignment="1">
      <alignment horizontal="left" indent="1"/>
    </xf>
    <xf numFmtId="0" fontId="2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168" fontId="0" fillId="0" borderId="5" xfId="0" applyNumberFormat="1" applyBorder="1" applyAlignment="1">
      <alignment horizontal="center"/>
    </xf>
    <xf numFmtId="167" fontId="0" fillId="0" borderId="5" xfId="0" applyNumberFormat="1" applyBorder="1" applyAlignment="1">
      <alignment horizontal="center"/>
    </xf>
    <xf numFmtId="168" fontId="2" fillId="0" borderId="5" xfId="0" applyNumberFormat="1" applyFont="1" applyBorder="1" applyAlignment="1">
      <alignment horizontal="center"/>
    </xf>
    <xf numFmtId="196" fontId="0" fillId="0" borderId="0" xfId="3" applyNumberFormat="1" applyFont="1" applyFill="1" applyBorder="1" applyAlignment="1">
      <alignment horizontal="center"/>
    </xf>
    <xf numFmtId="17" fontId="2" fillId="5" borderId="5" xfId="0" applyNumberFormat="1" applyFont="1" applyFill="1" applyBorder="1" applyAlignment="1">
      <alignment horizontal="center"/>
    </xf>
    <xf numFmtId="0" fontId="2" fillId="4" borderId="0" xfId="0" applyFont="1" applyFill="1"/>
    <xf numFmtId="17" fontId="2" fillId="4" borderId="0" xfId="0" applyNumberFormat="1" applyFont="1" applyFill="1"/>
    <xf numFmtId="0" fontId="16" fillId="4" borderId="0" xfId="0" applyFont="1" applyFill="1" applyAlignment="1">
      <alignment horizontal="center"/>
    </xf>
    <xf numFmtId="167" fontId="13" fillId="0" borderId="0" xfId="0" applyNumberFormat="1" applyFont="1" applyAlignment="1">
      <alignment horizontal="center"/>
    </xf>
    <xf numFmtId="167" fontId="42" fillId="0" borderId="0" xfId="0" applyNumberFormat="1" applyFont="1" applyAlignment="1">
      <alignment horizontal="center"/>
    </xf>
    <xf numFmtId="209" fontId="0" fillId="0" borderId="0" xfId="3" applyNumberFormat="1" applyFont="1" applyFill="1" applyBorder="1" applyAlignment="1">
      <alignment horizontal="center"/>
    </xf>
    <xf numFmtId="182" fontId="0" fillId="0" borderId="0" xfId="15" applyNumberFormat="1" applyFont="1" applyFill="1" applyAlignment="1">
      <alignment horizontal="center"/>
    </xf>
    <xf numFmtId="182" fontId="0" fillId="0" borderId="0" xfId="15" applyNumberFormat="1" applyFont="1" applyAlignment="1">
      <alignment horizontal="center"/>
    </xf>
    <xf numFmtId="0" fontId="0" fillId="0" borderId="0" xfId="0" applyAlignment="1">
      <alignment vertical="center"/>
    </xf>
    <xf numFmtId="165" fontId="0" fillId="2" borderId="0" xfId="3" applyFont="1" applyFill="1"/>
    <xf numFmtId="165" fontId="11" fillId="0" borderId="0" xfId="3" applyFont="1" applyFill="1" applyAlignment="1">
      <alignment horizontal="center"/>
    </xf>
    <xf numFmtId="0" fontId="40" fillId="0" borderId="0" xfId="0" applyFont="1"/>
    <xf numFmtId="180" fontId="60" fillId="0" borderId="0" xfId="0" applyNumberFormat="1" applyFont="1" applyAlignment="1">
      <alignment horizontal="center"/>
    </xf>
    <xf numFmtId="0" fontId="60" fillId="0" borderId="0" xfId="0" applyFont="1"/>
    <xf numFmtId="0" fontId="60" fillId="5" borderId="0" xfId="0" applyFont="1" applyFill="1" applyAlignment="1">
      <alignment wrapText="1"/>
    </xf>
    <xf numFmtId="17" fontId="60" fillId="5" borderId="0" xfId="0" applyNumberFormat="1" applyFont="1" applyFill="1" applyAlignment="1">
      <alignment horizontal="center" wrapText="1"/>
    </xf>
    <xf numFmtId="17" fontId="60" fillId="5" borderId="0" xfId="0" applyNumberFormat="1" applyFont="1" applyFill="1" applyAlignment="1">
      <alignment horizontal="center" vertical="center" wrapText="1"/>
    </xf>
    <xf numFmtId="0" fontId="0" fillId="0" borderId="0" xfId="0" applyAlignment="1">
      <alignment wrapText="1"/>
    </xf>
    <xf numFmtId="49" fontId="61" fillId="0" borderId="0" xfId="0" applyNumberFormat="1" applyFont="1"/>
    <xf numFmtId="0" fontId="62" fillId="0" borderId="0" xfId="0" applyFont="1"/>
    <xf numFmtId="180" fontId="62" fillId="0" borderId="0" xfId="0" applyNumberFormat="1" applyFont="1" applyAlignment="1">
      <alignment horizontal="center"/>
    </xf>
    <xf numFmtId="0" fontId="13" fillId="0" borderId="0" xfId="0" applyFont="1"/>
    <xf numFmtId="180" fontId="63" fillId="0" borderId="0" xfId="0" applyNumberFormat="1" applyFont="1" applyAlignment="1">
      <alignment horizontal="center"/>
    </xf>
    <xf numFmtId="180" fontId="62" fillId="0" borderId="0" xfId="0" applyNumberFormat="1" applyFont="1"/>
    <xf numFmtId="212" fontId="62" fillId="0" borderId="0" xfId="0" applyNumberFormat="1" applyFont="1" applyAlignment="1">
      <alignment horizontal="center"/>
    </xf>
    <xf numFmtId="180" fontId="15" fillId="0" borderId="0" xfId="0" applyNumberFormat="1" applyFont="1" applyAlignment="1">
      <alignment horizontal="center"/>
    </xf>
    <xf numFmtId="180" fontId="0" fillId="0" borderId="0" xfId="15" applyNumberFormat="1" applyFont="1" applyAlignment="1">
      <alignment horizontal="center"/>
    </xf>
    <xf numFmtId="49" fontId="64" fillId="0" borderId="0" xfId="0" applyNumberFormat="1" applyFont="1"/>
    <xf numFmtId="0" fontId="2" fillId="5" borderId="0" xfId="0" applyFont="1" applyFill="1" applyAlignment="1">
      <alignment horizontal="right"/>
    </xf>
    <xf numFmtId="17" fontId="60" fillId="5" borderId="0" xfId="0" applyNumberFormat="1" applyFont="1" applyFill="1" applyAlignment="1">
      <alignment wrapText="1"/>
    </xf>
    <xf numFmtId="213" fontId="0" fillId="0" borderId="0" xfId="0" applyNumberFormat="1" applyAlignment="1">
      <alignment horizontal="center"/>
    </xf>
    <xf numFmtId="180" fontId="2" fillId="0" borderId="0" xfId="0" applyNumberFormat="1" applyFont="1" applyAlignment="1">
      <alignment horizontal="center"/>
    </xf>
    <xf numFmtId="0" fontId="4" fillId="5" borderId="0" xfId="0" applyFont="1" applyFill="1"/>
    <xf numFmtId="180" fontId="0" fillId="0" borderId="0" xfId="0" applyNumberFormat="1" applyAlignment="1">
      <alignment horizontal="right"/>
    </xf>
    <xf numFmtId="180" fontId="0" fillId="0" borderId="0" xfId="15" applyNumberFormat="1" applyFont="1" applyAlignment="1">
      <alignment horizontal="right"/>
    </xf>
    <xf numFmtId="180" fontId="2" fillId="0" borderId="0" xfId="15" applyNumberFormat="1" applyFont="1" applyAlignment="1">
      <alignment horizontal="center"/>
    </xf>
    <xf numFmtId="174" fontId="0" fillId="0" borderId="0" xfId="15" applyNumberFormat="1" applyFont="1" applyAlignment="1">
      <alignment horizontal="center"/>
    </xf>
    <xf numFmtId="174" fontId="2" fillId="0" borderId="0" xfId="15" applyNumberFormat="1" applyFont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1" applyFont="1" applyAlignment="1">
      <alignment horizontal="right"/>
    </xf>
    <xf numFmtId="0" fontId="0" fillId="0" borderId="12" xfId="0" applyBorder="1" applyAlignment="1">
      <alignment horizontal="center"/>
    </xf>
    <xf numFmtId="181" fontId="0" fillId="0" borderId="12" xfId="0" applyNumberFormat="1" applyBorder="1" applyAlignment="1">
      <alignment horizontal="center"/>
    </xf>
    <xf numFmtId="174" fontId="0" fillId="0" borderId="12" xfId="0" applyNumberFormat="1" applyBorder="1" applyAlignment="1">
      <alignment horizontal="center"/>
    </xf>
    <xf numFmtId="180" fontId="0" fillId="0" borderId="12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167" fontId="65" fillId="0" borderId="0" xfId="0" applyNumberFormat="1" applyFont="1" applyAlignment="1">
      <alignment horizontal="center"/>
    </xf>
    <xf numFmtId="174" fontId="0" fillId="6" borderId="0" xfId="0" applyNumberFormat="1" applyFill="1"/>
    <xf numFmtId="14" fontId="0" fillId="0" borderId="0" xfId="0" applyNumberFormat="1" applyAlignment="1">
      <alignment horizontal="right"/>
    </xf>
    <xf numFmtId="165" fontId="3" fillId="0" borderId="0" xfId="0" applyNumberFormat="1" applyFont="1"/>
    <xf numFmtId="49" fontId="61" fillId="2" borderId="0" xfId="0" applyNumberFormat="1" applyFont="1" applyFill="1"/>
    <xf numFmtId="180" fontId="62" fillId="2" borderId="0" xfId="0" applyNumberFormat="1" applyFont="1" applyFill="1" applyAlignment="1">
      <alignment horizontal="center"/>
    </xf>
    <xf numFmtId="0" fontId="0" fillId="2" borderId="0" xfId="0" applyFill="1" applyAlignment="1">
      <alignment wrapText="1"/>
    </xf>
    <xf numFmtId="180" fontId="0" fillId="2" borderId="0" xfId="0" applyNumberFormat="1" applyFill="1" applyAlignment="1">
      <alignment horizontal="center"/>
    </xf>
    <xf numFmtId="180" fontId="0" fillId="15" borderId="0" xfId="0" applyNumberFormat="1" applyFill="1" applyAlignment="1">
      <alignment horizontal="center"/>
    </xf>
    <xf numFmtId="1" fontId="0" fillId="0" borderId="0" xfId="1" applyNumberFormat="1" applyFont="1"/>
    <xf numFmtId="209" fontId="0" fillId="0" borderId="0" xfId="3" applyNumberFormat="1" applyFont="1"/>
    <xf numFmtId="0" fontId="2" fillId="5" borderId="0" xfId="0" applyFont="1" applyFill="1" applyAlignment="1">
      <alignment horizontal="right" wrapText="1"/>
    </xf>
    <xf numFmtId="14" fontId="0" fillId="0" borderId="0" xfId="0" applyNumberFormat="1" applyAlignment="1">
      <alignment horizontal="center" wrapText="1"/>
    </xf>
    <xf numFmtId="183" fontId="2" fillId="0" borderId="0" xfId="0" applyNumberFormat="1" applyFont="1"/>
    <xf numFmtId="211" fontId="7" fillId="0" borderId="0" xfId="0" applyNumberFormat="1" applyFont="1" applyAlignment="1">
      <alignment horizontal="center"/>
    </xf>
    <xf numFmtId="211" fontId="0" fillId="0" borderId="0" xfId="0" applyNumberFormat="1" applyAlignment="1">
      <alignment horizontal="center"/>
    </xf>
    <xf numFmtId="214" fontId="0" fillId="0" borderId="0" xfId="0" applyNumberFormat="1"/>
    <xf numFmtId="3" fontId="22" fillId="0" borderId="0" xfId="0" applyNumberFormat="1" applyFont="1" applyAlignment="1">
      <alignment horizontal="center"/>
    </xf>
    <xf numFmtId="167" fontId="0" fillId="0" borderId="0" xfId="0" applyNumberFormat="1" applyAlignment="1">
      <alignment wrapText="1"/>
    </xf>
    <xf numFmtId="169" fontId="19" fillId="15" borderId="0" xfId="1" applyNumberFormat="1" applyFont="1" applyFill="1" applyAlignment="1">
      <alignment horizontal="center"/>
    </xf>
    <xf numFmtId="2" fontId="0" fillId="0" borderId="0" xfId="3" applyNumberFormat="1" applyFont="1" applyFill="1"/>
    <xf numFmtId="215" fontId="0" fillId="0" borderId="0" xfId="3" applyNumberFormat="1" applyFont="1"/>
    <xf numFmtId="1" fontId="0" fillId="0" borderId="5" xfId="0" applyNumberFormat="1" applyBorder="1" applyAlignment="1">
      <alignment horizontal="center"/>
    </xf>
    <xf numFmtId="209" fontId="2" fillId="0" borderId="0" xfId="3" applyNumberFormat="1" applyFont="1"/>
    <xf numFmtId="209" fontId="0" fillId="0" borderId="0" xfId="3" applyNumberFormat="1" applyFont="1" applyAlignment="1">
      <alignment horizontal="center"/>
    </xf>
    <xf numFmtId="209" fontId="0" fillId="0" borderId="0" xfId="0" applyNumberFormat="1" applyAlignment="1">
      <alignment horizontal="center"/>
    </xf>
    <xf numFmtId="173" fontId="0" fillId="0" borderId="0" xfId="0" applyNumberFormat="1" applyAlignment="1">
      <alignment horizontal="right"/>
    </xf>
    <xf numFmtId="209" fontId="0" fillId="0" borderId="0" xfId="3" applyNumberFormat="1" applyFont="1" applyAlignment="1">
      <alignment horizontal="right"/>
    </xf>
    <xf numFmtId="176" fontId="0" fillId="0" borderId="0" xfId="0" applyNumberFormat="1" applyAlignment="1">
      <alignment horizontal="right"/>
    </xf>
    <xf numFmtId="1" fontId="0" fillId="0" borderId="5" xfId="0" applyNumberFormat="1" applyBorder="1" applyAlignment="1">
      <alignment horizontal="right"/>
    </xf>
    <xf numFmtId="173" fontId="2" fillId="0" borderId="9" xfId="0" applyNumberFormat="1" applyFont="1" applyBorder="1" applyAlignment="1">
      <alignment horizontal="right"/>
    </xf>
    <xf numFmtId="0" fontId="0" fillId="0" borderId="5" xfId="0" applyBorder="1" applyAlignment="1">
      <alignment horizontal="right"/>
    </xf>
    <xf numFmtId="173" fontId="0" fillId="0" borderId="5" xfId="0" applyNumberFormat="1" applyBorder="1" applyAlignment="1">
      <alignment horizontal="right"/>
    </xf>
    <xf numFmtId="173" fontId="2" fillId="0" borderId="10" xfId="0" applyNumberFormat="1" applyFont="1" applyBorder="1" applyAlignment="1">
      <alignment horizontal="right"/>
    </xf>
    <xf numFmtId="14" fontId="2" fillId="5" borderId="0" xfId="0" applyNumberFormat="1" applyFont="1" applyFill="1" applyAlignment="1">
      <alignment horizontal="center" wrapText="1"/>
    </xf>
    <xf numFmtId="209" fontId="1" fillId="0" borderId="0" xfId="3" applyNumberFormat="1" applyFill="1"/>
    <xf numFmtId="167" fontId="66" fillId="0" borderId="0" xfId="0" applyNumberFormat="1" applyFont="1" applyAlignment="1">
      <alignment horizontal="center"/>
    </xf>
    <xf numFmtId="167" fontId="65" fillId="0" borderId="6" xfId="0" applyNumberFormat="1" applyFont="1" applyBorder="1" applyAlignment="1">
      <alignment horizontal="center"/>
    </xf>
    <xf numFmtId="169" fontId="66" fillId="0" borderId="0" xfId="1" applyNumberFormat="1" applyFont="1" applyFill="1" applyAlignment="1">
      <alignment horizontal="center"/>
    </xf>
    <xf numFmtId="169" fontId="67" fillId="0" borderId="0" xfId="1" applyNumberFormat="1" applyFont="1" applyFill="1" applyAlignment="1">
      <alignment horizontal="center"/>
    </xf>
    <xf numFmtId="0" fontId="13" fillId="0" borderId="0" xfId="0" applyFont="1" applyAlignment="1">
      <alignment horizontal="center"/>
    </xf>
    <xf numFmtId="172" fontId="13" fillId="0" borderId="0" xfId="0" applyNumberFormat="1" applyFont="1"/>
    <xf numFmtId="165" fontId="13" fillId="0" borderId="0" xfId="3" applyFont="1" applyFill="1"/>
    <xf numFmtId="181" fontId="2" fillId="15" borderId="6" xfId="0" applyNumberFormat="1" applyFont="1" applyFill="1" applyBorder="1" applyAlignment="1">
      <alignment horizontal="center"/>
    </xf>
    <xf numFmtId="182" fontId="0" fillId="15" borderId="0" xfId="15" applyNumberFormat="1" applyFont="1" applyFill="1" applyAlignment="1">
      <alignment horizontal="center"/>
    </xf>
    <xf numFmtId="182" fontId="2" fillId="15" borderId="6" xfId="15" applyNumberFormat="1" applyFont="1" applyFill="1" applyBorder="1" applyAlignment="1">
      <alignment horizontal="center"/>
    </xf>
    <xf numFmtId="1" fontId="0" fillId="6" borderId="0" xfId="0" applyNumberFormat="1" applyFill="1"/>
    <xf numFmtId="173" fontId="0" fillId="6" borderId="0" xfId="0" applyNumberFormat="1" applyFill="1"/>
    <xf numFmtId="173" fontId="0" fillId="0" borderId="2" xfId="0" applyNumberFormat="1" applyBorder="1" applyAlignment="1">
      <alignment horizontal="right"/>
    </xf>
    <xf numFmtId="173" fontId="2" fillId="0" borderId="29" xfId="0" applyNumberFormat="1" applyFont="1" applyBorder="1" applyAlignment="1">
      <alignment horizontal="right"/>
    </xf>
    <xf numFmtId="0" fontId="68" fillId="0" borderId="0" xfId="0" applyFont="1"/>
    <xf numFmtId="187" fontId="56" fillId="0" borderId="0" xfId="0" applyNumberFormat="1" applyFont="1" applyAlignment="1">
      <alignment horizontal="left" indent="1"/>
    </xf>
    <xf numFmtId="180" fontId="56" fillId="0" borderId="0" xfId="0" applyNumberFormat="1" applyFont="1" applyAlignment="1">
      <alignment horizontal="center"/>
    </xf>
    <xf numFmtId="167" fontId="0" fillId="0" borderId="0" xfId="0" applyNumberFormat="1" applyAlignment="1">
      <alignment horizontal="left" indent="1"/>
    </xf>
    <xf numFmtId="174" fontId="0" fillId="6" borderId="5" xfId="0" applyNumberFormat="1" applyFill="1" applyBorder="1"/>
    <xf numFmtId="0" fontId="56" fillId="0" borderId="5" xfId="0" applyFont="1" applyBorder="1"/>
    <xf numFmtId="173" fontId="0" fillId="0" borderId="2" xfId="0" applyNumberFormat="1" applyBorder="1"/>
    <xf numFmtId="209" fontId="2" fillId="5" borderId="0" xfId="3" applyNumberFormat="1" applyFont="1" applyFill="1"/>
    <xf numFmtId="173" fontId="0" fillId="6" borderId="2" xfId="0" applyNumberFormat="1" applyFill="1" applyBorder="1"/>
    <xf numFmtId="167" fontId="69" fillId="0" borderId="0" xfId="0" applyNumberFormat="1" applyFont="1" applyAlignment="1">
      <alignment horizontal="center"/>
    </xf>
    <xf numFmtId="0" fontId="2" fillId="0" borderId="0" xfId="0" quotePrefix="1" applyFont="1" applyAlignment="1">
      <alignment horizontal="center"/>
    </xf>
    <xf numFmtId="217" fontId="0" fillId="0" borderId="0" xfId="0" applyNumberFormat="1"/>
    <xf numFmtId="216" fontId="0" fillId="0" borderId="0" xfId="3" applyNumberFormat="1" applyFont="1" applyFill="1" applyAlignment="1">
      <alignment horizontal="center" vertical="center"/>
    </xf>
    <xf numFmtId="1" fontId="0" fillId="15" borderId="6" xfId="0" applyNumberFormat="1" applyFill="1" applyBorder="1"/>
    <xf numFmtId="0" fontId="2" fillId="15" borderId="6" xfId="0" applyFont="1" applyFill="1" applyBorder="1"/>
    <xf numFmtId="199" fontId="0" fillId="0" borderId="0" xfId="3" applyNumberFormat="1" applyFont="1"/>
    <xf numFmtId="174" fontId="0" fillId="0" borderId="0" xfId="3" applyNumberFormat="1" applyFont="1"/>
    <xf numFmtId="209" fontId="2" fillId="0" borderId="5" xfId="3" applyNumberFormat="1" applyFont="1" applyBorder="1"/>
    <xf numFmtId="17" fontId="65" fillId="4" borderId="0" xfId="0" applyNumberFormat="1" applyFont="1" applyFill="1" applyAlignment="1">
      <alignment horizontal="center"/>
    </xf>
    <xf numFmtId="165" fontId="72" fillId="0" borderId="0" xfId="3" applyFont="1" applyFill="1" applyAlignment="1">
      <alignment horizontal="center"/>
    </xf>
    <xf numFmtId="0" fontId="71" fillId="0" borderId="0" xfId="0" applyFont="1"/>
    <xf numFmtId="165" fontId="71" fillId="0" borderId="0" xfId="3" applyFont="1" applyFill="1"/>
    <xf numFmtId="0" fontId="65" fillId="0" borderId="0" xfId="0" applyFont="1"/>
    <xf numFmtId="167" fontId="65" fillId="0" borderId="0" xfId="0" applyNumberFormat="1" applyFont="1" applyAlignment="1">
      <alignment horizontal="center" vertical="center"/>
    </xf>
    <xf numFmtId="0" fontId="66" fillId="0" borderId="0" xfId="0" applyFont="1"/>
    <xf numFmtId="167" fontId="71" fillId="0" borderId="0" xfId="0" applyNumberFormat="1" applyFont="1" applyAlignment="1">
      <alignment horizontal="center"/>
    </xf>
    <xf numFmtId="165" fontId="13" fillId="0" borderId="0" xfId="3" applyFont="1"/>
    <xf numFmtId="167" fontId="66" fillId="0" borderId="5" xfId="0" applyNumberFormat="1" applyFont="1" applyBorder="1" applyAlignment="1">
      <alignment horizontal="center"/>
    </xf>
    <xf numFmtId="167" fontId="65" fillId="0" borderId="5" xfId="0" applyNumberFormat="1" applyFont="1" applyBorder="1" applyAlignment="1">
      <alignment horizontal="center"/>
    </xf>
    <xf numFmtId="167" fontId="65" fillId="0" borderId="8" xfId="0" applyNumberFormat="1" applyFont="1" applyBorder="1" applyAlignment="1">
      <alignment horizontal="center"/>
    </xf>
    <xf numFmtId="165" fontId="13" fillId="0" borderId="0" xfId="3" applyFont="1" applyFill="1" applyBorder="1" applyAlignment="1">
      <alignment horizontal="center"/>
    </xf>
    <xf numFmtId="167" fontId="13" fillId="0" borderId="0" xfId="0" applyNumberFormat="1" applyFont="1"/>
    <xf numFmtId="167" fontId="72" fillId="0" borderId="0" xfId="0" applyNumberFormat="1" applyFont="1" applyAlignment="1">
      <alignment horizontal="center"/>
    </xf>
    <xf numFmtId="0" fontId="16" fillId="0" borderId="0" xfId="0" applyFont="1"/>
    <xf numFmtId="17" fontId="65" fillId="5" borderId="0" xfId="0" applyNumberFormat="1" applyFont="1" applyFill="1" applyAlignment="1">
      <alignment horizontal="center"/>
    </xf>
    <xf numFmtId="172" fontId="13" fillId="0" borderId="0" xfId="0" applyNumberFormat="1" applyFont="1" applyAlignment="1">
      <alignment horizontal="center"/>
    </xf>
    <xf numFmtId="172" fontId="65" fillId="0" borderId="0" xfId="0" applyNumberFormat="1" applyFont="1" applyAlignment="1">
      <alignment horizontal="center"/>
    </xf>
    <xf numFmtId="196" fontId="13" fillId="0" borderId="0" xfId="0" applyNumberFormat="1" applyFont="1" applyAlignment="1">
      <alignment horizontal="center"/>
    </xf>
    <xf numFmtId="199" fontId="65" fillId="0" borderId="0" xfId="3" applyNumberFormat="1" applyFont="1" applyFill="1" applyBorder="1"/>
    <xf numFmtId="167" fontId="65" fillId="0" borderId="0" xfId="15" applyNumberFormat="1" applyFont="1" applyFill="1" applyBorder="1"/>
    <xf numFmtId="172" fontId="13" fillId="0" borderId="0" xfId="3" applyNumberFormat="1" applyFont="1" applyFill="1" applyBorder="1" applyAlignment="1">
      <alignment horizontal="center"/>
    </xf>
    <xf numFmtId="172" fontId="72" fillId="0" borderId="0" xfId="0" applyNumberFormat="1" applyFont="1" applyAlignment="1">
      <alignment horizontal="center"/>
    </xf>
    <xf numFmtId="165" fontId="13" fillId="0" borderId="0" xfId="3" applyFont="1" applyAlignment="1">
      <alignment horizontal="center"/>
    </xf>
    <xf numFmtId="209" fontId="13" fillId="0" borderId="0" xfId="3" applyNumberFormat="1" applyFont="1" applyFill="1" applyBorder="1" applyAlignment="1">
      <alignment horizontal="center"/>
    </xf>
    <xf numFmtId="165" fontId="16" fillId="0" borderId="0" xfId="0" applyNumberFormat="1" applyFont="1"/>
    <xf numFmtId="167" fontId="16" fillId="0" borderId="0" xfId="0" applyNumberFormat="1" applyFont="1"/>
    <xf numFmtId="167" fontId="16" fillId="0" borderId="0" xfId="0" applyNumberFormat="1" applyFont="1" applyAlignment="1">
      <alignment horizontal="center"/>
    </xf>
    <xf numFmtId="1" fontId="0" fillId="0" borderId="5" xfId="0" applyNumberFormat="1" applyBorder="1"/>
    <xf numFmtId="165" fontId="13" fillId="0" borderId="0" xfId="3" applyFont="1" applyFill="1" applyAlignment="1">
      <alignment horizontal="center"/>
    </xf>
    <xf numFmtId="165" fontId="2" fillId="0" borderId="0" xfId="3" applyFont="1" applyFill="1"/>
    <xf numFmtId="165" fontId="1" fillId="0" borderId="0" xfId="3" applyFont="1" applyFill="1"/>
    <xf numFmtId="3" fontId="0" fillId="0" borderId="0" xfId="0" applyNumberFormat="1"/>
    <xf numFmtId="9" fontId="0" fillId="0" borderId="0" xfId="0" applyNumberFormat="1"/>
    <xf numFmtId="0" fontId="73" fillId="0" borderId="0" xfId="0" applyFont="1" applyAlignment="1">
      <alignment horizontal="center"/>
    </xf>
    <xf numFmtId="17" fontId="40" fillId="0" borderId="0" xfId="0" applyNumberFormat="1" applyFont="1" applyAlignment="1">
      <alignment horizontal="center"/>
    </xf>
    <xf numFmtId="165" fontId="40" fillId="0" borderId="0" xfId="15" applyFont="1" applyFill="1" applyBorder="1" applyAlignment="1">
      <alignment horizontal="center"/>
    </xf>
    <xf numFmtId="0" fontId="74" fillId="0" borderId="0" xfId="0" applyFont="1"/>
    <xf numFmtId="0" fontId="65" fillId="0" borderId="0" xfId="5" applyFont="1"/>
    <xf numFmtId="209" fontId="72" fillId="0" borderId="0" xfId="3" applyNumberFormat="1" applyFont="1" applyFill="1" applyAlignment="1">
      <alignment horizontal="center"/>
    </xf>
    <xf numFmtId="167" fontId="70" fillId="0" borderId="0" xfId="0" applyNumberFormat="1" applyFont="1" applyAlignment="1">
      <alignment horizontal="center"/>
    </xf>
    <xf numFmtId="174" fontId="0" fillId="0" borderId="0" xfId="3" applyNumberFormat="1" applyFont="1" applyAlignment="1">
      <alignment horizontal="right"/>
    </xf>
    <xf numFmtId="209" fontId="2" fillId="0" borderId="5" xfId="3" applyNumberFormat="1" applyFont="1" applyFill="1" applyBorder="1"/>
    <xf numFmtId="2" fontId="0" fillId="0" borderId="2" xfId="0" applyNumberFormat="1" applyBorder="1"/>
    <xf numFmtId="1" fontId="0" fillId="0" borderId="0" xfId="0" applyNumberFormat="1" applyAlignment="1">
      <alignment horizontal="right"/>
    </xf>
    <xf numFmtId="167" fontId="8" fillId="0" borderId="30" xfId="0" applyNumberFormat="1" applyFont="1" applyBorder="1" applyAlignment="1">
      <alignment horizontal="center"/>
    </xf>
    <xf numFmtId="164" fontId="26" fillId="0" borderId="0" xfId="11" applyNumberFormat="1" applyFont="1" applyAlignment="1">
      <alignment vertical="top"/>
    </xf>
    <xf numFmtId="164" fontId="27" fillId="0" borderId="0" xfId="11" applyNumberFormat="1" applyFont="1" applyAlignment="1">
      <alignment vertical="top"/>
    </xf>
    <xf numFmtId="193" fontId="26" fillId="0" borderId="0" xfId="9" applyNumberFormat="1" applyFont="1" applyAlignment="1">
      <alignment vertical="top"/>
    </xf>
    <xf numFmtId="185" fontId="26" fillId="0" borderId="0" xfId="3" applyNumberFormat="1" applyFont="1" applyFill="1" applyBorder="1" applyAlignment="1">
      <alignment vertical="top"/>
    </xf>
    <xf numFmtId="185" fontId="26" fillId="0" borderId="0" xfId="3" applyNumberFormat="1" applyFont="1" applyBorder="1" applyAlignment="1">
      <alignment vertical="top"/>
    </xf>
    <xf numFmtId="191" fontId="26" fillId="0" borderId="0" xfId="9" applyFont="1" applyAlignment="1">
      <alignment vertical="top"/>
    </xf>
    <xf numFmtId="164" fontId="26" fillId="2" borderId="0" xfId="11" applyNumberFormat="1" applyFont="1" applyFill="1" applyAlignment="1">
      <alignment vertical="top"/>
    </xf>
    <xf numFmtId="194" fontId="27" fillId="0" borderId="0" xfId="11" applyFont="1" applyAlignment="1">
      <alignment vertical="top"/>
    </xf>
    <xf numFmtId="194" fontId="29" fillId="0" borderId="0" xfId="11" applyFont="1" applyAlignment="1">
      <alignment vertical="top"/>
    </xf>
    <xf numFmtId="194" fontId="29" fillId="4" borderId="0" xfId="11" applyFont="1" applyFill="1" applyAlignment="1">
      <alignment vertical="top"/>
    </xf>
    <xf numFmtId="193" fontId="27" fillId="4" borderId="0" xfId="11" applyNumberFormat="1" applyFont="1" applyFill="1" applyAlignment="1">
      <alignment vertical="top"/>
    </xf>
    <xf numFmtId="185" fontId="27" fillId="0" borderId="0" xfId="3" applyNumberFormat="1" applyFont="1" applyFill="1" applyBorder="1" applyAlignment="1">
      <alignment vertical="top"/>
    </xf>
    <xf numFmtId="194" fontId="27" fillId="2" borderId="0" xfId="11" applyFont="1" applyFill="1" applyAlignment="1">
      <alignment vertical="top"/>
    </xf>
    <xf numFmtId="194" fontId="27" fillId="4" borderId="0" xfId="11" applyFont="1" applyFill="1" applyAlignment="1">
      <alignment vertical="top"/>
    </xf>
    <xf numFmtId="193" fontId="27" fillId="0" borderId="0" xfId="11" applyNumberFormat="1" applyFont="1" applyAlignment="1">
      <alignment vertical="top"/>
    </xf>
    <xf numFmtId="194" fontId="26" fillId="0" borderId="0" xfId="11" applyFont="1" applyAlignment="1">
      <alignment vertical="top"/>
    </xf>
    <xf numFmtId="193" fontId="26" fillId="0" borderId="0" xfId="11" applyNumberFormat="1" applyFont="1" applyAlignment="1">
      <alignment vertical="top"/>
    </xf>
    <xf numFmtId="194" fontId="26" fillId="2" borderId="0" xfId="11" applyFont="1" applyFill="1" applyAlignment="1">
      <alignment vertical="top"/>
    </xf>
    <xf numFmtId="0" fontId="26" fillId="0" borderId="0" xfId="9" applyNumberFormat="1" applyFont="1" applyAlignment="1">
      <alignment vertical="top"/>
    </xf>
    <xf numFmtId="193" fontId="26" fillId="0" borderId="0" xfId="11" applyNumberFormat="1" applyFont="1" applyAlignment="1">
      <alignment horizontal="right" vertical="top"/>
    </xf>
    <xf numFmtId="215" fontId="0" fillId="0" borderId="0" xfId="3" applyNumberFormat="1" applyFont="1" applyFill="1"/>
    <xf numFmtId="1" fontId="0" fillId="6" borderId="5" xfId="0" applyNumberFormat="1" applyFill="1" applyBorder="1"/>
    <xf numFmtId="173" fontId="2" fillId="6" borderId="9" xfId="0" applyNumberFormat="1" applyFont="1" applyFill="1" applyBorder="1"/>
    <xf numFmtId="173" fontId="0" fillId="6" borderId="5" xfId="0" applyNumberFormat="1" applyFill="1" applyBorder="1"/>
    <xf numFmtId="180" fontId="0" fillId="6" borderId="0" xfId="0" applyNumberFormat="1" applyFill="1" applyAlignment="1">
      <alignment horizontal="center"/>
    </xf>
    <xf numFmtId="0" fontId="22" fillId="0" borderId="0" xfId="0" applyFont="1"/>
    <xf numFmtId="0" fontId="22" fillId="0" borderId="5" xfId="0" applyFont="1" applyBorder="1"/>
    <xf numFmtId="0" fontId="21" fillId="0" borderId="9" xfId="0" applyFont="1" applyBorder="1"/>
    <xf numFmtId="0" fontId="22" fillId="0" borderId="2" xfId="0" applyFont="1" applyBorder="1"/>
    <xf numFmtId="0" fontId="28" fillId="0" borderId="2" xfId="0" applyFont="1" applyBorder="1"/>
    <xf numFmtId="0" fontId="21" fillId="0" borderId="29" xfId="0" applyFont="1" applyBorder="1"/>
    <xf numFmtId="3" fontId="21" fillId="0" borderId="29" xfId="0" applyNumberFormat="1" applyFont="1" applyBorder="1"/>
    <xf numFmtId="0" fontId="75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167" fontId="77" fillId="0" borderId="0" xfId="0" applyNumberFormat="1" applyFont="1" applyAlignment="1">
      <alignment horizontal="center"/>
    </xf>
    <xf numFmtId="0" fontId="40" fillId="0" borderId="0" xfId="0" applyFont="1" applyAlignment="1">
      <alignment horizontal="center"/>
    </xf>
    <xf numFmtId="167" fontId="0" fillId="6" borderId="0" xfId="0" applyNumberFormat="1" applyFill="1" applyAlignment="1">
      <alignment horizontal="center" wrapText="1"/>
    </xf>
    <xf numFmtId="167" fontId="0" fillId="0" borderId="0" xfId="0" applyNumberFormat="1" applyAlignment="1">
      <alignment horizontal="center" wrapText="1"/>
    </xf>
    <xf numFmtId="181" fontId="0" fillId="15" borderId="0" xfId="0" applyNumberFormat="1" applyFill="1" applyAlignment="1">
      <alignment horizontal="center"/>
    </xf>
    <xf numFmtId="0" fontId="0" fillId="15" borderId="2" xfId="0" applyFill="1" applyBorder="1" applyAlignment="1">
      <alignment horizontal="center"/>
    </xf>
    <xf numFmtId="165" fontId="0" fillId="0" borderId="0" xfId="3" applyFont="1" applyAlignment="1">
      <alignment horizontal="center"/>
    </xf>
    <xf numFmtId="173" fontId="2" fillId="0" borderId="29" xfId="0" applyNumberFormat="1" applyFont="1" applyBorder="1"/>
    <xf numFmtId="167" fontId="0" fillId="0" borderId="0" xfId="0" applyNumberFormat="1" applyAlignment="1">
      <alignment horizontal="right"/>
    </xf>
    <xf numFmtId="167" fontId="0" fillId="6" borderId="0" xfId="0" applyNumberFormat="1" applyFill="1" applyAlignment="1">
      <alignment horizontal="right"/>
    </xf>
    <xf numFmtId="180" fontId="0" fillId="6" borderId="0" xfId="0" applyNumberFormat="1" applyFill="1" applyAlignment="1">
      <alignment horizontal="right"/>
    </xf>
    <xf numFmtId="180" fontId="0" fillId="6" borderId="0" xfId="15" applyNumberFormat="1" applyFont="1" applyFill="1" applyAlignment="1">
      <alignment horizontal="right"/>
    </xf>
    <xf numFmtId="0" fontId="0" fillId="6" borderId="0" xfId="0" applyFill="1" applyAlignment="1">
      <alignment horizontal="right"/>
    </xf>
    <xf numFmtId="9" fontId="0" fillId="6" borderId="0" xfId="1" applyFont="1" applyFill="1" applyAlignment="1">
      <alignment horizontal="right"/>
    </xf>
    <xf numFmtId="174" fontId="0" fillId="0" borderId="0" xfId="15" applyNumberFormat="1" applyFont="1" applyAlignment="1">
      <alignment horizontal="right"/>
    </xf>
    <xf numFmtId="174" fontId="0" fillId="6" borderId="0" xfId="15" applyNumberFormat="1" applyFont="1" applyFill="1" applyAlignment="1">
      <alignment horizontal="right"/>
    </xf>
    <xf numFmtId="209" fontId="0" fillId="0" borderId="0" xfId="3" applyNumberFormat="1" applyFont="1" applyAlignment="1">
      <alignment horizontal="right" vertical="center"/>
    </xf>
    <xf numFmtId="174" fontId="0" fillId="0" borderId="0" xfId="0" applyNumberFormat="1" applyAlignment="1">
      <alignment horizontal="right"/>
    </xf>
    <xf numFmtId="209" fontId="0" fillId="0" borderId="0" xfId="15" applyNumberFormat="1" applyFont="1" applyAlignment="1">
      <alignment horizontal="right" vertical="center"/>
    </xf>
    <xf numFmtId="174" fontId="0" fillId="0" borderId="6" xfId="0" applyNumberFormat="1" applyBorder="1" applyAlignment="1">
      <alignment horizontal="right"/>
    </xf>
    <xf numFmtId="181" fontId="2" fillId="0" borderId="17" xfId="0" applyNumberFormat="1" applyFont="1" applyBorder="1" applyAlignment="1">
      <alignment horizontal="center"/>
    </xf>
    <xf numFmtId="165" fontId="7" fillId="0" borderId="0" xfId="3" applyFont="1"/>
    <xf numFmtId="169" fontId="0" fillId="0" borderId="0" xfId="1" applyNumberFormat="1" applyFont="1"/>
    <xf numFmtId="209" fontId="0" fillId="0" borderId="0" xfId="3" applyNumberFormat="1" applyFont="1" applyFill="1" applyAlignment="1">
      <alignment horizontal="center" vertical="center"/>
    </xf>
    <xf numFmtId="216" fontId="0" fillId="0" borderId="0" xfId="3" applyNumberFormat="1" applyFont="1" applyFill="1"/>
    <xf numFmtId="14" fontId="0" fillId="0" borderId="0" xfId="0" applyNumberFormat="1" applyAlignment="1">
      <alignment horizontal="center"/>
    </xf>
    <xf numFmtId="209" fontId="0" fillId="15" borderId="0" xfId="3" applyNumberFormat="1" applyFont="1" applyFill="1"/>
    <xf numFmtId="174" fontId="0" fillId="6" borderId="6" xfId="0" applyNumberFormat="1" applyFill="1" applyBorder="1"/>
    <xf numFmtId="218" fontId="0" fillId="0" borderId="0" xfId="0" applyNumberFormat="1" applyAlignment="1">
      <alignment horizontal="center"/>
    </xf>
    <xf numFmtId="0" fontId="18" fillId="6" borderId="0" xfId="0" applyFont="1" applyFill="1"/>
    <xf numFmtId="183" fontId="0" fillId="6" borderId="0" xfId="0" applyNumberFormat="1" applyFill="1" applyAlignment="1">
      <alignment horizontal="center"/>
    </xf>
    <xf numFmtId="0" fontId="0" fillId="6" borderId="5" xfId="0" applyFill="1" applyBorder="1"/>
    <xf numFmtId="174" fontId="0" fillId="0" borderId="0" xfId="15" applyNumberFormat="1" applyFont="1" applyFill="1" applyAlignment="1">
      <alignment horizontal="right"/>
    </xf>
    <xf numFmtId="216" fontId="0" fillId="0" borderId="0" xfId="0" applyNumberFormat="1"/>
    <xf numFmtId="209" fontId="2" fillId="15" borderId="0" xfId="3" applyNumberFormat="1" applyFont="1" applyFill="1"/>
    <xf numFmtId="165" fontId="0" fillId="15" borderId="0" xfId="3" applyFont="1" applyFill="1"/>
    <xf numFmtId="0" fontId="2" fillId="0" borderId="5" xfId="0" applyFont="1" applyBorder="1"/>
    <xf numFmtId="181" fontId="2" fillId="15" borderId="0" xfId="0" applyNumberFormat="1" applyFont="1" applyFill="1" applyAlignment="1">
      <alignment horizontal="center"/>
    </xf>
    <xf numFmtId="181" fontId="2" fillId="0" borderId="12" xfId="0" applyNumberFormat="1" applyFont="1" applyBorder="1" applyAlignment="1">
      <alignment horizontal="center"/>
    </xf>
    <xf numFmtId="181" fontId="2" fillId="0" borderId="5" xfId="0" applyNumberFormat="1" applyFont="1" applyBorder="1" applyAlignment="1">
      <alignment horizontal="center"/>
    </xf>
    <xf numFmtId="181" fontId="2" fillId="15" borderId="5" xfId="0" applyNumberFormat="1" applyFont="1" applyFill="1" applyBorder="1" applyAlignment="1">
      <alignment horizontal="center"/>
    </xf>
    <xf numFmtId="181" fontId="2" fillId="6" borderId="5" xfId="0" applyNumberFormat="1" applyFont="1" applyFill="1" applyBorder="1" applyAlignment="1">
      <alignment horizontal="center"/>
    </xf>
    <xf numFmtId="181" fontId="2" fillId="0" borderId="11" xfId="0" applyNumberFormat="1" applyFont="1" applyBorder="1" applyAlignment="1">
      <alignment horizontal="center"/>
    </xf>
    <xf numFmtId="17" fontId="3" fillId="4" borderId="0" xfId="0" applyNumberFormat="1" applyFont="1" applyFill="1" applyAlignment="1">
      <alignment horizontal="center"/>
    </xf>
    <xf numFmtId="181" fontId="0" fillId="6" borderId="0" xfId="0" applyNumberFormat="1" applyFill="1" applyAlignment="1">
      <alignment horizontal="center"/>
    </xf>
    <xf numFmtId="169" fontId="3" fillId="0" borderId="0" xfId="0" applyNumberFormat="1" applyFont="1" applyAlignment="1">
      <alignment horizontal="center"/>
    </xf>
    <xf numFmtId="169" fontId="3" fillId="15" borderId="0" xfId="0" applyNumberFormat="1" applyFont="1" applyFill="1" applyAlignment="1">
      <alignment horizontal="center"/>
    </xf>
    <xf numFmtId="169" fontId="3" fillId="6" borderId="0" xfId="0" applyNumberFormat="1" applyFont="1" applyFill="1" applyAlignment="1">
      <alignment horizontal="center"/>
    </xf>
    <xf numFmtId="174" fontId="0" fillId="6" borderId="0" xfId="0" applyNumberFormat="1" applyFill="1" applyAlignment="1">
      <alignment horizontal="center"/>
    </xf>
    <xf numFmtId="9" fontId="0" fillId="0" borderId="0" xfId="0" applyNumberFormat="1" applyAlignment="1">
      <alignment horizontal="center"/>
    </xf>
    <xf numFmtId="9" fontId="0" fillId="6" borderId="0" xfId="0" applyNumberFormat="1" applyFill="1" applyAlignment="1">
      <alignment horizontal="center"/>
    </xf>
    <xf numFmtId="9" fontId="0" fillId="6" borderId="0" xfId="1" applyFont="1" applyFill="1" applyBorder="1" applyAlignment="1">
      <alignment horizontal="center"/>
    </xf>
    <xf numFmtId="2" fontId="0" fillId="6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165" fontId="3" fillId="0" borderId="0" xfId="0" applyNumberFormat="1" applyFont="1" applyAlignment="1">
      <alignment horizontal="center"/>
    </xf>
    <xf numFmtId="0" fontId="2" fillId="6" borderId="0" xfId="0" applyFont="1" applyFill="1" applyAlignment="1">
      <alignment horizontal="center"/>
    </xf>
    <xf numFmtId="174" fontId="0" fillId="6" borderId="2" xfId="0" applyNumberFormat="1" applyFill="1" applyBorder="1"/>
    <xf numFmtId="0" fontId="0" fillId="6" borderId="2" xfId="0" applyFill="1" applyBorder="1"/>
    <xf numFmtId="174" fontId="0" fillId="6" borderId="28" xfId="0" applyNumberFormat="1" applyFill="1" applyBorder="1"/>
    <xf numFmtId="1" fontId="0" fillId="6" borderId="6" xfId="0" applyNumberFormat="1" applyFill="1" applyBorder="1"/>
    <xf numFmtId="0" fontId="62" fillId="0" borderId="0" xfId="0" applyFont="1" applyAlignment="1">
      <alignment wrapText="1"/>
    </xf>
    <xf numFmtId="180" fontId="2" fillId="6" borderId="6" xfId="0" applyNumberFormat="1" applyFont="1" applyFill="1" applyBorder="1" applyAlignment="1">
      <alignment horizontal="center" vertical="top"/>
    </xf>
    <xf numFmtId="180" fontId="2" fillId="0" borderId="6" xfId="0" applyNumberFormat="1" applyFont="1" applyBorder="1" applyAlignment="1">
      <alignment horizontal="center" vertical="top"/>
    </xf>
    <xf numFmtId="180" fontId="0" fillId="0" borderId="0" xfId="15" applyNumberFormat="1" applyFont="1" applyFill="1" applyAlignment="1">
      <alignment horizontal="right"/>
    </xf>
    <xf numFmtId="9" fontId="0" fillId="0" borderId="0" xfId="1" applyFont="1" applyFill="1" applyAlignment="1">
      <alignment horizontal="right"/>
    </xf>
    <xf numFmtId="209" fontId="1" fillId="0" borderId="6" xfId="3" applyNumberFormat="1" applyFont="1" applyBorder="1"/>
    <xf numFmtId="173" fontId="2" fillId="15" borderId="29" xfId="0" applyNumberFormat="1" applyFont="1" applyFill="1" applyBorder="1"/>
    <xf numFmtId="165" fontId="26" fillId="0" borderId="0" xfId="3" applyFont="1"/>
    <xf numFmtId="180" fontId="62" fillId="6" borderId="0" xfId="0" applyNumberFormat="1" applyFont="1" applyFill="1" applyAlignment="1">
      <alignment horizontal="center"/>
    </xf>
    <xf numFmtId="174" fontId="0" fillId="15" borderId="0" xfId="0" applyNumberFormat="1" applyFill="1" applyAlignment="1">
      <alignment horizontal="center"/>
    </xf>
    <xf numFmtId="9" fontId="0" fillId="15" borderId="0" xfId="0" applyNumberFormat="1" applyFill="1" applyAlignment="1">
      <alignment horizontal="center"/>
    </xf>
    <xf numFmtId="182" fontId="0" fillId="15" borderId="0" xfId="3" applyNumberFormat="1" applyFont="1" applyFill="1" applyBorder="1" applyAlignment="1">
      <alignment horizontal="center"/>
    </xf>
    <xf numFmtId="209" fontId="0" fillId="0" borderId="0" xfId="3" applyNumberFormat="1" applyFont="1" applyFill="1" applyAlignment="1">
      <alignment horizontal="right"/>
    </xf>
    <xf numFmtId="169" fontId="0" fillId="15" borderId="0" xfId="1" applyNumberFormat="1" applyFont="1" applyFill="1" applyAlignment="1">
      <alignment horizontal="center"/>
    </xf>
    <xf numFmtId="165" fontId="2" fillId="15" borderId="0" xfId="3" applyFont="1" applyFill="1"/>
    <xf numFmtId="219" fontId="0" fillId="0" borderId="0" xfId="3" applyNumberFormat="1" applyFont="1"/>
    <xf numFmtId="0" fontId="2" fillId="0" borderId="12" xfId="0" applyFont="1" applyBorder="1"/>
    <xf numFmtId="9" fontId="0" fillId="0" borderId="0" xfId="1" applyFont="1" applyFill="1"/>
    <xf numFmtId="216" fontId="0" fillId="0" borderId="0" xfId="3" applyNumberFormat="1" applyFont="1"/>
    <xf numFmtId="209" fontId="0" fillId="15" borderId="0" xfId="3" applyNumberFormat="1" applyFont="1" applyFill="1" applyAlignment="1">
      <alignment horizontal="right"/>
    </xf>
    <xf numFmtId="0" fontId="7" fillId="6" borderId="0" xfId="0" applyFont="1" applyFill="1"/>
    <xf numFmtId="167" fontId="2" fillId="6" borderId="0" xfId="0" applyNumberFormat="1" applyFont="1" applyFill="1" applyAlignment="1">
      <alignment horizontal="center"/>
    </xf>
    <xf numFmtId="167" fontId="9" fillId="6" borderId="0" xfId="0" applyNumberFormat="1" applyFont="1" applyFill="1" applyAlignment="1">
      <alignment horizontal="center"/>
    </xf>
    <xf numFmtId="167" fontId="65" fillId="6" borderId="0" xfId="0" applyNumberFormat="1" applyFont="1" applyFill="1" applyAlignment="1">
      <alignment horizontal="center"/>
    </xf>
    <xf numFmtId="0" fontId="8" fillId="6" borderId="0" xfId="0" applyFont="1" applyFill="1"/>
    <xf numFmtId="167" fontId="13" fillId="6" borderId="0" xfId="0" applyNumberFormat="1" applyFont="1" applyFill="1" applyAlignment="1">
      <alignment horizontal="center"/>
    </xf>
    <xf numFmtId="167" fontId="0" fillId="6" borderId="0" xfId="0" applyNumberFormat="1" applyFill="1" applyAlignment="1">
      <alignment horizontal="center"/>
    </xf>
    <xf numFmtId="167" fontId="2" fillId="6" borderId="6" xfId="0" applyNumberFormat="1" applyFont="1" applyFill="1" applyBorder="1" applyAlignment="1">
      <alignment horizontal="center"/>
    </xf>
    <xf numFmtId="169" fontId="8" fillId="6" borderId="0" xfId="1" applyNumberFormat="1" applyFont="1" applyFill="1" applyAlignment="1">
      <alignment horizontal="center"/>
    </xf>
    <xf numFmtId="167" fontId="0" fillId="6" borderId="0" xfId="0" applyNumberFormat="1" applyFill="1"/>
    <xf numFmtId="169" fontId="19" fillId="6" borderId="0" xfId="1" applyNumberFormat="1" applyFont="1" applyFill="1" applyAlignment="1">
      <alignment horizontal="center"/>
    </xf>
    <xf numFmtId="209" fontId="0" fillId="0" borderId="0" xfId="0" applyNumberFormat="1"/>
    <xf numFmtId="209" fontId="0" fillId="0" borderId="6" xfId="3" applyNumberFormat="1" applyFont="1" applyFill="1" applyBorder="1" applyAlignment="1">
      <alignment horizontal="right"/>
    </xf>
    <xf numFmtId="209" fontId="0" fillId="0" borderId="5" xfId="3" applyNumberFormat="1" applyFont="1" applyBorder="1"/>
    <xf numFmtId="209" fontId="2" fillId="0" borderId="6" xfId="3" applyNumberFormat="1" applyFont="1" applyBorder="1"/>
    <xf numFmtId="209" fontId="13" fillId="0" borderId="0" xfId="3" applyNumberFormat="1" applyFont="1"/>
    <xf numFmtId="182" fontId="0" fillId="0" borderId="0" xfId="0" applyNumberFormat="1"/>
    <xf numFmtId="165" fontId="0" fillId="0" borderId="0" xfId="3" applyFont="1" applyFill="1" applyAlignment="1">
      <alignment horizontal="right"/>
    </xf>
    <xf numFmtId="0" fontId="78" fillId="0" borderId="0" xfId="0" applyFont="1"/>
    <xf numFmtId="165" fontId="78" fillId="0" borderId="0" xfId="3" applyFont="1"/>
    <xf numFmtId="167" fontId="9" fillId="15" borderId="0" xfId="0" applyNumberFormat="1" applyFont="1" applyFill="1" applyAlignment="1">
      <alignment horizontal="center"/>
    </xf>
    <xf numFmtId="167" fontId="65" fillId="15" borderId="6" xfId="0" applyNumberFormat="1" applyFont="1" applyFill="1" applyBorder="1" applyAlignment="1">
      <alignment horizontal="center"/>
    </xf>
    <xf numFmtId="172" fontId="0" fillId="15" borderId="0" xfId="0" applyNumberFormat="1" applyFill="1"/>
    <xf numFmtId="167" fontId="65" fillId="15" borderId="0" xfId="0" applyNumberFormat="1" applyFont="1" applyFill="1" applyAlignment="1">
      <alignment horizontal="center" vertical="center"/>
    </xf>
    <xf numFmtId="167" fontId="65" fillId="15" borderId="0" xfId="0" applyNumberFormat="1" applyFont="1" applyFill="1" applyAlignment="1">
      <alignment horizontal="center"/>
    </xf>
    <xf numFmtId="0" fontId="13" fillId="15" borderId="0" xfId="0" applyFont="1" applyFill="1"/>
    <xf numFmtId="0" fontId="8" fillId="15" borderId="0" xfId="0" applyFont="1" applyFill="1"/>
    <xf numFmtId="167" fontId="13" fillId="15" borderId="0" xfId="0" applyNumberFormat="1" applyFont="1" applyFill="1" applyAlignment="1">
      <alignment horizontal="center"/>
    </xf>
    <xf numFmtId="167" fontId="8" fillId="15" borderId="5" xfId="0" applyNumberFormat="1" applyFont="1" applyFill="1" applyBorder="1" applyAlignment="1">
      <alignment horizontal="center"/>
    </xf>
    <xf numFmtId="167" fontId="8" fillId="15" borderId="0" xfId="0" applyNumberFormat="1" applyFont="1" applyFill="1" applyAlignment="1">
      <alignment horizontal="center"/>
    </xf>
    <xf numFmtId="167" fontId="65" fillId="15" borderId="5" xfId="0" applyNumberFormat="1" applyFont="1" applyFill="1" applyBorder="1" applyAlignment="1">
      <alignment horizontal="center"/>
    </xf>
    <xf numFmtId="167" fontId="11" fillId="15" borderId="0" xfId="0" applyNumberFormat="1" applyFont="1" applyFill="1" applyAlignment="1">
      <alignment horizontal="center"/>
    </xf>
    <xf numFmtId="167" fontId="72" fillId="15" borderId="0" xfId="0" applyNumberFormat="1" applyFont="1" applyFill="1" applyAlignment="1">
      <alignment horizontal="center"/>
    </xf>
    <xf numFmtId="209" fontId="72" fillId="15" borderId="0" xfId="3" applyNumberFormat="1" applyFont="1" applyFill="1" applyAlignment="1">
      <alignment horizontal="center"/>
    </xf>
    <xf numFmtId="167" fontId="2" fillId="15" borderId="5" xfId="0" applyNumberFormat="1" applyFont="1" applyFill="1" applyBorder="1" applyAlignment="1">
      <alignment horizontal="center"/>
    </xf>
    <xf numFmtId="167" fontId="2" fillId="15" borderId="8" xfId="0" applyNumberFormat="1" applyFont="1" applyFill="1" applyBorder="1" applyAlignment="1">
      <alignment horizontal="center"/>
    </xf>
    <xf numFmtId="17" fontId="2" fillId="0" borderId="5" xfId="0" applyNumberFormat="1" applyFont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13" fillId="6" borderId="0" xfId="0" applyFont="1" applyFill="1"/>
    <xf numFmtId="169" fontId="66" fillId="6" borderId="0" xfId="1" applyNumberFormat="1" applyFont="1" applyFill="1" applyAlignment="1">
      <alignment horizontal="center"/>
    </xf>
    <xf numFmtId="169" fontId="67" fillId="6" borderId="0" xfId="1" applyNumberFormat="1" applyFont="1" applyFill="1" applyAlignment="1">
      <alignment horizontal="center"/>
    </xf>
    <xf numFmtId="167" fontId="71" fillId="6" borderId="0" xfId="0" applyNumberFormat="1" applyFont="1" applyFill="1" applyAlignment="1">
      <alignment horizontal="center"/>
    </xf>
    <xf numFmtId="1" fontId="0" fillId="15" borderId="0" xfId="0" applyNumberFormat="1" applyFill="1"/>
    <xf numFmtId="174" fontId="0" fillId="15" borderId="0" xfId="0" applyNumberFormat="1" applyFill="1"/>
    <xf numFmtId="209" fontId="2" fillId="15" borderId="5" xfId="3" applyNumberFormat="1" applyFont="1" applyFill="1" applyBorder="1"/>
    <xf numFmtId="0" fontId="59" fillId="15" borderId="0" xfId="0" applyFont="1" applyFill="1" applyAlignment="1">
      <alignment horizontal="center"/>
    </xf>
    <xf numFmtId="0" fontId="7" fillId="15" borderId="0" xfId="0" applyFont="1" applyFill="1"/>
    <xf numFmtId="183" fontId="2" fillId="15" borderId="0" xfId="0" applyNumberFormat="1" applyFont="1" applyFill="1" applyAlignment="1">
      <alignment horizontal="center"/>
    </xf>
    <xf numFmtId="0" fontId="9" fillId="15" borderId="0" xfId="0" applyFont="1" applyFill="1"/>
    <xf numFmtId="183" fontId="0" fillId="15" borderId="0" xfId="0" applyNumberFormat="1" applyFill="1" applyAlignment="1">
      <alignment horizontal="center"/>
    </xf>
    <xf numFmtId="0" fontId="2" fillId="15" borderId="0" xfId="0" applyFont="1" applyFill="1"/>
    <xf numFmtId="167" fontId="65" fillId="6" borderId="8" xfId="0" applyNumberFormat="1" applyFont="1" applyFill="1" applyBorder="1" applyAlignment="1">
      <alignment horizontal="center"/>
    </xf>
    <xf numFmtId="209" fontId="13" fillId="6" borderId="0" xfId="3" applyNumberFormat="1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178" fontId="17" fillId="0" borderId="0" xfId="0" applyNumberFormat="1" applyFont="1" applyAlignment="1">
      <alignment horizontal="center"/>
    </xf>
    <xf numFmtId="0" fontId="0" fillId="0" borderId="14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  <xf numFmtId="0" fontId="0" fillId="0" borderId="16" xfId="0" applyBorder="1" applyAlignment="1">
      <alignment horizontal="center" vertical="center" textRotation="90"/>
    </xf>
    <xf numFmtId="0" fontId="0" fillId="0" borderId="4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center" textRotation="90"/>
    </xf>
    <xf numFmtId="0" fontId="13" fillId="0" borderId="14" xfId="0" applyFont="1" applyBorder="1" applyAlignment="1">
      <alignment horizontal="center" vertical="center" textRotation="90"/>
    </xf>
    <xf numFmtId="0" fontId="13" fillId="0" borderId="15" xfId="0" applyFont="1" applyBorder="1" applyAlignment="1">
      <alignment horizontal="center" vertical="center" textRotation="90"/>
    </xf>
    <xf numFmtId="0" fontId="13" fillId="0" borderId="16" xfId="0" applyFont="1" applyBorder="1" applyAlignment="1">
      <alignment horizontal="center" vertical="center" textRotation="90"/>
    </xf>
  </cellXfs>
  <cellStyles count="1620">
    <cellStyle name="20% - Accent1" xfId="37" builtinId="30" customBuiltin="1"/>
    <cellStyle name="20% - Accent2" xfId="41" builtinId="34" customBuiltin="1"/>
    <cellStyle name="20% - Accent3" xfId="45" builtinId="38" customBuiltin="1"/>
    <cellStyle name="20% - Accent4" xfId="49" builtinId="42" customBuiltin="1"/>
    <cellStyle name="20% - Accent5" xfId="53" builtinId="46" customBuiltin="1"/>
    <cellStyle name="20% - Accent6" xfId="57" builtinId="50" customBuiltin="1"/>
    <cellStyle name="40% - Accent1" xfId="38" builtinId="31" customBuiltin="1"/>
    <cellStyle name="40% - Accent2" xfId="42" builtinId="35" customBuiltin="1"/>
    <cellStyle name="40% - Accent3" xfId="46" builtinId="39" customBuiltin="1"/>
    <cellStyle name="40% - Accent4" xfId="50" builtinId="43" customBuiltin="1"/>
    <cellStyle name="40% - Accent5" xfId="54" builtinId="47" customBuiltin="1"/>
    <cellStyle name="40% - Accent6" xfId="58" builtinId="51" customBuiltin="1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5" builtinId="27" customBuiltin="1"/>
    <cellStyle name="Calculation" xfId="29" builtinId="22" customBuiltin="1"/>
    <cellStyle name="Check Cell" xfId="31" builtinId="23" customBuiltin="1"/>
    <cellStyle name="Comma" xfId="3" builtinId="3"/>
    <cellStyle name="Comma 10" xfId="205" xr:uid="{706DA57F-6883-410C-8DBF-269869A7E4AF}"/>
    <cellStyle name="Comma 10 2" xfId="450" xr:uid="{3A09AA88-D24D-4DBD-9D0B-BBE625B06FA2}"/>
    <cellStyle name="Comma 10 2 2" xfId="1430" xr:uid="{3C52D9DE-92C2-4ECB-88EE-9B31E41F322F}"/>
    <cellStyle name="Comma 10 2 3" xfId="940" xr:uid="{0789F4E8-D064-4BA3-AE7E-275F7BE32462}"/>
    <cellStyle name="Comma 10 3" xfId="1185" xr:uid="{C482406B-EFFB-4B1C-852C-2CFC5D84FE30}"/>
    <cellStyle name="Comma 10 4" xfId="695" xr:uid="{A980CBEF-3FD2-4156-BC49-3AA6DB68EB62}"/>
    <cellStyle name="Comma 11" xfId="295" xr:uid="{811AC38E-8752-495B-9538-4364D5A5B8EA}"/>
    <cellStyle name="Comma 11 2" xfId="540" xr:uid="{4E7732B1-03A6-4F84-807B-D1F9F7755DCE}"/>
    <cellStyle name="Comma 11 2 2" xfId="1520" xr:uid="{5E47315D-E814-46E8-B7BB-F29F79539A98}"/>
    <cellStyle name="Comma 11 2 3" xfId="1030" xr:uid="{4357DBB2-8EBE-47E4-A5FD-46895935C19D}"/>
    <cellStyle name="Comma 11 3" xfId="1275" xr:uid="{0EAB9398-DE82-412E-B6B4-7C8B69724165}"/>
    <cellStyle name="Comma 11 4" xfId="785" xr:uid="{8E6C589D-C4D4-4045-8A3E-F1106BCC5F2A}"/>
    <cellStyle name="Comma 12" xfId="390" xr:uid="{584582C5-71C9-4673-B65F-684F0117A895}"/>
    <cellStyle name="Comma 12 2" xfId="1370" xr:uid="{D3D2E1D1-13CE-49B2-9A14-B5E8204E8AA4}"/>
    <cellStyle name="Comma 12 3" xfId="880" xr:uid="{465480C7-C0E7-4B27-A6F4-857FD41695FE}"/>
    <cellStyle name="Comma 13" xfId="1125" xr:uid="{289A9CAF-010F-41D5-8818-F99BB1DEAF1A}"/>
    <cellStyle name="Comma 14" xfId="635" xr:uid="{DDC79820-44F7-4C16-B9EC-6DBEF32FBA64}"/>
    <cellStyle name="Comma 15" xfId="145" xr:uid="{CA6008BF-1D95-45B4-A972-D26CC0CCD6A5}"/>
    <cellStyle name="Comma 16" xfId="1618" xr:uid="{8C74421F-DD2F-4861-99D7-1BEAECB25366}"/>
    <cellStyle name="Comma 2" xfId="7" xr:uid="{00000000-0005-0000-0000-000033000000}"/>
    <cellStyle name="Comma 2 10" xfId="391" xr:uid="{CF57C858-74C0-41AB-8B5A-3AC41E745E5C}"/>
    <cellStyle name="Comma 2 10 2" xfId="1371" xr:uid="{BD972147-5F71-453D-8472-8909CA3377B7}"/>
    <cellStyle name="Comma 2 10 3" xfId="881" xr:uid="{9B1AED20-3BB6-4F39-A5E1-253347A2799C}"/>
    <cellStyle name="Comma 2 11" xfId="1126" xr:uid="{4B0FD559-CE1B-4364-A360-1D646EAB0CDA}"/>
    <cellStyle name="Comma 2 12" xfId="636" xr:uid="{B17026CD-4EC5-467D-BE5B-F0F96093709F}"/>
    <cellStyle name="Comma 2 13" xfId="146" xr:uid="{520250BE-E99D-4EF9-A498-EFC977808F35}"/>
    <cellStyle name="Comma 2 2" xfId="17" xr:uid="{70C61B75-B9E7-4126-B6E8-3893472A4F85}"/>
    <cellStyle name="Comma 2 2 10" xfId="1128" xr:uid="{D51EA8CE-F8B7-4AFA-84AC-9EC65CD02747}"/>
    <cellStyle name="Comma 2 2 11" xfId="638" xr:uid="{C295BAAC-D422-4BC4-BB31-BFE342B6DD89}"/>
    <cellStyle name="Comma 2 2 12" xfId="148" xr:uid="{CDDF7D54-568C-4473-BBCB-C4CFBFA0FA43}"/>
    <cellStyle name="Comma 2 2 2" xfId="63" xr:uid="{F435ACB0-E538-4559-B4AE-72A3065E4053}"/>
    <cellStyle name="Comma 2 2 2 10" xfId="643" xr:uid="{4891AA6B-177B-4D55-91BD-6E9274525385}"/>
    <cellStyle name="Comma 2 2 2 11" xfId="153" xr:uid="{B676C397-4F93-485E-B158-D1AB5DBFD62A}"/>
    <cellStyle name="Comma 2 2 2 2" xfId="83" xr:uid="{26EEE476-0136-4415-83B4-F717E11D7E35}"/>
    <cellStyle name="Comma 2 2 2 2 2" xfId="143" xr:uid="{1B689F10-4813-4C4B-8F17-3CD0034E8780}"/>
    <cellStyle name="Comma 2 2 2 2 2 2" xfId="293" xr:uid="{A3AB8633-CE1A-4B70-8B64-B87C9E503E2E}"/>
    <cellStyle name="Comma 2 2 2 2 2 2 2" xfId="538" xr:uid="{60B9CE30-53F8-4F84-8C54-9BCD085A2395}"/>
    <cellStyle name="Comma 2 2 2 2 2 2 2 2" xfId="1518" xr:uid="{80B45324-6B16-4EF2-A296-45E6D7FD22BA}"/>
    <cellStyle name="Comma 2 2 2 2 2 2 2 3" xfId="1028" xr:uid="{5383C337-3374-4BB0-AC7F-B20B4564FCC1}"/>
    <cellStyle name="Comma 2 2 2 2 2 2 3" xfId="1273" xr:uid="{AE9AF212-8C5E-47CE-9840-6BF13269E340}"/>
    <cellStyle name="Comma 2 2 2 2 2 2 4" xfId="783" xr:uid="{B509B6FE-38A3-4624-B88D-DE3A5E4A7C7E}"/>
    <cellStyle name="Comma 2 2 2 2 2 3" xfId="388" xr:uid="{4FD2F506-F7CA-4DE3-ADDA-43306F52082C}"/>
    <cellStyle name="Comma 2 2 2 2 2 3 2" xfId="633" xr:uid="{F77431E6-5FAC-4FF9-8E0B-BEFB41AA88FB}"/>
    <cellStyle name="Comma 2 2 2 2 2 3 2 2" xfId="1613" xr:uid="{2D3FFA82-B331-49C4-9B02-531B7A32DFEB}"/>
    <cellStyle name="Comma 2 2 2 2 2 3 2 3" xfId="1123" xr:uid="{3D97EF72-D3BD-41BA-810F-AB48DE6C82BD}"/>
    <cellStyle name="Comma 2 2 2 2 2 3 3" xfId="1368" xr:uid="{C063B084-688A-4028-A3EE-4C8ADD6A0F22}"/>
    <cellStyle name="Comma 2 2 2 2 2 3 4" xfId="878" xr:uid="{CF3331CD-659B-486B-A150-2EF22A6AAC99}"/>
    <cellStyle name="Comma 2 2 2 2 2 4" xfId="448" xr:uid="{B95B63BB-5F96-473E-BEEA-38BD358D1CDA}"/>
    <cellStyle name="Comma 2 2 2 2 2 4 2" xfId="1428" xr:uid="{18369AB7-4EA2-480A-BAC6-E342B5C7B2E9}"/>
    <cellStyle name="Comma 2 2 2 2 2 4 3" xfId="938" xr:uid="{3C6E554F-69E4-45D2-AAA5-10A3ED3AF0D8}"/>
    <cellStyle name="Comma 2 2 2 2 2 5" xfId="1183" xr:uid="{4AE0D468-7B2C-4F63-BE2F-9DCFD6E85137}"/>
    <cellStyle name="Comma 2 2 2 2 2 6" xfId="693" xr:uid="{0EEEDC6A-5526-4C72-B7E2-547F9559B759}"/>
    <cellStyle name="Comma 2 2 2 2 2 7" xfId="203" xr:uid="{92B9FCE1-7014-4BD4-AEA7-C9BF2ADE7A35}"/>
    <cellStyle name="Comma 2 2 2 2 3" xfId="113" xr:uid="{01817E52-EE16-4D55-A053-AE94A36DAE7D}"/>
    <cellStyle name="Comma 2 2 2 2 3 2" xfId="358" xr:uid="{01BA17B2-FC09-40B6-B8CD-C19F666CBFEB}"/>
    <cellStyle name="Comma 2 2 2 2 3 2 2" xfId="603" xr:uid="{29ABC2C3-F1F7-4028-BAD5-9B3F3D229A8E}"/>
    <cellStyle name="Comma 2 2 2 2 3 2 2 2" xfId="1583" xr:uid="{BC9E4DCC-E6C7-4926-A81A-E1A3F3FB3EE8}"/>
    <cellStyle name="Comma 2 2 2 2 3 2 2 3" xfId="1093" xr:uid="{C2E32BE2-23CB-4599-A33F-09CB76021BC3}"/>
    <cellStyle name="Comma 2 2 2 2 3 2 3" xfId="1338" xr:uid="{3AC7516A-629E-4FFB-8899-18F7430AF4A5}"/>
    <cellStyle name="Comma 2 2 2 2 3 2 4" xfId="848" xr:uid="{6913FFE8-3D92-49F4-8219-3952BB834AB8}"/>
    <cellStyle name="Comma 2 2 2 2 3 3" xfId="508" xr:uid="{9283C64A-9A0C-40B9-BE5A-557F9E251441}"/>
    <cellStyle name="Comma 2 2 2 2 3 3 2" xfId="1488" xr:uid="{F897732A-649A-40F3-88A8-B2D2E4606CE4}"/>
    <cellStyle name="Comma 2 2 2 2 3 3 3" xfId="998" xr:uid="{8F9DE8CD-5D36-4A5F-BEA6-D06E658646FE}"/>
    <cellStyle name="Comma 2 2 2 2 3 4" xfId="1243" xr:uid="{5E9774E3-33B5-41A9-A5E3-5501C519ED8E}"/>
    <cellStyle name="Comma 2 2 2 2 3 5" xfId="753" xr:uid="{2999C2A5-671C-468F-9D86-6D8B2D72E4C6}"/>
    <cellStyle name="Comma 2 2 2 2 3 6" xfId="263" xr:uid="{FEDE4CEF-F541-4A86-B33F-0D2C20C2D80E}"/>
    <cellStyle name="Comma 2 2 2 2 4" xfId="233" xr:uid="{1EF74930-ED2C-4DD9-B00F-1EAE3FF89B9E}"/>
    <cellStyle name="Comma 2 2 2 2 4 2" xfId="478" xr:uid="{3C885EDB-4F3F-49E0-BD1A-404E07EDA850}"/>
    <cellStyle name="Comma 2 2 2 2 4 2 2" xfId="1458" xr:uid="{202670A3-91E6-444D-B872-D5E18EDF027C}"/>
    <cellStyle name="Comma 2 2 2 2 4 2 3" xfId="968" xr:uid="{E5B5984B-ED8F-437E-90DE-700869C6A33A}"/>
    <cellStyle name="Comma 2 2 2 2 4 3" xfId="1213" xr:uid="{2177C891-9019-4073-9514-B346E6AC376D}"/>
    <cellStyle name="Comma 2 2 2 2 4 4" xfId="723" xr:uid="{F6C51119-60FF-4BED-A324-43C87528B46D}"/>
    <cellStyle name="Comma 2 2 2 2 5" xfId="328" xr:uid="{9829A2B8-E3D1-4087-905F-A4E117834723}"/>
    <cellStyle name="Comma 2 2 2 2 5 2" xfId="573" xr:uid="{2880D56A-230B-465E-AAED-44A44DCC400B}"/>
    <cellStyle name="Comma 2 2 2 2 5 2 2" xfId="1553" xr:uid="{D96E9617-9F70-4CEC-BEF4-0579C21441BC}"/>
    <cellStyle name="Comma 2 2 2 2 5 2 3" xfId="1063" xr:uid="{76A97B30-08AE-49E2-9000-4753F6CFD81D}"/>
    <cellStyle name="Comma 2 2 2 2 5 3" xfId="1308" xr:uid="{8AEED50B-49A7-4252-A7E0-5FE5994C85F7}"/>
    <cellStyle name="Comma 2 2 2 2 5 4" xfId="818" xr:uid="{DC01F40F-8984-41EE-83A5-94816756DD17}"/>
    <cellStyle name="Comma 2 2 2 2 6" xfId="418" xr:uid="{C3E8B84A-D478-4B02-B6A2-9F067199527B}"/>
    <cellStyle name="Comma 2 2 2 2 6 2" xfId="1398" xr:uid="{FD306062-5A01-48B6-8E03-FE0E6EDA2510}"/>
    <cellStyle name="Comma 2 2 2 2 6 3" xfId="908" xr:uid="{2613EBEA-2FF9-4C9A-9A82-FB64508ADB7F}"/>
    <cellStyle name="Comma 2 2 2 2 7" xfId="1153" xr:uid="{73709379-0BFC-471B-8676-85BD7A00109B}"/>
    <cellStyle name="Comma 2 2 2 2 8" xfId="663" xr:uid="{3F622B06-E151-4B8A-8F0B-20DE3006D62C}"/>
    <cellStyle name="Comma 2 2 2 2 9" xfId="173" xr:uid="{D2B05E1D-534F-479E-948C-EAC9E14483D5}"/>
    <cellStyle name="Comma 2 2 2 3" xfId="73" xr:uid="{E2E6BEF3-4696-4712-AD58-66CC065D8D7C}"/>
    <cellStyle name="Comma 2 2 2 3 2" xfId="133" xr:uid="{4E18CA6D-BECE-49BB-947A-8FC7EBC5A209}"/>
    <cellStyle name="Comma 2 2 2 3 2 2" xfId="283" xr:uid="{E239774F-D248-487E-AF5F-6CC7ED66C75F}"/>
    <cellStyle name="Comma 2 2 2 3 2 2 2" xfId="528" xr:uid="{E006D2C0-B520-4BD5-8322-EC3BB59A11AF}"/>
    <cellStyle name="Comma 2 2 2 3 2 2 2 2" xfId="1508" xr:uid="{01965EFE-395B-4426-BBB3-92169A23FF4E}"/>
    <cellStyle name="Comma 2 2 2 3 2 2 2 3" xfId="1018" xr:uid="{7B6A0753-375E-401E-8579-556B7D84E57A}"/>
    <cellStyle name="Comma 2 2 2 3 2 2 3" xfId="1263" xr:uid="{1D2F6DB0-F0EE-4CA1-A28E-891F106E6B2C}"/>
    <cellStyle name="Comma 2 2 2 3 2 2 4" xfId="773" xr:uid="{BA0307EA-933A-4094-B399-65C7F2056AF9}"/>
    <cellStyle name="Comma 2 2 2 3 2 3" xfId="378" xr:uid="{1AC05FC9-60C4-4A4B-B4B2-058B7C55BD9A}"/>
    <cellStyle name="Comma 2 2 2 3 2 3 2" xfId="623" xr:uid="{9F20556E-5D79-430F-BD27-3DDFF6AF8978}"/>
    <cellStyle name="Comma 2 2 2 3 2 3 2 2" xfId="1603" xr:uid="{E7518425-F271-40D1-9DE1-C45FD665A974}"/>
    <cellStyle name="Comma 2 2 2 3 2 3 2 3" xfId="1113" xr:uid="{59C08D6F-EBEB-477B-86C2-12FAA949F386}"/>
    <cellStyle name="Comma 2 2 2 3 2 3 3" xfId="1358" xr:uid="{48932D90-A6D7-40B1-BFB5-AFFEFCBF5BE1}"/>
    <cellStyle name="Comma 2 2 2 3 2 3 4" xfId="868" xr:uid="{0B316DD0-46F2-469C-8102-7E760345A557}"/>
    <cellStyle name="Comma 2 2 2 3 2 4" xfId="438" xr:uid="{F0DE0CBA-F697-4149-A8E8-772D85ED81F3}"/>
    <cellStyle name="Comma 2 2 2 3 2 4 2" xfId="1418" xr:uid="{264E1A24-C1D7-4064-BB62-29687D3E2EBE}"/>
    <cellStyle name="Comma 2 2 2 3 2 4 3" xfId="928" xr:uid="{94C0C661-D7AF-4389-BC9D-DC3CCC229CDE}"/>
    <cellStyle name="Comma 2 2 2 3 2 5" xfId="1173" xr:uid="{7EE18350-7D2F-439A-BC86-724AFFBEB99B}"/>
    <cellStyle name="Comma 2 2 2 3 2 6" xfId="683" xr:uid="{61740309-2B4A-473F-B7A2-C0787705AE72}"/>
    <cellStyle name="Comma 2 2 2 3 2 7" xfId="193" xr:uid="{9B9FF17C-9001-4ADC-A641-716B88CD3340}"/>
    <cellStyle name="Comma 2 2 2 3 3" xfId="103" xr:uid="{B0DE7489-A627-489E-BBCD-5AAC00302E80}"/>
    <cellStyle name="Comma 2 2 2 3 3 2" xfId="348" xr:uid="{C003591A-93B4-48C8-9983-03C04D4EE35E}"/>
    <cellStyle name="Comma 2 2 2 3 3 2 2" xfId="593" xr:uid="{BC0AE57B-4894-4F46-8B68-8345AA052EE2}"/>
    <cellStyle name="Comma 2 2 2 3 3 2 2 2" xfId="1573" xr:uid="{E4B57F91-48E8-4418-8C57-07D6DE3BDD65}"/>
    <cellStyle name="Comma 2 2 2 3 3 2 2 3" xfId="1083" xr:uid="{A2471212-25F9-44F0-AAC6-ED4FD02793F1}"/>
    <cellStyle name="Comma 2 2 2 3 3 2 3" xfId="1328" xr:uid="{2DD8DACC-02EA-4DE6-92D9-BCB5F6C3F3AE}"/>
    <cellStyle name="Comma 2 2 2 3 3 2 4" xfId="838" xr:uid="{E0B75783-0EAD-42C6-A07D-1D279293B5D4}"/>
    <cellStyle name="Comma 2 2 2 3 3 3" xfId="498" xr:uid="{80A7D24C-1251-4F8F-9915-F16A43814035}"/>
    <cellStyle name="Comma 2 2 2 3 3 3 2" xfId="1478" xr:uid="{027E0E09-9117-45F3-9AEB-84EBEFB502F7}"/>
    <cellStyle name="Comma 2 2 2 3 3 3 3" xfId="988" xr:uid="{CECC0E6E-842C-4149-AB2A-99FCADC6EBAF}"/>
    <cellStyle name="Comma 2 2 2 3 3 4" xfId="1233" xr:uid="{0F0F26C5-796D-4C28-A104-2659F7871E99}"/>
    <cellStyle name="Comma 2 2 2 3 3 5" xfId="743" xr:uid="{1ABC8864-56D3-4FD2-B281-9D3DB4A5A82A}"/>
    <cellStyle name="Comma 2 2 2 3 3 6" xfId="253" xr:uid="{F2E9A0FE-7CD4-4B4A-99C6-EB71248D540E}"/>
    <cellStyle name="Comma 2 2 2 3 4" xfId="223" xr:uid="{6CF22E8E-94B5-4355-981E-FEE291AF5332}"/>
    <cellStyle name="Comma 2 2 2 3 4 2" xfId="468" xr:uid="{2D8B12B7-5E31-4463-A75A-12F40D011DB5}"/>
    <cellStyle name="Comma 2 2 2 3 4 2 2" xfId="1448" xr:uid="{8A1DBEA8-BBE3-428B-B23F-76FBB04AD49E}"/>
    <cellStyle name="Comma 2 2 2 3 4 2 3" xfId="958" xr:uid="{A7091130-DDDF-4D13-A03B-9DC3A2EE958D}"/>
    <cellStyle name="Comma 2 2 2 3 4 3" xfId="1203" xr:uid="{E3B6F1C9-34CE-430C-90B6-090EFDB7A4DB}"/>
    <cellStyle name="Comma 2 2 2 3 4 4" xfId="713" xr:uid="{C0670541-EB99-46EB-AAB8-F1A62DF7C62B}"/>
    <cellStyle name="Comma 2 2 2 3 5" xfId="318" xr:uid="{00494E89-1249-490A-89AE-F97C90908FA5}"/>
    <cellStyle name="Comma 2 2 2 3 5 2" xfId="563" xr:uid="{37CA2E9F-7B5C-4AB8-9D37-9D61A480183B}"/>
    <cellStyle name="Comma 2 2 2 3 5 2 2" xfId="1543" xr:uid="{09DC813D-F9BB-4CB0-A8FA-C26D680448D4}"/>
    <cellStyle name="Comma 2 2 2 3 5 2 3" xfId="1053" xr:uid="{77248E63-0A9C-43C3-A500-45F30D363301}"/>
    <cellStyle name="Comma 2 2 2 3 5 3" xfId="1298" xr:uid="{793C960C-06B7-4119-A86E-0DE47E70908C}"/>
    <cellStyle name="Comma 2 2 2 3 5 4" xfId="808" xr:uid="{D13F8565-3663-463E-B515-F5D7736B2615}"/>
    <cellStyle name="Comma 2 2 2 3 6" xfId="408" xr:uid="{274420A8-CD2F-4103-B9A7-B6E9B4487FD1}"/>
    <cellStyle name="Comma 2 2 2 3 6 2" xfId="1388" xr:uid="{840CFFE3-BBB1-4100-9502-7FFE169D761A}"/>
    <cellStyle name="Comma 2 2 2 3 6 3" xfId="898" xr:uid="{5F9802BD-7D6F-4258-AC85-A92B8CB43C5F}"/>
    <cellStyle name="Comma 2 2 2 3 7" xfId="1143" xr:uid="{01F3DF61-71CE-4017-B7B1-6C02C7C41FD2}"/>
    <cellStyle name="Comma 2 2 2 3 8" xfId="653" xr:uid="{4AF4C50C-B8F8-40C5-A595-29C62FBF9333}"/>
    <cellStyle name="Comma 2 2 2 3 9" xfId="163" xr:uid="{57D615B7-C8C4-4699-B045-0E7CF97B5C4A}"/>
    <cellStyle name="Comma 2 2 2 4" xfId="123" xr:uid="{F3094939-6DDD-42A2-A307-E940A0ABC9B2}"/>
    <cellStyle name="Comma 2 2 2 4 2" xfId="273" xr:uid="{D3D564BC-25F6-4FDF-B06B-4137D9A603A0}"/>
    <cellStyle name="Comma 2 2 2 4 2 2" xfId="518" xr:uid="{C47E1BE1-F201-4B36-BE70-F1C377DB025D}"/>
    <cellStyle name="Comma 2 2 2 4 2 2 2" xfId="1498" xr:uid="{6386C978-D40C-4BFD-91B7-402A3109796F}"/>
    <cellStyle name="Comma 2 2 2 4 2 2 3" xfId="1008" xr:uid="{81BF3F6F-9C19-467D-B1E2-37531EF201C8}"/>
    <cellStyle name="Comma 2 2 2 4 2 3" xfId="1253" xr:uid="{FA820501-F7A0-45A1-B271-DE7727757DFD}"/>
    <cellStyle name="Comma 2 2 2 4 2 4" xfId="763" xr:uid="{EB958911-2B78-46F1-9DA8-0F78C4DCCEB8}"/>
    <cellStyle name="Comma 2 2 2 4 3" xfId="368" xr:uid="{F4E26208-2A37-4105-92FD-5B364337F2E2}"/>
    <cellStyle name="Comma 2 2 2 4 3 2" xfId="613" xr:uid="{45F8E40A-528E-4C58-8828-52EF2B966046}"/>
    <cellStyle name="Comma 2 2 2 4 3 2 2" xfId="1593" xr:uid="{8BEB5386-3D3A-4E9B-A7E6-7ED653891668}"/>
    <cellStyle name="Comma 2 2 2 4 3 2 3" xfId="1103" xr:uid="{054847F1-C658-4FBA-ACE3-A9B66157735B}"/>
    <cellStyle name="Comma 2 2 2 4 3 3" xfId="1348" xr:uid="{19D1EFC0-A7FF-4EED-A4E0-1584CDA0403F}"/>
    <cellStyle name="Comma 2 2 2 4 3 4" xfId="858" xr:uid="{516854E3-6632-4C2B-AFCA-93D64EF3D18A}"/>
    <cellStyle name="Comma 2 2 2 4 4" xfId="428" xr:uid="{D7126033-DE78-40CC-BB96-927408465B86}"/>
    <cellStyle name="Comma 2 2 2 4 4 2" xfId="1408" xr:uid="{47E42CC9-D547-4A74-9601-320CE7C0E9FF}"/>
    <cellStyle name="Comma 2 2 2 4 4 3" xfId="918" xr:uid="{8466BF5A-C90F-4D74-B1BA-F7D65A50181A}"/>
    <cellStyle name="Comma 2 2 2 4 5" xfId="1163" xr:uid="{CADDED5A-EEFD-4F4B-9C20-92754E7DA7FC}"/>
    <cellStyle name="Comma 2 2 2 4 6" xfId="673" xr:uid="{54F1F625-6E2E-49A2-BF41-45DDFC383E09}"/>
    <cellStyle name="Comma 2 2 2 4 7" xfId="183" xr:uid="{0D9E62F6-20A4-4253-89E8-EA4EDD8431E0}"/>
    <cellStyle name="Comma 2 2 2 5" xfId="93" xr:uid="{F89D69E6-7C42-406F-8C3E-AC9FCB3A2A32}"/>
    <cellStyle name="Comma 2 2 2 5 2" xfId="338" xr:uid="{DC9B884B-D33A-4FCA-87B8-5F7004E4E4BB}"/>
    <cellStyle name="Comma 2 2 2 5 2 2" xfId="583" xr:uid="{9012FFB7-E156-4A50-A271-1BED215C5E53}"/>
    <cellStyle name="Comma 2 2 2 5 2 2 2" xfId="1563" xr:uid="{E1A42B35-421B-4BB3-9DA1-9F30A60EEA69}"/>
    <cellStyle name="Comma 2 2 2 5 2 2 3" xfId="1073" xr:uid="{BDA638AB-D738-4B02-9C53-030D1F608734}"/>
    <cellStyle name="Comma 2 2 2 5 2 3" xfId="1318" xr:uid="{83F63591-1F8D-4F52-AF4A-105EBBA2BC67}"/>
    <cellStyle name="Comma 2 2 2 5 2 4" xfId="828" xr:uid="{4D7626FF-8A2C-46F3-BBCE-940B77522341}"/>
    <cellStyle name="Comma 2 2 2 5 3" xfId="488" xr:uid="{C1594B0B-4568-491B-9CF4-D5D8744587AE}"/>
    <cellStyle name="Comma 2 2 2 5 3 2" xfId="1468" xr:uid="{12A9B9D4-A6CB-49F7-9F48-F3B34019B317}"/>
    <cellStyle name="Comma 2 2 2 5 3 3" xfId="978" xr:uid="{7C8FB19C-66A2-4544-997A-732270E19771}"/>
    <cellStyle name="Comma 2 2 2 5 4" xfId="1223" xr:uid="{B689289B-6452-47F3-B25F-60A1C63C8B37}"/>
    <cellStyle name="Comma 2 2 2 5 5" xfId="733" xr:uid="{1235CB8C-1C32-46B2-B4FE-272B8D77613A}"/>
    <cellStyle name="Comma 2 2 2 5 6" xfId="243" xr:uid="{7E5B7807-5F32-4053-B82A-F26D0B9D5AF7}"/>
    <cellStyle name="Comma 2 2 2 6" xfId="213" xr:uid="{81B6FCCD-2938-48E2-814E-48009B3E34E3}"/>
    <cellStyle name="Comma 2 2 2 6 2" xfId="458" xr:uid="{DAF8CBBB-B157-4A83-ACE1-C416061E59BE}"/>
    <cellStyle name="Comma 2 2 2 6 2 2" xfId="1438" xr:uid="{5BFD1672-BE3C-4919-8A37-F6065912AFCE}"/>
    <cellStyle name="Comma 2 2 2 6 2 3" xfId="948" xr:uid="{5F02907E-B110-46DD-9501-099A53D5273C}"/>
    <cellStyle name="Comma 2 2 2 6 3" xfId="1193" xr:uid="{19827FE4-26D8-4FB5-A672-BB010F5A7961}"/>
    <cellStyle name="Comma 2 2 2 6 4" xfId="703" xr:uid="{88A69E16-9376-4C9C-9A7D-C6EF1ED692D3}"/>
    <cellStyle name="Comma 2 2 2 7" xfId="308" xr:uid="{1BE7723B-A00A-41B7-9650-F2256D6D9FA6}"/>
    <cellStyle name="Comma 2 2 2 7 2" xfId="553" xr:uid="{B5485331-A117-4309-BB10-E0729B0067F2}"/>
    <cellStyle name="Comma 2 2 2 7 2 2" xfId="1533" xr:uid="{12CC9460-FC74-4B7A-ACDE-E1D8BA488405}"/>
    <cellStyle name="Comma 2 2 2 7 2 3" xfId="1043" xr:uid="{55481CCE-1DFA-4252-86E4-92779EC3D65E}"/>
    <cellStyle name="Comma 2 2 2 7 3" xfId="1288" xr:uid="{1EDF3961-9366-464A-A80F-3F040F8053D2}"/>
    <cellStyle name="Comma 2 2 2 7 4" xfId="798" xr:uid="{2764095E-922E-4E79-8E4C-67F7C3D27902}"/>
    <cellStyle name="Comma 2 2 2 8" xfId="398" xr:uid="{C82B3439-4ACA-403A-BF41-AF643196FFC6}"/>
    <cellStyle name="Comma 2 2 2 8 2" xfId="1378" xr:uid="{5755A1C7-F186-447D-82DE-BA3D39314B84}"/>
    <cellStyle name="Comma 2 2 2 8 3" xfId="888" xr:uid="{2A6D3711-926B-48C5-A972-72BF635D59D0}"/>
    <cellStyle name="Comma 2 2 2 9" xfId="1133" xr:uid="{CD737E89-9E74-490E-A937-3A2FAC2FAE00}"/>
    <cellStyle name="Comma 2 2 3" xfId="78" xr:uid="{F71910B7-26A3-4542-A5BA-3A508D0F7CD2}"/>
    <cellStyle name="Comma 2 2 3 2" xfId="138" xr:uid="{AE9B3F2E-3EB5-4CCC-A31B-5F85882D8373}"/>
    <cellStyle name="Comma 2 2 3 2 2" xfId="288" xr:uid="{9D0AEE70-F390-4DC3-BA53-1C609E73C769}"/>
    <cellStyle name="Comma 2 2 3 2 2 2" xfId="533" xr:uid="{142F6E6C-D0A7-4057-80A4-21ECC0BB2C64}"/>
    <cellStyle name="Comma 2 2 3 2 2 2 2" xfId="1513" xr:uid="{8C17EEEF-6738-4F09-AAA9-1734FE4195B5}"/>
    <cellStyle name="Comma 2 2 3 2 2 2 3" xfId="1023" xr:uid="{9BB2F665-A38C-42CE-BE17-8C9AE51960A5}"/>
    <cellStyle name="Comma 2 2 3 2 2 3" xfId="1268" xr:uid="{463C80F1-D62C-41D6-A09E-B65245071C3D}"/>
    <cellStyle name="Comma 2 2 3 2 2 4" xfId="778" xr:uid="{9C03A9AB-257D-4ECD-9A31-E83BFF4619C4}"/>
    <cellStyle name="Comma 2 2 3 2 3" xfId="383" xr:uid="{E00CE972-132F-4FE5-925F-461B46E6748D}"/>
    <cellStyle name="Comma 2 2 3 2 3 2" xfId="628" xr:uid="{759FAC1D-E8EC-4AE4-B6D0-BA3605573733}"/>
    <cellStyle name="Comma 2 2 3 2 3 2 2" xfId="1608" xr:uid="{10748B88-4467-42E8-A02E-A4CE5613BE80}"/>
    <cellStyle name="Comma 2 2 3 2 3 2 3" xfId="1118" xr:uid="{05E35D71-1206-4720-A90E-9470F7522A13}"/>
    <cellStyle name="Comma 2 2 3 2 3 3" xfId="1363" xr:uid="{791DE616-284A-44CD-9185-18137E4DB587}"/>
    <cellStyle name="Comma 2 2 3 2 3 4" xfId="873" xr:uid="{7F2B78CC-5336-4464-909B-4DF3B38C7EDA}"/>
    <cellStyle name="Comma 2 2 3 2 4" xfId="443" xr:uid="{9B15A87C-0B14-4DE3-B8B8-5458D9F1EFCD}"/>
    <cellStyle name="Comma 2 2 3 2 4 2" xfId="1423" xr:uid="{D993E443-BA60-41BD-B0ED-F0C365D8089E}"/>
    <cellStyle name="Comma 2 2 3 2 4 3" xfId="933" xr:uid="{3329C317-8BEB-469A-B44D-2C8313705197}"/>
    <cellStyle name="Comma 2 2 3 2 5" xfId="1178" xr:uid="{826F555F-4521-4956-9C1B-CC7C5524C938}"/>
    <cellStyle name="Comma 2 2 3 2 6" xfId="688" xr:uid="{145B8ACD-00F5-422B-B679-583AFD782A78}"/>
    <cellStyle name="Comma 2 2 3 2 7" xfId="198" xr:uid="{3D29C4BF-DC09-47E4-9532-9127EC95C18F}"/>
    <cellStyle name="Comma 2 2 3 3" xfId="108" xr:uid="{39335724-63F1-4AAA-95A4-0FB87051FF45}"/>
    <cellStyle name="Comma 2 2 3 3 2" xfId="353" xr:uid="{301C6936-1D72-463C-9F76-6415CC492848}"/>
    <cellStyle name="Comma 2 2 3 3 2 2" xfId="598" xr:uid="{E925A7F0-8626-4227-BD37-8D8C8D1F1ACA}"/>
    <cellStyle name="Comma 2 2 3 3 2 2 2" xfId="1578" xr:uid="{9F39CB0A-73AE-417A-914B-C82BEA22FDB4}"/>
    <cellStyle name="Comma 2 2 3 3 2 2 3" xfId="1088" xr:uid="{CC07426C-618B-44F0-9868-40BAFB0585D4}"/>
    <cellStyle name="Comma 2 2 3 3 2 3" xfId="1333" xr:uid="{E0A920A6-CD94-43FB-A145-1B05756A54B3}"/>
    <cellStyle name="Comma 2 2 3 3 2 4" xfId="843" xr:uid="{4DCA0A89-8DC1-4522-955F-BE1F5BC94190}"/>
    <cellStyle name="Comma 2 2 3 3 3" xfId="503" xr:uid="{559DC00D-3177-441E-9809-719CCD17991D}"/>
    <cellStyle name="Comma 2 2 3 3 3 2" xfId="1483" xr:uid="{C94C575F-C3C7-476C-AA2A-05ACE0E6FB16}"/>
    <cellStyle name="Comma 2 2 3 3 3 3" xfId="993" xr:uid="{D82CE0CC-C9CE-4F37-B89E-D37ECDC0B3B2}"/>
    <cellStyle name="Comma 2 2 3 3 4" xfId="1238" xr:uid="{F5AA2A68-4E2E-4517-99F7-22E5DE21386B}"/>
    <cellStyle name="Comma 2 2 3 3 5" xfId="748" xr:uid="{92CF2FB8-5D65-4F81-9A67-989F2D630760}"/>
    <cellStyle name="Comma 2 2 3 3 6" xfId="258" xr:uid="{6D3A54A6-000D-4E34-A8F2-5CBFF7818D31}"/>
    <cellStyle name="Comma 2 2 3 4" xfId="228" xr:uid="{22CE89F0-7557-471A-A821-8369BFAAA614}"/>
    <cellStyle name="Comma 2 2 3 4 2" xfId="473" xr:uid="{FD853EDD-789F-47AC-A72A-FAEF7037691B}"/>
    <cellStyle name="Comma 2 2 3 4 2 2" xfId="1453" xr:uid="{0DCCCCEB-7D58-4627-94C0-553152114EC0}"/>
    <cellStyle name="Comma 2 2 3 4 2 3" xfId="963" xr:uid="{2821E4D8-EF0D-4301-8A8F-5D603A8F35E6}"/>
    <cellStyle name="Comma 2 2 3 4 3" xfId="1208" xr:uid="{F0618DC5-7277-446C-B624-29917EBAE1BD}"/>
    <cellStyle name="Comma 2 2 3 4 4" xfId="718" xr:uid="{28F69B0C-20E1-4EF8-9174-5A3F3D4FA189}"/>
    <cellStyle name="Comma 2 2 3 5" xfId="323" xr:uid="{761B2222-E130-4AAF-AA4C-5AD9845A3448}"/>
    <cellStyle name="Comma 2 2 3 5 2" xfId="568" xr:uid="{3A341293-4858-405E-88E9-48E8B054FB6E}"/>
    <cellStyle name="Comma 2 2 3 5 2 2" xfId="1548" xr:uid="{5BE91E2D-7F63-4F03-AA22-10F1836809E7}"/>
    <cellStyle name="Comma 2 2 3 5 2 3" xfId="1058" xr:uid="{C6D50C92-CCFA-40A1-AEA4-CA1EA475D5E9}"/>
    <cellStyle name="Comma 2 2 3 5 3" xfId="1303" xr:uid="{42689D47-3238-4FC4-8675-0A679BCBE8DD}"/>
    <cellStyle name="Comma 2 2 3 5 4" xfId="813" xr:uid="{CFEC4734-BAB5-4BC8-A235-BD71FB5FBDCB}"/>
    <cellStyle name="Comma 2 2 3 6" xfId="413" xr:uid="{E130A79D-18E9-480D-8F3A-78F0E0A0D93F}"/>
    <cellStyle name="Comma 2 2 3 6 2" xfId="1393" xr:uid="{08AE4D04-F559-461F-A8AD-178D0A9058CC}"/>
    <cellStyle name="Comma 2 2 3 6 3" xfId="903" xr:uid="{DA48B837-62E9-4361-A74C-0D9BAD86DC20}"/>
    <cellStyle name="Comma 2 2 3 7" xfId="1148" xr:uid="{5F2EC7F8-4C3A-4969-B122-3ABE21432C8C}"/>
    <cellStyle name="Comma 2 2 3 8" xfId="658" xr:uid="{81DD6E02-C1AE-4505-8CFE-D716ED53A35F}"/>
    <cellStyle name="Comma 2 2 3 9" xfId="168" xr:uid="{E3F8B6C3-34B6-49B5-92DD-5A8BD09DF401}"/>
    <cellStyle name="Comma 2 2 4" xfId="68" xr:uid="{A76CC4B4-340E-43DF-941F-98B1389BB4EE}"/>
    <cellStyle name="Comma 2 2 4 2" xfId="128" xr:uid="{7633A144-BE8A-4B8C-A765-B97476300070}"/>
    <cellStyle name="Comma 2 2 4 2 2" xfId="278" xr:uid="{6AEC4F88-66D4-4048-9629-B85C545CB2AF}"/>
    <cellStyle name="Comma 2 2 4 2 2 2" xfId="523" xr:uid="{FED030F0-7BF1-4D1D-8B03-537B3B4CA88A}"/>
    <cellStyle name="Comma 2 2 4 2 2 2 2" xfId="1503" xr:uid="{4367596D-9F1C-4821-BF25-B83F3D955ED7}"/>
    <cellStyle name="Comma 2 2 4 2 2 2 3" xfId="1013" xr:uid="{96AFDCF3-40A9-4DFE-AEE8-40BBEEE125EB}"/>
    <cellStyle name="Comma 2 2 4 2 2 3" xfId="1258" xr:uid="{739B8FE3-A1A7-4297-9F0C-D7A944295821}"/>
    <cellStyle name="Comma 2 2 4 2 2 4" xfId="768" xr:uid="{8BCA41BA-87F6-4676-8FDE-7D3AFC1CEFE2}"/>
    <cellStyle name="Comma 2 2 4 2 3" xfId="373" xr:uid="{2DEA066D-1B26-4233-B38C-198C6106C500}"/>
    <cellStyle name="Comma 2 2 4 2 3 2" xfId="618" xr:uid="{9AF4FBE9-9C87-4389-A510-C6A6F673D106}"/>
    <cellStyle name="Comma 2 2 4 2 3 2 2" xfId="1598" xr:uid="{E6C5D57A-AF0A-4B28-A706-F76106D494AA}"/>
    <cellStyle name="Comma 2 2 4 2 3 2 3" xfId="1108" xr:uid="{C49AA413-5CD2-411E-85FB-C493D2B92945}"/>
    <cellStyle name="Comma 2 2 4 2 3 3" xfId="1353" xr:uid="{AC9E3873-7BA4-47DF-AADE-843F833997CF}"/>
    <cellStyle name="Comma 2 2 4 2 3 4" xfId="863" xr:uid="{463973D3-B32C-42A6-B18C-B3175ACC5180}"/>
    <cellStyle name="Comma 2 2 4 2 4" xfId="433" xr:uid="{DAB3B8FF-6075-4F2D-A577-05D1BA4421A6}"/>
    <cellStyle name="Comma 2 2 4 2 4 2" xfId="1413" xr:uid="{414BA63D-AFA9-4D9A-9D88-39348D14F9D0}"/>
    <cellStyle name="Comma 2 2 4 2 4 3" xfId="923" xr:uid="{46EA8E7D-41F4-4027-890D-08E798EF897D}"/>
    <cellStyle name="Comma 2 2 4 2 5" xfId="1168" xr:uid="{50BAA2E0-366E-4382-993F-033427B5D711}"/>
    <cellStyle name="Comma 2 2 4 2 6" xfId="678" xr:uid="{79FEA357-EB04-4257-89E1-B6C42F5D10DF}"/>
    <cellStyle name="Comma 2 2 4 2 7" xfId="188" xr:uid="{3D4E0318-B76B-4B4F-BE99-D65D86802F58}"/>
    <cellStyle name="Comma 2 2 4 3" xfId="98" xr:uid="{4D883926-42D1-4261-B7DB-99784B49A7E2}"/>
    <cellStyle name="Comma 2 2 4 3 2" xfId="343" xr:uid="{60306544-DB10-4C13-A984-3B81F1183604}"/>
    <cellStyle name="Comma 2 2 4 3 2 2" xfId="588" xr:uid="{3143324E-660F-43C3-9A01-39697AA74EA8}"/>
    <cellStyle name="Comma 2 2 4 3 2 2 2" xfId="1568" xr:uid="{37D18979-3C85-4432-933E-08D636F4D721}"/>
    <cellStyle name="Comma 2 2 4 3 2 2 3" xfId="1078" xr:uid="{515A62F0-8C46-4C9B-AEF1-A08AD85F5808}"/>
    <cellStyle name="Comma 2 2 4 3 2 3" xfId="1323" xr:uid="{49025987-A77C-4E79-B726-9A728B844F89}"/>
    <cellStyle name="Comma 2 2 4 3 2 4" xfId="833" xr:uid="{79641706-7232-4860-AA13-C82053C9EC3E}"/>
    <cellStyle name="Comma 2 2 4 3 3" xfId="493" xr:uid="{17679E63-7E6F-43FE-9B8A-9ED63EE8E1F1}"/>
    <cellStyle name="Comma 2 2 4 3 3 2" xfId="1473" xr:uid="{1B8F02BB-02EE-4433-93D8-7DD38073C257}"/>
    <cellStyle name="Comma 2 2 4 3 3 3" xfId="983" xr:uid="{BC4B29FC-17F8-41D1-A261-DB457ECB0020}"/>
    <cellStyle name="Comma 2 2 4 3 4" xfId="1228" xr:uid="{81A37E91-B64C-4DB8-B1E3-FAF9DA894691}"/>
    <cellStyle name="Comma 2 2 4 3 5" xfId="738" xr:uid="{CA15A4E4-AADA-479B-8364-0A98AD449FD7}"/>
    <cellStyle name="Comma 2 2 4 3 6" xfId="248" xr:uid="{FAA5C08A-4CDE-4EE3-8E10-7EE7CDA52E8F}"/>
    <cellStyle name="Comma 2 2 4 4" xfId="218" xr:uid="{81A30B52-6494-4054-8122-D145B9CDDC2C}"/>
    <cellStyle name="Comma 2 2 4 4 2" xfId="463" xr:uid="{B5F04D2A-21B3-4B03-8B29-6F5E2E8A1591}"/>
    <cellStyle name="Comma 2 2 4 4 2 2" xfId="1443" xr:uid="{DFFBD836-43B2-47A2-9627-9D04D84532F7}"/>
    <cellStyle name="Comma 2 2 4 4 2 3" xfId="953" xr:uid="{0F4BEBE5-6671-4AB4-ACF1-26BC572B51D5}"/>
    <cellStyle name="Comma 2 2 4 4 3" xfId="1198" xr:uid="{00AB9867-D9A5-44A8-9CE5-793593FE9C7F}"/>
    <cellStyle name="Comma 2 2 4 4 4" xfId="708" xr:uid="{559FC6EE-D1D7-4118-96C0-35B4BD986B99}"/>
    <cellStyle name="Comma 2 2 4 5" xfId="313" xr:uid="{0E6A96B8-566D-4DFC-B2A6-9A8480A5D405}"/>
    <cellStyle name="Comma 2 2 4 5 2" xfId="558" xr:uid="{BEDC4FFF-91FE-4BFC-9B05-0F1947DE0832}"/>
    <cellStyle name="Comma 2 2 4 5 2 2" xfId="1538" xr:uid="{201C303E-930C-4480-A439-73E52D868829}"/>
    <cellStyle name="Comma 2 2 4 5 2 3" xfId="1048" xr:uid="{34613604-6C59-4AF9-A8F9-3A8F2BF191E8}"/>
    <cellStyle name="Comma 2 2 4 5 3" xfId="1293" xr:uid="{E7A2E0CA-E25B-4EAC-8680-C91FE57B6AD4}"/>
    <cellStyle name="Comma 2 2 4 5 4" xfId="803" xr:uid="{7295AC73-A20F-4011-ABD8-5E3C7B21B959}"/>
    <cellStyle name="Comma 2 2 4 6" xfId="403" xr:uid="{A1BE6E3A-0B0F-45D8-AB79-A3FA431723A2}"/>
    <cellStyle name="Comma 2 2 4 6 2" xfId="1383" xr:uid="{7AFEF77D-C154-46E8-B3D3-A0AEC4718144}"/>
    <cellStyle name="Comma 2 2 4 6 3" xfId="893" xr:uid="{C6801828-D8B0-486A-A7BF-3CECB930AFAE}"/>
    <cellStyle name="Comma 2 2 4 7" xfId="1138" xr:uid="{6C49FD00-1A16-4F65-8C6D-E127737E82DE}"/>
    <cellStyle name="Comma 2 2 4 8" xfId="648" xr:uid="{4DAFA322-8E12-448D-AAC4-5B7D2F1FA213}"/>
    <cellStyle name="Comma 2 2 4 9" xfId="158" xr:uid="{2FDF7605-14D1-4EB7-AEB8-CD248BD9C43C}"/>
    <cellStyle name="Comma 2 2 5" xfId="118" xr:uid="{7EE74ABD-4BDB-4D67-8354-1DB85C977A3E}"/>
    <cellStyle name="Comma 2 2 5 2" xfId="268" xr:uid="{BFCF2AA3-49E2-4BB5-9B94-50AFDEA72F0E}"/>
    <cellStyle name="Comma 2 2 5 2 2" xfId="513" xr:uid="{BA03DE50-767F-490E-A1B0-FE984E1EC75D}"/>
    <cellStyle name="Comma 2 2 5 2 2 2" xfId="1493" xr:uid="{29F64658-FC77-464D-9ABF-427C0E9F5E6D}"/>
    <cellStyle name="Comma 2 2 5 2 2 3" xfId="1003" xr:uid="{6551774C-AD16-4D86-9117-DC1F0C2FB42D}"/>
    <cellStyle name="Comma 2 2 5 2 3" xfId="1248" xr:uid="{1B6A0F77-A902-45B2-92A9-D0B3F80A5118}"/>
    <cellStyle name="Comma 2 2 5 2 4" xfId="758" xr:uid="{7ED988FF-F676-4AC3-A2E7-5FF1705A6F8A}"/>
    <cellStyle name="Comma 2 2 5 3" xfId="363" xr:uid="{5FE3DE0C-ECEC-4356-8E0B-00834784D04D}"/>
    <cellStyle name="Comma 2 2 5 3 2" xfId="608" xr:uid="{2A7F1836-1F42-4D4D-96BD-78B601C23417}"/>
    <cellStyle name="Comma 2 2 5 3 2 2" xfId="1588" xr:uid="{56135019-C17B-410A-AE80-64FDF2D30C36}"/>
    <cellStyle name="Comma 2 2 5 3 2 3" xfId="1098" xr:uid="{76598AA9-A5A1-45CA-BD04-9C9B69DBDDC2}"/>
    <cellStyle name="Comma 2 2 5 3 3" xfId="1343" xr:uid="{69065504-34B5-422F-9132-2C45557C293A}"/>
    <cellStyle name="Comma 2 2 5 3 4" xfId="853" xr:uid="{85CCD2E5-2EC7-4415-A9A2-0DE744D57374}"/>
    <cellStyle name="Comma 2 2 5 4" xfId="423" xr:uid="{CC6ECFA2-44A2-4D55-BEC0-1A0CCBB55DDB}"/>
    <cellStyle name="Comma 2 2 5 4 2" xfId="1403" xr:uid="{D11FF4CA-0314-42C6-9917-AE1F056B63B8}"/>
    <cellStyle name="Comma 2 2 5 4 3" xfId="913" xr:uid="{BA2BBDD6-7A46-4D24-9505-D0418BCA2C4B}"/>
    <cellStyle name="Comma 2 2 5 5" xfId="1158" xr:uid="{75AAD86A-5673-451F-BF9A-7D4E5911D678}"/>
    <cellStyle name="Comma 2 2 5 6" xfId="668" xr:uid="{7EE62D52-CC94-4502-966B-1C01E72F03FF}"/>
    <cellStyle name="Comma 2 2 5 7" xfId="178" xr:uid="{CBCF8AF5-4C3D-4A4C-834C-3A421F123216}"/>
    <cellStyle name="Comma 2 2 6" xfId="88" xr:uid="{154C41BB-F610-44FF-BAA3-31253C193289}"/>
    <cellStyle name="Comma 2 2 6 2" xfId="333" xr:uid="{89EAD561-97FD-4023-BDF2-3233D56A4BAD}"/>
    <cellStyle name="Comma 2 2 6 2 2" xfId="578" xr:uid="{6D40ABC8-0B56-4B1D-A545-8B4B2588F180}"/>
    <cellStyle name="Comma 2 2 6 2 2 2" xfId="1558" xr:uid="{0322492E-7F90-4851-8254-196AE09AA76B}"/>
    <cellStyle name="Comma 2 2 6 2 2 3" xfId="1068" xr:uid="{C501AAA9-C680-400B-BF3F-F625C9F06A2B}"/>
    <cellStyle name="Comma 2 2 6 2 3" xfId="1313" xr:uid="{B5FE5C80-CCD7-4310-8354-1A4F1C91A071}"/>
    <cellStyle name="Comma 2 2 6 2 4" xfId="823" xr:uid="{44A3D9F1-5EEA-4A53-9D21-506CE994410B}"/>
    <cellStyle name="Comma 2 2 6 3" xfId="483" xr:uid="{ECA7CC59-F755-47DB-B81D-8DDA2D127761}"/>
    <cellStyle name="Comma 2 2 6 3 2" xfId="1463" xr:uid="{4C21F3C3-5003-48FD-BD1E-739E226454E6}"/>
    <cellStyle name="Comma 2 2 6 3 3" xfId="973" xr:uid="{A0FC4519-CA4C-4675-96E0-5CE4CEBEAAB4}"/>
    <cellStyle name="Comma 2 2 6 4" xfId="1218" xr:uid="{B8479852-E461-4269-BBC8-61CFF6D79BA4}"/>
    <cellStyle name="Comma 2 2 6 5" xfId="728" xr:uid="{323F8FA1-98C2-41B9-B0EC-E099F22EADDA}"/>
    <cellStyle name="Comma 2 2 6 6" xfId="238" xr:uid="{9620674B-88B2-4CAE-ACDD-B36CA55B3956}"/>
    <cellStyle name="Comma 2 2 7" xfId="208" xr:uid="{591E81E5-62A3-43A5-8E06-23B38B4580EE}"/>
    <cellStyle name="Comma 2 2 7 2" xfId="453" xr:uid="{BBFA66EC-6879-4DE7-82CA-8EA37E877301}"/>
    <cellStyle name="Comma 2 2 7 2 2" xfId="1433" xr:uid="{4671B9B7-B6D7-44F9-AFBE-F6AB90E129E3}"/>
    <cellStyle name="Comma 2 2 7 2 3" xfId="943" xr:uid="{3E2A91F8-8FA4-44BC-89E8-E08044655262}"/>
    <cellStyle name="Comma 2 2 7 3" xfId="1188" xr:uid="{BACCE803-32AF-4AFA-AD83-81853D6EEB00}"/>
    <cellStyle name="Comma 2 2 7 4" xfId="698" xr:uid="{FC7BE687-E498-4CA8-9263-6F4B66485EC0}"/>
    <cellStyle name="Comma 2 2 8" xfId="303" xr:uid="{45B9E5D7-2418-4F16-944D-DD34F46D03B5}"/>
    <cellStyle name="Comma 2 2 8 2" xfId="548" xr:uid="{EE8D55A3-5CCE-4A13-BCC5-87A651D0E928}"/>
    <cellStyle name="Comma 2 2 8 2 2" xfId="1528" xr:uid="{35C6EF12-E46B-45B5-A019-8FF5C8A73E3C}"/>
    <cellStyle name="Comma 2 2 8 2 3" xfId="1038" xr:uid="{5BAFE28E-DA64-4D05-A607-71AEB1B669CE}"/>
    <cellStyle name="Comma 2 2 8 3" xfId="1283" xr:uid="{7F931405-3E5A-46E1-AC32-44B06D7BE8F9}"/>
    <cellStyle name="Comma 2 2 8 4" xfId="793" xr:uid="{A904043A-C24D-4957-A636-C1A7A344E063}"/>
    <cellStyle name="Comma 2 2 9" xfId="393" xr:uid="{5FF3C0DC-1BD6-44D0-9CA0-7A4E75217704}"/>
    <cellStyle name="Comma 2 2 9 2" xfId="1373" xr:uid="{A8A74E1E-6637-4DF2-9036-DCDE81AC1403}"/>
    <cellStyle name="Comma 2 2 9 3" xfId="883" xr:uid="{4880F021-457A-4347-840A-94A58E457283}"/>
    <cellStyle name="Comma 2 3" xfId="62" xr:uid="{77535013-1229-4087-B3C9-4DEED01B1D48}"/>
    <cellStyle name="Comma 2 3 10" xfId="641" xr:uid="{06AB260B-C473-4A8D-9D42-3211745EB51C}"/>
    <cellStyle name="Comma 2 3 11" xfId="151" xr:uid="{1D1AF802-2836-45E3-9300-7C76D40A163B}"/>
    <cellStyle name="Comma 2 3 2" xfId="81" xr:uid="{F39F3F06-80F5-4096-B2CA-B82AD66E9A1F}"/>
    <cellStyle name="Comma 2 3 2 2" xfId="141" xr:uid="{DCF99E0F-AE58-47EB-A0D9-D50A6D5ECD70}"/>
    <cellStyle name="Comma 2 3 2 2 2" xfId="291" xr:uid="{B1916EF1-9559-4001-95EC-08AC34D25E20}"/>
    <cellStyle name="Comma 2 3 2 2 2 2" xfId="536" xr:uid="{9B9C3DC1-3039-4963-AD17-99A8A0FFBD94}"/>
    <cellStyle name="Comma 2 3 2 2 2 2 2" xfId="1516" xr:uid="{FAD66A7B-209F-4FC7-82D2-08B1AECEA30F}"/>
    <cellStyle name="Comma 2 3 2 2 2 2 3" xfId="1026" xr:uid="{15B687F9-3DB5-4EED-A420-9994370C9F16}"/>
    <cellStyle name="Comma 2 3 2 2 2 3" xfId="1271" xr:uid="{AB4544AA-F00A-4682-9341-F661DE915F10}"/>
    <cellStyle name="Comma 2 3 2 2 2 4" xfId="781" xr:uid="{0DEE1C9F-96DD-45DD-8106-F13BA372F378}"/>
    <cellStyle name="Comma 2 3 2 2 3" xfId="386" xr:uid="{B921D46F-6A42-4349-BD6F-D16B09BB6AEF}"/>
    <cellStyle name="Comma 2 3 2 2 3 2" xfId="631" xr:uid="{5367F722-015D-4E91-BE85-F926B22BD860}"/>
    <cellStyle name="Comma 2 3 2 2 3 2 2" xfId="1611" xr:uid="{A0FCEB87-EE7E-4D17-835F-A0DBA4632A90}"/>
    <cellStyle name="Comma 2 3 2 2 3 2 3" xfId="1121" xr:uid="{5964E322-4B25-41D4-B0C3-A80EDB05C19D}"/>
    <cellStyle name="Comma 2 3 2 2 3 3" xfId="1366" xr:uid="{10688EC2-A159-46C1-B40B-E5596FAB7776}"/>
    <cellStyle name="Comma 2 3 2 2 3 4" xfId="876" xr:uid="{61B25D48-C1F4-4EEF-B8E8-7BB249DB5FD5}"/>
    <cellStyle name="Comma 2 3 2 2 4" xfId="446" xr:uid="{1FA67D62-119B-44B4-8F5E-D57F23D94428}"/>
    <cellStyle name="Comma 2 3 2 2 4 2" xfId="1426" xr:uid="{AC4BCC2F-022E-4CAD-BB4C-7127AE4F3D29}"/>
    <cellStyle name="Comma 2 3 2 2 4 3" xfId="936" xr:uid="{E3736189-3E7C-4F92-A5C8-157393990B58}"/>
    <cellStyle name="Comma 2 3 2 2 5" xfId="1181" xr:uid="{B82CFAE1-5CDB-42AC-A9F7-FF63830E7341}"/>
    <cellStyle name="Comma 2 3 2 2 6" xfId="691" xr:uid="{938A2D83-4CF2-47CD-BC93-87C685B4CD2C}"/>
    <cellStyle name="Comma 2 3 2 2 7" xfId="201" xr:uid="{3BCDFB2E-58D5-4564-9740-83CACB796E01}"/>
    <cellStyle name="Comma 2 3 2 3" xfId="111" xr:uid="{E1EA9D20-881D-4F4A-804C-0407329FEDFF}"/>
    <cellStyle name="Comma 2 3 2 3 2" xfId="356" xr:uid="{F874419C-6EDC-4097-8C42-41D77FB6023B}"/>
    <cellStyle name="Comma 2 3 2 3 2 2" xfId="601" xr:uid="{B4E0637D-9BBC-468B-BCAC-F0FDF4785C2E}"/>
    <cellStyle name="Comma 2 3 2 3 2 2 2" xfId="1581" xr:uid="{F6EEDBF6-94DB-453F-A001-2FB5F015F5F1}"/>
    <cellStyle name="Comma 2 3 2 3 2 2 3" xfId="1091" xr:uid="{3AAF52B1-7570-4814-8AA9-2DCB815A5CE7}"/>
    <cellStyle name="Comma 2 3 2 3 2 3" xfId="1336" xr:uid="{CCB4D304-47C7-42D2-A5A0-962E35C7C9FE}"/>
    <cellStyle name="Comma 2 3 2 3 2 4" xfId="846" xr:uid="{627628FE-F938-4D85-A683-1CF8C049FB5C}"/>
    <cellStyle name="Comma 2 3 2 3 3" xfId="506" xr:uid="{144E7CD1-232D-4BF6-BFC8-F9AB966070D6}"/>
    <cellStyle name="Comma 2 3 2 3 3 2" xfId="1486" xr:uid="{5CA47586-A4EB-4E82-876B-67120FADD495}"/>
    <cellStyle name="Comma 2 3 2 3 3 3" xfId="996" xr:uid="{C844FAAD-3CDF-4244-A54D-C79F01E732E1}"/>
    <cellStyle name="Comma 2 3 2 3 4" xfId="1241" xr:uid="{6648E3E5-28F7-4B3F-AD30-E7F9ADAF7296}"/>
    <cellStyle name="Comma 2 3 2 3 5" xfId="751" xr:uid="{DA965D8B-5591-42B5-99E0-2D19D7FE3610}"/>
    <cellStyle name="Comma 2 3 2 3 6" xfId="261" xr:uid="{B3A66D8D-9982-4EC6-881D-03384E5EB593}"/>
    <cellStyle name="Comma 2 3 2 4" xfId="231" xr:uid="{7B9EFE35-B1D4-419D-977B-554EBE439D72}"/>
    <cellStyle name="Comma 2 3 2 4 2" xfId="476" xr:uid="{A50308D5-97D7-456A-828E-E1A361753AFC}"/>
    <cellStyle name="Comma 2 3 2 4 2 2" xfId="1456" xr:uid="{99F0E6E6-2F0D-4912-9813-FAFF1CD52A3B}"/>
    <cellStyle name="Comma 2 3 2 4 2 3" xfId="966" xr:uid="{01AC7657-E822-4924-A91D-6EC9BD75EF37}"/>
    <cellStyle name="Comma 2 3 2 4 3" xfId="1211" xr:uid="{DFD6370B-F0A0-4B58-AB07-5350BE30953A}"/>
    <cellStyle name="Comma 2 3 2 4 4" xfId="721" xr:uid="{6988C680-FDD4-4E3D-9F32-88605595A0ED}"/>
    <cellStyle name="Comma 2 3 2 5" xfId="326" xr:uid="{2AAAFE98-D884-430E-8347-92464EA0E2D8}"/>
    <cellStyle name="Comma 2 3 2 5 2" xfId="571" xr:uid="{50119B3C-8E33-47DC-A6F1-F07A98960CED}"/>
    <cellStyle name="Comma 2 3 2 5 2 2" xfId="1551" xr:uid="{DC6541A4-8436-4FF5-BFBA-13CE0267C423}"/>
    <cellStyle name="Comma 2 3 2 5 2 3" xfId="1061" xr:uid="{241FC25F-F8B4-45E8-9A8F-1893ADAEE156}"/>
    <cellStyle name="Comma 2 3 2 5 3" xfId="1306" xr:uid="{06B7A28F-89EE-4FD1-8342-0E0A77278B81}"/>
    <cellStyle name="Comma 2 3 2 5 4" xfId="816" xr:uid="{C25E15C9-9900-40C7-A066-7E6717203105}"/>
    <cellStyle name="Comma 2 3 2 6" xfId="416" xr:uid="{F0CADA84-D1A6-415B-A124-EEFEA9C14326}"/>
    <cellStyle name="Comma 2 3 2 6 2" xfId="1396" xr:uid="{43C0D3FB-D628-47CF-82A3-6BB339F7A8F1}"/>
    <cellStyle name="Comma 2 3 2 6 3" xfId="906" xr:uid="{2A4D6596-4673-4AD8-A3B4-07FE7853E59A}"/>
    <cellStyle name="Comma 2 3 2 7" xfId="1151" xr:uid="{0422B2E5-8485-46C7-AF32-C3EE3655B94A}"/>
    <cellStyle name="Comma 2 3 2 8" xfId="661" xr:uid="{08A595E4-7807-4FB8-8DED-47FEE97E7DA0}"/>
    <cellStyle name="Comma 2 3 2 9" xfId="171" xr:uid="{D70B5964-27EB-437F-8C75-F708151FB8A2}"/>
    <cellStyle name="Comma 2 3 3" xfId="71" xr:uid="{63EA3742-B348-4C85-BB3D-E53AFEE9CD9D}"/>
    <cellStyle name="Comma 2 3 3 2" xfId="131" xr:uid="{A87598C3-3F29-465C-A202-B9EE685B80BB}"/>
    <cellStyle name="Comma 2 3 3 2 2" xfId="281" xr:uid="{957D4068-21F9-493B-8561-58DAD047591A}"/>
    <cellStyle name="Comma 2 3 3 2 2 2" xfId="526" xr:uid="{13045931-DC4B-42F9-B0CC-586C6ADA7402}"/>
    <cellStyle name="Comma 2 3 3 2 2 2 2" xfId="1506" xr:uid="{775FF0BA-F687-4368-B1B3-18703BEE8E25}"/>
    <cellStyle name="Comma 2 3 3 2 2 2 3" xfId="1016" xr:uid="{825830C6-A79C-466A-A491-2E2232833B9A}"/>
    <cellStyle name="Comma 2 3 3 2 2 3" xfId="1261" xr:uid="{5771864F-46B4-48D9-9A12-1723F29CA704}"/>
    <cellStyle name="Comma 2 3 3 2 2 4" xfId="771" xr:uid="{D74F52D1-4622-4571-9F2F-F491C9954BA2}"/>
    <cellStyle name="Comma 2 3 3 2 3" xfId="376" xr:uid="{A369710F-9C71-4914-9FBF-FD6B5F6A9DD6}"/>
    <cellStyle name="Comma 2 3 3 2 3 2" xfId="621" xr:uid="{290BD6D3-89E8-48AC-9065-86CB6CB6078E}"/>
    <cellStyle name="Comma 2 3 3 2 3 2 2" xfId="1601" xr:uid="{622AC31B-F0CD-4E3C-9336-1330BF4B24B0}"/>
    <cellStyle name="Comma 2 3 3 2 3 2 3" xfId="1111" xr:uid="{FD040077-1DE1-415F-95CD-AC9315F7B46E}"/>
    <cellStyle name="Comma 2 3 3 2 3 3" xfId="1356" xr:uid="{22057D2B-3884-499B-9C68-A30DF1EE12A3}"/>
    <cellStyle name="Comma 2 3 3 2 3 4" xfId="866" xr:uid="{FBB220F1-6D7C-4CA7-A968-1AF8CAFF03BD}"/>
    <cellStyle name="Comma 2 3 3 2 4" xfId="436" xr:uid="{854A929B-A9AD-41C4-880B-59D4578E389C}"/>
    <cellStyle name="Comma 2 3 3 2 4 2" xfId="1416" xr:uid="{0AC7657A-CDA9-439E-80DB-A5C13FE27796}"/>
    <cellStyle name="Comma 2 3 3 2 4 3" xfId="926" xr:uid="{ED53C8FB-AA6D-4C2F-927E-5B8DFF33E1FC}"/>
    <cellStyle name="Comma 2 3 3 2 5" xfId="1171" xr:uid="{A2DB5F85-E108-4790-9A55-637F52A8FF70}"/>
    <cellStyle name="Comma 2 3 3 2 6" xfId="681" xr:uid="{55CD0DBE-395F-400F-B001-01D20A0E57C7}"/>
    <cellStyle name="Comma 2 3 3 2 7" xfId="191" xr:uid="{9A4B1155-83DB-46A5-9206-CCE9D6FAEB33}"/>
    <cellStyle name="Comma 2 3 3 3" xfId="101" xr:uid="{16AD3215-FEA4-4932-A2A3-9B10E2D8A9AD}"/>
    <cellStyle name="Comma 2 3 3 3 2" xfId="346" xr:uid="{AB6983F6-6058-4E9D-8173-B3494C4DEBCF}"/>
    <cellStyle name="Comma 2 3 3 3 2 2" xfId="591" xr:uid="{CEC8FA6A-EC92-4B2A-A8D5-9A636CFD85A0}"/>
    <cellStyle name="Comma 2 3 3 3 2 2 2" xfId="1571" xr:uid="{D30AA37F-30C0-45D0-A563-EB068585C96D}"/>
    <cellStyle name="Comma 2 3 3 3 2 2 3" xfId="1081" xr:uid="{C647B541-1C66-4144-A370-847CA1BD3F27}"/>
    <cellStyle name="Comma 2 3 3 3 2 3" xfId="1326" xr:uid="{9F0A25B9-CB18-4278-B1D2-5871505F43BD}"/>
    <cellStyle name="Comma 2 3 3 3 2 4" xfId="836" xr:uid="{A8E6B31B-091C-4CFA-813C-12ABF60BD846}"/>
    <cellStyle name="Comma 2 3 3 3 3" xfId="496" xr:uid="{BC9564A9-0EA0-43FE-9F26-0AB5A6E336F3}"/>
    <cellStyle name="Comma 2 3 3 3 3 2" xfId="1476" xr:uid="{EB027348-0F73-40A9-9738-48EB197CDA13}"/>
    <cellStyle name="Comma 2 3 3 3 3 3" xfId="986" xr:uid="{64FE3784-B923-406A-AA3D-4B82A97D4334}"/>
    <cellStyle name="Comma 2 3 3 3 4" xfId="1231" xr:uid="{9205630D-1F29-4F91-A8C0-5D74C03F7A52}"/>
    <cellStyle name="Comma 2 3 3 3 5" xfId="741" xr:uid="{410DC34A-239B-4773-BBB6-EFD44816EDA6}"/>
    <cellStyle name="Comma 2 3 3 3 6" xfId="251" xr:uid="{9C264B67-457F-4C26-9A0E-6C61718CF16B}"/>
    <cellStyle name="Comma 2 3 3 4" xfId="221" xr:uid="{C92F75FE-C1E3-4C2A-89C4-B9EB5F860B1F}"/>
    <cellStyle name="Comma 2 3 3 4 2" xfId="466" xr:uid="{A01617C8-3FA0-4019-9E56-CBE97438D84B}"/>
    <cellStyle name="Comma 2 3 3 4 2 2" xfId="1446" xr:uid="{86FBC00E-C0C7-4B8F-B4F1-16D06E429FDB}"/>
    <cellStyle name="Comma 2 3 3 4 2 3" xfId="956" xr:uid="{FEA95E4B-C5AD-48A7-9866-F5FD05EC304C}"/>
    <cellStyle name="Comma 2 3 3 4 3" xfId="1201" xr:uid="{621E5B7C-570E-4930-876C-D056DF5C861F}"/>
    <cellStyle name="Comma 2 3 3 4 4" xfId="711" xr:uid="{EC55F2F9-26F6-4472-9163-0F32DA2BA036}"/>
    <cellStyle name="Comma 2 3 3 5" xfId="316" xr:uid="{2238A08A-BDA8-47BA-9A95-EB518BEEA511}"/>
    <cellStyle name="Comma 2 3 3 5 2" xfId="561" xr:uid="{FC51CC88-EF4E-45B9-96EB-08C5CB820E6E}"/>
    <cellStyle name="Comma 2 3 3 5 2 2" xfId="1541" xr:uid="{6A860174-7983-4D7C-9A32-51366879DB29}"/>
    <cellStyle name="Comma 2 3 3 5 2 3" xfId="1051" xr:uid="{E72F69ED-A2A3-4E48-99AF-C21BBE804AD8}"/>
    <cellStyle name="Comma 2 3 3 5 3" xfId="1296" xr:uid="{AF707CE3-C5AF-410A-964D-E4044D37D7E9}"/>
    <cellStyle name="Comma 2 3 3 5 4" xfId="806" xr:uid="{530CDA70-AD60-4518-9541-ED13E4777ED8}"/>
    <cellStyle name="Comma 2 3 3 6" xfId="406" xr:uid="{3BD34381-AD4D-46FC-BE48-EA6FEC138199}"/>
    <cellStyle name="Comma 2 3 3 6 2" xfId="1386" xr:uid="{2D45C74C-7EE7-4EFD-892B-E1B8007EE4C8}"/>
    <cellStyle name="Comma 2 3 3 6 3" xfId="896" xr:uid="{55F71705-997A-45DA-805D-D5DAE5E704AF}"/>
    <cellStyle name="Comma 2 3 3 7" xfId="1141" xr:uid="{D59FA33A-3A2F-4408-A069-60668594501F}"/>
    <cellStyle name="Comma 2 3 3 8" xfId="651" xr:uid="{BCAEBDCD-081C-4A99-B128-140A267A4DF8}"/>
    <cellStyle name="Comma 2 3 3 9" xfId="161" xr:uid="{05F1183C-0CCC-4FAA-8B8E-FA808575F9F7}"/>
    <cellStyle name="Comma 2 3 4" xfId="121" xr:uid="{9E5E0D12-D129-49FE-838C-62AF58845EC9}"/>
    <cellStyle name="Comma 2 3 4 2" xfId="271" xr:uid="{BEE141CA-4DFF-4FEE-A5AA-34181A675A2D}"/>
    <cellStyle name="Comma 2 3 4 2 2" xfId="516" xr:uid="{2CBDD325-E0F8-4558-BEA2-3840214174EF}"/>
    <cellStyle name="Comma 2 3 4 2 2 2" xfId="1496" xr:uid="{8A0FA385-A7DF-4C12-A0D3-BE7C3FCCE802}"/>
    <cellStyle name="Comma 2 3 4 2 2 3" xfId="1006" xr:uid="{891C8CF8-2148-40FA-834A-FDD36C45B2C8}"/>
    <cellStyle name="Comma 2 3 4 2 3" xfId="1251" xr:uid="{E4A87F5E-E719-49EF-B471-1CDBF2854E18}"/>
    <cellStyle name="Comma 2 3 4 2 4" xfId="761" xr:uid="{207ADF0B-6D98-4689-9458-8B4F6ABC16E6}"/>
    <cellStyle name="Comma 2 3 4 3" xfId="366" xr:uid="{BEC9946B-8BB0-409B-80BC-0EC6FFA5879F}"/>
    <cellStyle name="Comma 2 3 4 3 2" xfId="611" xr:uid="{7ABF0947-B64C-4CA8-980E-80EF2FF53DD4}"/>
    <cellStyle name="Comma 2 3 4 3 2 2" xfId="1591" xr:uid="{E896ECC3-32B5-41A3-A3CA-58FF429AE821}"/>
    <cellStyle name="Comma 2 3 4 3 2 3" xfId="1101" xr:uid="{80F05522-EB91-4473-89E4-35DED6FF7FF6}"/>
    <cellStyle name="Comma 2 3 4 3 3" xfId="1346" xr:uid="{3A0CE23B-073A-4FC1-BA27-C7CF11671787}"/>
    <cellStyle name="Comma 2 3 4 3 4" xfId="856" xr:uid="{F59BB730-49CD-4D8E-A216-A8FB96251493}"/>
    <cellStyle name="Comma 2 3 4 4" xfId="426" xr:uid="{F9D238C0-4997-49A1-B4EA-CBA19535D488}"/>
    <cellStyle name="Comma 2 3 4 4 2" xfId="1406" xr:uid="{7CCD7235-5DAC-4A81-B35E-4986FE77FF0B}"/>
    <cellStyle name="Comma 2 3 4 4 3" xfId="916" xr:uid="{3181C3B0-360B-448E-AE1A-92C3BE135B4C}"/>
    <cellStyle name="Comma 2 3 4 5" xfId="1161" xr:uid="{D7DD0D3A-2A1A-4EA0-935B-C8DD6BA12640}"/>
    <cellStyle name="Comma 2 3 4 6" xfId="671" xr:uid="{3951AB4E-2A1E-4872-B163-AD37F2DC69FD}"/>
    <cellStyle name="Comma 2 3 4 7" xfId="181" xr:uid="{68D6B18E-C321-4A26-9FD2-88BECA07BF9A}"/>
    <cellStyle name="Comma 2 3 5" xfId="91" xr:uid="{08207867-6131-4B2B-9467-5C2D45DF2D4D}"/>
    <cellStyle name="Comma 2 3 5 2" xfId="336" xr:uid="{31335FC0-F961-49C2-8140-0DEEE19898CF}"/>
    <cellStyle name="Comma 2 3 5 2 2" xfId="581" xr:uid="{33D20352-2260-4D88-8375-371573FE910A}"/>
    <cellStyle name="Comma 2 3 5 2 2 2" xfId="1561" xr:uid="{493CFE09-70DF-426B-A469-9CAED0F30C76}"/>
    <cellStyle name="Comma 2 3 5 2 2 3" xfId="1071" xr:uid="{40E54D58-325D-4676-969E-F135C07D1656}"/>
    <cellStyle name="Comma 2 3 5 2 3" xfId="1316" xr:uid="{78D724EF-293F-4CD6-A7AC-F2ECC3172933}"/>
    <cellStyle name="Comma 2 3 5 2 4" xfId="826" xr:uid="{897715FF-8D57-45C4-A35E-24AD2ABB2743}"/>
    <cellStyle name="Comma 2 3 5 3" xfId="486" xr:uid="{8CF1F184-CD36-4011-9946-429FEF4CE9D5}"/>
    <cellStyle name="Comma 2 3 5 3 2" xfId="1466" xr:uid="{196436BA-F9FF-4681-AB78-90084EB7A9B7}"/>
    <cellStyle name="Comma 2 3 5 3 3" xfId="976" xr:uid="{87FE5793-7F50-4332-BC78-AEFA91A2036A}"/>
    <cellStyle name="Comma 2 3 5 4" xfId="1221" xr:uid="{700E7C6B-140C-4C34-A8E2-0CDFDA6AB374}"/>
    <cellStyle name="Comma 2 3 5 5" xfId="731" xr:uid="{9A2E9F9E-CC11-4E76-8221-45170FA7C038}"/>
    <cellStyle name="Comma 2 3 5 6" xfId="241" xr:uid="{E810782A-9D72-43E1-ADA7-8D746A413D96}"/>
    <cellStyle name="Comma 2 3 6" xfId="211" xr:uid="{F7306E3F-B49F-417D-AA12-49BAFA501EFD}"/>
    <cellStyle name="Comma 2 3 6 2" xfId="456" xr:uid="{EB7E998E-27A7-43C8-BC94-58053F842335}"/>
    <cellStyle name="Comma 2 3 6 2 2" xfId="1436" xr:uid="{0C5E9A55-41B3-46EC-A566-99CE8F32B120}"/>
    <cellStyle name="Comma 2 3 6 2 3" xfId="946" xr:uid="{EFD2AE56-8EB7-4EDF-96AB-875031F9CA42}"/>
    <cellStyle name="Comma 2 3 6 3" xfId="1191" xr:uid="{DA0594B1-5584-421E-A2BC-7BDF147B0E0F}"/>
    <cellStyle name="Comma 2 3 6 4" xfId="701" xr:uid="{FCC1C6A8-83E5-46FE-88D0-D0531410255E}"/>
    <cellStyle name="Comma 2 3 7" xfId="307" xr:uid="{161C7CDD-5507-4E2D-82EB-B675AE818B85}"/>
    <cellStyle name="Comma 2 3 7 2" xfId="552" xr:uid="{95F7259F-4666-4172-831E-54A0445013AC}"/>
    <cellStyle name="Comma 2 3 7 2 2" xfId="1532" xr:uid="{1A128D7F-05FD-4683-B9F0-D0B38B58A713}"/>
    <cellStyle name="Comma 2 3 7 2 3" xfId="1042" xr:uid="{4C19D77F-DC9A-422F-BF55-9B204146C15D}"/>
    <cellStyle name="Comma 2 3 7 3" xfId="1287" xr:uid="{4058CAAD-B885-4E19-9B95-EA8702146ABE}"/>
    <cellStyle name="Comma 2 3 7 4" xfId="797" xr:uid="{6A162BFB-4300-4CDC-AC82-D37CAFF8B695}"/>
    <cellStyle name="Comma 2 3 8" xfId="396" xr:uid="{AC5B97CF-75AE-45EC-904A-54413CFA3E08}"/>
    <cellStyle name="Comma 2 3 8 2" xfId="1376" xr:uid="{D316D262-F3D8-42D0-9C38-5E3CBAD2531C}"/>
    <cellStyle name="Comma 2 3 8 3" xfId="886" xr:uid="{9EFDC367-85FA-4138-B68D-38CFCCBED085}"/>
    <cellStyle name="Comma 2 3 9" xfId="1131" xr:uid="{1A8ECC77-7860-4753-AAC7-408D5559B233}"/>
    <cellStyle name="Comma 2 4" xfId="76" xr:uid="{FB38C4A6-C281-48FB-9542-33476AC796B6}"/>
    <cellStyle name="Comma 2 4 2" xfId="136" xr:uid="{4DC4028B-5856-488A-B4D6-F83BBC0F8796}"/>
    <cellStyle name="Comma 2 4 2 2" xfId="286" xr:uid="{EACD01B7-008E-41FF-98AE-C4D830145C4E}"/>
    <cellStyle name="Comma 2 4 2 2 2" xfId="531" xr:uid="{8E0F469F-751D-4684-B932-33AF5B6B1BCC}"/>
    <cellStyle name="Comma 2 4 2 2 2 2" xfId="1511" xr:uid="{ED44637F-FBF1-45FA-BC3E-23FC4163A5A2}"/>
    <cellStyle name="Comma 2 4 2 2 2 3" xfId="1021" xr:uid="{76CA68EB-CB8C-4456-98A3-F23AF4D0AC5A}"/>
    <cellStyle name="Comma 2 4 2 2 3" xfId="1266" xr:uid="{4B7954E5-D909-4781-A192-101443F65797}"/>
    <cellStyle name="Comma 2 4 2 2 4" xfId="776" xr:uid="{A9FB60B2-9959-412A-84A9-BD375A550D3B}"/>
    <cellStyle name="Comma 2 4 2 3" xfId="381" xr:uid="{7E86984D-6C43-4F2E-BF75-060919543E79}"/>
    <cellStyle name="Comma 2 4 2 3 2" xfId="626" xr:uid="{709919F7-0258-4BE4-AA58-E9F31CAA213A}"/>
    <cellStyle name="Comma 2 4 2 3 2 2" xfId="1606" xr:uid="{C03F3712-4665-485D-833E-9E776789AE2B}"/>
    <cellStyle name="Comma 2 4 2 3 2 3" xfId="1116" xr:uid="{DBC9EEE0-6AA1-4F84-95CF-DEAC4FFDDC2C}"/>
    <cellStyle name="Comma 2 4 2 3 3" xfId="1361" xr:uid="{9B109756-49CB-43F4-9079-3D6290DDDDB2}"/>
    <cellStyle name="Comma 2 4 2 3 4" xfId="871" xr:uid="{506C1FE1-11D7-4950-BE9B-EADDBF0091E2}"/>
    <cellStyle name="Comma 2 4 2 4" xfId="441" xr:uid="{441CB222-D1C6-4872-9A3E-CD4DA360D5B7}"/>
    <cellStyle name="Comma 2 4 2 4 2" xfId="1421" xr:uid="{DE2C3A22-302A-4D78-9A0D-F0FEA5D487E9}"/>
    <cellStyle name="Comma 2 4 2 4 3" xfId="931" xr:uid="{448ECA43-DE12-4D18-913A-AAA1DF6383BE}"/>
    <cellStyle name="Comma 2 4 2 5" xfId="1176" xr:uid="{6A0C94CD-004D-4240-A7A8-47948CDCD85C}"/>
    <cellStyle name="Comma 2 4 2 6" xfId="686" xr:uid="{ADAF6AD5-41BC-43DD-8A1B-1626097421AB}"/>
    <cellStyle name="Comma 2 4 2 7" xfId="196" xr:uid="{572D60DF-CEAA-466A-9BDF-1239D860C8A1}"/>
    <cellStyle name="Comma 2 4 3" xfId="106" xr:uid="{5D500441-E193-4BB3-8A96-8DE95E4A229F}"/>
    <cellStyle name="Comma 2 4 3 2" xfId="351" xr:uid="{11D444DB-A0BB-4652-B46C-2D1533AE72C0}"/>
    <cellStyle name="Comma 2 4 3 2 2" xfId="596" xr:uid="{CB71738C-20D5-45B2-8D3A-0D1857021D56}"/>
    <cellStyle name="Comma 2 4 3 2 2 2" xfId="1576" xr:uid="{C502FE1E-E574-4ACF-819A-4F994E30EB77}"/>
    <cellStyle name="Comma 2 4 3 2 2 3" xfId="1086" xr:uid="{F1070414-6A7D-4998-8891-83C2CF85AE9B}"/>
    <cellStyle name="Comma 2 4 3 2 3" xfId="1331" xr:uid="{2B45FF05-987A-4D55-8DDB-F405B46F95CF}"/>
    <cellStyle name="Comma 2 4 3 2 4" xfId="841" xr:uid="{C8CC1EA2-6041-44A9-84F8-E8CBC1A5AA60}"/>
    <cellStyle name="Comma 2 4 3 3" xfId="501" xr:uid="{96E22600-FE31-4BA1-A05B-BF35D64C1605}"/>
    <cellStyle name="Comma 2 4 3 3 2" xfId="1481" xr:uid="{C7434957-0EBB-4083-95D7-A8D20EB4BBD3}"/>
    <cellStyle name="Comma 2 4 3 3 3" xfId="991" xr:uid="{2CF1C23A-FE73-49EC-8833-B8FA2A790A3F}"/>
    <cellStyle name="Comma 2 4 3 4" xfId="1236" xr:uid="{0FE5EB55-11E9-4A96-976F-79CD2CDC49E5}"/>
    <cellStyle name="Comma 2 4 3 5" xfId="746" xr:uid="{684A6EEF-567F-4A87-B5B0-5C8BA7339D7D}"/>
    <cellStyle name="Comma 2 4 3 6" xfId="256" xr:uid="{4A3CBBD5-89F6-4D07-8F06-9DE318FB09F2}"/>
    <cellStyle name="Comma 2 4 4" xfId="226" xr:uid="{805346FE-5CAD-407A-A604-FBBDB72386BB}"/>
    <cellStyle name="Comma 2 4 4 2" xfId="471" xr:uid="{C129D96E-40DD-40A0-BAC0-AE520EFD3965}"/>
    <cellStyle name="Comma 2 4 4 2 2" xfId="1451" xr:uid="{56B96C97-2551-4815-B235-F9939CE1510D}"/>
    <cellStyle name="Comma 2 4 4 2 3" xfId="961" xr:uid="{E72ECBBA-A023-4443-9819-8A862D1971AF}"/>
    <cellStyle name="Comma 2 4 4 3" xfId="1206" xr:uid="{9727D943-2F54-4BDA-92C4-400F506EBB6D}"/>
    <cellStyle name="Comma 2 4 4 4" xfId="716" xr:uid="{08E4BA81-C369-4156-B0F4-72E6FC789AEA}"/>
    <cellStyle name="Comma 2 4 5" xfId="321" xr:uid="{19B0A976-DA19-451D-AC9B-AAFD9D533DD9}"/>
    <cellStyle name="Comma 2 4 5 2" xfId="566" xr:uid="{9EF95CF2-49A4-4778-BD54-477142622553}"/>
    <cellStyle name="Comma 2 4 5 2 2" xfId="1546" xr:uid="{698778FA-819B-4044-A29F-4649464C4097}"/>
    <cellStyle name="Comma 2 4 5 2 3" xfId="1056" xr:uid="{21662759-D565-49ED-9E48-A8632F52B520}"/>
    <cellStyle name="Comma 2 4 5 3" xfId="1301" xr:uid="{E5407339-5D45-4AAB-98CF-4828C534C6DF}"/>
    <cellStyle name="Comma 2 4 5 4" xfId="811" xr:uid="{E9398CAA-7BD9-4342-BD36-1B4BD8351B96}"/>
    <cellStyle name="Comma 2 4 6" xfId="411" xr:uid="{C532095F-7D83-4115-9439-ECCD4113C415}"/>
    <cellStyle name="Comma 2 4 6 2" xfId="1391" xr:uid="{19470BAE-6AE0-40D1-974F-907264805BB3}"/>
    <cellStyle name="Comma 2 4 6 3" xfId="901" xr:uid="{FC88FDA3-171D-49C1-A857-088B024C1BED}"/>
    <cellStyle name="Comma 2 4 7" xfId="1146" xr:uid="{647E42B8-8875-43C0-A1E1-2DAC86E372C8}"/>
    <cellStyle name="Comma 2 4 8" xfId="656" xr:uid="{CB87C837-0196-4C62-9D46-58EAEEE9DBB0}"/>
    <cellStyle name="Comma 2 4 9" xfId="166" xr:uid="{63E8A333-E28B-4D3C-A1C8-4C633AFD380E}"/>
    <cellStyle name="Comma 2 5" xfId="66" xr:uid="{26126563-E01E-4D5A-9E54-49EAAD03477C}"/>
    <cellStyle name="Comma 2 5 2" xfId="126" xr:uid="{F6B670A4-A535-4B4B-9180-48F3144615C4}"/>
    <cellStyle name="Comma 2 5 2 2" xfId="276" xr:uid="{C0AF8ECD-E68F-4679-A4D8-B46F8510C9C8}"/>
    <cellStyle name="Comma 2 5 2 2 2" xfId="521" xr:uid="{7219A992-1824-4EC7-8866-762965D8CDD0}"/>
    <cellStyle name="Comma 2 5 2 2 2 2" xfId="1501" xr:uid="{03D752DC-678C-41D3-BE9A-01AD51B6F079}"/>
    <cellStyle name="Comma 2 5 2 2 2 3" xfId="1011" xr:uid="{4098F23D-A954-4403-9DC4-2CE886CD542F}"/>
    <cellStyle name="Comma 2 5 2 2 3" xfId="1256" xr:uid="{3BA3B1DF-A8CE-4974-88D2-DA334FEB9A92}"/>
    <cellStyle name="Comma 2 5 2 2 4" xfId="766" xr:uid="{891B4EE1-DFAD-4278-A9C6-D5F1A8D40D84}"/>
    <cellStyle name="Comma 2 5 2 3" xfId="371" xr:uid="{EAEEA0AB-C701-4BEB-B532-CB2D5FF617AB}"/>
    <cellStyle name="Comma 2 5 2 3 2" xfId="616" xr:uid="{A7896C19-4589-4704-887A-F2BF328F7559}"/>
    <cellStyle name="Comma 2 5 2 3 2 2" xfId="1596" xr:uid="{5856C033-AC89-4572-BDE6-322B4F3C2B5F}"/>
    <cellStyle name="Comma 2 5 2 3 2 3" xfId="1106" xr:uid="{E4B16263-0B18-48FE-8E45-2E248ED757E4}"/>
    <cellStyle name="Comma 2 5 2 3 3" xfId="1351" xr:uid="{54B763DB-868E-48B8-80AF-7F569042DE6F}"/>
    <cellStyle name="Comma 2 5 2 3 4" xfId="861" xr:uid="{6BA3E571-579A-47B6-A39D-FA4728E452E9}"/>
    <cellStyle name="Comma 2 5 2 4" xfId="431" xr:uid="{A1E6A57D-9880-46D8-8743-9B0EF05A3408}"/>
    <cellStyle name="Comma 2 5 2 4 2" xfId="1411" xr:uid="{CDDB873E-BEEA-43E8-B558-A8787DED53A3}"/>
    <cellStyle name="Comma 2 5 2 4 3" xfId="921" xr:uid="{1FF58E85-F0C9-4B16-957F-7124F93F46AE}"/>
    <cellStyle name="Comma 2 5 2 5" xfId="1166" xr:uid="{9FEA28E2-42C3-4498-8F75-09426E170E4F}"/>
    <cellStyle name="Comma 2 5 2 6" xfId="676" xr:uid="{B68E94E2-3E6F-4C44-B6B0-C77B446FEA43}"/>
    <cellStyle name="Comma 2 5 2 7" xfId="186" xr:uid="{97481AB3-C2D5-4EF3-9F2A-5E1D8BD185FB}"/>
    <cellStyle name="Comma 2 5 3" xfId="96" xr:uid="{8273168B-17CF-4D9A-951F-F88F54E65DE6}"/>
    <cellStyle name="Comma 2 5 3 2" xfId="341" xr:uid="{02279690-7C6A-4B82-B3E7-595D9961CFCA}"/>
    <cellStyle name="Comma 2 5 3 2 2" xfId="586" xr:uid="{3DDCA66B-D5E0-4051-8A3C-3F6F198D7929}"/>
    <cellStyle name="Comma 2 5 3 2 2 2" xfId="1566" xr:uid="{A0ABC1BB-F51D-470D-8CE0-0DE3053AFC75}"/>
    <cellStyle name="Comma 2 5 3 2 2 3" xfId="1076" xr:uid="{90C8DEA6-5A2A-445E-8EA2-3DAA8C67518A}"/>
    <cellStyle name="Comma 2 5 3 2 3" xfId="1321" xr:uid="{9EB46AA0-1F33-4ABB-BC97-951526C10686}"/>
    <cellStyle name="Comma 2 5 3 2 4" xfId="831" xr:uid="{1A5A0F64-AA1E-43F1-8385-E03DA302240D}"/>
    <cellStyle name="Comma 2 5 3 3" xfId="491" xr:uid="{88A1AC54-4466-4682-AF7A-40CA87C59441}"/>
    <cellStyle name="Comma 2 5 3 3 2" xfId="1471" xr:uid="{E6474328-011D-4251-9518-A12A116A8D32}"/>
    <cellStyle name="Comma 2 5 3 3 3" xfId="981" xr:uid="{64C6CC8C-9ABC-43F9-9C62-BE4C1D4DE6A3}"/>
    <cellStyle name="Comma 2 5 3 4" xfId="1226" xr:uid="{D2013494-0767-4AFB-A06D-F2460348A8CC}"/>
    <cellStyle name="Comma 2 5 3 5" xfId="736" xr:uid="{D89D1180-C3F1-4232-80A6-EA59A12BFA03}"/>
    <cellStyle name="Comma 2 5 3 6" xfId="246" xr:uid="{305FDA11-6631-4B46-891C-3AB004C062B3}"/>
    <cellStyle name="Comma 2 5 4" xfId="216" xr:uid="{6D6B7EA9-67B4-4696-9A48-4B0B3F285099}"/>
    <cellStyle name="Comma 2 5 4 2" xfId="461" xr:uid="{9F9DDE26-C5B0-4E84-8CAB-4B71FFAF5791}"/>
    <cellStyle name="Comma 2 5 4 2 2" xfId="1441" xr:uid="{8AC84A3A-322D-49DA-B062-56AC3F023090}"/>
    <cellStyle name="Comma 2 5 4 2 3" xfId="951" xr:uid="{0F45E849-41D7-4D18-9DF1-23761714CF61}"/>
    <cellStyle name="Comma 2 5 4 3" xfId="1196" xr:uid="{B96CFD58-003A-4318-B614-39CB1A224225}"/>
    <cellStyle name="Comma 2 5 4 4" xfId="706" xr:uid="{17F5B5B0-6048-438E-98AC-3585A6174638}"/>
    <cellStyle name="Comma 2 5 5" xfId="311" xr:uid="{660EBF4C-5830-4357-AA13-5C32CA84480A}"/>
    <cellStyle name="Comma 2 5 5 2" xfId="556" xr:uid="{56154421-840F-49E4-8041-C6F13771F824}"/>
    <cellStyle name="Comma 2 5 5 2 2" xfId="1536" xr:uid="{D00BF7F3-089C-4790-8269-FDEEB60067FC}"/>
    <cellStyle name="Comma 2 5 5 2 3" xfId="1046" xr:uid="{7B6D0878-57C2-4F82-BA1E-440B0531FCF4}"/>
    <cellStyle name="Comma 2 5 5 3" xfId="1291" xr:uid="{10C46043-C652-41E8-B43B-F10FDAFC12B8}"/>
    <cellStyle name="Comma 2 5 5 4" xfId="801" xr:uid="{3ADA1064-0D5C-4CCE-B5B7-513958F25F09}"/>
    <cellStyle name="Comma 2 5 6" xfId="401" xr:uid="{9E6EC58C-8023-4175-AA27-76D904FC005D}"/>
    <cellStyle name="Comma 2 5 6 2" xfId="1381" xr:uid="{9A725413-2CE4-41CA-9EEF-9E782FD7B213}"/>
    <cellStyle name="Comma 2 5 6 3" xfId="891" xr:uid="{DD578481-1725-45DD-A007-A5CCFC32D917}"/>
    <cellStyle name="Comma 2 5 7" xfId="1136" xr:uid="{8FB43A90-F401-4C7A-B2F4-1828B1EE71D3}"/>
    <cellStyle name="Comma 2 5 8" xfId="646" xr:uid="{ECAA4E65-8DD3-4065-9DB7-9C949E2EE55D}"/>
    <cellStyle name="Comma 2 5 9" xfId="156" xr:uid="{B2EC3B6E-BDB3-4925-BC76-19AC9B908F21}"/>
    <cellStyle name="Comma 2 6" xfId="116" xr:uid="{1FF9AEEC-AE9F-452D-902F-9C20BAF1417D}"/>
    <cellStyle name="Comma 2 6 2" xfId="266" xr:uid="{E206EB18-6CC2-4C5B-A13A-CB96DD873ED6}"/>
    <cellStyle name="Comma 2 6 2 2" xfId="511" xr:uid="{46EB2B1D-A522-439F-A540-51C7FEDAD73E}"/>
    <cellStyle name="Comma 2 6 2 2 2" xfId="1491" xr:uid="{E22E7EE3-E577-4540-801C-09FA2D9D762A}"/>
    <cellStyle name="Comma 2 6 2 2 3" xfId="1001" xr:uid="{C1F18B30-3105-4AE3-A92A-7ACDAE3B2583}"/>
    <cellStyle name="Comma 2 6 2 3" xfId="1246" xr:uid="{BF8A1F04-AA3B-43F8-9AD8-ED9AC806E844}"/>
    <cellStyle name="Comma 2 6 2 4" xfId="756" xr:uid="{21714249-AE5C-4F77-846A-8DC3D2B49CFF}"/>
    <cellStyle name="Comma 2 6 3" xfId="361" xr:uid="{29355D59-DBE5-4769-A447-F8325194E3E9}"/>
    <cellStyle name="Comma 2 6 3 2" xfId="606" xr:uid="{3C828812-4766-43FE-8B09-648977BC3680}"/>
    <cellStyle name="Comma 2 6 3 2 2" xfId="1586" xr:uid="{43AD84C5-5C6A-4D9E-943F-14A9C80A3DC5}"/>
    <cellStyle name="Comma 2 6 3 2 3" xfId="1096" xr:uid="{391075C5-31B3-42BD-AE41-B10B09DE1646}"/>
    <cellStyle name="Comma 2 6 3 3" xfId="1341" xr:uid="{49C23B20-90B9-40D9-81D0-9A1491CF0E34}"/>
    <cellStyle name="Comma 2 6 3 4" xfId="851" xr:uid="{EE4BD756-38F0-4F35-9D4C-EEB850F4FFA8}"/>
    <cellStyle name="Comma 2 6 4" xfId="421" xr:uid="{46D3069C-AA33-422E-BD6E-6D7B8842648B}"/>
    <cellStyle name="Comma 2 6 4 2" xfId="1401" xr:uid="{BFC10AAE-37AA-4F0B-BCF4-66C8AC93494D}"/>
    <cellStyle name="Comma 2 6 4 3" xfId="911" xr:uid="{3047E0E1-9F45-45C8-9480-7BD6D6C445AE}"/>
    <cellStyle name="Comma 2 6 5" xfId="1156" xr:uid="{614B28EB-BA4D-436C-BF82-216968C0A199}"/>
    <cellStyle name="Comma 2 6 6" xfId="666" xr:uid="{0CCEC275-5A8E-4129-B936-0802D5B94CF2}"/>
    <cellStyle name="Comma 2 6 7" xfId="176" xr:uid="{ECE76A75-00A9-4B04-9B86-22320647F2BB}"/>
    <cellStyle name="Comma 2 7" xfId="86" xr:uid="{90A69080-51C8-4AA4-968A-31CCF6273C20}"/>
    <cellStyle name="Comma 2 7 2" xfId="331" xr:uid="{89D606C9-02A8-48E4-B455-CDB6A9D61C8C}"/>
    <cellStyle name="Comma 2 7 2 2" xfId="576" xr:uid="{680E5932-9555-47A4-B7D9-A118CFF4AC44}"/>
    <cellStyle name="Comma 2 7 2 2 2" xfId="1556" xr:uid="{854B995B-AFE9-47F0-9591-ABF226F15A2E}"/>
    <cellStyle name="Comma 2 7 2 2 3" xfId="1066" xr:uid="{0ACDCC01-0AF9-4176-A99F-E437B9CCD492}"/>
    <cellStyle name="Comma 2 7 2 3" xfId="1311" xr:uid="{FD005041-012A-46F7-8BB1-545B624239BD}"/>
    <cellStyle name="Comma 2 7 2 4" xfId="821" xr:uid="{51C2381D-689B-4AB0-B8A2-7627A5083FC1}"/>
    <cellStyle name="Comma 2 7 3" xfId="481" xr:uid="{80773A6D-AC09-4696-911E-D6D96B3FE244}"/>
    <cellStyle name="Comma 2 7 3 2" xfId="1461" xr:uid="{BCDF4DB2-9EEF-4BDA-B25C-12E765E331DD}"/>
    <cellStyle name="Comma 2 7 3 3" xfId="971" xr:uid="{D3807C37-44A8-4F83-A90B-55F07DB6985F}"/>
    <cellStyle name="Comma 2 7 4" xfId="1216" xr:uid="{2B8078CB-F1BA-4967-9524-CB4815AF40B6}"/>
    <cellStyle name="Comma 2 7 5" xfId="726" xr:uid="{0B6EB88E-D4D7-433D-B055-F0B616C945EA}"/>
    <cellStyle name="Comma 2 7 6" xfId="236" xr:uid="{51551E49-5623-429A-B19C-FF0FE3AFB05B}"/>
    <cellStyle name="Comma 2 8" xfId="206" xr:uid="{C01D7FD6-493B-4DBF-8E03-184A6A457F15}"/>
    <cellStyle name="Comma 2 8 2" xfId="451" xr:uid="{1E436306-2600-4821-9383-9DA1D20A9EB4}"/>
    <cellStyle name="Comma 2 8 2 2" xfId="1431" xr:uid="{FB2C79C7-29A1-4480-86C1-3EC80EC10CFF}"/>
    <cellStyle name="Comma 2 8 2 3" xfId="941" xr:uid="{E4923382-E43D-4EE8-9C54-738A437DD39C}"/>
    <cellStyle name="Comma 2 8 3" xfId="1186" xr:uid="{54314A2B-7A4E-4811-8BFB-BE6021ACDCAF}"/>
    <cellStyle name="Comma 2 8 4" xfId="696" xr:uid="{A043EBAE-60E4-4F46-AF75-9E663CFBEDE2}"/>
    <cellStyle name="Comma 2 9" xfId="297" xr:uid="{3B604E7E-7073-4223-869E-BD6CD234F4C0}"/>
    <cellStyle name="Comma 2 9 2" xfId="542" xr:uid="{E6837DD6-566B-40A5-AC4B-39E7D25F7364}"/>
    <cellStyle name="Comma 2 9 2 2" xfId="1522" xr:uid="{0AA7E529-7F21-4566-838A-28E6A141F5E9}"/>
    <cellStyle name="Comma 2 9 2 3" xfId="1032" xr:uid="{7F6B0350-D9AC-41E4-8DC2-EF54492F4080}"/>
    <cellStyle name="Comma 2 9 3" xfId="1277" xr:uid="{2A151A38-729B-489C-B2E3-437142322212}"/>
    <cellStyle name="Comma 2 9 4" xfId="787" xr:uid="{3D5C3852-8803-45DE-A005-1DCB1A782F85}"/>
    <cellStyle name="Comma 3" xfId="15" xr:uid="{1CD16FF0-2906-460E-977D-2594A2E7FF94}"/>
    <cellStyle name="Comma 3 10" xfId="1127" xr:uid="{1452438F-AE99-41BD-BF91-6E1E907A550E}"/>
    <cellStyle name="Comma 3 11" xfId="637" xr:uid="{A1041D85-021E-42D1-8423-8BFCF57EC9F8}"/>
    <cellStyle name="Comma 3 12" xfId="147" xr:uid="{737D4345-73C2-4A26-AEEB-5A89911168C6}"/>
    <cellStyle name="Comma 3 2" xfId="18" xr:uid="{5C51A80D-C845-44E9-95D7-7B51CC35AC2A}"/>
    <cellStyle name="Comma 3 2 10" xfId="642" xr:uid="{7831CA3C-4379-447A-8492-B66BA691BB92}"/>
    <cellStyle name="Comma 3 2 11" xfId="152" xr:uid="{6FB9A7AC-1896-4AA7-B2CC-A45E26DADF66}"/>
    <cellStyle name="Comma 3 2 2" xfId="82" xr:uid="{E29B9E4B-B1A5-4019-AE80-78C0BA92200D}"/>
    <cellStyle name="Comma 3 2 2 2" xfId="142" xr:uid="{5D9B61B7-6655-4085-8EB4-D91BA198F8B2}"/>
    <cellStyle name="Comma 3 2 2 2 2" xfId="292" xr:uid="{00B1AE4D-78CA-4316-B86C-840C2C165A94}"/>
    <cellStyle name="Comma 3 2 2 2 2 2" xfId="537" xr:uid="{36AFD757-C1E4-4675-80BF-D4E52F27C5D2}"/>
    <cellStyle name="Comma 3 2 2 2 2 2 2" xfId="1517" xr:uid="{0C99B703-27D5-4EEC-BA77-1E6300F897D9}"/>
    <cellStyle name="Comma 3 2 2 2 2 2 3" xfId="1027" xr:uid="{91B03C4D-2FDC-4981-BAC3-E86B5696304C}"/>
    <cellStyle name="Comma 3 2 2 2 2 3" xfId="1272" xr:uid="{B0EDDBAB-1685-493A-A6AA-A0735ACC454F}"/>
    <cellStyle name="Comma 3 2 2 2 2 4" xfId="782" xr:uid="{DB7055AC-8C92-42FD-BD10-CFE7CA76CA41}"/>
    <cellStyle name="Comma 3 2 2 2 3" xfId="387" xr:uid="{98CDF4A7-ECF8-4F40-BFA6-328F50A36F41}"/>
    <cellStyle name="Comma 3 2 2 2 3 2" xfId="632" xr:uid="{968F02E2-1FE0-44CC-B1D6-D37AB08A0BF9}"/>
    <cellStyle name="Comma 3 2 2 2 3 2 2" xfId="1612" xr:uid="{9A7400DE-872E-49B8-8CD9-B9DF8AEB8258}"/>
    <cellStyle name="Comma 3 2 2 2 3 2 3" xfId="1122" xr:uid="{A9968A75-E81E-461F-A8EC-7366E10B8450}"/>
    <cellStyle name="Comma 3 2 2 2 3 3" xfId="1367" xr:uid="{1D79E8E7-98BA-47A5-AB57-B4FE6E40071E}"/>
    <cellStyle name="Comma 3 2 2 2 3 4" xfId="877" xr:uid="{EB2B9A88-4545-4C02-8798-07A127094181}"/>
    <cellStyle name="Comma 3 2 2 2 4" xfId="447" xr:uid="{4EE2FBF5-EC44-4211-950A-8B647D5EE532}"/>
    <cellStyle name="Comma 3 2 2 2 4 2" xfId="1427" xr:uid="{223E25B2-0F97-4ADA-86DB-20B6D0FBD401}"/>
    <cellStyle name="Comma 3 2 2 2 4 3" xfId="937" xr:uid="{2A1D06E4-A6AB-49EE-A23A-6A889528F633}"/>
    <cellStyle name="Comma 3 2 2 2 5" xfId="1182" xr:uid="{83811B17-74C6-4565-B420-7D943439AA26}"/>
    <cellStyle name="Comma 3 2 2 2 6" xfId="692" xr:uid="{9E886C69-16BE-4B5F-BC77-7AE1567AE53F}"/>
    <cellStyle name="Comma 3 2 2 2 7" xfId="202" xr:uid="{55561A4A-8AE5-403E-AF9A-3B733006E9AF}"/>
    <cellStyle name="Comma 3 2 2 3" xfId="112" xr:uid="{B342410C-AF89-4204-AF35-1B9F8CD5103F}"/>
    <cellStyle name="Comma 3 2 2 3 2" xfId="357" xr:uid="{3CA094A4-C110-4549-A61C-93C63D1EAE47}"/>
    <cellStyle name="Comma 3 2 2 3 2 2" xfId="602" xr:uid="{D095C210-8AB4-41C8-8023-A5C4922F6455}"/>
    <cellStyle name="Comma 3 2 2 3 2 2 2" xfId="1582" xr:uid="{B3BA2FEA-A7C9-4AA8-A78C-CAC1FB5D7F9F}"/>
    <cellStyle name="Comma 3 2 2 3 2 2 3" xfId="1092" xr:uid="{24C73DA9-8765-4985-8E9F-2E72609AE709}"/>
    <cellStyle name="Comma 3 2 2 3 2 3" xfId="1337" xr:uid="{93A8FA20-B7CD-4EFD-B511-F82436BE25E4}"/>
    <cellStyle name="Comma 3 2 2 3 2 4" xfId="847" xr:uid="{0E1936B8-1B61-48B1-B48C-6BFDE73F4185}"/>
    <cellStyle name="Comma 3 2 2 3 3" xfId="507" xr:uid="{BAD4EFAF-3612-4FED-ADE4-B985F583C08A}"/>
    <cellStyle name="Comma 3 2 2 3 3 2" xfId="1487" xr:uid="{BC9CFCF3-FBB7-4578-8D42-1345789B4669}"/>
    <cellStyle name="Comma 3 2 2 3 3 3" xfId="997" xr:uid="{8CAB1C37-AE8F-4493-A607-3C5536B0E12F}"/>
    <cellStyle name="Comma 3 2 2 3 4" xfId="1242" xr:uid="{029B985C-E55C-4F9B-9384-674162A46897}"/>
    <cellStyle name="Comma 3 2 2 3 5" xfId="752" xr:uid="{CE0A1561-AEA5-484D-9E7E-33F3DC48F60E}"/>
    <cellStyle name="Comma 3 2 2 3 6" xfId="262" xr:uid="{38DD351E-736F-4CE2-8ECA-2F77F7EF5F05}"/>
    <cellStyle name="Comma 3 2 2 4" xfId="232" xr:uid="{5C9A7A44-961E-4513-A0C4-383BEFDB30AC}"/>
    <cellStyle name="Comma 3 2 2 4 2" xfId="477" xr:uid="{3BB6B204-C90C-4DFB-A0F2-61425D82F663}"/>
    <cellStyle name="Comma 3 2 2 4 2 2" xfId="1457" xr:uid="{19E888F5-24E2-4DA7-B47F-8DC410B97A1A}"/>
    <cellStyle name="Comma 3 2 2 4 2 3" xfId="967" xr:uid="{70BD3DB2-8183-465C-89CB-0BB05A369864}"/>
    <cellStyle name="Comma 3 2 2 4 3" xfId="1212" xr:uid="{BD275336-E4CB-4FA6-8FBB-BFDD34C59F39}"/>
    <cellStyle name="Comma 3 2 2 4 4" xfId="722" xr:uid="{2B35420A-978C-4A4E-B820-8CC22D4C1517}"/>
    <cellStyle name="Comma 3 2 2 5" xfId="327" xr:uid="{513DF66E-AB63-4C5C-ADBF-A5031F152964}"/>
    <cellStyle name="Comma 3 2 2 5 2" xfId="572" xr:uid="{D6077632-C23E-4B3E-90EA-B18790F78B13}"/>
    <cellStyle name="Comma 3 2 2 5 2 2" xfId="1552" xr:uid="{AE43604F-0D1B-4BF5-A788-9D211D6FBE51}"/>
    <cellStyle name="Comma 3 2 2 5 2 3" xfId="1062" xr:uid="{48312623-2F2D-4F50-BAAB-57FB01B508A3}"/>
    <cellStyle name="Comma 3 2 2 5 3" xfId="1307" xr:uid="{A1B76050-1E44-4257-9B76-48EFC4243662}"/>
    <cellStyle name="Comma 3 2 2 5 4" xfId="817" xr:uid="{38ECC938-2FC0-4A32-9FCF-D096986C3ED3}"/>
    <cellStyle name="Comma 3 2 2 6" xfId="417" xr:uid="{520EDC75-47D7-4661-8A5E-4AF7BFA62448}"/>
    <cellStyle name="Comma 3 2 2 6 2" xfId="1397" xr:uid="{0CB0698A-014F-407A-AC6B-22ADE43B0B0F}"/>
    <cellStyle name="Comma 3 2 2 6 3" xfId="907" xr:uid="{89A18EDA-EDAA-4864-BEF7-B608A7B151CC}"/>
    <cellStyle name="Comma 3 2 2 7" xfId="1152" xr:uid="{8824F644-64E6-4154-93EF-4D6C3C16AE23}"/>
    <cellStyle name="Comma 3 2 2 8" xfId="662" xr:uid="{84F8C5C9-58AD-49EF-BBD1-8BF841AA939F}"/>
    <cellStyle name="Comma 3 2 2 9" xfId="172" xr:uid="{B0D21C2C-B051-4E94-9903-6DAECCEF0062}"/>
    <cellStyle name="Comma 3 2 3" xfId="72" xr:uid="{6B5CC829-49EC-47C8-A919-C86C39AFAAE8}"/>
    <cellStyle name="Comma 3 2 3 2" xfId="132" xr:uid="{53B3440E-EAE2-4C34-86D5-A2C0AA56BA6C}"/>
    <cellStyle name="Comma 3 2 3 2 2" xfId="282" xr:uid="{2C00316C-421C-4B63-AC3F-C88F2AFD8253}"/>
    <cellStyle name="Comma 3 2 3 2 2 2" xfId="527" xr:uid="{2C58C231-7723-4672-80F0-0EC706944154}"/>
    <cellStyle name="Comma 3 2 3 2 2 2 2" xfId="1507" xr:uid="{11953AF1-3E59-4FD3-A519-A8772785A6E6}"/>
    <cellStyle name="Comma 3 2 3 2 2 2 3" xfId="1017" xr:uid="{CAE1673D-E92D-4E01-A589-F052204A889A}"/>
    <cellStyle name="Comma 3 2 3 2 2 3" xfId="1262" xr:uid="{1FA88866-664E-47EE-85E1-3E0E40CB7C2D}"/>
    <cellStyle name="Comma 3 2 3 2 2 4" xfId="772" xr:uid="{9A933C2D-B8EB-4CBF-85DB-4E2B0FD5FB48}"/>
    <cellStyle name="Comma 3 2 3 2 3" xfId="377" xr:uid="{16E982D9-883D-4878-A817-6E46C8C0929A}"/>
    <cellStyle name="Comma 3 2 3 2 3 2" xfId="622" xr:uid="{358FFB9F-2A05-4F5D-8972-ADF5CD8D3D6F}"/>
    <cellStyle name="Comma 3 2 3 2 3 2 2" xfId="1602" xr:uid="{082027BE-69B4-455C-BE8E-4A62C5A743C2}"/>
    <cellStyle name="Comma 3 2 3 2 3 2 3" xfId="1112" xr:uid="{929AE767-3994-4D42-A027-04CBC8695105}"/>
    <cellStyle name="Comma 3 2 3 2 3 3" xfId="1357" xr:uid="{91D98013-18EC-448C-BCB2-86CD9DE9422D}"/>
    <cellStyle name="Comma 3 2 3 2 3 4" xfId="867" xr:uid="{10C81CF5-7606-4DEF-9F29-23574A1B687B}"/>
    <cellStyle name="Comma 3 2 3 2 4" xfId="437" xr:uid="{B4D46B95-4C4A-45EB-A67D-631CDA16672C}"/>
    <cellStyle name="Comma 3 2 3 2 4 2" xfId="1417" xr:uid="{8877D23E-4761-4290-B851-96EDC70F5ED9}"/>
    <cellStyle name="Comma 3 2 3 2 4 3" xfId="927" xr:uid="{B14C5007-3C5A-47BD-81D1-48A278BD2264}"/>
    <cellStyle name="Comma 3 2 3 2 5" xfId="1172" xr:uid="{8A34F81A-BF16-4603-A891-1C10C381F4AE}"/>
    <cellStyle name="Comma 3 2 3 2 6" xfId="682" xr:uid="{2BD0538A-C9E4-4DC0-B2D8-43E1170FAEB6}"/>
    <cellStyle name="Comma 3 2 3 2 7" xfId="192" xr:uid="{D12F5742-8C72-4956-A5E3-2926E626AA54}"/>
    <cellStyle name="Comma 3 2 3 3" xfId="102" xr:uid="{193CC203-D3F6-4482-9DA3-3A749339F59D}"/>
    <cellStyle name="Comma 3 2 3 3 2" xfId="347" xr:uid="{CE2BC153-C783-4289-9ADA-B540BBEC92A3}"/>
    <cellStyle name="Comma 3 2 3 3 2 2" xfId="592" xr:uid="{57A34C16-23A2-417E-B53A-FCAF41D6F45C}"/>
    <cellStyle name="Comma 3 2 3 3 2 2 2" xfId="1572" xr:uid="{F8289206-D014-4AF7-A157-0FE3371FE36F}"/>
    <cellStyle name="Comma 3 2 3 3 2 2 3" xfId="1082" xr:uid="{575FC780-CA2E-4B02-8D08-4DA69FF16059}"/>
    <cellStyle name="Comma 3 2 3 3 2 3" xfId="1327" xr:uid="{9883BDE0-A38B-4E7E-819C-DD958CE03368}"/>
    <cellStyle name="Comma 3 2 3 3 2 4" xfId="837" xr:uid="{02AD4F9E-E0AE-4A38-9726-2DCE4131CDFB}"/>
    <cellStyle name="Comma 3 2 3 3 3" xfId="497" xr:uid="{408407DC-460B-4D16-A7A5-43F4868F4BA9}"/>
    <cellStyle name="Comma 3 2 3 3 3 2" xfId="1477" xr:uid="{9A4ED462-4089-4F70-8C0F-451F367F8AB5}"/>
    <cellStyle name="Comma 3 2 3 3 3 3" xfId="987" xr:uid="{B16BBF10-FB5A-4FAA-9431-46F5AE8915CD}"/>
    <cellStyle name="Comma 3 2 3 3 4" xfId="1232" xr:uid="{2C1D91F0-E324-43D8-BD8A-C67C75F4C7F4}"/>
    <cellStyle name="Comma 3 2 3 3 5" xfId="742" xr:uid="{67FE05D0-0DB4-4FC8-BE63-D5444600205D}"/>
    <cellStyle name="Comma 3 2 3 3 6" xfId="252" xr:uid="{24A8155D-DA63-4CF7-AB46-9C155983D001}"/>
    <cellStyle name="Comma 3 2 3 4" xfId="222" xr:uid="{E845BFBA-AEFC-4FE6-8E45-C5666467F2ED}"/>
    <cellStyle name="Comma 3 2 3 4 2" xfId="467" xr:uid="{8F69DE04-8EF0-4AFD-AF17-221E981BB936}"/>
    <cellStyle name="Comma 3 2 3 4 2 2" xfId="1447" xr:uid="{6989E112-6CC9-44DB-8CF7-D37183E81AED}"/>
    <cellStyle name="Comma 3 2 3 4 2 3" xfId="957" xr:uid="{A29224A6-CBDD-4BBB-81D4-D1755C8C5E81}"/>
    <cellStyle name="Comma 3 2 3 4 3" xfId="1202" xr:uid="{EAB7E8C2-C402-4325-8232-97EB64D80EC3}"/>
    <cellStyle name="Comma 3 2 3 4 4" xfId="712" xr:uid="{64D9A0DC-A9B5-481B-B3C7-EE135419DCB6}"/>
    <cellStyle name="Comma 3 2 3 5" xfId="317" xr:uid="{6D34A599-44B9-4C8C-BE14-F8A472996583}"/>
    <cellStyle name="Comma 3 2 3 5 2" xfId="562" xr:uid="{8F04C436-71CC-4ED5-8A83-89835FB36A84}"/>
    <cellStyle name="Comma 3 2 3 5 2 2" xfId="1542" xr:uid="{94496992-43EB-4D46-9AB9-40AAE4A2F560}"/>
    <cellStyle name="Comma 3 2 3 5 2 3" xfId="1052" xr:uid="{DD6AC942-DD78-40F0-92E9-0B24CAB933AE}"/>
    <cellStyle name="Comma 3 2 3 5 3" xfId="1297" xr:uid="{4F2D0042-FC67-4327-8594-B68A4937B647}"/>
    <cellStyle name="Comma 3 2 3 5 4" xfId="807" xr:uid="{CF95E3E7-C4DB-498F-BCBB-34E56E36DDE0}"/>
    <cellStyle name="Comma 3 2 3 6" xfId="407" xr:uid="{DA9FACFE-67B9-4710-9223-5C60A88699AC}"/>
    <cellStyle name="Comma 3 2 3 6 2" xfId="1387" xr:uid="{CB996A5B-C23F-4F05-B85D-5E51A7FC9F0D}"/>
    <cellStyle name="Comma 3 2 3 6 3" xfId="897" xr:uid="{218F4C9E-93A2-4570-A56F-6E11AF83C6CC}"/>
    <cellStyle name="Comma 3 2 3 7" xfId="1142" xr:uid="{C544E144-D0D1-46D0-BABB-4A2EF94A2AFE}"/>
    <cellStyle name="Comma 3 2 3 8" xfId="652" xr:uid="{1A579BDE-2029-45FC-B13C-7BC5356F77DF}"/>
    <cellStyle name="Comma 3 2 3 9" xfId="162" xr:uid="{92F6BA82-53B5-45DC-9B02-C3241D050812}"/>
    <cellStyle name="Comma 3 2 4" xfId="122" xr:uid="{779FC1E9-26FE-40EC-A3E4-AD1D523FBB2C}"/>
    <cellStyle name="Comma 3 2 4 2" xfId="272" xr:uid="{BE405511-A4A3-48E3-865B-3F5E58521E9D}"/>
    <cellStyle name="Comma 3 2 4 2 2" xfId="517" xr:uid="{26BF2795-1AFD-4F6C-B73B-D42F0C77EAD1}"/>
    <cellStyle name="Comma 3 2 4 2 2 2" xfId="1497" xr:uid="{7EB06722-45F2-4144-A329-8E6A445B41B0}"/>
    <cellStyle name="Comma 3 2 4 2 2 3" xfId="1007" xr:uid="{C5CAF061-A39C-4DAD-8148-32E77CA0AA6A}"/>
    <cellStyle name="Comma 3 2 4 2 3" xfId="1252" xr:uid="{358D09F7-EEC9-4ED5-9FDB-D9B426320EA1}"/>
    <cellStyle name="Comma 3 2 4 2 4" xfId="762" xr:uid="{9BBB3CEE-D6A6-4197-BFDA-0A0A5911E190}"/>
    <cellStyle name="Comma 3 2 4 3" xfId="367" xr:uid="{831B3DDE-C1EE-4FBB-A965-451BE73C3A92}"/>
    <cellStyle name="Comma 3 2 4 3 2" xfId="612" xr:uid="{47ED27D3-91AE-4EE8-987F-36365AE9C08A}"/>
    <cellStyle name="Comma 3 2 4 3 2 2" xfId="1592" xr:uid="{D654F3C7-8AA6-4F3C-AD8F-82CC06FECF4B}"/>
    <cellStyle name="Comma 3 2 4 3 2 3" xfId="1102" xr:uid="{F75F10A2-9C0A-461B-A2AD-E06463C61892}"/>
    <cellStyle name="Comma 3 2 4 3 3" xfId="1347" xr:uid="{87230B14-CA4A-4027-AE13-F5A8D7338C70}"/>
    <cellStyle name="Comma 3 2 4 3 4" xfId="857" xr:uid="{3A73C9D6-A4D9-4AED-8477-3625E53BD598}"/>
    <cellStyle name="Comma 3 2 4 4" xfId="427" xr:uid="{92D8C201-CE80-44AE-86D2-178652BEFA9E}"/>
    <cellStyle name="Comma 3 2 4 4 2" xfId="1407" xr:uid="{79D581FC-4BA2-4CCD-84FE-D20F47D37421}"/>
    <cellStyle name="Comma 3 2 4 4 3" xfId="917" xr:uid="{2535C94A-33F6-47D5-B1EA-ABF1B19B32F7}"/>
    <cellStyle name="Comma 3 2 4 5" xfId="1162" xr:uid="{42BA0A31-09F4-4942-8D15-A2E375DB201E}"/>
    <cellStyle name="Comma 3 2 4 6" xfId="672" xr:uid="{7BDDA5CB-3F1B-45B1-A3E1-51EA3E585ABB}"/>
    <cellStyle name="Comma 3 2 4 7" xfId="182" xr:uid="{B015134A-CAEB-4408-B257-24A946157ED8}"/>
    <cellStyle name="Comma 3 2 5" xfId="92" xr:uid="{9066CAA9-4395-469B-9D9A-79FD4DE44664}"/>
    <cellStyle name="Comma 3 2 5 2" xfId="337" xr:uid="{8354A876-E532-416A-A368-3742B7EDF5BD}"/>
    <cellStyle name="Comma 3 2 5 2 2" xfId="582" xr:uid="{70A43625-82DC-4AC3-B43E-563DD5784AA1}"/>
    <cellStyle name="Comma 3 2 5 2 2 2" xfId="1562" xr:uid="{63950ABA-0612-42D2-9451-54D9FDDDFE0A}"/>
    <cellStyle name="Comma 3 2 5 2 2 3" xfId="1072" xr:uid="{3C754C01-CCBB-4418-8552-BC6E8F274B7A}"/>
    <cellStyle name="Comma 3 2 5 2 3" xfId="1317" xr:uid="{0EBFA704-0F8F-479D-81BE-D30975B7321D}"/>
    <cellStyle name="Comma 3 2 5 2 4" xfId="827" xr:uid="{AE1E6EF5-4C0C-4788-8F0A-20E5F5DE2F35}"/>
    <cellStyle name="Comma 3 2 5 3" xfId="487" xr:uid="{C759AF76-0494-4D6A-9740-3E7C013B07D2}"/>
    <cellStyle name="Comma 3 2 5 3 2" xfId="1467" xr:uid="{4FBD2690-8BF9-4CA6-ABCB-41D15A99F188}"/>
    <cellStyle name="Comma 3 2 5 3 3" xfId="977" xr:uid="{E63956B8-2D3A-44F9-9AB9-229CFADA6968}"/>
    <cellStyle name="Comma 3 2 5 4" xfId="1222" xr:uid="{69A94952-B5D4-4F65-89EC-EE013C8602CE}"/>
    <cellStyle name="Comma 3 2 5 5" xfId="732" xr:uid="{C5E65888-0866-40D5-9758-B98598E559D6}"/>
    <cellStyle name="Comma 3 2 5 6" xfId="242" xr:uid="{73C0B6A0-CF56-40E8-96C6-7415876F409A}"/>
    <cellStyle name="Comma 3 2 6" xfId="212" xr:uid="{84E75AB1-DDE7-42E9-BC16-4B33A0D186D1}"/>
    <cellStyle name="Comma 3 2 6 2" xfId="457" xr:uid="{2E37B768-AD1B-432B-9A33-F60EBEC97F8E}"/>
    <cellStyle name="Comma 3 2 6 2 2" xfId="1437" xr:uid="{0CA40E84-EA07-4372-827C-F2B17F7F25D8}"/>
    <cellStyle name="Comma 3 2 6 2 3" xfId="947" xr:uid="{72ECE536-F380-4A00-88DB-41BE649774A9}"/>
    <cellStyle name="Comma 3 2 6 3" xfId="1192" xr:uid="{C7EB3252-CD38-4AD0-B469-72274F704E57}"/>
    <cellStyle name="Comma 3 2 6 4" xfId="702" xr:uid="{1570A8A8-91C8-4DA8-A328-FE328F814F4A}"/>
    <cellStyle name="Comma 3 2 7" xfId="304" xr:uid="{2842DC74-3FE5-4428-89D1-1AB56C41DA00}"/>
    <cellStyle name="Comma 3 2 7 2" xfId="549" xr:uid="{E1B8C1B6-77BC-4061-8AB3-0CE2C99ACA4B}"/>
    <cellStyle name="Comma 3 2 7 2 2" xfId="1529" xr:uid="{3B8D8C0A-AD22-4FF2-8742-0FD18112789D}"/>
    <cellStyle name="Comma 3 2 7 2 3" xfId="1039" xr:uid="{49CD3377-00AF-4FB0-9F26-58C2F1A001A9}"/>
    <cellStyle name="Comma 3 2 7 3" xfId="1284" xr:uid="{347C8B4B-F94D-46CD-87AD-52A214A1911D}"/>
    <cellStyle name="Comma 3 2 7 4" xfId="794" xr:uid="{34DC3B74-4AD5-4296-9C99-9211CBAD82D3}"/>
    <cellStyle name="Comma 3 2 8" xfId="397" xr:uid="{34A1A646-5199-4DB8-9ADC-860607D79FEA}"/>
    <cellStyle name="Comma 3 2 8 2" xfId="1377" xr:uid="{81051D25-4772-4C6B-89D4-FC4502844DFD}"/>
    <cellStyle name="Comma 3 2 8 3" xfId="887" xr:uid="{965ED00F-3DED-4226-9788-2461410C8FF6}"/>
    <cellStyle name="Comma 3 2 9" xfId="1132" xr:uid="{86218414-1AC3-472B-9B11-9ADEB74D7217}"/>
    <cellStyle name="Comma 3 3" xfId="77" xr:uid="{950E12DB-F88D-4F71-9876-4B2A764061A7}"/>
    <cellStyle name="Comma 3 3 2" xfId="137" xr:uid="{F731B374-0DFB-49E3-9F8D-B9347B73AAFF}"/>
    <cellStyle name="Comma 3 3 2 2" xfId="287" xr:uid="{2148D611-36A9-4412-8872-8FF5CDE2AE16}"/>
    <cellStyle name="Comma 3 3 2 2 2" xfId="532" xr:uid="{C03F5922-1300-4699-8CF6-A55CDE001F28}"/>
    <cellStyle name="Comma 3 3 2 2 2 2" xfId="1512" xr:uid="{F9A958D0-D466-437D-95D6-7FF496660004}"/>
    <cellStyle name="Comma 3 3 2 2 2 3" xfId="1022" xr:uid="{7AA30000-7EBE-4638-A443-3C26E04B3725}"/>
    <cellStyle name="Comma 3 3 2 2 3" xfId="1267" xr:uid="{ABACE92B-3970-4D29-A449-69E576EA4F09}"/>
    <cellStyle name="Comma 3 3 2 2 4" xfId="777" xr:uid="{2C213495-FDA7-4D08-80C7-424FC9198916}"/>
    <cellStyle name="Comma 3 3 2 3" xfId="382" xr:uid="{18ABD156-8F64-4606-AC7C-090DB2B8E654}"/>
    <cellStyle name="Comma 3 3 2 3 2" xfId="627" xr:uid="{7DC63902-6BED-4F21-B56B-6507311BC3D8}"/>
    <cellStyle name="Comma 3 3 2 3 2 2" xfId="1607" xr:uid="{FADFC407-3F88-46A8-BAC9-42FFE3FD4D21}"/>
    <cellStyle name="Comma 3 3 2 3 2 3" xfId="1117" xr:uid="{54D09413-2FBA-448F-9009-55078EC26908}"/>
    <cellStyle name="Comma 3 3 2 3 3" xfId="1362" xr:uid="{5D6E6E0D-081B-4CBA-BDF3-29B4329EB876}"/>
    <cellStyle name="Comma 3 3 2 3 4" xfId="872" xr:uid="{AFEBCF95-9536-4E52-8D81-49DE5C199CB9}"/>
    <cellStyle name="Comma 3 3 2 4" xfId="442" xr:uid="{C2CEE630-E78D-4EE3-9923-A70FC9C1BDD0}"/>
    <cellStyle name="Comma 3 3 2 4 2" xfId="1422" xr:uid="{ECC88E49-33B6-471E-B814-8F7014E3822B}"/>
    <cellStyle name="Comma 3 3 2 4 3" xfId="932" xr:uid="{F580D5AC-D0A1-4F06-9341-7202C40682B1}"/>
    <cellStyle name="Comma 3 3 2 5" xfId="1177" xr:uid="{6C0CD63C-D620-48BD-88BF-6E885E129B62}"/>
    <cellStyle name="Comma 3 3 2 6" xfId="687" xr:uid="{D7EC891E-4793-4476-8782-63E65A2D9AC1}"/>
    <cellStyle name="Comma 3 3 2 7" xfId="197" xr:uid="{609B3F20-02BB-4005-863E-99D81370EE8F}"/>
    <cellStyle name="Comma 3 3 3" xfId="107" xr:uid="{061B7712-E167-4667-8963-5AA64E6E0BA8}"/>
    <cellStyle name="Comma 3 3 3 2" xfId="352" xr:uid="{21ABAB67-50F9-4C24-B7CE-BC0B815BBDFE}"/>
    <cellStyle name="Comma 3 3 3 2 2" xfId="597" xr:uid="{B4F12A71-1657-499A-BA25-E0EE218B46FD}"/>
    <cellStyle name="Comma 3 3 3 2 2 2" xfId="1577" xr:uid="{05007337-34D3-47BF-9AC0-5D8D1ECF089B}"/>
    <cellStyle name="Comma 3 3 3 2 2 3" xfId="1087" xr:uid="{6CCC3975-9A1E-47D3-9583-FD2A04256887}"/>
    <cellStyle name="Comma 3 3 3 2 3" xfId="1332" xr:uid="{C6773F1A-801D-418F-823A-9778E78C797F}"/>
    <cellStyle name="Comma 3 3 3 2 4" xfId="842" xr:uid="{FF850925-2FA2-435F-BCCA-23143C72B5AA}"/>
    <cellStyle name="Comma 3 3 3 3" xfId="502" xr:uid="{2B50C32D-FAF5-47AF-9ACF-4A510E38D746}"/>
    <cellStyle name="Comma 3 3 3 3 2" xfId="1482" xr:uid="{1BA0148A-40BB-4652-AFBC-4A4C7F5C1C19}"/>
    <cellStyle name="Comma 3 3 3 3 3" xfId="992" xr:uid="{402C3990-5460-46A6-BD8C-BA193093B1D0}"/>
    <cellStyle name="Comma 3 3 3 4" xfId="1237" xr:uid="{091DE1D2-41FC-4337-AD33-DB253B183C95}"/>
    <cellStyle name="Comma 3 3 3 5" xfId="747" xr:uid="{D46FE4B5-38D3-4AF0-BA36-0AC68BEF5E36}"/>
    <cellStyle name="Comma 3 3 3 6" xfId="257" xr:uid="{99E6BCDA-CD77-49C8-9742-453B56B015D0}"/>
    <cellStyle name="Comma 3 3 4" xfId="227" xr:uid="{D77756B3-A336-41E7-AA16-2B9E556763D7}"/>
    <cellStyle name="Comma 3 3 4 2" xfId="472" xr:uid="{6E0EF1E8-94C7-49D6-92AA-964369F810D1}"/>
    <cellStyle name="Comma 3 3 4 2 2" xfId="1452" xr:uid="{08404FBC-742F-49E0-ADCB-69733749686F}"/>
    <cellStyle name="Comma 3 3 4 2 3" xfId="962" xr:uid="{DA07CD5D-84B6-4EBD-A12D-EB894B24BB9F}"/>
    <cellStyle name="Comma 3 3 4 3" xfId="1207" xr:uid="{9BC92C2A-8828-46CF-BCB0-B8E35CD1E81A}"/>
    <cellStyle name="Comma 3 3 4 4" xfId="717" xr:uid="{5D3AA1E0-A1C0-4584-907F-A484A058EC19}"/>
    <cellStyle name="Comma 3 3 5" xfId="322" xr:uid="{17BEA8EB-1E8F-4BCD-9E43-996679A8F902}"/>
    <cellStyle name="Comma 3 3 5 2" xfId="567" xr:uid="{32967A1E-8D73-43F8-940B-B9D5F139687B}"/>
    <cellStyle name="Comma 3 3 5 2 2" xfId="1547" xr:uid="{BDE65377-4A15-4590-BB90-88AB5BAD3DE5}"/>
    <cellStyle name="Comma 3 3 5 2 3" xfId="1057" xr:uid="{5C27A533-1C64-4C2C-95EF-8529E264ABF0}"/>
    <cellStyle name="Comma 3 3 5 3" xfId="1302" xr:uid="{367487E1-4244-44E4-A605-ADF441B2B0AC}"/>
    <cellStyle name="Comma 3 3 5 4" xfId="812" xr:uid="{A031E4E2-C4E0-4642-9FFB-39B56441775C}"/>
    <cellStyle name="Comma 3 3 6" xfId="412" xr:uid="{4D638EB0-964C-4DD3-B1F7-95E762E8F91B}"/>
    <cellStyle name="Comma 3 3 6 2" xfId="1392" xr:uid="{D828FB94-155D-41E1-9050-029C5DEE7E73}"/>
    <cellStyle name="Comma 3 3 6 3" xfId="902" xr:uid="{0F99BC4A-D9EC-4405-ABE2-3E066354FC96}"/>
    <cellStyle name="Comma 3 3 7" xfId="1147" xr:uid="{740B8634-E052-43B0-876A-D73268896579}"/>
    <cellStyle name="Comma 3 3 8" xfId="657" xr:uid="{BCE61E1A-A042-42E5-9A30-402A290ABD91}"/>
    <cellStyle name="Comma 3 3 9" xfId="167" xr:uid="{9B803F77-8468-4AC7-8AEA-9168FE88E8F6}"/>
    <cellStyle name="Comma 3 36" xfId="12" xr:uid="{BBBA4B11-8925-4A92-9CF8-0C48560323AE}"/>
    <cellStyle name="Comma 3 36 2" xfId="545" xr:uid="{8BE926B0-4E44-48A2-A1AA-DAA9EFEA40A8}"/>
    <cellStyle name="Comma 3 36 2 2" xfId="1525" xr:uid="{C9F64A30-E2BF-45A4-8603-5488F32B757C}"/>
    <cellStyle name="Comma 3 36 2 3" xfId="1035" xr:uid="{C7222B8A-4DF1-427D-AB4E-9E6D5A3B09F8}"/>
    <cellStyle name="Comma 3 36 3" xfId="1280" xr:uid="{A8793858-48D8-4789-9570-F3F32DF58334}"/>
    <cellStyle name="Comma 3 36 4" xfId="790" xr:uid="{2EA5C861-0270-4083-8D50-74F58AD0F9C3}"/>
    <cellStyle name="Comma 3 36 5" xfId="300" xr:uid="{CB9A7C9E-7CC1-4074-95DE-3B359B49EF07}"/>
    <cellStyle name="Comma 3 4" xfId="67" xr:uid="{F14F8E69-86CB-418E-9295-7A1713533FEC}"/>
    <cellStyle name="Comma 3 4 2" xfId="127" xr:uid="{87D00923-D9D1-4CDC-A20F-F5F9C5057A55}"/>
    <cellStyle name="Comma 3 4 2 2" xfId="277" xr:uid="{E884D0C9-B2DF-4669-96B0-F8D4E5BB3B2A}"/>
    <cellStyle name="Comma 3 4 2 2 2" xfId="522" xr:uid="{0C512C03-20B2-4ED2-BEB6-A7FDE3B56C25}"/>
    <cellStyle name="Comma 3 4 2 2 2 2" xfId="1502" xr:uid="{9755F38F-3F2B-417C-977D-F45A456E71C4}"/>
    <cellStyle name="Comma 3 4 2 2 2 3" xfId="1012" xr:uid="{C4B1F379-1E11-47B9-AA19-9D52D5114C48}"/>
    <cellStyle name="Comma 3 4 2 2 3" xfId="1257" xr:uid="{8A5C7CD1-3AB7-4969-B84A-49CAC0256F7D}"/>
    <cellStyle name="Comma 3 4 2 2 4" xfId="767" xr:uid="{E9A53D63-C582-4615-8F72-EA9A25B30643}"/>
    <cellStyle name="Comma 3 4 2 3" xfId="372" xr:uid="{FFAD9C27-51D0-438D-9F12-6078408BDF7F}"/>
    <cellStyle name="Comma 3 4 2 3 2" xfId="617" xr:uid="{7D15363A-204F-423E-8486-65E777032810}"/>
    <cellStyle name="Comma 3 4 2 3 2 2" xfId="1597" xr:uid="{F0B4402F-D6E7-4A4F-BBBC-46EE7518882D}"/>
    <cellStyle name="Comma 3 4 2 3 2 3" xfId="1107" xr:uid="{B6B176F9-5724-48A0-8FEF-A93056B4793B}"/>
    <cellStyle name="Comma 3 4 2 3 3" xfId="1352" xr:uid="{FD8132AE-8E77-4F44-ADF1-7B1E5BCB0A73}"/>
    <cellStyle name="Comma 3 4 2 3 4" xfId="862" xr:uid="{841954C1-E6E4-4A7A-8E09-D554B13BA971}"/>
    <cellStyle name="Comma 3 4 2 4" xfId="432" xr:uid="{3E882E24-D572-4AFF-884B-97D57AC026EE}"/>
    <cellStyle name="Comma 3 4 2 4 2" xfId="1412" xr:uid="{B6846B0C-3725-4FA4-8565-3F9C4D26FA58}"/>
    <cellStyle name="Comma 3 4 2 4 3" xfId="922" xr:uid="{6EFEC5E4-E9FF-49E2-9F49-72DFCB06AEB2}"/>
    <cellStyle name="Comma 3 4 2 5" xfId="1167" xr:uid="{73344446-F41F-42D0-AC18-71EA0456CB3B}"/>
    <cellStyle name="Comma 3 4 2 6" xfId="677" xr:uid="{E09ABE1F-9CA4-49F9-8C88-2462E66A5910}"/>
    <cellStyle name="Comma 3 4 2 7" xfId="187" xr:uid="{1C5136E8-48F1-4984-A2CE-FC8FD9B0CB73}"/>
    <cellStyle name="Comma 3 4 3" xfId="97" xr:uid="{390C0529-58D6-4F3E-AA0B-85A9032368B0}"/>
    <cellStyle name="Comma 3 4 3 2" xfId="342" xr:uid="{21EF5911-AB5B-42B0-8698-451BDB273758}"/>
    <cellStyle name="Comma 3 4 3 2 2" xfId="587" xr:uid="{BC082CA8-9DE4-44AA-AB7B-B16C19D7F0A5}"/>
    <cellStyle name="Comma 3 4 3 2 2 2" xfId="1567" xr:uid="{CD781EC4-FFC0-4009-A4CD-7A7157DAB9A2}"/>
    <cellStyle name="Comma 3 4 3 2 2 3" xfId="1077" xr:uid="{27560FA1-C731-4331-AD18-E016AA96B397}"/>
    <cellStyle name="Comma 3 4 3 2 3" xfId="1322" xr:uid="{0620F7DD-F864-4206-9591-472C75E7ACAF}"/>
    <cellStyle name="Comma 3 4 3 2 4" xfId="832" xr:uid="{314F544E-D7C6-470C-976C-4F013FB5C21B}"/>
    <cellStyle name="Comma 3 4 3 3" xfId="492" xr:uid="{05994882-8596-494B-932F-3B4024825F83}"/>
    <cellStyle name="Comma 3 4 3 3 2" xfId="1472" xr:uid="{83BDFCB2-0160-44D2-BA43-BFA2B9CAC9B7}"/>
    <cellStyle name="Comma 3 4 3 3 3" xfId="982" xr:uid="{192D51B5-5E6C-42E1-BC82-AD0EDB4D0954}"/>
    <cellStyle name="Comma 3 4 3 4" xfId="1227" xr:uid="{AB59DFCF-A1B0-48C6-ABFB-CD328688B6FF}"/>
    <cellStyle name="Comma 3 4 3 5" xfId="737" xr:uid="{89C629C6-740D-40B7-8B45-BBEA6A3C49DF}"/>
    <cellStyle name="Comma 3 4 3 6" xfId="247" xr:uid="{B8449E3D-96E3-433F-8BA8-5D5EAD150ABD}"/>
    <cellStyle name="Comma 3 4 4" xfId="217" xr:uid="{26F5B3EE-59D3-4082-B79C-A104D3A97AC2}"/>
    <cellStyle name="Comma 3 4 4 2" xfId="462" xr:uid="{9A14149C-42C2-4934-942F-770C71BA77BD}"/>
    <cellStyle name="Comma 3 4 4 2 2" xfId="1442" xr:uid="{CC119F41-2F0E-4B0A-ABDA-95380E6A7840}"/>
    <cellStyle name="Comma 3 4 4 2 3" xfId="952" xr:uid="{F712095C-E3C5-46F2-92FC-BF30D82F95A3}"/>
    <cellStyle name="Comma 3 4 4 3" xfId="1197" xr:uid="{DA4D62DB-FC56-4261-8B2E-3FAB19B38ECF}"/>
    <cellStyle name="Comma 3 4 4 4" xfId="707" xr:uid="{A09E2EA6-A2B6-4BDC-AA83-D6C80FB4B0CB}"/>
    <cellStyle name="Comma 3 4 5" xfId="312" xr:uid="{800483D7-57B1-4183-BDE0-65928115CEC3}"/>
    <cellStyle name="Comma 3 4 5 2" xfId="557" xr:uid="{9B3660C4-F626-4952-B008-EB8B1C1AA9CF}"/>
    <cellStyle name="Comma 3 4 5 2 2" xfId="1537" xr:uid="{0E011923-BF2E-4E70-B38A-0B0211D2ECCF}"/>
    <cellStyle name="Comma 3 4 5 2 3" xfId="1047" xr:uid="{2F83BBB9-1D3F-4528-8B86-26792F2A1A6F}"/>
    <cellStyle name="Comma 3 4 5 3" xfId="1292" xr:uid="{6D26AAB5-2241-4CC3-B296-03A0A8D7ED3C}"/>
    <cellStyle name="Comma 3 4 5 4" xfId="802" xr:uid="{CB88D4AD-8B00-4AAA-8FF1-69BCF4B7FCD9}"/>
    <cellStyle name="Comma 3 4 6" xfId="402" xr:uid="{E6A5DD8F-DDA1-46F4-90E7-485BF90EDA94}"/>
    <cellStyle name="Comma 3 4 6 2" xfId="1382" xr:uid="{9F5A1BCE-86E5-42DD-ABB9-763084F7E8B9}"/>
    <cellStyle name="Comma 3 4 6 3" xfId="892" xr:uid="{0AF524BB-15D7-445E-B02A-F391FFCBD562}"/>
    <cellStyle name="Comma 3 4 7" xfId="1137" xr:uid="{2B4DF02D-544E-4B7D-9AB3-FAF1D095F735}"/>
    <cellStyle name="Comma 3 4 8" xfId="647" xr:uid="{52BAF799-7374-4C0D-AC3B-588CB6993B01}"/>
    <cellStyle name="Comma 3 4 9" xfId="157" xr:uid="{76D59165-D9BA-4A6B-A73B-99D7F44453AB}"/>
    <cellStyle name="Comma 3 5" xfId="117" xr:uid="{D711A849-6CC3-4973-B2EB-830B6AA0540F}"/>
    <cellStyle name="Comma 3 5 2" xfId="267" xr:uid="{CAA2F2A2-152C-4681-829C-AC31EFDBF8B2}"/>
    <cellStyle name="Comma 3 5 2 2" xfId="512" xr:uid="{CCCFBD39-4BE7-44A0-8914-0D99C14A230D}"/>
    <cellStyle name="Comma 3 5 2 2 2" xfId="1492" xr:uid="{34C369F2-DB06-4A2E-A727-7DCD5C8470F3}"/>
    <cellStyle name="Comma 3 5 2 2 3" xfId="1002" xr:uid="{74B52DE6-1F3C-45AC-B9CD-4B759D15F20B}"/>
    <cellStyle name="Comma 3 5 2 3" xfId="1247" xr:uid="{6F88F405-5331-4EC6-AEB0-31FAE3F16191}"/>
    <cellStyle name="Comma 3 5 2 4" xfId="757" xr:uid="{E8D23A32-EF6C-48AD-9FD2-1BFC9D2D96F8}"/>
    <cellStyle name="Comma 3 5 3" xfId="362" xr:uid="{AE119211-6A12-40AE-8DF8-C209EBE25103}"/>
    <cellStyle name="Comma 3 5 3 2" xfId="607" xr:uid="{2972836C-9844-4D99-A6B3-6595378474DA}"/>
    <cellStyle name="Comma 3 5 3 2 2" xfId="1587" xr:uid="{C9301EAE-E968-4DFA-9368-621E1393BD98}"/>
    <cellStyle name="Comma 3 5 3 2 3" xfId="1097" xr:uid="{C072A397-29A4-4F24-862B-460BD808C1F2}"/>
    <cellStyle name="Comma 3 5 3 3" xfId="1342" xr:uid="{AFCCF4F0-2C62-4B82-B755-0DC9816EEBA3}"/>
    <cellStyle name="Comma 3 5 3 4" xfId="852" xr:uid="{AB20216A-574B-4FA2-8B83-DF6762703A1A}"/>
    <cellStyle name="Comma 3 5 4" xfId="422" xr:uid="{160A49DC-67F3-42CE-A664-44FC7687A0F9}"/>
    <cellStyle name="Comma 3 5 4 2" xfId="1402" xr:uid="{F1379DAE-A195-4D3A-9E12-64382BBC4E0B}"/>
    <cellStyle name="Comma 3 5 4 3" xfId="912" xr:uid="{62903F80-CB02-4517-9722-EF30B12A5C0F}"/>
    <cellStyle name="Comma 3 5 5" xfId="1157" xr:uid="{3F4B8D62-3595-4483-ACB4-E080EE820AC1}"/>
    <cellStyle name="Comma 3 5 6" xfId="667" xr:uid="{2C119EBF-F6F5-498A-B4CD-20020B9964FD}"/>
    <cellStyle name="Comma 3 5 7" xfId="177" xr:uid="{CE7C79A8-34B7-44CB-9E93-1645E4821793}"/>
    <cellStyle name="Comma 3 6" xfId="87" xr:uid="{EDD94582-E8F3-4AC6-8595-7DDE53AA0D3F}"/>
    <cellStyle name="Comma 3 6 2" xfId="332" xr:uid="{39333313-C7FA-4838-878A-9C741D5C9F1F}"/>
    <cellStyle name="Comma 3 6 2 2" xfId="577" xr:uid="{9BBCBD4B-EA0E-4F54-9626-F4BC7532ABB1}"/>
    <cellStyle name="Comma 3 6 2 2 2" xfId="1557" xr:uid="{E0A1BBBF-EA74-4AB1-B75B-51CEFEEB1D09}"/>
    <cellStyle name="Comma 3 6 2 2 3" xfId="1067" xr:uid="{FC309B0C-9943-4331-9A79-7DAF00D2AB44}"/>
    <cellStyle name="Comma 3 6 2 3" xfId="1312" xr:uid="{67F5B970-DF8B-4997-8AFD-D9C0BE1E94E7}"/>
    <cellStyle name="Comma 3 6 2 4" xfId="822" xr:uid="{337E0814-39A7-4AF1-B2B8-F1064F207120}"/>
    <cellStyle name="Comma 3 6 3" xfId="482" xr:uid="{311D5A76-122B-4280-A80C-FBC9ECE19EF0}"/>
    <cellStyle name="Comma 3 6 3 2" xfId="1462" xr:uid="{4A355A6F-CBBF-420F-8984-6DC9F9A13F3D}"/>
    <cellStyle name="Comma 3 6 3 3" xfId="972" xr:uid="{3002D6D4-00AD-40B4-B082-AFADD81BD929}"/>
    <cellStyle name="Comma 3 6 4" xfId="1217" xr:uid="{876287BC-8D3B-4518-86CF-31A49A7AB8CE}"/>
    <cellStyle name="Comma 3 6 5" xfId="727" xr:uid="{6C01AAF7-8A8A-4995-95AE-547E73A3242D}"/>
    <cellStyle name="Comma 3 6 6" xfId="237" xr:uid="{D9F6AE31-86D8-4934-A38B-464CB862BF74}"/>
    <cellStyle name="Comma 3 7" xfId="207" xr:uid="{72AF86B8-633E-454B-AABE-197A6A1A6ABA}"/>
    <cellStyle name="Comma 3 7 2" xfId="10" xr:uid="{790558C4-7D66-41CD-87CB-B6A51DBE6877}"/>
    <cellStyle name="Comma 3 7 2 2" xfId="544" xr:uid="{1FD53F9E-003B-493F-B65C-61746ED17BF0}"/>
    <cellStyle name="Comma 3 7 2 2 2" xfId="1524" xr:uid="{2486B94E-9C87-4F9C-B475-9C41598B0C57}"/>
    <cellStyle name="Comma 3 7 2 2 3" xfId="1034" xr:uid="{0C4DF311-049D-41C4-9661-D59025F53880}"/>
    <cellStyle name="Comma 3 7 2 3" xfId="1279" xr:uid="{EA98494C-392E-4E6D-8D14-E29D5B4506CD}"/>
    <cellStyle name="Comma 3 7 2 4" xfId="789" xr:uid="{0B872C2D-CB29-4607-9C64-1B295B057330}"/>
    <cellStyle name="Comma 3 7 2 5" xfId="299" xr:uid="{44844603-B1D8-40C5-94BB-64A71A8148B5}"/>
    <cellStyle name="Comma 3 7 3" xfId="452" xr:uid="{4CF31377-675D-47B8-A37E-62BB6C66C951}"/>
    <cellStyle name="Comma 3 7 3 2" xfId="1432" xr:uid="{A753ACFA-1D76-4383-A53E-85D4F2CCFDEC}"/>
    <cellStyle name="Comma 3 7 3 3" xfId="942" xr:uid="{52C54142-9AC5-4236-9917-A28E5DCC2FD5}"/>
    <cellStyle name="Comma 3 7 4" xfId="1187" xr:uid="{49D2819D-4172-4379-A461-0387B4DBD3D0}"/>
    <cellStyle name="Comma 3 7 5" xfId="697" xr:uid="{74238113-B5B4-49C3-BAE2-58FF33F138FC}"/>
    <cellStyle name="Comma 3 8" xfId="301" xr:uid="{1BBE161A-8898-4E74-9F96-A80F33273A53}"/>
    <cellStyle name="Comma 3 8 2" xfId="546" xr:uid="{F6F83C12-61A3-4A04-85B2-BDEFA0C47310}"/>
    <cellStyle name="Comma 3 8 2 2" xfId="1526" xr:uid="{BCF8A2B2-D675-4526-A145-2F9930014957}"/>
    <cellStyle name="Comma 3 8 2 3" xfId="1036" xr:uid="{6C1D81C1-0871-4EA9-BD90-9E4CA0E5BF11}"/>
    <cellStyle name="Comma 3 8 3" xfId="1281" xr:uid="{5EC6F73F-C354-4252-9EA2-87DECD807917}"/>
    <cellStyle name="Comma 3 8 4" xfId="791" xr:uid="{001617F9-B4AA-4A2D-B4BD-B373A3C072F5}"/>
    <cellStyle name="Comma 3 9" xfId="392" xr:uid="{0FC7ADCA-A7BE-46F0-B10C-2191AE420152}"/>
    <cellStyle name="Comma 3 9 2" xfId="1372" xr:uid="{8F417E06-D72D-4606-AE82-7389A0739F10}"/>
    <cellStyle name="Comma 3 9 3" xfId="882" xr:uid="{756466AC-DE2D-46EB-A8E2-C74AFA8FCB74}"/>
    <cellStyle name="Comma 4" xfId="60" xr:uid="{601527A5-C53D-48D2-A1E2-6FDEF804A5D7}"/>
    <cellStyle name="Comma 4 10" xfId="1129" xr:uid="{65F030A4-71CE-4F44-9384-75027DB75C41}"/>
    <cellStyle name="Comma 4 11" xfId="639" xr:uid="{8F0DEA27-6003-41CA-BFC8-A3B2E14A34DB}"/>
    <cellStyle name="Comma 4 12" xfId="149" xr:uid="{D4C3258C-74C9-4FBD-BE18-C8C7912AA1A3}"/>
    <cellStyle name="Comma 4 2" xfId="64" xr:uid="{3E2AB281-56A7-4E44-8C12-C4230C53E725}"/>
    <cellStyle name="Comma 4 2 10" xfId="644" xr:uid="{42833ACC-F535-4C1A-AE30-1DE1222FC044}"/>
    <cellStyle name="Comma 4 2 11" xfId="154" xr:uid="{924EA439-EAD8-4843-9526-AA1F022E1769}"/>
    <cellStyle name="Comma 4 2 2" xfId="84" xr:uid="{CE60A126-87DF-440D-B4BF-99889D80C611}"/>
    <cellStyle name="Comma 4 2 2 2" xfId="144" xr:uid="{928E9793-283D-4F47-B149-A66E280C9206}"/>
    <cellStyle name="Comma 4 2 2 2 2" xfId="294" xr:uid="{AC0F983E-9B7E-491C-A03A-C131FA79B640}"/>
    <cellStyle name="Comma 4 2 2 2 2 2" xfId="539" xr:uid="{06D912B4-E5BB-44FD-9876-D8B5E673377B}"/>
    <cellStyle name="Comma 4 2 2 2 2 2 2" xfId="1519" xr:uid="{8040CF44-B156-4678-9A88-36863D34AA01}"/>
    <cellStyle name="Comma 4 2 2 2 2 2 3" xfId="1029" xr:uid="{65EA9781-2E47-4957-B5FB-B755A293CE61}"/>
    <cellStyle name="Comma 4 2 2 2 2 3" xfId="1274" xr:uid="{ADA5BDD0-A285-4A5A-8532-55867F49103D}"/>
    <cellStyle name="Comma 4 2 2 2 2 4" xfId="784" xr:uid="{72DBFAA7-5DB6-43B8-A185-E53EB80170E0}"/>
    <cellStyle name="Comma 4 2 2 2 3" xfId="389" xr:uid="{DCD1F729-FC85-4CBB-B434-A99965589730}"/>
    <cellStyle name="Comma 4 2 2 2 3 2" xfId="634" xr:uid="{1FE60DB2-7F01-4D64-B7BE-1EBE7E51B822}"/>
    <cellStyle name="Comma 4 2 2 2 3 2 2" xfId="1614" xr:uid="{AEEC2A56-99B7-45E9-B516-9B5CA32CC887}"/>
    <cellStyle name="Comma 4 2 2 2 3 2 3" xfId="1124" xr:uid="{A575269D-5B4E-400D-8E51-6A913EAFCC95}"/>
    <cellStyle name="Comma 4 2 2 2 3 3" xfId="1369" xr:uid="{CC54D3D4-6BA2-40E2-A443-2C42D1029DB2}"/>
    <cellStyle name="Comma 4 2 2 2 3 4" xfId="879" xr:uid="{E2256FCE-6117-4277-9B65-B4F821EFE3D2}"/>
    <cellStyle name="Comma 4 2 2 2 4" xfId="449" xr:uid="{EB45B30B-1F9E-4EDA-BF4C-B04EFD0672BC}"/>
    <cellStyle name="Comma 4 2 2 2 4 2" xfId="1429" xr:uid="{70CBD1E3-0A66-466E-A1DB-A7CAA61B35C2}"/>
    <cellStyle name="Comma 4 2 2 2 4 3" xfId="939" xr:uid="{A5AFA5AB-4CD2-4D7B-81D1-9DC6AFFA6A59}"/>
    <cellStyle name="Comma 4 2 2 2 5" xfId="1184" xr:uid="{3817849C-E0B3-43A8-A57E-5C2AC182031F}"/>
    <cellStyle name="Comma 4 2 2 2 6" xfId="694" xr:uid="{08963B6A-FAD1-4207-A0B4-9365BB252ECC}"/>
    <cellStyle name="Comma 4 2 2 2 7" xfId="204" xr:uid="{46A52471-B7BE-4330-B7AA-279B4EE40791}"/>
    <cellStyle name="Comma 4 2 2 3" xfId="114" xr:uid="{93EC2F40-5C5A-4965-93F2-A26DD294C946}"/>
    <cellStyle name="Comma 4 2 2 3 2" xfId="359" xr:uid="{8393496E-F251-494E-8274-F5633978FB85}"/>
    <cellStyle name="Comma 4 2 2 3 2 2" xfId="604" xr:uid="{BE5479E3-AA2B-40DE-B425-805308B68BDA}"/>
    <cellStyle name="Comma 4 2 2 3 2 2 2" xfId="1584" xr:uid="{3A245DD1-2C05-4430-AE37-FD3EA4A509EE}"/>
    <cellStyle name="Comma 4 2 2 3 2 2 3" xfId="1094" xr:uid="{183E9161-AA7F-4196-8E6B-02BA36DC2559}"/>
    <cellStyle name="Comma 4 2 2 3 2 3" xfId="1339" xr:uid="{24B2AAE7-8C18-4BA8-B3D8-43C41CB695E9}"/>
    <cellStyle name="Comma 4 2 2 3 2 4" xfId="849" xr:uid="{9C9D4B33-8E3F-4767-8314-F0CC78D3B320}"/>
    <cellStyle name="Comma 4 2 2 3 3" xfId="509" xr:uid="{211FD01A-72FC-49A3-9EA3-C91888128C50}"/>
    <cellStyle name="Comma 4 2 2 3 3 2" xfId="1489" xr:uid="{D8DA5345-85D0-49F9-9CEF-EB939DDE2E1D}"/>
    <cellStyle name="Comma 4 2 2 3 3 3" xfId="999" xr:uid="{BFA4E5FB-0E44-4358-AB17-52D4DE4CE263}"/>
    <cellStyle name="Comma 4 2 2 3 4" xfId="1244" xr:uid="{293D9776-1ACA-404B-BB2F-35D5DCB8ABED}"/>
    <cellStyle name="Comma 4 2 2 3 5" xfId="754" xr:uid="{EAF0104A-EF18-464E-A223-25359A9A333E}"/>
    <cellStyle name="Comma 4 2 2 3 6" xfId="264" xr:uid="{0C818200-2995-4A84-9214-E7B095A3D86B}"/>
    <cellStyle name="Comma 4 2 2 4" xfId="234" xr:uid="{2F9EE0B9-5D61-4EB7-8B9E-14A84B30569D}"/>
    <cellStyle name="Comma 4 2 2 4 2" xfId="479" xr:uid="{5AF746AA-84E6-455A-9A44-6B5242AD3F9E}"/>
    <cellStyle name="Comma 4 2 2 4 2 2" xfId="1459" xr:uid="{DD9F8DD9-A526-4C15-8EF2-4AACF50B5004}"/>
    <cellStyle name="Comma 4 2 2 4 2 3" xfId="969" xr:uid="{22BE2137-80F0-40DB-8323-8624BC08F249}"/>
    <cellStyle name="Comma 4 2 2 4 3" xfId="1214" xr:uid="{C04ADD3E-D19C-493F-9815-C10B9AA659C0}"/>
    <cellStyle name="Comma 4 2 2 4 4" xfId="724" xr:uid="{D7364F42-59DB-4392-9919-A837348951BD}"/>
    <cellStyle name="Comma 4 2 2 5" xfId="329" xr:uid="{2B1FEAD7-5113-46AF-8FDA-9E3FEA41BCC6}"/>
    <cellStyle name="Comma 4 2 2 5 2" xfId="574" xr:uid="{140EB70C-0C73-4A1D-B10C-0F8714D63D67}"/>
    <cellStyle name="Comma 4 2 2 5 2 2" xfId="1554" xr:uid="{2B2A2E29-CAA1-4D0C-A556-38C2FEF714FA}"/>
    <cellStyle name="Comma 4 2 2 5 2 3" xfId="1064" xr:uid="{5AFD0A5C-A34A-48DE-92DB-BE9A565BD0DE}"/>
    <cellStyle name="Comma 4 2 2 5 3" xfId="1309" xr:uid="{5710734F-F4F4-473A-AF26-C130FBF77166}"/>
    <cellStyle name="Comma 4 2 2 5 4" xfId="819" xr:uid="{177CCAE7-CB75-4625-8DAB-27961E06774B}"/>
    <cellStyle name="Comma 4 2 2 6" xfId="419" xr:uid="{60E47F27-7607-4D22-B829-AD932FBEABD3}"/>
    <cellStyle name="Comma 4 2 2 6 2" xfId="1399" xr:uid="{7C297470-8DE8-454A-8CE1-A5C0A7AE8D3C}"/>
    <cellStyle name="Comma 4 2 2 6 3" xfId="909" xr:uid="{AFDF5253-5FAF-48F7-BB22-677B6CA0C19D}"/>
    <cellStyle name="Comma 4 2 2 7" xfId="1154" xr:uid="{0026CA06-952F-4E96-AE5A-2CF5AF3B2635}"/>
    <cellStyle name="Comma 4 2 2 8" xfId="664" xr:uid="{C429779C-531C-4807-BB5C-079F63E6936F}"/>
    <cellStyle name="Comma 4 2 2 9" xfId="174" xr:uid="{9680258C-CD60-4020-A001-EE9385AB18F7}"/>
    <cellStyle name="Comma 4 2 3" xfId="74" xr:uid="{23538CEA-DDA7-41AD-AA4A-BE6A2DB2D7A2}"/>
    <cellStyle name="Comma 4 2 3 2" xfId="134" xr:uid="{09179BF8-FBD4-4D9A-A6F4-5DE05C1AB0B7}"/>
    <cellStyle name="Comma 4 2 3 2 2" xfId="284" xr:uid="{BE490F9A-DDE0-4074-A0B3-710BB4E8663C}"/>
    <cellStyle name="Comma 4 2 3 2 2 2" xfId="529" xr:uid="{3C0AEA84-103B-474F-87E5-EA54D3A5D556}"/>
    <cellStyle name="Comma 4 2 3 2 2 2 2" xfId="1509" xr:uid="{C4BE85C8-AF49-45F8-8C2B-F8A4C369BF64}"/>
    <cellStyle name="Comma 4 2 3 2 2 2 3" xfId="1019" xr:uid="{0250B77E-21BA-49BB-991A-7BA9146D5AEE}"/>
    <cellStyle name="Comma 4 2 3 2 2 3" xfId="1264" xr:uid="{8DA16E82-6105-41F1-84CF-0DD715582A2C}"/>
    <cellStyle name="Comma 4 2 3 2 2 4" xfId="774" xr:uid="{39036738-E2BD-44A4-BCF9-1338E01F575C}"/>
    <cellStyle name="Comma 4 2 3 2 3" xfId="379" xr:uid="{C524C9C9-6D87-4079-96FC-8EF2DC18A825}"/>
    <cellStyle name="Comma 4 2 3 2 3 2" xfId="624" xr:uid="{372DADA9-678E-401A-BF7E-6E466A9E8448}"/>
    <cellStyle name="Comma 4 2 3 2 3 2 2" xfId="1604" xr:uid="{3E80F9BE-A1DC-466A-82FF-A565E0CE4AF3}"/>
    <cellStyle name="Comma 4 2 3 2 3 2 3" xfId="1114" xr:uid="{89A99B39-A84D-455F-9E89-A0C8B8BE086A}"/>
    <cellStyle name="Comma 4 2 3 2 3 3" xfId="1359" xr:uid="{59082362-85F3-4890-875B-9F5CA41BCD36}"/>
    <cellStyle name="Comma 4 2 3 2 3 4" xfId="869" xr:uid="{A4BFEF14-F63E-4D1C-94A5-66A21B9A87DB}"/>
    <cellStyle name="Comma 4 2 3 2 4" xfId="439" xr:uid="{76058091-2C3E-4F42-9F2C-0C03F4A96138}"/>
    <cellStyle name="Comma 4 2 3 2 4 2" xfId="1419" xr:uid="{978DCB17-8160-4715-BA8B-A2F1D89ACDB3}"/>
    <cellStyle name="Comma 4 2 3 2 4 3" xfId="929" xr:uid="{4BBDED85-0C46-4F05-B30A-A9A82A2C46B4}"/>
    <cellStyle name="Comma 4 2 3 2 5" xfId="1174" xr:uid="{A52BE579-8B06-483E-90AD-1EA0BEC211B7}"/>
    <cellStyle name="Comma 4 2 3 2 6" xfId="684" xr:uid="{8880377A-2233-4E26-83E4-0CB069EF8E30}"/>
    <cellStyle name="Comma 4 2 3 2 7" xfId="194" xr:uid="{4DD20005-B39A-4E16-A83C-09D288889276}"/>
    <cellStyle name="Comma 4 2 3 3" xfId="104" xr:uid="{B9664E80-E7FC-4FEC-BA33-9D157F970829}"/>
    <cellStyle name="Comma 4 2 3 3 2" xfId="349" xr:uid="{3F60F4AD-DE08-4969-AD34-DB3C1D052682}"/>
    <cellStyle name="Comma 4 2 3 3 2 2" xfId="594" xr:uid="{9880EACC-DA3D-4688-87D8-C9D6F4835A5D}"/>
    <cellStyle name="Comma 4 2 3 3 2 2 2" xfId="1574" xr:uid="{27E82C45-EC11-4544-AC6A-9E2D55C26E75}"/>
    <cellStyle name="Comma 4 2 3 3 2 2 3" xfId="1084" xr:uid="{8718BBDB-6A8B-40B1-A71F-3A3849B54BCF}"/>
    <cellStyle name="Comma 4 2 3 3 2 3" xfId="1329" xr:uid="{80DEBAAF-6C97-4436-9896-15D124D23D79}"/>
    <cellStyle name="Comma 4 2 3 3 2 4" xfId="839" xr:uid="{6CBDD75A-E53A-4F6D-B844-C5888E95D0DD}"/>
    <cellStyle name="Comma 4 2 3 3 3" xfId="499" xr:uid="{14AE6BE2-B7EA-4DEB-8EF3-6CB6E81195A4}"/>
    <cellStyle name="Comma 4 2 3 3 3 2" xfId="1479" xr:uid="{C2236E39-7161-4A01-AC77-20EF31605E81}"/>
    <cellStyle name="Comma 4 2 3 3 3 3" xfId="989" xr:uid="{00F9E433-0C3B-4884-82DD-9297554D3F23}"/>
    <cellStyle name="Comma 4 2 3 3 4" xfId="1234" xr:uid="{CB01AEB6-641E-48E2-AB75-73C7DD1436E5}"/>
    <cellStyle name="Comma 4 2 3 3 5" xfId="744" xr:uid="{8F6479E2-D223-4B7E-B26C-A80FDCD4FC4D}"/>
    <cellStyle name="Comma 4 2 3 3 6" xfId="254" xr:uid="{CC638C68-9287-4CFC-94CA-7638EE3A61CE}"/>
    <cellStyle name="Comma 4 2 3 4" xfId="224" xr:uid="{A1F91C02-7DD6-43C8-B78E-2C49AF47A2B4}"/>
    <cellStyle name="Comma 4 2 3 4 2" xfId="469" xr:uid="{04091422-C950-4E0A-92FB-41D9EF3274BC}"/>
    <cellStyle name="Comma 4 2 3 4 2 2" xfId="1449" xr:uid="{15801ADC-FC9A-49C0-8100-237F6C4B2505}"/>
    <cellStyle name="Comma 4 2 3 4 2 3" xfId="959" xr:uid="{BCB22F2F-0C65-4D3E-9A04-00CAC2EF0EAE}"/>
    <cellStyle name="Comma 4 2 3 4 3" xfId="1204" xr:uid="{8F8DD757-872D-47BE-BF71-4109E67553F7}"/>
    <cellStyle name="Comma 4 2 3 4 4" xfId="714" xr:uid="{DFBDC0C9-7343-4EC4-A252-B72E230A9692}"/>
    <cellStyle name="Comma 4 2 3 5" xfId="319" xr:uid="{1CBD762A-03DB-4F97-ABD0-859C6C11694C}"/>
    <cellStyle name="Comma 4 2 3 5 2" xfId="564" xr:uid="{01D710D7-EF98-468F-A213-E435BEF22E11}"/>
    <cellStyle name="Comma 4 2 3 5 2 2" xfId="1544" xr:uid="{B0F9377B-01DA-4629-813B-F580EA09300E}"/>
    <cellStyle name="Comma 4 2 3 5 2 3" xfId="1054" xr:uid="{C7F113A1-9778-4380-B8B7-D53BCF20C28A}"/>
    <cellStyle name="Comma 4 2 3 5 3" xfId="1299" xr:uid="{ACCAA6BF-E214-4526-BE1A-3906DD1BEF6D}"/>
    <cellStyle name="Comma 4 2 3 5 4" xfId="809" xr:uid="{182FDD94-2060-4480-9562-CA388386DCDB}"/>
    <cellStyle name="Comma 4 2 3 6" xfId="409" xr:uid="{EA633FE0-90E7-42F6-9119-4DE2656778EA}"/>
    <cellStyle name="Comma 4 2 3 6 2" xfId="1389" xr:uid="{B9E38FA6-DAB8-400C-9DFE-CC62BA7C8716}"/>
    <cellStyle name="Comma 4 2 3 6 3" xfId="899" xr:uid="{4F973694-86BC-426B-A288-571CAA8D7605}"/>
    <cellStyle name="Comma 4 2 3 7" xfId="1144" xr:uid="{B359CE8C-1F94-4EEF-8661-E1D6E28F63C3}"/>
    <cellStyle name="Comma 4 2 3 8" xfId="654" xr:uid="{D6023532-1A30-40FA-AF73-794837CEF288}"/>
    <cellStyle name="Comma 4 2 3 9" xfId="164" xr:uid="{03986233-A4B5-488B-83EA-92CBA898CC93}"/>
    <cellStyle name="Comma 4 2 4" xfId="124" xr:uid="{7AD32B20-AE3E-48A9-9DB8-02EBE2CEE50F}"/>
    <cellStyle name="Comma 4 2 4 2" xfId="274" xr:uid="{2D816AB0-391D-4EA9-A5A3-D61EADAB55EE}"/>
    <cellStyle name="Comma 4 2 4 2 2" xfId="519" xr:uid="{7EC1A512-6ADE-4753-8DF0-7F9F97A91D31}"/>
    <cellStyle name="Comma 4 2 4 2 2 2" xfId="1499" xr:uid="{D9018648-17C5-4049-832B-D8CC61B992D3}"/>
    <cellStyle name="Comma 4 2 4 2 2 3" xfId="1009" xr:uid="{1C7A7214-D9D3-473A-B510-11714721B1BE}"/>
    <cellStyle name="Comma 4 2 4 2 3" xfId="1254" xr:uid="{3CB89C68-E729-4D97-B302-40D7EA093BAB}"/>
    <cellStyle name="Comma 4 2 4 2 4" xfId="764" xr:uid="{40881728-C291-4236-97AB-88CA6A3D897D}"/>
    <cellStyle name="Comma 4 2 4 3" xfId="369" xr:uid="{9E5DF542-8869-4160-9E01-2FDB0C183F9D}"/>
    <cellStyle name="Comma 4 2 4 3 2" xfId="614" xr:uid="{DBA3681B-D542-4674-9D27-3984F272FA5D}"/>
    <cellStyle name="Comma 4 2 4 3 2 2" xfId="1594" xr:uid="{FEC59E8C-3601-49C1-B2DA-D709A131C7E4}"/>
    <cellStyle name="Comma 4 2 4 3 2 3" xfId="1104" xr:uid="{BD30DEBC-BF92-4FF4-AE47-FC86624AFEE1}"/>
    <cellStyle name="Comma 4 2 4 3 3" xfId="1349" xr:uid="{B264D1DB-509A-4AF7-9FF2-EDEC71FADF10}"/>
    <cellStyle name="Comma 4 2 4 3 4" xfId="859" xr:uid="{74A495CF-CFEF-42E5-9627-656352C3A7A8}"/>
    <cellStyle name="Comma 4 2 4 4" xfId="429" xr:uid="{E8B24FE4-7C9F-4BE2-B168-57B33A5ED8AF}"/>
    <cellStyle name="Comma 4 2 4 4 2" xfId="1409" xr:uid="{67408351-252A-43B0-8C12-7D494FAA57C2}"/>
    <cellStyle name="Comma 4 2 4 4 3" xfId="919" xr:uid="{9F87344D-A3E3-47A8-92FD-4B78D7698115}"/>
    <cellStyle name="Comma 4 2 4 5" xfId="1164" xr:uid="{E1DE71B0-9D7D-4910-99AB-46592B6C57D7}"/>
    <cellStyle name="Comma 4 2 4 6" xfId="674" xr:uid="{96CEC2F1-D29D-4016-AB06-1298C0AD4303}"/>
    <cellStyle name="Comma 4 2 4 7" xfId="184" xr:uid="{B3D0062A-A521-4DAC-8898-D3B6BA80EE1F}"/>
    <cellStyle name="Comma 4 2 5" xfId="94" xr:uid="{39CE4501-4F05-4A3D-A272-4C25C7D43158}"/>
    <cellStyle name="Comma 4 2 5 2" xfId="339" xr:uid="{6BDB4AD6-4D74-4A80-BE1A-EDC6F5513DFB}"/>
    <cellStyle name="Comma 4 2 5 2 2" xfId="584" xr:uid="{FC9FA32A-6695-4567-AA25-7E8ECFFB4662}"/>
    <cellStyle name="Comma 4 2 5 2 2 2" xfId="1564" xr:uid="{B0E23876-76ED-4A4D-91C8-661E51BD89A2}"/>
    <cellStyle name="Comma 4 2 5 2 2 3" xfId="1074" xr:uid="{C3018412-106D-46BC-B4BD-F51B7A66B897}"/>
    <cellStyle name="Comma 4 2 5 2 3" xfId="1319" xr:uid="{113BEB6E-6548-4E1F-9FAF-68598D409832}"/>
    <cellStyle name="Comma 4 2 5 2 4" xfId="829" xr:uid="{074C85A8-C2D1-4E5C-9B9E-275CCACB224D}"/>
    <cellStyle name="Comma 4 2 5 3" xfId="489" xr:uid="{315727FA-999E-44FB-A272-3A8333A9C753}"/>
    <cellStyle name="Comma 4 2 5 3 2" xfId="1469" xr:uid="{B26BEEED-E351-431C-A438-632C42E29F3A}"/>
    <cellStyle name="Comma 4 2 5 3 3" xfId="979" xr:uid="{C08FBACA-9388-48B1-B313-726C46FE6DB5}"/>
    <cellStyle name="Comma 4 2 5 4" xfId="1224" xr:uid="{D1A33FA4-8892-4518-AFA5-755688A92970}"/>
    <cellStyle name="Comma 4 2 5 5" xfId="734" xr:uid="{64598F00-4A93-47AE-ACDB-376C68E29670}"/>
    <cellStyle name="Comma 4 2 5 6" xfId="244" xr:uid="{5AB18BF2-A9CF-498D-87EC-8930CAAADD5C}"/>
    <cellStyle name="Comma 4 2 6" xfId="214" xr:uid="{E6A2DB29-08A5-4275-9457-E68F37BED5D6}"/>
    <cellStyle name="Comma 4 2 6 2" xfId="459" xr:uid="{7631D12D-EA81-426D-A594-66205FFC605F}"/>
    <cellStyle name="Comma 4 2 6 2 2" xfId="1439" xr:uid="{A02CD8C6-E59D-42D3-B60B-50E5B58201D4}"/>
    <cellStyle name="Comma 4 2 6 2 3" xfId="949" xr:uid="{F53C9449-7250-4772-8200-E4E34A35752F}"/>
    <cellStyle name="Comma 4 2 6 3" xfId="1194" xr:uid="{5D835262-73F3-44F4-A50B-DD2A7A35D821}"/>
    <cellStyle name="Comma 4 2 6 4" xfId="704" xr:uid="{15D639A9-CA1A-4122-89EA-59A86405BA2E}"/>
    <cellStyle name="Comma 4 2 7" xfId="309" xr:uid="{068BD39C-0CF7-4F39-ADA1-616F236E9F1E}"/>
    <cellStyle name="Comma 4 2 7 2" xfId="554" xr:uid="{9F8B05BC-A469-4902-A2B8-916147D39AED}"/>
    <cellStyle name="Comma 4 2 7 2 2" xfId="1534" xr:uid="{09DCF545-CD24-4467-9C40-9B71B18B5987}"/>
    <cellStyle name="Comma 4 2 7 2 3" xfId="1044" xr:uid="{821CC414-A5FB-4CEE-9CF9-E987826C11B6}"/>
    <cellStyle name="Comma 4 2 7 3" xfId="1289" xr:uid="{02B40E59-2956-4FC6-AD11-99BC56B8A17D}"/>
    <cellStyle name="Comma 4 2 7 4" xfId="799" xr:uid="{E0BAC179-AD6C-4B14-911D-BCE1B37AD417}"/>
    <cellStyle name="Comma 4 2 8" xfId="399" xr:uid="{6063FD9B-CEB8-41C7-A091-03DA42946D18}"/>
    <cellStyle name="Comma 4 2 8 2" xfId="1379" xr:uid="{74012649-983A-4D24-900B-B6DD474D813E}"/>
    <cellStyle name="Comma 4 2 8 3" xfId="889" xr:uid="{DFB7B884-2429-4196-AD31-6EA14D46A686}"/>
    <cellStyle name="Comma 4 2 9" xfId="1134" xr:uid="{F175D237-4A51-4297-A2FC-D55D14776A85}"/>
    <cellStyle name="Comma 4 3" xfId="79" xr:uid="{85237127-D3EE-47ED-A4F7-78294259801C}"/>
    <cellStyle name="Comma 4 3 2" xfId="139" xr:uid="{BCFA6F51-49F7-48F6-9FBD-C9EA2CBDF7F0}"/>
    <cellStyle name="Comma 4 3 2 2" xfId="289" xr:uid="{435AA4DE-5D1E-4684-9A57-9CC0D97168D0}"/>
    <cellStyle name="Comma 4 3 2 2 2" xfId="534" xr:uid="{103B6E8C-7C82-4503-8F6F-A6821D5EA86D}"/>
    <cellStyle name="Comma 4 3 2 2 2 2" xfId="1514" xr:uid="{D0B8B605-6090-4658-B8F9-93DAA77BCCD4}"/>
    <cellStyle name="Comma 4 3 2 2 2 3" xfId="1024" xr:uid="{6EE4BD22-E724-49BD-9906-45446D383D8E}"/>
    <cellStyle name="Comma 4 3 2 2 3" xfId="1269" xr:uid="{C1CC23B3-95CF-4DC7-A9E0-2F26AA37832D}"/>
    <cellStyle name="Comma 4 3 2 2 4" xfId="779" xr:uid="{1115FE45-F2F3-4DD9-B481-0426F9BFDC80}"/>
    <cellStyle name="Comma 4 3 2 3" xfId="384" xr:uid="{F3B064D5-D54A-4F6C-85D6-1DB1A946BB93}"/>
    <cellStyle name="Comma 4 3 2 3 2" xfId="629" xr:uid="{46047AB1-ED66-472E-AF58-11AA4F2EFD53}"/>
    <cellStyle name="Comma 4 3 2 3 2 2" xfId="1609" xr:uid="{427448C6-079D-43FE-9DF0-77A3866A43B7}"/>
    <cellStyle name="Comma 4 3 2 3 2 3" xfId="1119" xr:uid="{D0C9BFF9-5324-4F6E-8147-AC7F1E70B03F}"/>
    <cellStyle name="Comma 4 3 2 3 3" xfId="1364" xr:uid="{8FD21EE0-B6D1-46B9-B6E3-44B74BC0887A}"/>
    <cellStyle name="Comma 4 3 2 3 4" xfId="874" xr:uid="{A0187439-3541-4289-9EBE-714B0E07E50C}"/>
    <cellStyle name="Comma 4 3 2 4" xfId="444" xr:uid="{786CEA65-F92A-43C6-8C2D-3A49712268A2}"/>
    <cellStyle name="Comma 4 3 2 4 2" xfId="1424" xr:uid="{79FDD9E4-6987-4F09-AF85-8011BF9C5BD5}"/>
    <cellStyle name="Comma 4 3 2 4 3" xfId="934" xr:uid="{E90C4E76-8479-4634-8A5E-F99F5B708F12}"/>
    <cellStyle name="Comma 4 3 2 5" xfId="1179" xr:uid="{667A75BD-5CAB-4CA4-985D-90BD637329DD}"/>
    <cellStyle name="Comma 4 3 2 6" xfId="689" xr:uid="{96D88860-6FF3-4FB7-94A6-837082C8D8E2}"/>
    <cellStyle name="Comma 4 3 2 7" xfId="199" xr:uid="{44793AB3-DA28-45D5-BC5F-FE9988CAB71F}"/>
    <cellStyle name="Comma 4 3 3" xfId="109" xr:uid="{A761C1A2-B61A-47F7-AE25-5173E530C760}"/>
    <cellStyle name="Comma 4 3 3 2" xfId="354" xr:uid="{C2A181C0-9EDB-4702-BB0F-B4D312960162}"/>
    <cellStyle name="Comma 4 3 3 2 2" xfId="599" xr:uid="{08B37812-B8A6-4C76-848F-0F57E80AA52C}"/>
    <cellStyle name="Comma 4 3 3 2 2 2" xfId="1579" xr:uid="{D711E1EF-8590-49D8-9398-081360234912}"/>
    <cellStyle name="Comma 4 3 3 2 2 3" xfId="1089" xr:uid="{ADFEE213-4F78-4E92-B1AE-888039382FDB}"/>
    <cellStyle name="Comma 4 3 3 2 3" xfId="1334" xr:uid="{EFC2E2C8-ABFF-4EF9-A2CA-B4DB8DB66130}"/>
    <cellStyle name="Comma 4 3 3 2 4" xfId="844" xr:uid="{0F679FFA-6466-42C8-9021-291792B34794}"/>
    <cellStyle name="Comma 4 3 3 3" xfId="504" xr:uid="{07A3BEE9-DB06-4968-B185-6C181701CF7D}"/>
    <cellStyle name="Comma 4 3 3 3 2" xfId="1484" xr:uid="{72744669-8871-4490-A5CD-A28368207400}"/>
    <cellStyle name="Comma 4 3 3 3 3" xfId="994" xr:uid="{68EDBFE4-E761-49F2-AE3E-BAD069A74682}"/>
    <cellStyle name="Comma 4 3 3 4" xfId="1239" xr:uid="{B9742D77-0C0A-47F2-82CC-2B939D382EB5}"/>
    <cellStyle name="Comma 4 3 3 5" xfId="749" xr:uid="{F58631C8-4842-48BE-BB6E-3497E465D548}"/>
    <cellStyle name="Comma 4 3 3 6" xfId="259" xr:uid="{B57BF271-80D7-491E-8D18-CB8E9D7789DE}"/>
    <cellStyle name="Comma 4 3 4" xfId="229" xr:uid="{E7132084-66C9-46CE-A187-D2271DBE7744}"/>
    <cellStyle name="Comma 4 3 4 2" xfId="474" xr:uid="{61F64DAE-74F5-4374-8C19-70A2F7A0FC47}"/>
    <cellStyle name="Comma 4 3 4 2 2" xfId="1454" xr:uid="{55DF50DC-092F-4E9B-B111-936AE4770E6C}"/>
    <cellStyle name="Comma 4 3 4 2 3" xfId="964" xr:uid="{F8FE0014-0ECE-4FB4-824B-D62D3D9B088D}"/>
    <cellStyle name="Comma 4 3 4 3" xfId="1209" xr:uid="{717FB2AB-C553-4CA6-8BF0-0BC69726112C}"/>
    <cellStyle name="Comma 4 3 4 4" xfId="719" xr:uid="{B49E8D8D-FEE0-40AD-866E-637E352D0128}"/>
    <cellStyle name="Comma 4 3 5" xfId="324" xr:uid="{43479705-ED19-4F8B-BEEB-C61EB23C5C12}"/>
    <cellStyle name="Comma 4 3 5 2" xfId="569" xr:uid="{2CA3B5D5-A27E-46EE-9D65-BF48DF9FDC83}"/>
    <cellStyle name="Comma 4 3 5 2 2" xfId="1549" xr:uid="{CAB7B8DC-CA99-4961-97DB-34D6F9D9ADB1}"/>
    <cellStyle name="Comma 4 3 5 2 3" xfId="1059" xr:uid="{E9DB77D3-E33C-4CE7-80EA-5EB213BDFF29}"/>
    <cellStyle name="Comma 4 3 5 3" xfId="1304" xr:uid="{13E79E22-DBC6-48E8-AF31-9E40BF28B3D4}"/>
    <cellStyle name="Comma 4 3 5 4" xfId="814" xr:uid="{2E669872-B868-4C2D-8868-8252DB455AFA}"/>
    <cellStyle name="Comma 4 3 6" xfId="414" xr:uid="{2E87DF3E-62FC-438B-8DAE-1CA6013A523C}"/>
    <cellStyle name="Comma 4 3 6 2" xfId="1394" xr:uid="{E547F4F2-C4B1-4DD3-A1B7-7FE065B5EA45}"/>
    <cellStyle name="Comma 4 3 6 3" xfId="904" xr:uid="{86D3E5ED-82C6-47BB-9145-93CE0841A1BF}"/>
    <cellStyle name="Comma 4 3 7" xfId="1149" xr:uid="{D059BA7F-86E7-4027-9048-A785B5116D7C}"/>
    <cellStyle name="Comma 4 3 8" xfId="659" xr:uid="{4052BDFC-91FF-49AE-9BF4-219189D09811}"/>
    <cellStyle name="Comma 4 3 9" xfId="169" xr:uid="{D9EFC2E4-6AD6-4F25-9B93-493ACA5F5DA3}"/>
    <cellStyle name="Comma 4 4" xfId="69" xr:uid="{9431E01C-6CA7-41A4-A37D-0AE33EE4C69A}"/>
    <cellStyle name="Comma 4 4 2" xfId="129" xr:uid="{93D30FD4-5591-4C5D-BDB4-FF3A249045C0}"/>
    <cellStyle name="Comma 4 4 2 2" xfId="279" xr:uid="{33D63347-4BB3-4583-83C9-8E779B04AC1C}"/>
    <cellStyle name="Comma 4 4 2 2 2" xfId="524" xr:uid="{FD1DFA02-7A64-4B4B-A9D0-38594D4AA690}"/>
    <cellStyle name="Comma 4 4 2 2 2 2" xfId="1504" xr:uid="{697CD914-7BF6-47C8-B08D-5B07885E9F46}"/>
    <cellStyle name="Comma 4 4 2 2 2 3" xfId="1014" xr:uid="{BA30887E-4567-4A35-8A6E-9CA42CF0343D}"/>
    <cellStyle name="Comma 4 4 2 2 3" xfId="1259" xr:uid="{E7CB6BFC-8F1A-47B0-B008-E66CF93B8043}"/>
    <cellStyle name="Comma 4 4 2 2 4" xfId="769" xr:uid="{83E3B420-BD6B-4B84-BD21-670B9488FE59}"/>
    <cellStyle name="Comma 4 4 2 3" xfId="374" xr:uid="{F46D588D-9A05-4C8D-B6BC-FAFDEC43D1B6}"/>
    <cellStyle name="Comma 4 4 2 3 2" xfId="619" xr:uid="{FB266273-69A8-45E9-AE2E-61AA8935B467}"/>
    <cellStyle name="Comma 4 4 2 3 2 2" xfId="1599" xr:uid="{5B9249AC-D28E-4CD7-B3D6-22233327294D}"/>
    <cellStyle name="Comma 4 4 2 3 2 3" xfId="1109" xr:uid="{81FD57F9-F9FA-4A2D-BD11-3A0653768CC4}"/>
    <cellStyle name="Comma 4 4 2 3 3" xfId="1354" xr:uid="{DFE5AD67-3038-45BA-BD41-75326D3DCD5B}"/>
    <cellStyle name="Comma 4 4 2 3 4" xfId="864" xr:uid="{7CDB53D4-073E-416D-A9FE-719CC4FFF8B3}"/>
    <cellStyle name="Comma 4 4 2 4" xfId="434" xr:uid="{431F9231-5111-44F0-B7EA-D2D971655913}"/>
    <cellStyle name="Comma 4 4 2 4 2" xfId="1414" xr:uid="{0CECB19F-BFC6-4497-8BC6-438B641E872E}"/>
    <cellStyle name="Comma 4 4 2 4 3" xfId="924" xr:uid="{A4D30C58-6B4F-4AF2-B8C1-94317F8E6F14}"/>
    <cellStyle name="Comma 4 4 2 5" xfId="1169" xr:uid="{DE7FF4DA-9D41-429E-9E39-A6544D43D385}"/>
    <cellStyle name="Comma 4 4 2 6" xfId="679" xr:uid="{A9537306-0CE2-44D8-AEDC-E39C26032B6C}"/>
    <cellStyle name="Comma 4 4 2 7" xfId="189" xr:uid="{D46A88B2-BEC3-4432-ABED-A40BC21F58CE}"/>
    <cellStyle name="Comma 4 4 3" xfId="99" xr:uid="{35E1B0E3-D8C6-4B10-A1DD-CB7163C739CF}"/>
    <cellStyle name="Comma 4 4 3 2" xfId="344" xr:uid="{2042110C-C765-4EB2-8071-2E93D9F70E13}"/>
    <cellStyle name="Comma 4 4 3 2 2" xfId="589" xr:uid="{0282A549-D24E-4FE7-A758-5FAA1E9813A7}"/>
    <cellStyle name="Comma 4 4 3 2 2 2" xfId="1569" xr:uid="{4E7EF4EB-0568-43F1-B9DE-3F04DE458856}"/>
    <cellStyle name="Comma 4 4 3 2 2 3" xfId="1079" xr:uid="{7AB463AB-E4B6-4571-9F10-0314BFCD6E39}"/>
    <cellStyle name="Comma 4 4 3 2 3" xfId="1324" xr:uid="{AA3E0DB7-ABF1-4B26-AF27-E5363AA54985}"/>
    <cellStyle name="Comma 4 4 3 2 4" xfId="834" xr:uid="{28F37C07-E82A-4FD6-A347-A4AF4FCACA3D}"/>
    <cellStyle name="Comma 4 4 3 3" xfId="494" xr:uid="{46358543-46CF-4F09-AA1F-9E8DABB78438}"/>
    <cellStyle name="Comma 4 4 3 3 2" xfId="1474" xr:uid="{2A81FC16-6142-4462-B3E0-30564FD1AF3E}"/>
    <cellStyle name="Comma 4 4 3 3 3" xfId="984" xr:uid="{5094341A-9454-4B97-A641-534876D543E2}"/>
    <cellStyle name="Comma 4 4 3 4" xfId="1229" xr:uid="{09EEB158-0622-4E63-8859-E7BB7083D0EC}"/>
    <cellStyle name="Comma 4 4 3 5" xfId="739" xr:uid="{B4A47928-2CF4-4431-82C5-04C608E33F4F}"/>
    <cellStyle name="Comma 4 4 3 6" xfId="249" xr:uid="{623A0A24-A917-45A7-B575-353B5C9E45D8}"/>
    <cellStyle name="Comma 4 4 4" xfId="219" xr:uid="{929A3F4F-6DBA-482C-889E-B2CC79AC7158}"/>
    <cellStyle name="Comma 4 4 4 2" xfId="464" xr:uid="{1EAA96ED-E37C-4F0D-B485-FECE0F9F39D4}"/>
    <cellStyle name="Comma 4 4 4 2 2" xfId="1444" xr:uid="{65F5A341-D0BD-4009-BE52-83E446935A85}"/>
    <cellStyle name="Comma 4 4 4 2 3" xfId="954" xr:uid="{4DA76A6D-8B80-4A6E-AC98-36A43482819E}"/>
    <cellStyle name="Comma 4 4 4 3" xfId="1199" xr:uid="{AD334037-3598-4C1E-9C5C-659C9D5A1DCF}"/>
    <cellStyle name="Comma 4 4 4 4" xfId="709" xr:uid="{82986F94-ED7A-4121-85AB-6D6ECC3282C7}"/>
    <cellStyle name="Comma 4 4 5" xfId="314" xr:uid="{94F74D3E-3D6D-4542-A95C-AAB233989194}"/>
    <cellStyle name="Comma 4 4 5 2" xfId="559" xr:uid="{E7BF7D3F-8D2C-42D0-8F5A-21784D66FC33}"/>
    <cellStyle name="Comma 4 4 5 2 2" xfId="1539" xr:uid="{779A98A0-4D36-4A1F-81C7-2993CD1AB67A}"/>
    <cellStyle name="Comma 4 4 5 2 3" xfId="1049" xr:uid="{0B8E4ABD-41A0-4367-8424-E04C1C608B6D}"/>
    <cellStyle name="Comma 4 4 5 3" xfId="1294" xr:uid="{E7B61079-355B-4508-9466-3718EF88F6DF}"/>
    <cellStyle name="Comma 4 4 5 4" xfId="804" xr:uid="{D13B8B21-5C8B-4F39-8A4F-38DB54494BF1}"/>
    <cellStyle name="Comma 4 4 6" xfId="404" xr:uid="{2B99ED6B-D78E-4EBF-BEFC-72B908D7F498}"/>
    <cellStyle name="Comma 4 4 6 2" xfId="1384" xr:uid="{0BEE98CC-C00A-477D-B71E-72863D4B1BEE}"/>
    <cellStyle name="Comma 4 4 6 3" xfId="894" xr:uid="{0F230521-3328-47EE-A7CF-A7DB91A03DC6}"/>
    <cellStyle name="Comma 4 4 7" xfId="1139" xr:uid="{0942E0E6-0355-4A6A-A9FD-D6A343A3DDEB}"/>
    <cellStyle name="Comma 4 4 8" xfId="649" xr:uid="{648E710A-80C1-4DB6-9593-F45EEDD88E74}"/>
    <cellStyle name="Comma 4 4 9" xfId="159" xr:uid="{11E995B1-FAA0-469A-A67F-DD55E8BE53A2}"/>
    <cellStyle name="Comma 4 5" xfId="119" xr:uid="{7D15250A-3059-441A-8C7C-56041BF69776}"/>
    <cellStyle name="Comma 4 5 2" xfId="269" xr:uid="{549F056B-CEC8-44AF-82FE-C7DE0EB94D84}"/>
    <cellStyle name="Comma 4 5 2 2" xfId="514" xr:uid="{37CFA53D-E52D-40D3-B406-5319F4AD3BC0}"/>
    <cellStyle name="Comma 4 5 2 2 2" xfId="1494" xr:uid="{10637193-18CE-463A-8F7C-44EF8968443B}"/>
    <cellStyle name="Comma 4 5 2 2 3" xfId="1004" xr:uid="{F89B8132-E95D-4F4C-B74A-9DA5906F1515}"/>
    <cellStyle name="Comma 4 5 2 3" xfId="1249" xr:uid="{AC0F54F9-2822-47E7-8903-9F42F673B18A}"/>
    <cellStyle name="Comma 4 5 2 4" xfId="759" xr:uid="{DA465163-5208-4017-AD14-A3578AE99CD9}"/>
    <cellStyle name="Comma 4 5 3" xfId="364" xr:uid="{7CA7250D-8AE8-4259-946F-1C201AA69C6A}"/>
    <cellStyle name="Comma 4 5 3 2" xfId="609" xr:uid="{04DC124A-0DC8-4A4C-9410-BBA44BEB7F04}"/>
    <cellStyle name="Comma 4 5 3 2 2" xfId="1589" xr:uid="{88E3964D-8A52-4032-9FE7-088C84428923}"/>
    <cellStyle name="Comma 4 5 3 2 3" xfId="1099" xr:uid="{C5E12403-F4CB-4052-8AEB-0C1116E1D651}"/>
    <cellStyle name="Comma 4 5 3 3" xfId="1344" xr:uid="{B2DBB54F-6A0F-4C93-BFE1-6F7FFC07870B}"/>
    <cellStyle name="Comma 4 5 3 4" xfId="854" xr:uid="{AA6935F6-BB9E-4100-B3E2-8ED113A63A2F}"/>
    <cellStyle name="Comma 4 5 4" xfId="424" xr:uid="{2F354DEC-F288-4294-8E9A-1050829F8B89}"/>
    <cellStyle name="Comma 4 5 4 2" xfId="1404" xr:uid="{3196BBC3-E41B-4A9E-8FC9-991EBA34E33F}"/>
    <cellStyle name="Comma 4 5 4 3" xfId="914" xr:uid="{B6F76809-FF16-4749-A5F3-F52CE75C0F4E}"/>
    <cellStyle name="Comma 4 5 5" xfId="1159" xr:uid="{6BA97783-BF38-4D7D-982E-6F2A23BDFC1C}"/>
    <cellStyle name="Comma 4 5 6" xfId="669" xr:uid="{4C6D3C38-C4CE-4066-B57E-026D062C85DD}"/>
    <cellStyle name="Comma 4 5 7" xfId="179" xr:uid="{76C3794A-04EC-43EE-A1FF-3A96C717C635}"/>
    <cellStyle name="Comma 4 6" xfId="89" xr:uid="{B179782D-12C1-4996-8A7C-427A5A6A5C1B}"/>
    <cellStyle name="Comma 4 6 2" xfId="334" xr:uid="{FA0CA082-5BBE-423B-A64B-F4D59339E90A}"/>
    <cellStyle name="Comma 4 6 2 2" xfId="579" xr:uid="{76D452B9-4DBD-4F5A-BE40-50C0AB892E8F}"/>
    <cellStyle name="Comma 4 6 2 2 2" xfId="1559" xr:uid="{27B4B023-75F0-4EB2-865F-85A1A4BAF0C7}"/>
    <cellStyle name="Comma 4 6 2 2 3" xfId="1069" xr:uid="{A7E932F2-CDB3-487B-BB2B-B27B76A7C0CD}"/>
    <cellStyle name="Comma 4 6 2 3" xfId="1314" xr:uid="{2976C7E1-9533-4237-BE54-8843D0C91451}"/>
    <cellStyle name="Comma 4 6 2 4" xfId="824" xr:uid="{24DA13C6-2C32-43F5-86B1-F296EDD49390}"/>
    <cellStyle name="Comma 4 6 3" xfId="484" xr:uid="{7B633149-1AAC-47F2-87E4-77E091876BA9}"/>
    <cellStyle name="Comma 4 6 3 2" xfId="1464" xr:uid="{78CCFC01-4BCB-4FFE-8D1E-F27168EB2A85}"/>
    <cellStyle name="Comma 4 6 3 3" xfId="974" xr:uid="{5B99F626-3AE7-424C-B567-8BBBF08CA94D}"/>
    <cellStyle name="Comma 4 6 4" xfId="1219" xr:uid="{A71AA270-4144-4080-B95B-99B1DB6369C9}"/>
    <cellStyle name="Comma 4 6 5" xfId="729" xr:uid="{B1DF5DB0-9662-4A73-8B68-7F37DF03C44C}"/>
    <cellStyle name="Comma 4 6 6" xfId="239" xr:uid="{7A7C4B8D-1A40-4078-A7E8-BDFA0C026159}"/>
    <cellStyle name="Comma 4 7" xfId="209" xr:uid="{8480AE2D-0A62-4E26-900F-76E9F6E4493D}"/>
    <cellStyle name="Comma 4 7 2" xfId="454" xr:uid="{D24AB5E6-35AE-4E69-A0DA-41A4F5C124AF}"/>
    <cellStyle name="Comma 4 7 2 2" xfId="1434" xr:uid="{44510BF4-9C6C-4553-97DE-B2CC13FF9012}"/>
    <cellStyle name="Comma 4 7 2 3" xfId="944" xr:uid="{1CCDBFCF-64B7-4420-8DDE-EC093F3CBA2A}"/>
    <cellStyle name="Comma 4 7 3" xfId="1189" xr:uid="{79CEF110-B034-45BE-81CC-ADC59F712AA5}"/>
    <cellStyle name="Comma 4 7 4" xfId="699" xr:uid="{4A1A938C-1454-4737-9CF3-CE549799B94C}"/>
    <cellStyle name="Comma 4 8" xfId="305" xr:uid="{6954FBE3-9006-4447-8F93-EA13DF8B9C25}"/>
    <cellStyle name="Comma 4 8 2" xfId="550" xr:uid="{96E39524-ED86-47E8-9368-D16EC522C7A5}"/>
    <cellStyle name="Comma 4 8 2 2" xfId="1530" xr:uid="{CAB5B2E4-81F3-44C1-BC1C-1C930DCEEB0A}"/>
    <cellStyle name="Comma 4 8 2 3" xfId="1040" xr:uid="{C8A8C597-3AE1-443E-BDF9-2ABC5BD808A6}"/>
    <cellStyle name="Comma 4 8 3" xfId="1285" xr:uid="{91F3C9C7-1088-497F-9419-DF9821E55721}"/>
    <cellStyle name="Comma 4 8 4" xfId="795" xr:uid="{DE40AC16-8ECD-46BD-AC1F-DF3EB468BE55}"/>
    <cellStyle name="Comma 4 9" xfId="394" xr:uid="{6CB40B71-12C0-4197-A989-FE0DDDE35CC4}"/>
    <cellStyle name="Comma 4 9 2" xfId="1374" xr:uid="{C7AE9CF0-E181-4512-B349-5463AC1C666A}"/>
    <cellStyle name="Comma 4 9 3" xfId="884" xr:uid="{FD170A62-69A0-4C48-8994-AA19FFB470C0}"/>
    <cellStyle name="Comma 5" xfId="61" xr:uid="{31B0F338-EA5F-4896-B95C-89E8B59F08E7}"/>
    <cellStyle name="Comma 5 10" xfId="640" xr:uid="{AB0405AB-2736-4834-9650-A4B28B77E5D4}"/>
    <cellStyle name="Comma 5 11" xfId="150" xr:uid="{79013819-C21E-4C53-8AF1-421DF0B24174}"/>
    <cellStyle name="Comma 5 2" xfId="80" xr:uid="{2DC663BD-8C63-4DD7-BC07-386EA566278F}"/>
    <cellStyle name="Comma 5 2 2" xfId="140" xr:uid="{6D99E0E7-07F6-4BF0-81BB-65C3FB9E45AE}"/>
    <cellStyle name="Comma 5 2 2 2" xfId="290" xr:uid="{F1EDB784-5872-47FE-B973-2DE85367B8B6}"/>
    <cellStyle name="Comma 5 2 2 2 2" xfId="535" xr:uid="{30523A2A-1C66-41D6-BE8E-7AAF0C6B04E1}"/>
    <cellStyle name="Comma 5 2 2 2 2 2" xfId="1515" xr:uid="{E3C9289F-2888-464E-AB36-E21CE23B5C12}"/>
    <cellStyle name="Comma 5 2 2 2 2 3" xfId="1025" xr:uid="{5C672B8C-952D-4CAC-86FD-268C6B6B23FE}"/>
    <cellStyle name="Comma 5 2 2 2 3" xfId="1270" xr:uid="{479FBF3B-291B-4A5B-9691-4D4F52259A95}"/>
    <cellStyle name="Comma 5 2 2 2 4" xfId="780" xr:uid="{84F4B8AC-7EE6-4D32-8991-D25BF52749FE}"/>
    <cellStyle name="Comma 5 2 2 3" xfId="385" xr:uid="{1619B7DF-9A67-4E32-A20F-68D5401E7D86}"/>
    <cellStyle name="Comma 5 2 2 3 2" xfId="630" xr:uid="{3584F69D-3DA9-49F1-A7EA-8291EAB78983}"/>
    <cellStyle name="Comma 5 2 2 3 2 2" xfId="1610" xr:uid="{F5F22541-97B8-4CF9-AC45-B305D796E2FF}"/>
    <cellStyle name="Comma 5 2 2 3 2 3" xfId="1120" xr:uid="{49BF1818-E7C5-479A-811B-A285AFF4E3BF}"/>
    <cellStyle name="Comma 5 2 2 3 3" xfId="1365" xr:uid="{FC1005F7-15DC-486A-8641-31057B5CA8CF}"/>
    <cellStyle name="Comma 5 2 2 3 4" xfId="875" xr:uid="{1C5C358C-4EB8-45ED-AECF-88A0FE69BA76}"/>
    <cellStyle name="Comma 5 2 2 4" xfId="445" xr:uid="{058B8CE4-A912-4607-96C5-36492DEC1C36}"/>
    <cellStyle name="Comma 5 2 2 4 2" xfId="1425" xr:uid="{B71E33C8-3B59-410D-B940-F59FB5DD4677}"/>
    <cellStyle name="Comma 5 2 2 4 3" xfId="935" xr:uid="{8C744179-2A69-43C8-967B-BBE596C7B716}"/>
    <cellStyle name="Comma 5 2 2 5" xfId="1180" xr:uid="{533A2893-7D5A-496B-B14D-1BF38379DC24}"/>
    <cellStyle name="Comma 5 2 2 6" xfId="690" xr:uid="{9A7EEC55-795E-4D93-B303-B1D538594D32}"/>
    <cellStyle name="Comma 5 2 2 7" xfId="200" xr:uid="{1D248044-F893-4476-8D3C-681525C3D0B1}"/>
    <cellStyle name="Comma 5 2 3" xfId="110" xr:uid="{3C02C60B-981F-4CC3-9449-38E7297CD83B}"/>
    <cellStyle name="Comma 5 2 3 2" xfId="355" xr:uid="{9A3F8F51-059A-4669-A257-F960DC612BB3}"/>
    <cellStyle name="Comma 5 2 3 2 2" xfId="600" xr:uid="{9DE48234-CFE8-40FB-8CB2-5975DCBCE259}"/>
    <cellStyle name="Comma 5 2 3 2 2 2" xfId="1580" xr:uid="{92450B17-D3F7-4AD5-9C15-8F14911F9E88}"/>
    <cellStyle name="Comma 5 2 3 2 2 3" xfId="1090" xr:uid="{918BFFFC-9811-49C1-B702-1843947EF536}"/>
    <cellStyle name="Comma 5 2 3 2 3" xfId="1335" xr:uid="{217491F9-FCE9-4420-8A46-F7243CD80F91}"/>
    <cellStyle name="Comma 5 2 3 2 4" xfId="845" xr:uid="{77612095-EA1D-4E86-94D5-A7EACA2B0556}"/>
    <cellStyle name="Comma 5 2 3 3" xfId="505" xr:uid="{8801C229-977F-4A72-8754-847A3F31C394}"/>
    <cellStyle name="Comma 5 2 3 3 2" xfId="1485" xr:uid="{3626392B-2ED4-498B-BCFE-51BDDD5247BE}"/>
    <cellStyle name="Comma 5 2 3 3 3" xfId="995" xr:uid="{AB566F84-98EF-47F6-9372-4B849F8FF758}"/>
    <cellStyle name="Comma 5 2 3 4" xfId="1240" xr:uid="{3E06E862-13FC-4C3E-827B-C3FC5629C492}"/>
    <cellStyle name="Comma 5 2 3 5" xfId="750" xr:uid="{2182E36D-4A4B-4752-9574-3E2C746827E4}"/>
    <cellStyle name="Comma 5 2 3 6" xfId="260" xr:uid="{65AA1BC0-19F4-4327-BB2F-3D424558CCA6}"/>
    <cellStyle name="Comma 5 2 4" xfId="230" xr:uid="{99C4D913-645E-42DA-8F37-2091178D29E9}"/>
    <cellStyle name="Comma 5 2 4 2" xfId="475" xr:uid="{76D5E7C3-8C6A-4105-8C63-52D654D33F0B}"/>
    <cellStyle name="Comma 5 2 4 2 2" xfId="1455" xr:uid="{4C27AB2D-80D6-4E84-9236-6EEA6152C07A}"/>
    <cellStyle name="Comma 5 2 4 2 3" xfId="965" xr:uid="{01C77B03-0C4B-4FCF-A24A-72459182AF35}"/>
    <cellStyle name="Comma 5 2 4 3" xfId="1210" xr:uid="{7881ADB6-5C21-4FB3-8F15-DD8D98428D91}"/>
    <cellStyle name="Comma 5 2 4 4" xfId="720" xr:uid="{BA712FDB-9E78-432C-99AA-F6EF8FFBFADD}"/>
    <cellStyle name="Comma 5 2 5" xfId="325" xr:uid="{7AE9081D-44B6-4C87-AD88-34F627B397B8}"/>
    <cellStyle name="Comma 5 2 5 2" xfId="570" xr:uid="{1C6E5B3C-7223-427B-8A5F-3786B290BF13}"/>
    <cellStyle name="Comma 5 2 5 2 2" xfId="1550" xr:uid="{59BE0483-D45B-4F49-B2CE-9DDC695F7FD9}"/>
    <cellStyle name="Comma 5 2 5 2 3" xfId="1060" xr:uid="{14D6C7A3-E0EF-477B-9895-4D49C4AF8FCD}"/>
    <cellStyle name="Comma 5 2 5 3" xfId="1305" xr:uid="{FB15A087-222A-43EF-9066-D32B21D654EF}"/>
    <cellStyle name="Comma 5 2 5 4" xfId="815" xr:uid="{BC3ED4B8-B103-4FBB-BC37-2BEB3EBACEA2}"/>
    <cellStyle name="Comma 5 2 6" xfId="415" xr:uid="{9FCA7E11-49C5-4923-B7DE-47CAE1F24EF2}"/>
    <cellStyle name="Comma 5 2 6 2" xfId="1395" xr:uid="{A4A69D05-BD12-4206-ABCE-BB932F30A2D2}"/>
    <cellStyle name="Comma 5 2 6 3" xfId="905" xr:uid="{6FC7A68A-D043-4032-89C5-82A56DAB8BEA}"/>
    <cellStyle name="Comma 5 2 7" xfId="1150" xr:uid="{F0754EF7-485F-41D6-8F55-8A61E8B46FA0}"/>
    <cellStyle name="Comma 5 2 8" xfId="660" xr:uid="{05635F0B-94EC-42DB-9D3B-298B4F384DF7}"/>
    <cellStyle name="Comma 5 2 9" xfId="170" xr:uid="{0F257A6D-B9C0-4741-81E8-FEC1AC369D9B}"/>
    <cellStyle name="Comma 5 3" xfId="70" xr:uid="{50EC2DFD-0C7A-43BD-A3BF-6100E932A337}"/>
    <cellStyle name="Comma 5 3 2" xfId="130" xr:uid="{85093775-CBB5-4DA5-B629-31DE97C6280B}"/>
    <cellStyle name="Comma 5 3 2 2" xfId="280" xr:uid="{9C67AE5B-466A-4C5A-9B0A-769E410464D1}"/>
    <cellStyle name="Comma 5 3 2 2 2" xfId="525" xr:uid="{D37DBC65-63DE-47B4-810A-4BCE9251DE04}"/>
    <cellStyle name="Comma 5 3 2 2 2 2" xfId="1505" xr:uid="{C9461012-7E72-4FD3-9590-C44CDFB2CD36}"/>
    <cellStyle name="Comma 5 3 2 2 2 3" xfId="1015" xr:uid="{2CB9F1B3-59CF-4C6A-993A-7CFA950BD32B}"/>
    <cellStyle name="Comma 5 3 2 2 3" xfId="1260" xr:uid="{129763BD-C322-4DB4-A255-D63831DFB2D9}"/>
    <cellStyle name="Comma 5 3 2 2 4" xfId="770" xr:uid="{FFEBF280-B66D-4600-971A-2D2A2C01644A}"/>
    <cellStyle name="Comma 5 3 2 3" xfId="375" xr:uid="{5A6CF310-FE9B-4A33-8B4F-A38633D0A821}"/>
    <cellStyle name="Comma 5 3 2 3 2" xfId="620" xr:uid="{B5CDCBE8-BA12-439C-B42A-C5EDA7094CD1}"/>
    <cellStyle name="Comma 5 3 2 3 2 2" xfId="1600" xr:uid="{31CC4CA9-C4A0-4462-999F-7BBBDF43360C}"/>
    <cellStyle name="Comma 5 3 2 3 2 3" xfId="1110" xr:uid="{1889795D-29E9-48D3-AE68-49DDCE4712BA}"/>
    <cellStyle name="Comma 5 3 2 3 3" xfId="1355" xr:uid="{A189A664-2A45-4BD3-829A-5B1BA4FCC31A}"/>
    <cellStyle name="Comma 5 3 2 3 4" xfId="865" xr:uid="{3E9B25E9-8B66-4CE7-BC0F-34E85BBC79E5}"/>
    <cellStyle name="Comma 5 3 2 4" xfId="435" xr:uid="{3591C6C9-6CCD-4990-8F74-A709EFAC4EA8}"/>
    <cellStyle name="Comma 5 3 2 4 2" xfId="1415" xr:uid="{F36A2AAF-7D23-4B52-AA53-660C853092A8}"/>
    <cellStyle name="Comma 5 3 2 4 3" xfId="925" xr:uid="{7123B7D8-F290-4B0F-B832-F3BAC61421F0}"/>
    <cellStyle name="Comma 5 3 2 5" xfId="1170" xr:uid="{550503C0-92A7-4C03-864F-78AF28C18711}"/>
    <cellStyle name="Comma 5 3 2 6" xfId="680" xr:uid="{15E3F3B3-D19F-44DB-95DB-31530B7D990E}"/>
    <cellStyle name="Comma 5 3 2 7" xfId="190" xr:uid="{14B66CD1-9E14-4B4F-9FB8-E970CF373BE6}"/>
    <cellStyle name="Comma 5 3 3" xfId="100" xr:uid="{D9B9AC25-00F5-47EE-9D75-F885DA2149A1}"/>
    <cellStyle name="Comma 5 3 3 2" xfId="345" xr:uid="{537FFDAA-414D-4C9A-A18F-35B3E6492E10}"/>
    <cellStyle name="Comma 5 3 3 2 2" xfId="590" xr:uid="{DCA079FE-EE26-4D9F-8C8D-FD429C8E4ECF}"/>
    <cellStyle name="Comma 5 3 3 2 2 2" xfId="1570" xr:uid="{D9AB69D7-F184-491E-B9BB-9A64FBB4F9A6}"/>
    <cellStyle name="Comma 5 3 3 2 2 3" xfId="1080" xr:uid="{99AD55DD-D486-4966-952A-6DCDEC5DE78E}"/>
    <cellStyle name="Comma 5 3 3 2 3" xfId="1325" xr:uid="{8FAEBA0E-0897-40D5-B564-B4A9A42AA8A8}"/>
    <cellStyle name="Comma 5 3 3 2 4" xfId="835" xr:uid="{5F3A8188-9CEC-427B-9401-6CD760A09521}"/>
    <cellStyle name="Comma 5 3 3 3" xfId="495" xr:uid="{D77E344E-1D96-4726-9CB4-3EC09A69A622}"/>
    <cellStyle name="Comma 5 3 3 3 2" xfId="1475" xr:uid="{69E0883E-A783-4839-8A49-28C2734D1685}"/>
    <cellStyle name="Comma 5 3 3 3 3" xfId="985" xr:uid="{E2E55ECB-4402-4E08-9338-81C52BCF6EB2}"/>
    <cellStyle name="Comma 5 3 3 4" xfId="1230" xr:uid="{BB933C3C-C774-42F6-9FFD-EDD1C9CE9524}"/>
    <cellStyle name="Comma 5 3 3 5" xfId="740" xr:uid="{5E63514C-023E-4E93-8B6E-86D57677DB87}"/>
    <cellStyle name="Comma 5 3 3 6" xfId="250" xr:uid="{2101E19A-EB8D-4E3C-9204-0BB83B8E1C59}"/>
    <cellStyle name="Comma 5 3 4" xfId="220" xr:uid="{A2F7234F-49A7-42BB-97DF-E386A5C36CDA}"/>
    <cellStyle name="Comma 5 3 4 2" xfId="465" xr:uid="{D950D9ED-A22C-4C8B-865B-4D6E7A83C551}"/>
    <cellStyle name="Comma 5 3 4 2 2" xfId="1445" xr:uid="{B30AF88A-DE5C-41B4-A471-025B29B4F896}"/>
    <cellStyle name="Comma 5 3 4 2 3" xfId="955" xr:uid="{49009987-4477-484D-89CB-27CEBBA6577B}"/>
    <cellStyle name="Comma 5 3 4 3" xfId="1200" xr:uid="{9059F2F2-4828-4DC8-BE05-0C01433C7B20}"/>
    <cellStyle name="Comma 5 3 4 4" xfId="710" xr:uid="{D9C53690-DC81-420D-BA16-99C0FE2396D6}"/>
    <cellStyle name="Comma 5 3 5" xfId="315" xr:uid="{F4962230-3825-4044-9DA2-C68951500F29}"/>
    <cellStyle name="Comma 5 3 5 2" xfId="560" xr:uid="{32BC8757-62B1-4701-A1E8-A0EA557D1536}"/>
    <cellStyle name="Comma 5 3 5 2 2" xfId="1540" xr:uid="{3FDD2F6F-E344-449A-ADEE-492AD23F147F}"/>
    <cellStyle name="Comma 5 3 5 2 3" xfId="1050" xr:uid="{61204279-8C5E-4A2E-969C-4C2AD5FAD84E}"/>
    <cellStyle name="Comma 5 3 5 3" xfId="1295" xr:uid="{0B7B2994-FD66-4FD9-AC61-9BC31AB0F3A2}"/>
    <cellStyle name="Comma 5 3 5 4" xfId="805" xr:uid="{8B57DD6A-93CC-4A12-BA99-80C1F237C6B5}"/>
    <cellStyle name="Comma 5 3 6" xfId="405" xr:uid="{3BE8BCAC-43E8-4039-A646-372666EF6A5F}"/>
    <cellStyle name="Comma 5 3 6 2" xfId="1385" xr:uid="{D4CF7732-D475-457B-B7E2-5E8CEEE4CD14}"/>
    <cellStyle name="Comma 5 3 6 3" xfId="895" xr:uid="{627EF716-623B-4295-B433-9B42AF373CDE}"/>
    <cellStyle name="Comma 5 3 7" xfId="1140" xr:uid="{56B0C6D1-1B60-4E5B-8AD2-C977E254CC08}"/>
    <cellStyle name="Comma 5 3 8" xfId="650" xr:uid="{920482AD-DD9D-4E39-8D6D-A781603CE384}"/>
    <cellStyle name="Comma 5 3 9" xfId="160" xr:uid="{46AB3DA6-3C43-45F7-9BF9-14ECDA357A40}"/>
    <cellStyle name="Comma 5 4" xfId="120" xr:uid="{E757F04F-6154-40FE-8B8E-0A4E966FD4B6}"/>
    <cellStyle name="Comma 5 4 2" xfId="270" xr:uid="{8ADC209B-3CE2-443E-8CBC-273260FD5C6D}"/>
    <cellStyle name="Comma 5 4 2 2" xfId="515" xr:uid="{AEC06F56-5423-4291-A028-D299947A09A3}"/>
    <cellStyle name="Comma 5 4 2 2 2" xfId="1495" xr:uid="{E377B506-4186-46F6-ADFA-A183358FE31E}"/>
    <cellStyle name="Comma 5 4 2 2 3" xfId="1005" xr:uid="{3A2609DF-2B6D-4A11-A958-92A986A01F05}"/>
    <cellStyle name="Comma 5 4 2 3" xfId="1250" xr:uid="{08817956-203A-4370-B9C9-4AE04896A52A}"/>
    <cellStyle name="Comma 5 4 2 4" xfId="760" xr:uid="{9668BF44-6DA5-497A-A759-C557176C6C8A}"/>
    <cellStyle name="Comma 5 4 3" xfId="365" xr:uid="{8F4DDA8E-7AED-4BDC-A0A5-A7AE4C5DAF00}"/>
    <cellStyle name="Comma 5 4 3 2" xfId="610" xr:uid="{0691F88B-0A9D-400A-B643-57BB38156AE9}"/>
    <cellStyle name="Comma 5 4 3 2 2" xfId="1590" xr:uid="{53C81CDD-89B1-46E0-9A17-6422AA2A9B80}"/>
    <cellStyle name="Comma 5 4 3 2 3" xfId="1100" xr:uid="{E8B56935-D439-4D3C-9EEE-4E20197AC4DB}"/>
    <cellStyle name="Comma 5 4 3 3" xfId="1345" xr:uid="{6156F393-7EE9-42EA-89D1-994491B2DB10}"/>
    <cellStyle name="Comma 5 4 3 4" xfId="855" xr:uid="{B9FBD902-593C-472A-AE98-C93841FFD5EA}"/>
    <cellStyle name="Comma 5 4 4" xfId="425" xr:uid="{6EEB6A1A-C5D6-410B-BFCB-646CBB26C978}"/>
    <cellStyle name="Comma 5 4 4 2" xfId="1405" xr:uid="{00F397CE-4CF9-4FB7-9BE1-75E25C498052}"/>
    <cellStyle name="Comma 5 4 4 3" xfId="915" xr:uid="{CA9292A8-4AC9-4C92-865D-A4CC7E67C03D}"/>
    <cellStyle name="Comma 5 4 5" xfId="1160" xr:uid="{9A4CCA05-EB08-4FC9-9D78-7200A690B183}"/>
    <cellStyle name="Comma 5 4 6" xfId="670" xr:uid="{A8183791-F0C3-49E6-9CDE-A951354AE1F1}"/>
    <cellStyle name="Comma 5 4 7" xfId="180" xr:uid="{6CD249FE-1571-4937-ADF6-441CC6A1A5EB}"/>
    <cellStyle name="Comma 5 5" xfId="90" xr:uid="{EF2B4AD3-2E38-4CAE-9820-A4B56D55A9FD}"/>
    <cellStyle name="Comma 5 5 2" xfId="335" xr:uid="{0B3B382C-214B-41D5-9C54-D8F0164DD701}"/>
    <cellStyle name="Comma 5 5 2 2" xfId="580" xr:uid="{3124B767-3FEC-42FE-8409-BC94B64A0CC5}"/>
    <cellStyle name="Comma 5 5 2 2 2" xfId="1560" xr:uid="{352DFBB5-1D5A-4BC4-9F44-C7810E0E9252}"/>
    <cellStyle name="Comma 5 5 2 2 3" xfId="1070" xr:uid="{C3198842-1A16-46BD-9BB3-C664FED21BE2}"/>
    <cellStyle name="Comma 5 5 2 3" xfId="1315" xr:uid="{88CBE8AB-70B3-4ACE-A5D5-5276C6D15E00}"/>
    <cellStyle name="Comma 5 5 2 4" xfId="825" xr:uid="{196AB2A3-F540-474B-AC33-21CCF7E1080A}"/>
    <cellStyle name="Comma 5 5 3" xfId="485" xr:uid="{09EE44AC-A0AB-495D-A2DB-2CDFF8F5BBD4}"/>
    <cellStyle name="Comma 5 5 3 2" xfId="1465" xr:uid="{E4271DF8-E63A-4B27-A5C8-A5A27335A11A}"/>
    <cellStyle name="Comma 5 5 3 3" xfId="975" xr:uid="{DE866477-5EAB-4F98-8AD5-590C0C0B4121}"/>
    <cellStyle name="Comma 5 5 4" xfId="1220" xr:uid="{106EED44-9AA4-4079-9797-C017514019EF}"/>
    <cellStyle name="Comma 5 5 5" xfId="730" xr:uid="{F5C141E3-7A00-4F53-A32D-811DCB19B3B7}"/>
    <cellStyle name="Comma 5 5 6" xfId="240" xr:uid="{43CD4980-10F2-493F-9FB5-BDD3123B5E93}"/>
    <cellStyle name="Comma 5 6" xfId="210" xr:uid="{821F5E7E-8EDA-4E88-BB48-A673ABF1F2F0}"/>
    <cellStyle name="Comma 5 6 2" xfId="455" xr:uid="{06DB82CF-2875-4BE3-8D57-FFC58A8E6B24}"/>
    <cellStyle name="Comma 5 6 2 2" xfId="1435" xr:uid="{256ABBCA-1B1D-479A-A94D-C1F97C9111CD}"/>
    <cellStyle name="Comma 5 6 2 3" xfId="945" xr:uid="{71764A56-C1F3-43E5-8AD2-1182A67B3946}"/>
    <cellStyle name="Comma 5 6 3" xfId="1190" xr:uid="{4D445BE8-2416-4A37-9A18-7A464E899EAD}"/>
    <cellStyle name="Comma 5 6 4" xfId="700" xr:uid="{11A70643-709E-4A72-980E-5271E201AF0C}"/>
    <cellStyle name="Comma 5 7" xfId="306" xr:uid="{C90D06CB-76C2-4F80-A51D-DC25AF4A70E3}"/>
    <cellStyle name="Comma 5 7 2" xfId="551" xr:uid="{AFD8C556-BB10-4E21-868C-BB928020EC23}"/>
    <cellStyle name="Comma 5 7 2 2" xfId="1531" xr:uid="{0177B1D9-8590-42A3-983F-969155C3A977}"/>
    <cellStyle name="Comma 5 7 2 3" xfId="1041" xr:uid="{5A597E40-294A-449A-B78D-1917F79087D3}"/>
    <cellStyle name="Comma 5 7 3" xfId="1286" xr:uid="{F9396730-B998-4608-8114-A9A1F0BF29FC}"/>
    <cellStyle name="Comma 5 7 4" xfId="796" xr:uid="{9174E245-0DE5-4FF7-95CA-CE9FB9FCC2BB}"/>
    <cellStyle name="Comma 5 8" xfId="395" xr:uid="{F26F9F2E-9F27-485D-B4F7-70894EB71818}"/>
    <cellStyle name="Comma 5 8 2" xfId="1375" xr:uid="{E64C817C-F756-4C7C-93AE-1913D02F4505}"/>
    <cellStyle name="Comma 5 8 3" xfId="885" xr:uid="{79392043-5F1C-4E38-9D16-27426A5B91B9}"/>
    <cellStyle name="Comma 5 9" xfId="1130" xr:uid="{AAA307E8-25D9-4E15-BB9B-4553B128447A}"/>
    <cellStyle name="Comma 6" xfId="75" xr:uid="{73BD4BEF-5A32-4279-A7E9-04DE392D7BA2}"/>
    <cellStyle name="Comma 6 2" xfId="135" xr:uid="{45EC4440-73B3-4802-865A-72EAE6CA09EA}"/>
    <cellStyle name="Comma 6 2 2" xfId="285" xr:uid="{A5067400-FCF7-4FCB-B349-73C744CFDCDD}"/>
    <cellStyle name="Comma 6 2 2 2" xfId="530" xr:uid="{FFB098CD-DDE9-4BC3-A1DA-2078592CCBC7}"/>
    <cellStyle name="Comma 6 2 2 2 2" xfId="1510" xr:uid="{5A597FC9-2712-437B-B57C-CE133DD8DE51}"/>
    <cellStyle name="Comma 6 2 2 2 3" xfId="1020" xr:uid="{FF2E50EA-5FB7-4247-A4C4-A53F91CB1613}"/>
    <cellStyle name="Comma 6 2 2 3" xfId="1265" xr:uid="{CEAD6D70-108A-47B5-A6AF-EABB993039CD}"/>
    <cellStyle name="Comma 6 2 2 4" xfId="775" xr:uid="{FAD422FA-B4D0-449A-9A14-C7D8E849EFF3}"/>
    <cellStyle name="Comma 6 2 3" xfId="380" xr:uid="{D4D1A370-9D9F-471F-818A-788CE65E70A8}"/>
    <cellStyle name="Comma 6 2 3 2" xfId="625" xr:uid="{EBCE98E3-27D8-4325-92C8-4EE7F1AF4468}"/>
    <cellStyle name="Comma 6 2 3 2 2" xfId="1605" xr:uid="{08826772-B9DE-459B-8722-EB08D47C7DF3}"/>
    <cellStyle name="Comma 6 2 3 2 3" xfId="1115" xr:uid="{EA9AF42F-F574-4BB2-BC82-4B9C8985D09A}"/>
    <cellStyle name="Comma 6 2 3 3" xfId="1360" xr:uid="{FB391D27-AD56-436A-A907-0F7C48ED6F5C}"/>
    <cellStyle name="Comma 6 2 3 4" xfId="870" xr:uid="{826E2024-DA4E-46DA-ABCB-AE5AE9F6B645}"/>
    <cellStyle name="Comma 6 2 4" xfId="440" xr:uid="{D8E15170-9DC6-4D04-A4B7-94B0AC53A2FF}"/>
    <cellStyle name="Comma 6 2 4 2" xfId="1420" xr:uid="{4C71416F-D137-404A-9B6A-3B887B8A93EC}"/>
    <cellStyle name="Comma 6 2 4 3" xfId="930" xr:uid="{56619BB1-A158-47C0-B6A7-49552A27EDFB}"/>
    <cellStyle name="Comma 6 2 5" xfId="1175" xr:uid="{4DC1FE66-B146-44D3-AD90-D74CE9C2D301}"/>
    <cellStyle name="Comma 6 2 6" xfId="685" xr:uid="{721649AF-811F-406A-93A1-183F4D8C69AA}"/>
    <cellStyle name="Comma 6 2 7" xfId="195" xr:uid="{66C40CEB-2253-422F-91F5-5DD015DFA703}"/>
    <cellStyle name="Comma 6 3" xfId="105" xr:uid="{D45966C6-E1C1-41CC-BAED-F07BD00BAB58}"/>
    <cellStyle name="Comma 6 3 2" xfId="350" xr:uid="{9BD81738-1657-4D96-974C-B1438C50CCCA}"/>
    <cellStyle name="Comma 6 3 2 2" xfId="595" xr:uid="{48A29BCF-CAF4-49FE-B3C3-93B8893B84DE}"/>
    <cellStyle name="Comma 6 3 2 2 2" xfId="1575" xr:uid="{B618A34D-279C-4767-B0D1-2D32EE7E3A3A}"/>
    <cellStyle name="Comma 6 3 2 2 3" xfId="1085" xr:uid="{907B4A68-5A29-4944-A7CD-4BEAF6CDFFF8}"/>
    <cellStyle name="Comma 6 3 2 3" xfId="1330" xr:uid="{1B1643F4-CA65-496A-B0F4-7E71B283C23B}"/>
    <cellStyle name="Comma 6 3 2 4" xfId="840" xr:uid="{679AE46C-0B5A-4F3E-9DB6-BDDF183B0D78}"/>
    <cellStyle name="Comma 6 3 3" xfId="500" xr:uid="{A95478BF-1D1F-4119-B7E2-DA4B2CD06670}"/>
    <cellStyle name="Comma 6 3 3 2" xfId="1480" xr:uid="{20E233E6-56A8-4483-8216-29194D386C59}"/>
    <cellStyle name="Comma 6 3 3 3" xfId="990" xr:uid="{EE5C34EB-5347-40EE-901F-5FD31A1757E3}"/>
    <cellStyle name="Comma 6 3 4" xfId="1235" xr:uid="{412BC7AD-B65A-4C47-B8AF-8FBB3B873350}"/>
    <cellStyle name="Comma 6 3 5" xfId="745" xr:uid="{454A0087-B9A5-4FA2-89E9-12D4FBBFB8C9}"/>
    <cellStyle name="Comma 6 3 6" xfId="255" xr:uid="{263017DD-7F02-4377-A8BF-CEA027D56190}"/>
    <cellStyle name="Comma 6 4" xfId="225" xr:uid="{367BE0D3-A4D3-43FE-B3F1-3117D18798B3}"/>
    <cellStyle name="Comma 6 4 2" xfId="470" xr:uid="{032E0CB2-539E-4080-A60B-1D02A3A0C986}"/>
    <cellStyle name="Comma 6 4 2 2" xfId="1450" xr:uid="{E9FC0E68-ACDD-4180-87A9-6E44F318C4D2}"/>
    <cellStyle name="Comma 6 4 2 3" xfId="960" xr:uid="{6D3A636D-687D-4E7C-AA4D-B610EDE1EC84}"/>
    <cellStyle name="Comma 6 4 3" xfId="1205" xr:uid="{A4D00544-99D0-4A5C-8DED-1E977D4B521A}"/>
    <cellStyle name="Comma 6 4 4" xfId="715" xr:uid="{547D4061-66AB-4610-90C0-B49EDD1332EC}"/>
    <cellStyle name="Comma 6 5" xfId="320" xr:uid="{EF6BAB54-17A1-4120-8021-68DAF1B41162}"/>
    <cellStyle name="Comma 6 5 2" xfId="565" xr:uid="{AF307209-2E78-472D-B651-2E1CB695643F}"/>
    <cellStyle name="Comma 6 5 2 2" xfId="1545" xr:uid="{DE1EFECC-A80D-4B19-B317-6C60A05DBF8C}"/>
    <cellStyle name="Comma 6 5 2 3" xfId="1055" xr:uid="{58E78232-B140-4457-9A93-97C8BDB977EA}"/>
    <cellStyle name="Comma 6 5 3" xfId="1300" xr:uid="{9256C55A-57DF-4797-AE7A-4CF3C906E606}"/>
    <cellStyle name="Comma 6 5 4" xfId="810" xr:uid="{2B639F43-02C8-4651-AB49-4CCAEAC18137}"/>
    <cellStyle name="Comma 6 6" xfId="410" xr:uid="{103ADD08-F079-4C86-B04B-8F0B565B4D0A}"/>
    <cellStyle name="Comma 6 6 2" xfId="1390" xr:uid="{5B248203-1010-4CD7-A3AB-82B31037B2D9}"/>
    <cellStyle name="Comma 6 6 3" xfId="900" xr:uid="{E5720333-97FB-406D-8EF1-FF4727FA287F}"/>
    <cellStyle name="Comma 6 7" xfId="1145" xr:uid="{841CA30E-059E-46BF-AD00-C272E3C46DEA}"/>
    <cellStyle name="Comma 6 8" xfId="655" xr:uid="{19C31A8D-3DD2-4422-A339-3F4ABACDEDE3}"/>
    <cellStyle name="Comma 6 9" xfId="165" xr:uid="{D6E03218-A762-4314-870D-3C498FB42344}"/>
    <cellStyle name="Comma 7" xfId="65" xr:uid="{276FE455-1C8E-4CA8-B45B-9239DF532741}"/>
    <cellStyle name="Comma 7 2" xfId="125" xr:uid="{A777516D-F8FF-4E96-BE7B-24931E0453BB}"/>
    <cellStyle name="Comma 7 2 2" xfId="275" xr:uid="{6357905B-0423-40B9-BE5D-029053F3EEEF}"/>
    <cellStyle name="Comma 7 2 2 2" xfId="520" xr:uid="{2F511262-F777-4E60-AA6A-D60E4111FDEC}"/>
    <cellStyle name="Comma 7 2 2 2 2" xfId="1500" xr:uid="{7B34CE3F-F7AA-4701-9646-903A840EBE71}"/>
    <cellStyle name="Comma 7 2 2 2 3" xfId="1010" xr:uid="{69F970B0-5BE1-4E02-A52A-919D336C2623}"/>
    <cellStyle name="Comma 7 2 2 3" xfId="1255" xr:uid="{91203907-3E6A-4EF8-B7D3-0A6233E0AB26}"/>
    <cellStyle name="Comma 7 2 2 4" xfId="765" xr:uid="{7475B913-7522-44CE-8950-089C967B24F1}"/>
    <cellStyle name="Comma 7 2 3" xfId="370" xr:uid="{06D57392-AF14-453E-A3ED-F1993DC6136E}"/>
    <cellStyle name="Comma 7 2 3 2" xfId="615" xr:uid="{1CC63201-3A08-48B9-9438-C111AA7051D4}"/>
    <cellStyle name="Comma 7 2 3 2 2" xfId="1595" xr:uid="{B4B2432F-BBF4-4C74-A957-4AA0DF5AC4AF}"/>
    <cellStyle name="Comma 7 2 3 2 3" xfId="1105" xr:uid="{B94C1F2F-7A94-4CBA-91C6-BC70460F1B44}"/>
    <cellStyle name="Comma 7 2 3 3" xfId="1350" xr:uid="{B65216DB-9097-4D70-8490-B9E62190BD62}"/>
    <cellStyle name="Comma 7 2 3 4" xfId="860" xr:uid="{53E20AE2-A03C-4869-8712-EBD0BA54A299}"/>
    <cellStyle name="Comma 7 2 4" xfId="430" xr:uid="{31DF824D-4150-45F0-9EC8-7A76AC7F389D}"/>
    <cellStyle name="Comma 7 2 4 2" xfId="1410" xr:uid="{9179C122-3D07-4CCE-8153-640F57E88CBA}"/>
    <cellStyle name="Comma 7 2 4 3" xfId="920" xr:uid="{811D556C-4F45-4C8A-9F6D-54D20B989547}"/>
    <cellStyle name="Comma 7 2 5" xfId="1165" xr:uid="{9E28C81E-63B1-4D2A-84AC-B02BC2F0769C}"/>
    <cellStyle name="Comma 7 2 6" xfId="675" xr:uid="{18DAAE6A-CE64-4028-9AB2-C9F5503E7311}"/>
    <cellStyle name="Comma 7 2 7" xfId="185" xr:uid="{7CA37DAB-FF4B-4F02-9FA5-6297CC180803}"/>
    <cellStyle name="Comma 7 3" xfId="95" xr:uid="{BB704E49-CA44-4DB6-B946-D247170869F1}"/>
    <cellStyle name="Comma 7 3 2" xfId="340" xr:uid="{5D140561-20E0-4B27-9315-1A33169FA910}"/>
    <cellStyle name="Comma 7 3 2 2" xfId="585" xr:uid="{11035EC4-63A5-4792-BB34-9380160FD282}"/>
    <cellStyle name="Comma 7 3 2 2 2" xfId="1565" xr:uid="{C6AF0BAF-6670-4503-A050-16DB6034919E}"/>
    <cellStyle name="Comma 7 3 2 2 3" xfId="1075" xr:uid="{A0004653-2173-4898-8AAB-613E56084827}"/>
    <cellStyle name="Comma 7 3 2 3" xfId="1320" xr:uid="{8A942EAF-4F01-4D7E-8E72-2FB3373044C0}"/>
    <cellStyle name="Comma 7 3 2 4" xfId="830" xr:uid="{A9F86F95-2A26-4657-8289-C4B787A59ECA}"/>
    <cellStyle name="Comma 7 3 3" xfId="490" xr:uid="{2659316E-4095-455D-A882-9B95259E28E1}"/>
    <cellStyle name="Comma 7 3 3 2" xfId="1470" xr:uid="{1C74E414-5917-4B0F-B093-16387C7CD00C}"/>
    <cellStyle name="Comma 7 3 3 3" xfId="980" xr:uid="{3B3CEA17-F316-437A-85A1-6FA6D225523E}"/>
    <cellStyle name="Comma 7 3 4" xfId="1225" xr:uid="{83E47296-BFD4-4C0D-B899-7A809E818EB6}"/>
    <cellStyle name="Comma 7 3 5" xfId="735" xr:uid="{74F159D4-8515-4904-B27B-B58D129A8954}"/>
    <cellStyle name="Comma 7 3 6" xfId="245" xr:uid="{5080A879-6BED-4904-969D-92A41BEDFD4A}"/>
    <cellStyle name="Comma 7 4" xfId="215" xr:uid="{3AF960D2-463C-4D35-B4CA-8469D2DBDCFB}"/>
    <cellStyle name="Comma 7 4 2" xfId="460" xr:uid="{13B79D81-1238-416F-8B7C-5A427E37A230}"/>
    <cellStyle name="Comma 7 4 2 2" xfId="1440" xr:uid="{C6205AB3-0E35-42C2-85C0-A7BCE1B0929B}"/>
    <cellStyle name="Comma 7 4 2 3" xfId="950" xr:uid="{626DF276-4387-446C-A515-3F48A40309EF}"/>
    <cellStyle name="Comma 7 4 3" xfId="1195" xr:uid="{C6D13902-AC86-47F8-8626-29025AABB225}"/>
    <cellStyle name="Comma 7 4 4" xfId="705" xr:uid="{DBC6924D-660B-4207-9C78-CFEC4CBA0046}"/>
    <cellStyle name="Comma 7 5" xfId="310" xr:uid="{AC7A8FC0-A2D1-482F-A521-EC0C88E21DE4}"/>
    <cellStyle name="Comma 7 5 2" xfId="555" xr:uid="{9917F72B-206C-498A-AE77-47D5D6D0CE08}"/>
    <cellStyle name="Comma 7 5 2 2" xfId="1535" xr:uid="{CE15AE3A-E7A9-467D-A864-9C7D262EB416}"/>
    <cellStyle name="Comma 7 5 2 3" xfId="1045" xr:uid="{2B69AA83-2B62-47A5-A85D-E3F1C4F3052F}"/>
    <cellStyle name="Comma 7 5 3" xfId="1290" xr:uid="{436CCB42-BBAB-4B45-BDF7-1EBC3BA9A720}"/>
    <cellStyle name="Comma 7 5 4" xfId="800" xr:uid="{00A41BB7-E2BF-438D-8FD5-AEB8047E7FA8}"/>
    <cellStyle name="Comma 7 6" xfId="400" xr:uid="{DC8715FE-C281-4519-8934-2A94E8BF5CF7}"/>
    <cellStyle name="Comma 7 6 2" xfId="1380" xr:uid="{D11C7C68-D3CB-419F-8C4C-64CF4D2B5C75}"/>
    <cellStyle name="Comma 7 6 3" xfId="890" xr:uid="{F97A6605-42A0-4630-96F6-D23F09CC1525}"/>
    <cellStyle name="Comma 7 7" xfId="1135" xr:uid="{1D2941B0-37D1-42E2-A978-311A4012D10D}"/>
    <cellStyle name="Comma 7 8" xfId="645" xr:uid="{427D0B1D-871A-4F10-A808-BF3470CA84ED}"/>
    <cellStyle name="Comma 7 9" xfId="155" xr:uid="{B9035E2A-0D8C-4517-A5F6-17D128091BFC}"/>
    <cellStyle name="Comma 8" xfId="115" xr:uid="{78C63B8B-E9BB-4234-ABAD-4933C7AB22DE}"/>
    <cellStyle name="Comma 8 2" xfId="265" xr:uid="{4102F391-E329-4F43-85D9-D4E22C3541DC}"/>
    <cellStyle name="Comma 8 2 2" xfId="510" xr:uid="{C911AC9A-4F93-4769-BE95-802659B34A84}"/>
    <cellStyle name="Comma 8 2 2 2" xfId="1490" xr:uid="{29BCF3A0-827C-45C0-9A18-52054E4CD619}"/>
    <cellStyle name="Comma 8 2 2 3" xfId="1000" xr:uid="{3D17A7F1-8398-405C-B042-9EC0FAFF1052}"/>
    <cellStyle name="Comma 8 2 3" xfId="1245" xr:uid="{68C25B30-9BC0-487A-9795-ACAC4F2D16D0}"/>
    <cellStyle name="Comma 8 2 4" xfId="755" xr:uid="{52AD54AC-0674-448C-B385-71AEA3AF19AF}"/>
    <cellStyle name="Comma 8 3" xfId="360" xr:uid="{3DE222A7-AC5E-44AD-A2F2-CD47A2953DBE}"/>
    <cellStyle name="Comma 8 3 2" xfId="605" xr:uid="{B40BF469-12EC-469C-8EC0-352139274023}"/>
    <cellStyle name="Comma 8 3 2 2" xfId="1585" xr:uid="{E7586F89-4935-41AA-B6CC-7E3A8B57CF21}"/>
    <cellStyle name="Comma 8 3 2 3" xfId="1095" xr:uid="{A5A70671-9F38-432B-83D2-00F1E47CEA94}"/>
    <cellStyle name="Comma 8 3 3" xfId="1340" xr:uid="{F28B1CD4-CC06-42D1-91ED-17E3EB7AAA34}"/>
    <cellStyle name="Comma 8 3 4" xfId="850" xr:uid="{A10B1276-3298-4152-9E6C-C86CEF2DF0BD}"/>
    <cellStyle name="Comma 8 4" xfId="420" xr:uid="{5DD6B934-FB6C-4DA8-A15C-68449FB3A8FE}"/>
    <cellStyle name="Comma 8 4 2" xfId="1400" xr:uid="{08647D1F-D237-455D-8822-5E2AB8E75A83}"/>
    <cellStyle name="Comma 8 4 3" xfId="910" xr:uid="{9344D04C-BABE-4AC0-BF0E-B75C9FE62AFE}"/>
    <cellStyle name="Comma 8 5" xfId="1155" xr:uid="{19BD2A9F-35DF-4054-B506-342757F4C785}"/>
    <cellStyle name="Comma 8 6" xfId="665" xr:uid="{3F01C97F-4280-4838-A1BE-4DA19499483A}"/>
    <cellStyle name="Comma 8 7" xfId="175" xr:uid="{FE7752AC-6278-432E-AECE-B7B327C4D834}"/>
    <cellStyle name="Comma 9" xfId="85" xr:uid="{B5CC244D-768C-4A14-8696-6D69F8447D1A}"/>
    <cellStyle name="Comma 9 2" xfId="330" xr:uid="{0452E746-FC86-4794-8BF9-FBD885A983B0}"/>
    <cellStyle name="Comma 9 2 2" xfId="575" xr:uid="{7BDC358C-1FF4-4B52-976B-2A304C2AF974}"/>
    <cellStyle name="Comma 9 2 2 2" xfId="1555" xr:uid="{662E75BE-F250-4465-B8AA-9F25D165979F}"/>
    <cellStyle name="Comma 9 2 2 3" xfId="1065" xr:uid="{A8882A0E-19E6-4CC7-B121-048E46383B4D}"/>
    <cellStyle name="Comma 9 2 3" xfId="1310" xr:uid="{CA9BD67A-12F5-4DD8-B9AA-4DCF1F311581}"/>
    <cellStyle name="Comma 9 2 4" xfId="820" xr:uid="{7893D4C2-0A7C-4039-9244-0BAB4F5F93A1}"/>
    <cellStyle name="Comma 9 3" xfId="480" xr:uid="{D75ECFF5-1BCB-4B30-B3BB-B9941E655D65}"/>
    <cellStyle name="Comma 9 3 2" xfId="1460" xr:uid="{D0F50989-8065-45C8-889C-981E1046B906}"/>
    <cellStyle name="Comma 9 3 3" xfId="970" xr:uid="{E01DD8A1-AE3D-4821-950C-E981D6381139}"/>
    <cellStyle name="Comma 9 4" xfId="1215" xr:uid="{4C7C1EC2-14B1-48A8-B177-3021DE2D3646}"/>
    <cellStyle name="Comma 9 5" xfId="725" xr:uid="{5E1423AE-2615-41D8-AD01-22EDE0BFF23C}"/>
    <cellStyle name="Comma 9 6" xfId="235" xr:uid="{D0FEFD99-4097-4FB4-8A29-D809A635604A}"/>
    <cellStyle name="Currency 2" xfId="6" xr:uid="{ACAD4AD4-9A37-45BE-AE2A-63114BAE59DC}"/>
    <cellStyle name="Currency 2 2" xfId="8" xr:uid="{ACAD4AD4-9A37-45BE-AE2A-63114BAE59DC}"/>
    <cellStyle name="Currency 2 2 2" xfId="543" xr:uid="{75165CDA-5B3F-4527-8D5F-AB9C0708F0C2}"/>
    <cellStyle name="Currency 2 2 2 2" xfId="1523" xr:uid="{7D8512EC-71FD-4172-AC29-D621CF2476D2}"/>
    <cellStyle name="Currency 2 2 2 3" xfId="1033" xr:uid="{95136CEA-288F-479F-A2AD-CE6877C7BC37}"/>
    <cellStyle name="Currency 2 2 3" xfId="1278" xr:uid="{2EF77640-92C4-414E-BCE0-1F38186BA468}"/>
    <cellStyle name="Currency 2 2 4" xfId="788" xr:uid="{3BAA6805-8B12-431C-B26D-69D4784815DE}"/>
    <cellStyle name="Currency 2 2 5" xfId="298" xr:uid="{CAE17640-AB8B-4880-A253-B70D5CAEA067}"/>
    <cellStyle name="Currency 2 3" xfId="16" xr:uid="{49B36927-9E38-402B-A21F-8570DF8D16D1}"/>
    <cellStyle name="Currency 2 3 2" xfId="547" xr:uid="{5C08917E-7F43-4E6C-8E7D-18AB56187D9D}"/>
    <cellStyle name="Currency 2 3 2 2" xfId="1527" xr:uid="{D58D4E3A-D015-41C8-906E-E2F36A10E052}"/>
    <cellStyle name="Currency 2 3 2 3" xfId="1037" xr:uid="{0A8CF8BF-43C2-4E6F-80BB-095DCC26ADA5}"/>
    <cellStyle name="Currency 2 3 3" xfId="1282" xr:uid="{C5565F7D-D557-4BEC-A49E-2F6A68202696}"/>
    <cellStyle name="Currency 2 3 4" xfId="792" xr:uid="{F371709E-F834-48CE-B5AC-5584B52A7A6F}"/>
    <cellStyle name="Currency 2 3 5" xfId="302" xr:uid="{323E1656-9DA9-481B-AFD8-8AABEB228F77}"/>
    <cellStyle name="Currency 2 4" xfId="541" xr:uid="{078F8144-74DF-4E2E-8AD4-B38111F70E01}"/>
    <cellStyle name="Currency 2 4 2" xfId="1521" xr:uid="{94D9BA6F-C0A1-452B-8B21-C4EB89335476}"/>
    <cellStyle name="Currency 2 4 3" xfId="1031" xr:uid="{C6F37B66-8795-4EAE-8DD9-5CBE35FFDE8E}"/>
    <cellStyle name="Currency 2 5" xfId="1276" xr:uid="{A3C2A564-2A4F-4993-B729-373449EDA746}"/>
    <cellStyle name="Currency 2 6" xfId="786" xr:uid="{6232B11B-BF0A-4EDF-8FA9-191D48C291AE}"/>
    <cellStyle name="Currency 2 7" xfId="296" xr:uid="{E0B03110-AC77-4EE5-AB93-88C7A67A2BF1}"/>
    <cellStyle name="Explanatory Text" xfId="34" builtinId="53" customBuiltin="1"/>
    <cellStyle name="Good" xfId="24" builtinId="26" customBuiltin="1"/>
    <cellStyle name="Heading 1" xfId="20" builtinId="16" customBuiltin="1"/>
    <cellStyle name="Heading 2" xfId="21" builtinId="17" customBuiltin="1"/>
    <cellStyle name="Heading 3" xfId="22" builtinId="18" customBuiltin="1"/>
    <cellStyle name="Heading 4" xfId="23" builtinId="19" customBuiltin="1"/>
    <cellStyle name="Input" xfId="27" builtinId="20" customBuiltin="1"/>
    <cellStyle name="Linked Cell" xfId="30" builtinId="24" customBuiltin="1"/>
    <cellStyle name="Neutral" xfId="26" builtinId="28" customBuiltin="1"/>
    <cellStyle name="Normal" xfId="0" builtinId="0"/>
    <cellStyle name="Normal 101" xfId="2" xr:uid="{00000000-0005-0000-0000-000002000000}"/>
    <cellStyle name="Normal 2" xfId="1616" xr:uid="{663828AA-8F15-437C-8976-4F0DBE384E74}"/>
    <cellStyle name="Normal 2 2" xfId="1619" xr:uid="{9555D18F-A487-4407-9502-3CA4C3D30FDD}"/>
    <cellStyle name="Normal 277" xfId="14" xr:uid="{02DCA6D7-5310-4746-B636-E77593C08683}"/>
    <cellStyle name="Normal 3" xfId="1615" xr:uid="{86FEA527-0031-4B59-B2C5-011C6B3FE25D}"/>
    <cellStyle name="Normal 4" xfId="1617" xr:uid="{C4A4C993-6836-420C-A801-4D4C5C25EC35}"/>
    <cellStyle name="Normal 5 33" xfId="9" xr:uid="{889D9DA9-A9C2-488C-9A5F-2E0320548FA4}"/>
    <cellStyle name="Normal 77 2 5" xfId="11" xr:uid="{B90EE33B-5FC4-44D8-AB7B-B55B338CFE8E}"/>
    <cellStyle name="Normal_Dataflex Stock Info" xfId="5" xr:uid="{00000000-0005-0000-0000-000003000000}"/>
    <cellStyle name="Normal_Stock Info" xfId="4" xr:uid="{00000000-0005-0000-0000-000004000000}"/>
    <cellStyle name="Note" xfId="33" builtinId="10" customBuiltin="1"/>
    <cellStyle name="Output" xfId="28" builtinId="21" customBuiltin="1"/>
    <cellStyle name="Percent" xfId="1" builtinId="5"/>
    <cellStyle name="Percent 20 6" xfId="13" xr:uid="{06084186-3B2C-4019-97AA-70E2267828A7}"/>
    <cellStyle name="Title" xfId="19" builtinId="15" customBuiltin="1"/>
    <cellStyle name="Total" xfId="35" builtinId="25" customBuiltin="1"/>
    <cellStyle name="Warning Text" xfId="32" builtinId="11" customBuiltin="1"/>
  </cellStyles>
  <dxfs count="5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2CC"/>
      <color rgb="FFF76DDD"/>
      <color rgb="FF3BED48"/>
      <color rgb="FFFF5B5B"/>
      <color rgb="FFFAD2FB"/>
      <color rgb="FFEDC1C4"/>
      <color rgb="FF47F378"/>
      <color rgb="FFFF99CC"/>
      <color rgb="FFF8998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3.xml"/></Relationships>
</file>

<file path=xl/documenttasks/documenttask1.xml><?xml version="1.0" encoding="utf-8"?>
<Tasks xmlns="http://schemas.microsoft.com/office/tasks/2019/documenttasks">
  <Task id="{ED75F395-5FCC-4AE4-B11B-156C5D9A28F4}">
    <Anchor>
      <Comment id="{5832EC45-8F20-43B1-B0FA-E410653362A2}"/>
    </Anchor>
    <History>
      <Event time="2025-09-09T11:52:26.94" id="{1A8BA3CC-3FCA-48BE-B7DA-1C2E6939585F}">
        <Attribution userId="S::cbrinzan@eseye.com::b5ade815-ee2b-44d9-9f44-cbd04f9e0a50" userName="Cosmina-Stefania Brinzan" userProvider="AD"/>
        <Anchor>
          <Comment id="{5832EC45-8F20-43B1-B0FA-E410653362A2}"/>
        </Anchor>
        <Create/>
      </Event>
      <Event time="2025-09-09T11:52:26.94" id="{F4C2D052-ADFE-4974-8A00-6A706C881611}">
        <Attribution userId="S::cbrinzan@eseye.com::b5ade815-ee2b-44d9-9f44-cbd04f9e0a50" userName="Cosmina-Stefania Brinzan" userProvider="AD"/>
        <Anchor>
          <Comment id="{5832EC45-8F20-43B1-B0FA-E410653362A2}"/>
        </Anchor>
        <Assign userId="S::haldred@eseye.com::adf96e3d-2a58-47f6-a453-167f9a9985d9" userName="Harry Aldred" userProvider="AD"/>
      </Event>
      <Event time="2025-09-09T11:52:26.94" id="{7AA7AABA-34CD-4F92-8BE4-10B71B24BED3}">
        <Attribution userId="S::cbrinzan@eseye.com::b5ade815-ee2b-44d9-9f44-cbd04f9e0a50" userName="Cosmina-Stefania Brinzan" userProvider="AD"/>
        <Anchor>
          <Comment id="{5832EC45-8F20-43B1-B0FA-E410653362A2}"/>
        </Anchor>
        <SetTitle title="@Harry Aldred @Elaine Zhu we should probably start adding the MTN numbers in this tab, potentially the customer data tab as well 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1908044</xdr:colOff>
      <xdr:row>8</xdr:row>
      <xdr:rowOff>167409</xdr:rowOff>
    </xdr:from>
    <xdr:to>
      <xdr:col>8</xdr:col>
      <xdr:colOff>584141</xdr:colOff>
      <xdr:row>15</xdr:row>
      <xdr:rowOff>82404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2AF30C-FE6A-9921-C0CD-CFCECC621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6135" y="1460500"/>
          <a:ext cx="4832422" cy="13161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2025%20Mgt%20Pack%20workings/10.%20Oct%202025/MP/1.Mgmt_accounts_2025-10%20EBITDA%20result%20v1.xlsx" TargetMode="External"/><Relationship Id="rId2" Type="http://schemas.openxmlformats.org/officeDocument/2006/relationships/externalLinkPath" Target="https://eseyeltd.sharepoint.com/Finance/Shared%20Documents/2025%20Mgt%20Pack%20workings/10.%20Oct%202025/MP/1.Mgmt_accounts_2025-10%20EBITDA%20result%20v1.xlsx" TargetMode="External"/><Relationship Id="rId1" Type="http://schemas.openxmlformats.org/officeDocument/2006/relationships/externalLinkPath" Target="/Finance/Shared%20Documents/2025%20Mgt%20Pack%20workings/10.%20Oct%202025/MP/1.Mgmt_accounts_2025-10%20EBITDA%20result%20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ver"/>
      <sheetName val="KPIs"/>
      <sheetName val="Financial statements"/>
      <sheetName val="Financial plan"/>
      <sheetName val="Revenue data"/>
      <sheetName val="Alternate P&amp;L"/>
      <sheetName val="Stock"/>
      <sheetName val="Largest debtors"/>
      <sheetName val="Customer data"/>
      <sheetName val="Aged debtors"/>
      <sheetName val="Carrier data"/>
      <sheetName val="Overseas cash covenant"/>
      <sheetName val="Cash consumption and rev co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laine Zhu" id="{E18C7D65-F57D-495F-9101-5AC5AB855D03}" userId="ezhu@eseye.com" providerId="PeoplePicker"/>
  <person displayName="Harry Aldred" id="{BE698F72-0AD7-4AA7-A821-085B15F0EB3B}" userId="haldred@eseye.com" providerId="PeoplePicker"/>
  <person displayName="Tony Byrne" id="{2A590B5D-D398-4CA3-BEE2-3C49ED492668}" userId="S::tbyrne@eseye.com::09714159-baba-47cc-9c68-aa024c076f11" providerId="AD"/>
  <person displayName="Hollie Tongue" id="{AC1EDEE7-FBE9-492E-8667-55D587A99329}" userId="S::HTongue@eseye.com::45317779-e4c8-454a-8886-b310f5f26efc" providerId="AD"/>
  <person displayName="Cosmina-Stefania Brinzan" id="{4E959281-908D-4B31-A3F2-32CA227DC07A}" userId="S::cbrinzan@eseye.com::b5ade815-ee2b-44d9-9f44-cbd04f9e0a5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P51" dT="2025-09-09T11:52:26.95" personId="{4E959281-908D-4B31-A3F2-32CA227DC07A}" id="{5832EC45-8F20-43B1-B0FA-E410653362A2}">
    <text xml:space="preserve">@Harry Aldred @Elaine Zhu we should probably start adding the MTN numbers in this tab, potentially the customer data tab as well </text>
    <mentions>
      <mention mentionpersonId="{BE698F72-0AD7-4AA7-A821-085B15F0EB3B}" mentionId="{B70EE756-D412-4706-ACDF-7BDE3DE977AA}" startIndex="0" length="13"/>
      <mention mentionpersonId="{E18C7D65-F57D-495F-9101-5AC5AB855D03}" mentionId="{B1E792C8-C82C-4CB3-A380-D6CCA129A8C1}" startIndex="14" length="11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M9" dT="2020-08-25T10:14:14.02" personId="{AC1EDEE7-FBE9-492E-8667-55D587A99329}" id="{9753CA24-4309-499F-ACF9-42DF44A2CA8F}">
    <text>Crane units used more data than usual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U13" dT="2019-06-28T14:06:12.12" personId="{2A590B5D-D398-4CA3-BEE2-3C49ED492668}" id="{1721FAAE-A75D-44C9-9333-7D44906AEBAD}">
    <text>Includes £300k tranche 1 retained until end July for HSBC bank to bank indemnity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C68"/>
  <sheetViews>
    <sheetView showGridLines="0" tabSelected="1" topLeftCell="A2" zoomScale="110" zoomScaleNormal="110" workbookViewId="0">
      <selection activeCell="B47" sqref="B47"/>
    </sheetView>
  </sheetViews>
  <sheetFormatPr defaultColWidth="9.453125" defaultRowHeight="14.5" x14ac:dyDescent="0.35"/>
  <cols>
    <col min="1" max="1" width="9.453125" customWidth="1"/>
    <col min="2" max="2" width="34.453125" bestFit="1" customWidth="1"/>
    <col min="5" max="5" width="6.54296875" customWidth="1"/>
    <col min="6" max="6" width="9.453125" bestFit="1" customWidth="1"/>
  </cols>
  <sheetData>
    <row r="1" spans="1:21" hidden="1" x14ac:dyDescent="0.35">
      <c r="A1" t="s">
        <v>0</v>
      </c>
    </row>
    <row r="5" spans="1:21" x14ac:dyDescent="0.35">
      <c r="F5" t="s">
        <v>1</v>
      </c>
    </row>
    <row r="6" spans="1:21" x14ac:dyDescent="0.35">
      <c r="U6" t="s">
        <v>2</v>
      </c>
    </row>
    <row r="15" spans="1:21" ht="23.25" customHeight="1" x14ac:dyDescent="0.55000000000000004">
      <c r="B15" s="793"/>
      <c r="C15" s="793"/>
      <c r="D15" s="793"/>
      <c r="E15" s="793"/>
      <c r="F15" s="793"/>
      <c r="G15" s="793"/>
      <c r="H15" s="793"/>
      <c r="I15" s="793"/>
      <c r="J15" s="793"/>
      <c r="K15" s="793"/>
      <c r="L15" s="793"/>
    </row>
    <row r="16" spans="1:21" ht="23.25" customHeight="1" x14ac:dyDescent="0.55000000000000004">
      <c r="B16" s="81"/>
    </row>
    <row r="17" spans="2:12" ht="23.25" customHeight="1" x14ac:dyDescent="0.55000000000000004">
      <c r="B17" s="793" t="s">
        <v>3</v>
      </c>
      <c r="C17" s="793"/>
      <c r="D17" s="793"/>
      <c r="E17" s="793"/>
      <c r="F17" s="793"/>
      <c r="G17" s="793"/>
      <c r="H17" s="793"/>
      <c r="I17" s="793"/>
      <c r="J17" s="793"/>
      <c r="K17" s="793"/>
      <c r="L17" s="793"/>
    </row>
    <row r="18" spans="2:12" ht="23.25" customHeight="1" x14ac:dyDescent="0.55000000000000004">
      <c r="B18" s="81"/>
    </row>
    <row r="19" spans="2:12" ht="23.25" customHeight="1" x14ac:dyDescent="0.55000000000000004">
      <c r="B19" s="794">
        <v>46054</v>
      </c>
      <c r="C19" s="794"/>
      <c r="D19" s="794"/>
      <c r="E19" s="794"/>
      <c r="F19" s="794"/>
      <c r="G19" s="794"/>
      <c r="H19" s="794"/>
      <c r="I19" s="794"/>
      <c r="J19" s="794"/>
      <c r="K19" s="794"/>
      <c r="L19" s="794"/>
    </row>
    <row r="21" spans="2:12" x14ac:dyDescent="0.35">
      <c r="E21" s="10" t="s">
        <v>4</v>
      </c>
    </row>
    <row r="23" spans="2:12" ht="23.5" x14ac:dyDescent="0.55000000000000004">
      <c r="F23" s="81"/>
    </row>
    <row r="24" spans="2:12" ht="23.5" x14ac:dyDescent="0.55000000000000004">
      <c r="F24" s="81"/>
    </row>
    <row r="25" spans="2:12" ht="23.5" x14ac:dyDescent="0.55000000000000004">
      <c r="F25" s="81"/>
    </row>
    <row r="68" spans="27:29" x14ac:dyDescent="0.35">
      <c r="AA68" s="44"/>
      <c r="AC68">
        <f>AC47+AC46-V46-V47</f>
        <v>0</v>
      </c>
    </row>
  </sheetData>
  <mergeCells count="3">
    <mergeCell ref="B15:L15"/>
    <mergeCell ref="B17:L17"/>
    <mergeCell ref="B19:L19"/>
  </mergeCells>
  <pageMargins left="0.70866141732283472" right="0.70866141732283472" top="0.74803149606299213" bottom="0.74803149606299213" header="0.31496062992125984" footer="0.31496062992125984"/>
  <pageSetup paperSize="9" orientation="landscape" horizontalDpi="4294967293" r:id="rId1"/>
  <headerFooter>
    <oddFooter xml:space="preserve">&amp;L&amp;F &amp;D&amp;C&amp;P of &amp;N&amp;REseye  Private and Confidential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E49"/>
  <sheetViews>
    <sheetView showGridLines="0" zoomScaleNormal="100" zoomScaleSheetLayoutView="90" workbookViewId="0">
      <pane xSplit="2" ySplit="3" topLeftCell="CH4" activePane="bottomRight" state="frozen"/>
      <selection pane="topRight" activeCell="CG52" sqref="CG52"/>
      <selection pane="bottomLeft" activeCell="CG52" sqref="CG52"/>
      <selection pane="bottomRight" activeCell="DB41" sqref="DB41"/>
    </sheetView>
  </sheetViews>
  <sheetFormatPr defaultRowHeight="15" customHeight="1" outlineLevelRow="1" outlineLevelCol="1" x14ac:dyDescent="0.35"/>
  <cols>
    <col min="1" max="1" width="9" hidden="1" customWidth="1"/>
    <col min="2" max="2" width="35.54296875" customWidth="1"/>
    <col min="3" max="13" width="8.453125" style="44" hidden="1" customWidth="1" outlineLevel="1"/>
    <col min="14" max="14" width="8.453125" style="44" hidden="1" customWidth="1" outlineLevel="1" collapsed="1"/>
    <col min="15" max="25" width="8.453125" style="44" hidden="1" customWidth="1" outlineLevel="1"/>
    <col min="26" max="26" width="12.453125" style="44" hidden="1" customWidth="1" outlineLevel="1"/>
    <col min="27" max="37" width="8.453125" style="44" hidden="1" customWidth="1" outlineLevel="1"/>
    <col min="38" max="38" width="8.453125" style="44" customWidth="1" collapsed="1"/>
    <col min="39" max="39" width="9" style="44" hidden="1" customWidth="1" outlineLevel="1"/>
    <col min="40" max="49" width="8.453125" style="44" hidden="1" customWidth="1" outlineLevel="1"/>
    <col min="50" max="50" width="8.453125" style="44" customWidth="1" collapsed="1"/>
    <col min="51" max="51" width="10.453125" style="44" hidden="1" customWidth="1" outlineLevel="1"/>
    <col min="52" max="61" width="8.453125" style="44" hidden="1" customWidth="1" outlineLevel="1"/>
    <col min="62" max="62" width="8.453125" style="44" customWidth="1" collapsed="1"/>
    <col min="63" max="70" width="8.453125" style="44" hidden="1" customWidth="1" outlineLevel="1"/>
    <col min="71" max="73" width="10" style="44" hidden="1" customWidth="1" outlineLevel="1"/>
    <col min="74" max="74" width="9.453125" style="44" customWidth="1" collapsed="1"/>
    <col min="75" max="85" width="9.453125" style="44" hidden="1" customWidth="1" outlineLevel="1"/>
    <col min="86" max="86" width="9.453125" style="44" customWidth="1" collapsed="1"/>
    <col min="87" max="97" width="9.453125" style="44" customWidth="1"/>
    <col min="98" max="100" width="9.7265625" style="44" customWidth="1"/>
    <col min="101" max="101" width="6.08984375" style="44" customWidth="1"/>
    <col min="102" max="102" width="8.453125" style="44" customWidth="1"/>
    <col min="103" max="103" width="10.453125" style="44" customWidth="1"/>
    <col min="104" max="104" width="8.54296875" style="44" customWidth="1"/>
    <col min="105" max="105" width="10.26953125" style="44" customWidth="1"/>
  </cols>
  <sheetData>
    <row r="1" spans="1:106" ht="15" hidden="1" customHeight="1" x14ac:dyDescent="0.35">
      <c r="A1" t="s">
        <v>0</v>
      </c>
    </row>
    <row r="2" spans="1:106" ht="15.5" x14ac:dyDescent="0.35">
      <c r="B2" s="76" t="s">
        <v>5</v>
      </c>
      <c r="C2" s="89">
        <v>43101</v>
      </c>
      <c r="D2" s="89">
        <v>43132</v>
      </c>
      <c r="E2" s="89">
        <v>43160</v>
      </c>
      <c r="F2" s="89">
        <v>43191</v>
      </c>
      <c r="G2" s="89">
        <v>43221</v>
      </c>
      <c r="H2" s="89">
        <v>43252</v>
      </c>
      <c r="I2" s="89">
        <v>43282</v>
      </c>
      <c r="J2" s="89">
        <v>43313</v>
      </c>
      <c r="K2" s="89">
        <v>43344</v>
      </c>
      <c r="L2" s="89">
        <v>43374</v>
      </c>
      <c r="M2" s="89">
        <v>43405</v>
      </c>
      <c r="N2" s="89">
        <v>43435</v>
      </c>
      <c r="O2" s="89">
        <v>43466</v>
      </c>
      <c r="P2" s="89">
        <v>43497</v>
      </c>
      <c r="Q2" s="89">
        <v>43525</v>
      </c>
      <c r="R2" s="89">
        <v>43556</v>
      </c>
      <c r="S2" s="89">
        <v>43586</v>
      </c>
      <c r="T2" s="89">
        <v>43617</v>
      </c>
      <c r="U2" s="89">
        <v>43647</v>
      </c>
      <c r="V2" s="89">
        <v>43678</v>
      </c>
      <c r="W2" s="89">
        <v>43709</v>
      </c>
      <c r="X2" s="89">
        <v>43739</v>
      </c>
      <c r="Y2" s="89">
        <v>43770</v>
      </c>
      <c r="Z2" s="89">
        <v>43800</v>
      </c>
      <c r="AA2" s="89">
        <v>43831</v>
      </c>
      <c r="AB2" s="89">
        <v>43862</v>
      </c>
      <c r="AC2" s="89">
        <v>43891</v>
      </c>
      <c r="AD2" s="89">
        <v>43922</v>
      </c>
      <c r="AE2" s="89">
        <v>43952</v>
      </c>
      <c r="AF2" s="89">
        <v>43983</v>
      </c>
      <c r="AG2" s="89">
        <v>44013</v>
      </c>
      <c r="AH2" s="89">
        <v>44044</v>
      </c>
      <c r="AI2" s="89">
        <v>44075</v>
      </c>
      <c r="AJ2" s="89">
        <v>44105</v>
      </c>
      <c r="AK2" s="89">
        <v>44136</v>
      </c>
      <c r="AL2" s="89">
        <v>44166</v>
      </c>
      <c r="AM2" s="89">
        <v>44197</v>
      </c>
      <c r="AN2" s="89">
        <v>44228</v>
      </c>
      <c r="AO2" s="89">
        <v>44256</v>
      </c>
      <c r="AP2" s="89">
        <v>44287</v>
      </c>
      <c r="AQ2" s="89">
        <v>44317</v>
      </c>
      <c r="AR2" s="89">
        <v>44348</v>
      </c>
      <c r="AS2" s="89">
        <v>44378</v>
      </c>
      <c r="AT2" s="89">
        <v>44409</v>
      </c>
      <c r="AU2" s="89">
        <v>44440</v>
      </c>
      <c r="AV2" s="89">
        <v>44470</v>
      </c>
      <c r="AW2" s="89">
        <v>44501</v>
      </c>
      <c r="AX2" s="89">
        <v>44531</v>
      </c>
      <c r="AY2" s="89">
        <v>44562</v>
      </c>
      <c r="AZ2" s="89">
        <v>44593</v>
      </c>
      <c r="BA2" s="89">
        <v>44621</v>
      </c>
      <c r="BB2" s="89">
        <v>44652</v>
      </c>
      <c r="BC2" s="89">
        <v>44682</v>
      </c>
      <c r="BD2" s="89">
        <v>44713</v>
      </c>
      <c r="BE2" s="89">
        <v>44743</v>
      </c>
      <c r="BF2" s="89">
        <v>44774</v>
      </c>
      <c r="BG2" s="89">
        <v>44805</v>
      </c>
      <c r="BH2" s="89">
        <v>44835</v>
      </c>
      <c r="BI2" s="89">
        <v>44866</v>
      </c>
      <c r="BJ2" s="89">
        <v>44896</v>
      </c>
      <c r="BK2" s="89">
        <v>44927</v>
      </c>
      <c r="BL2" s="89">
        <v>44958</v>
      </c>
      <c r="BM2" s="89">
        <v>44986</v>
      </c>
      <c r="BN2" s="89">
        <v>45017</v>
      </c>
      <c r="BO2" s="89">
        <v>45047</v>
      </c>
      <c r="BP2" s="89">
        <v>45078</v>
      </c>
      <c r="BQ2" s="465">
        <v>45108</v>
      </c>
      <c r="BR2" s="465">
        <v>45139</v>
      </c>
      <c r="BS2" s="465">
        <v>45170</v>
      </c>
      <c r="BT2" s="465">
        <v>45200</v>
      </c>
      <c r="BU2" s="465">
        <v>45231</v>
      </c>
      <c r="BV2" s="465">
        <v>45261</v>
      </c>
      <c r="BW2" s="465">
        <v>45292</v>
      </c>
      <c r="BX2" s="465">
        <v>45323</v>
      </c>
      <c r="BY2" s="465">
        <v>45352</v>
      </c>
      <c r="BZ2" s="465">
        <v>45383</v>
      </c>
      <c r="CA2" s="465">
        <v>45413</v>
      </c>
      <c r="CB2" s="465">
        <v>45444</v>
      </c>
      <c r="CC2" s="465">
        <v>45474</v>
      </c>
      <c r="CD2" s="465">
        <v>45505</v>
      </c>
      <c r="CE2" s="465">
        <v>45536</v>
      </c>
      <c r="CF2" s="465">
        <v>45566</v>
      </c>
      <c r="CG2" s="465">
        <v>45597</v>
      </c>
      <c r="CH2" s="465">
        <v>45627</v>
      </c>
      <c r="CI2" s="465">
        <v>45658</v>
      </c>
      <c r="CJ2" s="465">
        <v>45689</v>
      </c>
      <c r="CK2" s="465">
        <v>45717</v>
      </c>
      <c r="CL2" s="465">
        <v>45748</v>
      </c>
      <c r="CM2" s="465">
        <v>45778</v>
      </c>
      <c r="CN2" s="465">
        <v>45809</v>
      </c>
      <c r="CO2" s="465">
        <v>45839</v>
      </c>
      <c r="CP2" s="465">
        <v>45870</v>
      </c>
      <c r="CQ2" s="465">
        <v>45901</v>
      </c>
      <c r="CR2" s="465">
        <v>45931</v>
      </c>
      <c r="CS2" s="465">
        <v>45962</v>
      </c>
      <c r="CT2" s="465">
        <v>45992</v>
      </c>
      <c r="CU2" s="465">
        <v>46023</v>
      </c>
      <c r="CV2" s="465">
        <v>46054</v>
      </c>
      <c r="CW2" s="776"/>
      <c r="CX2" s="465">
        <v>46054</v>
      </c>
      <c r="CY2" s="465">
        <v>45689</v>
      </c>
      <c r="CZ2" s="369" t="s">
        <v>909</v>
      </c>
      <c r="DA2" s="90" t="s">
        <v>909</v>
      </c>
      <c r="DB2" s="459" t="s">
        <v>6</v>
      </c>
    </row>
    <row r="3" spans="1:106" ht="18.75" customHeight="1" x14ac:dyDescent="0.45">
      <c r="B3" s="77"/>
      <c r="C3" s="703" t="s">
        <v>7</v>
      </c>
      <c r="D3" s="703" t="s">
        <v>7</v>
      </c>
      <c r="E3" s="703" t="s">
        <v>7</v>
      </c>
      <c r="F3" s="703" t="s">
        <v>7</v>
      </c>
      <c r="G3" s="703" t="s">
        <v>7</v>
      </c>
      <c r="H3" s="703" t="s">
        <v>7</v>
      </c>
      <c r="I3" s="703" t="s">
        <v>7</v>
      </c>
      <c r="J3" s="703" t="s">
        <v>7</v>
      </c>
      <c r="K3" s="703" t="s">
        <v>7</v>
      </c>
      <c r="L3" s="703" t="s">
        <v>7</v>
      </c>
      <c r="M3" s="703" t="s">
        <v>7</v>
      </c>
      <c r="N3" s="703" t="s">
        <v>7</v>
      </c>
      <c r="O3" s="703" t="s">
        <v>7</v>
      </c>
      <c r="P3" s="703" t="s">
        <v>7</v>
      </c>
      <c r="Q3" s="703" t="s">
        <v>7</v>
      </c>
      <c r="R3" s="703" t="s">
        <v>7</v>
      </c>
      <c r="S3" s="703" t="s">
        <v>7</v>
      </c>
      <c r="T3" s="703" t="s">
        <v>7</v>
      </c>
      <c r="U3" s="703" t="s">
        <v>7</v>
      </c>
      <c r="V3" s="703" t="s">
        <v>7</v>
      </c>
      <c r="W3" s="703" t="s">
        <v>7</v>
      </c>
      <c r="X3" s="703" t="s">
        <v>7</v>
      </c>
      <c r="Y3" s="703" t="s">
        <v>7</v>
      </c>
      <c r="Z3" s="703" t="s">
        <v>7</v>
      </c>
      <c r="AA3" s="703" t="s">
        <v>7</v>
      </c>
      <c r="AB3" s="703" t="s">
        <v>7</v>
      </c>
      <c r="AC3" s="703" t="s">
        <v>7</v>
      </c>
      <c r="AD3" s="703" t="s">
        <v>7</v>
      </c>
      <c r="AE3" s="703" t="s">
        <v>7</v>
      </c>
      <c r="AF3" s="703" t="s">
        <v>7</v>
      </c>
      <c r="AG3" s="703" t="s">
        <v>7</v>
      </c>
      <c r="AH3" s="703" t="s">
        <v>7</v>
      </c>
      <c r="AI3" s="703" t="s">
        <v>7</v>
      </c>
      <c r="AJ3" s="703" t="s">
        <v>7</v>
      </c>
      <c r="AK3" s="703" t="s">
        <v>7</v>
      </c>
      <c r="AL3" s="703" t="s">
        <v>7</v>
      </c>
      <c r="AM3" s="703" t="s">
        <v>7</v>
      </c>
      <c r="AN3" s="703" t="s">
        <v>7</v>
      </c>
      <c r="AO3" s="703" t="s">
        <v>7</v>
      </c>
      <c r="AP3" s="703" t="s">
        <v>7</v>
      </c>
      <c r="AQ3" s="703" t="s">
        <v>7</v>
      </c>
      <c r="AR3" s="703" t="s">
        <v>7</v>
      </c>
      <c r="AS3" s="703" t="s">
        <v>7</v>
      </c>
      <c r="AT3" s="703" t="s">
        <v>7</v>
      </c>
      <c r="AU3" s="703" t="s">
        <v>7</v>
      </c>
      <c r="AV3" s="703" t="s">
        <v>7</v>
      </c>
      <c r="AW3" s="703" t="s">
        <v>7</v>
      </c>
      <c r="AX3" s="703" t="s">
        <v>7</v>
      </c>
      <c r="AY3" s="703" t="s">
        <v>7</v>
      </c>
      <c r="AZ3" s="703" t="s">
        <v>7</v>
      </c>
      <c r="BA3" s="703" t="s">
        <v>7</v>
      </c>
      <c r="BB3" s="703" t="s">
        <v>7</v>
      </c>
      <c r="BC3" s="703" t="s">
        <v>7</v>
      </c>
      <c r="BD3" s="703" t="s">
        <v>7</v>
      </c>
      <c r="BE3" s="703" t="s">
        <v>7</v>
      </c>
      <c r="BF3" s="703" t="s">
        <v>7</v>
      </c>
      <c r="BG3" s="703" t="s">
        <v>7</v>
      </c>
      <c r="BH3" s="703" t="s">
        <v>7</v>
      </c>
      <c r="BI3" s="703" t="s">
        <v>7</v>
      </c>
      <c r="BJ3" s="703" t="s">
        <v>7</v>
      </c>
      <c r="BK3" s="703" t="s">
        <v>7</v>
      </c>
      <c r="BL3" s="703" t="s">
        <v>7</v>
      </c>
      <c r="BM3" s="703" t="s">
        <v>7</v>
      </c>
      <c r="BN3" s="703" t="s">
        <v>7</v>
      </c>
      <c r="BO3" s="703" t="s">
        <v>7</v>
      </c>
      <c r="BP3" s="703" t="s">
        <v>7</v>
      </c>
      <c r="BQ3" s="703" t="s">
        <v>7</v>
      </c>
      <c r="BR3" s="703" t="s">
        <v>7</v>
      </c>
      <c r="BS3" s="703" t="s">
        <v>7</v>
      </c>
      <c r="BT3" s="703" t="s">
        <v>7</v>
      </c>
      <c r="BU3" s="703" t="s">
        <v>7</v>
      </c>
      <c r="BV3" s="703" t="s">
        <v>7</v>
      </c>
      <c r="BW3" s="703" t="s">
        <v>7</v>
      </c>
      <c r="BX3" s="703" t="s">
        <v>7</v>
      </c>
      <c r="BY3" s="703" t="s">
        <v>7</v>
      </c>
      <c r="BZ3" s="703" t="s">
        <v>7</v>
      </c>
      <c r="CA3" s="703" t="s">
        <v>7</v>
      </c>
      <c r="CB3" s="703" t="s">
        <v>7</v>
      </c>
      <c r="CC3" s="703" t="s">
        <v>7</v>
      </c>
      <c r="CD3" s="703" t="s">
        <v>7</v>
      </c>
      <c r="CE3" s="703" t="s">
        <v>7</v>
      </c>
      <c r="CF3" s="703" t="s">
        <v>7</v>
      </c>
      <c r="CG3" s="703" t="s">
        <v>7</v>
      </c>
      <c r="CH3" s="703" t="s">
        <v>7</v>
      </c>
      <c r="CI3" s="703" t="s">
        <v>7</v>
      </c>
      <c r="CJ3" s="703" t="s">
        <v>7</v>
      </c>
      <c r="CK3" s="703" t="s">
        <v>7</v>
      </c>
      <c r="CL3" s="703" t="s">
        <v>7</v>
      </c>
      <c r="CM3" s="703" t="s">
        <v>7</v>
      </c>
      <c r="CN3" s="703" t="s">
        <v>7</v>
      </c>
      <c r="CO3" s="703" t="s">
        <v>7</v>
      </c>
      <c r="CP3" s="703" t="s">
        <v>7</v>
      </c>
      <c r="CQ3" s="703" t="s">
        <v>7</v>
      </c>
      <c r="CR3" s="703" t="s">
        <v>7</v>
      </c>
      <c r="CS3" s="703" t="s">
        <v>7</v>
      </c>
      <c r="CT3" s="703" t="s">
        <v>7</v>
      </c>
      <c r="CU3" s="703" t="s">
        <v>7</v>
      </c>
      <c r="CV3" s="703" t="s">
        <v>7</v>
      </c>
      <c r="CW3" s="777"/>
      <c r="CX3" s="703" t="s">
        <v>8</v>
      </c>
      <c r="CY3" s="703" t="s">
        <v>7</v>
      </c>
      <c r="CZ3" s="66" t="s">
        <v>7</v>
      </c>
      <c r="DA3" s="66" t="s">
        <v>8</v>
      </c>
      <c r="DB3" s="460" t="s">
        <v>7</v>
      </c>
    </row>
    <row r="4" spans="1:106" ht="14.5" x14ac:dyDescent="0.35">
      <c r="B4" s="78"/>
      <c r="CV4" s="453"/>
      <c r="CZ4" s="91"/>
      <c r="DB4" s="279"/>
    </row>
    <row r="5" spans="1:106" ht="14.5" x14ac:dyDescent="0.35">
      <c r="B5" s="98" t="s">
        <v>9</v>
      </c>
      <c r="C5" s="92">
        <f>'Financial statements'!BR7</f>
        <v>651796</v>
      </c>
      <c r="D5" s="92">
        <f>'Financial statements'!BS7</f>
        <v>641723</v>
      </c>
      <c r="E5" s="92">
        <f>'Financial statements'!BT7</f>
        <v>631570</v>
      </c>
      <c r="F5" s="92">
        <f>'Financial statements'!BU7</f>
        <v>642402</v>
      </c>
      <c r="G5" s="92">
        <f>'Financial statements'!BV7</f>
        <v>652594</v>
      </c>
      <c r="H5" s="92">
        <f>'Financial statements'!BW7</f>
        <v>678176</v>
      </c>
      <c r="I5" s="92">
        <f>'Financial statements'!BX7</f>
        <v>749078</v>
      </c>
      <c r="J5" s="92">
        <f>'Financial statements'!BY7</f>
        <v>761402</v>
      </c>
      <c r="K5" s="92">
        <f>'Financial statements'!BZ7</f>
        <v>759648</v>
      </c>
      <c r="L5" s="92">
        <f>'Financial statements'!CA7</f>
        <v>774937</v>
      </c>
      <c r="M5" s="92">
        <f>'Financial statements'!CB7</f>
        <v>797087</v>
      </c>
      <c r="N5" s="92">
        <f>'Financial statements'!CC7</f>
        <v>822029</v>
      </c>
      <c r="O5" s="92">
        <f>'Financial statements'!CD7</f>
        <v>825328</v>
      </c>
      <c r="P5" s="92">
        <f>'Financial statements'!CE7</f>
        <v>826846</v>
      </c>
      <c r="Q5" s="92">
        <f>'Financial statements'!CF7</f>
        <v>850839</v>
      </c>
      <c r="R5" s="92">
        <f>'Financial statements'!CG7</f>
        <v>879601</v>
      </c>
      <c r="S5" s="92">
        <f>'Financial statements'!CH7</f>
        <v>883292</v>
      </c>
      <c r="T5" s="92">
        <f>'Financial statements'!CI7</f>
        <v>889747</v>
      </c>
      <c r="U5" s="92">
        <f>'Financial statements'!CJ7</f>
        <v>932124</v>
      </c>
      <c r="V5" s="92">
        <f>'Financial statements'!CK7</f>
        <v>948245</v>
      </c>
      <c r="W5" s="92">
        <f>'Financial statements'!CL7</f>
        <v>982191</v>
      </c>
      <c r="X5" s="92">
        <f>'Financial statements'!CM7</f>
        <v>1003575</v>
      </c>
      <c r="Y5" s="92">
        <f>'Financial statements'!CN7</f>
        <v>1050522</v>
      </c>
      <c r="Z5" s="92">
        <f>'Financial statements'!CO7</f>
        <v>1065457</v>
      </c>
      <c r="AA5" s="92">
        <f>'Financial statements'!CP7</f>
        <v>1067087</v>
      </c>
      <c r="AB5" s="92">
        <f>'Financial statements'!CQ7</f>
        <v>1078237</v>
      </c>
      <c r="AC5" s="92">
        <f>'Financial statements'!CR7</f>
        <v>1082012</v>
      </c>
      <c r="AD5" s="92">
        <f>'Financial statements'!CS7</f>
        <v>1063341</v>
      </c>
      <c r="AE5" s="92">
        <f>'Financial statements'!CT7</f>
        <v>1032987</v>
      </c>
      <c r="AF5" s="92">
        <f>'Financial statements'!CU7</f>
        <v>1030216</v>
      </c>
      <c r="AG5" s="92">
        <f>'Financial statements'!CV7</f>
        <v>1044271</v>
      </c>
      <c r="AH5" s="92">
        <f>'Financial statements'!CW7</f>
        <v>1034501.23</v>
      </c>
      <c r="AI5" s="92">
        <f>'Financial statements'!CX7</f>
        <v>1050892.7400000002</v>
      </c>
      <c r="AJ5" s="92">
        <f>'Financial statements'!CY7</f>
        <v>1055268.57</v>
      </c>
      <c r="AK5" s="92">
        <f>'Financial statements'!CZ7</f>
        <v>1066025.1300000001</v>
      </c>
      <c r="AL5" s="92">
        <f>'Financial statements'!DA7</f>
        <v>1058216.1599999999</v>
      </c>
      <c r="AM5" s="92">
        <f>'Financial statements'!DB7</f>
        <v>1082826.51</v>
      </c>
      <c r="AN5" s="92">
        <f>'Financial statements'!DC7</f>
        <v>1089809.2199999997</v>
      </c>
      <c r="AO5" s="92">
        <f>'Financial statements'!DD7</f>
        <v>1112828.51</v>
      </c>
      <c r="AP5" s="92">
        <f>'Financial statements'!DE7</f>
        <v>1193927.07</v>
      </c>
      <c r="AQ5" s="92">
        <f>'Financial statements'!DF7</f>
        <v>1174221.9100000001</v>
      </c>
      <c r="AR5" s="92">
        <f>'Financial statements'!DG7</f>
        <v>1230326.3999999999</v>
      </c>
      <c r="AS5" s="92">
        <f>'Financial statements'!DH7</f>
        <v>1272166.24</v>
      </c>
      <c r="AT5" s="92">
        <f>'Financial statements'!DI7</f>
        <v>1385697.3499999999</v>
      </c>
      <c r="AU5" s="92">
        <f>'Financial statements'!DJ7</f>
        <v>1382128.6400000001</v>
      </c>
      <c r="AV5" s="92">
        <f>'Financial statements'!DK7</f>
        <v>1438639.47</v>
      </c>
      <c r="AW5" s="92">
        <f>'Financial statements'!DL7</f>
        <v>1453159.4899999998</v>
      </c>
      <c r="AX5" s="92">
        <f>'Financial statements'!DM7</f>
        <v>1420992.9500000002</v>
      </c>
      <c r="AY5" s="92">
        <f>'Financial statements'!DN7</f>
        <v>1430084.24</v>
      </c>
      <c r="AZ5" s="92">
        <f>'Financial statements'!DO7</f>
        <v>1435938.09</v>
      </c>
      <c r="BA5" s="92">
        <f>'Financial statements'!DP7</f>
        <v>1458027.67</v>
      </c>
      <c r="BB5" s="92">
        <f>'Financial statements'!DQ7</f>
        <v>1574785.87</v>
      </c>
      <c r="BC5" s="92">
        <f>'Financial statements'!DR7</f>
        <v>1608150.46</v>
      </c>
      <c r="BD5" s="92">
        <f>'Financial statements'!DS7</f>
        <v>1653202.3499999999</v>
      </c>
      <c r="BE5" s="92">
        <f>'Financial statements'!DT7</f>
        <v>1686256.8938278228</v>
      </c>
      <c r="BF5" s="92">
        <f>'Financial statements'!DU7</f>
        <v>1670379.1563816885</v>
      </c>
      <c r="BG5" s="92">
        <f>'Financial statements'!DV7</f>
        <v>1783598.1900000002</v>
      </c>
      <c r="BH5" s="92">
        <f>'Financial statements'!DW7</f>
        <v>1782606.8386712656</v>
      </c>
      <c r="BI5" s="92">
        <f>'Financial statements'!DX7</f>
        <v>1898032.18</v>
      </c>
      <c r="BJ5" s="92">
        <f>'Financial statements'!DY7</f>
        <v>1860888.9700000002</v>
      </c>
      <c r="BK5" s="92">
        <f>'Financial statements'!DZ7</f>
        <v>1779915.22</v>
      </c>
      <c r="BL5" s="92">
        <f>'Financial statements'!EA7</f>
        <v>1806109.9800000002</v>
      </c>
      <c r="BM5" s="92">
        <f>'Financial statements'!EB7</f>
        <v>1843709.2999999998</v>
      </c>
      <c r="BN5" s="92">
        <f>'Financial statements'!EC7</f>
        <v>1827965.68</v>
      </c>
      <c r="BO5" s="92">
        <f>'Financial statements'!ED7</f>
        <v>1776744.8400000003</v>
      </c>
      <c r="BP5" s="92">
        <f>'Financial statements'!EE7</f>
        <v>1841591.6700000002</v>
      </c>
      <c r="BQ5" s="92">
        <f>'Financial statements'!EF7</f>
        <v>1851580.9428821199</v>
      </c>
      <c r="BR5" s="92">
        <f>'Financial statements'!EG7</f>
        <v>1841623.0926650804</v>
      </c>
      <c r="BS5" s="92">
        <f>'Financial statements'!EH7</f>
        <v>1890918.3921165923</v>
      </c>
      <c r="BT5" s="92">
        <f>'Financial statements'!EI7</f>
        <v>1845701.8326682157</v>
      </c>
      <c r="BU5" s="92">
        <f>'Financial statements'!EJ7</f>
        <v>1884822.5057636816</v>
      </c>
      <c r="BV5" s="92">
        <f>'Financial statements'!EK7</f>
        <v>1931596.8621278368</v>
      </c>
      <c r="BW5" s="92">
        <f>'Financial statements'!EL7</f>
        <v>1868668.531807421</v>
      </c>
      <c r="BX5" s="92">
        <f>'Financial statements'!EM7</f>
        <v>1942526.0756145197</v>
      </c>
      <c r="BY5" s="92">
        <f>'Financial statements'!EN7</f>
        <v>1996359.0641951333</v>
      </c>
      <c r="BZ5" s="92">
        <f>'Financial statements'!EO7</f>
        <v>1955878.3053217193</v>
      </c>
      <c r="CA5" s="92">
        <f>'Financial statements'!EP7</f>
        <v>1925178.5336592188</v>
      </c>
      <c r="CB5" s="92">
        <f>'Financial statements'!EQ7</f>
        <v>1896554.8667337995</v>
      </c>
      <c r="CC5" s="92">
        <f>'Financial statements'!ER7</f>
        <v>1892327.6024919562</v>
      </c>
      <c r="CD5" s="92">
        <f>'Financial statements'!ES7</f>
        <v>1897669.6669848838</v>
      </c>
      <c r="CE5" s="92">
        <f>'Financial statements'!ET7</f>
        <v>1869970.9087357074</v>
      </c>
      <c r="CF5" s="92">
        <f>'Financial statements'!EU7</f>
        <v>1903531.7264247811</v>
      </c>
      <c r="CG5" s="92">
        <f>'Financial statements'!EV7</f>
        <v>1909338.7024748311</v>
      </c>
      <c r="CH5" s="92">
        <f>'Financial statements'!EW7</f>
        <v>1852023.4700000002</v>
      </c>
      <c r="CI5" s="92">
        <f>'Financial statements'!EX7</f>
        <v>1881547.8484484642</v>
      </c>
      <c r="CJ5" s="92">
        <f>'Financial statements'!EY7</f>
        <v>1913349.2975073569</v>
      </c>
      <c r="CK5" s="92">
        <f>'Financial statements'!EZ7</f>
        <v>1826071.4475611453</v>
      </c>
      <c r="CL5" s="92">
        <f>'Financial statements'!FA7</f>
        <v>1890987.3429472924</v>
      </c>
      <c r="CM5" s="92">
        <f>'Financial statements'!FB7</f>
        <v>1835211.2758455961</v>
      </c>
      <c r="CN5" s="92">
        <f>'Financial statements'!FC7</f>
        <v>1900592.3501802501</v>
      </c>
      <c r="CO5" s="92">
        <f>'Financial statements'!FD7</f>
        <v>1937479.9832092782</v>
      </c>
      <c r="CP5" s="92">
        <f>'Financial statements'!FE7</f>
        <v>1996687.4710665098</v>
      </c>
      <c r="CQ5" s="92">
        <f>'Financial statements'!FF7</f>
        <v>2106497.5033751084</v>
      </c>
      <c r="CR5" s="92">
        <f>'Financial statements'!FG7</f>
        <v>2081008.8146467723</v>
      </c>
      <c r="CS5" s="92">
        <f>'Financial statements'!FH7</f>
        <v>2102511.7807019693</v>
      </c>
      <c r="CT5" s="92">
        <f>'Financial statements'!FI7</f>
        <v>2137098.331499707</v>
      </c>
      <c r="CU5" s="92">
        <f>'Financial statements'!FJ7</f>
        <v>2066378.5423958695</v>
      </c>
      <c r="CV5" s="664">
        <f>'Financial statements'!FK7</f>
        <v>2031706.1526797554</v>
      </c>
      <c r="CW5" s="92"/>
      <c r="CX5" s="92">
        <f>'Financial plan'!EZ8</f>
        <v>2134808.7034660517</v>
      </c>
      <c r="CY5" s="92">
        <f>CJ5</f>
        <v>1913349.2975073569</v>
      </c>
      <c r="CZ5" s="704">
        <f>'Financial statements'!$P7</f>
        <v>4098084.6950756246</v>
      </c>
      <c r="DA5" s="92">
        <f>SUM('Financial plan'!$EY8:EZ8)</f>
        <v>4269617.4069321034</v>
      </c>
      <c r="DB5" s="507">
        <f>SUM($CI5:CJ5)</f>
        <v>3794897.145955821</v>
      </c>
    </row>
    <row r="6" spans="1:106" ht="14.5" x14ac:dyDescent="0.35">
      <c r="B6" s="98" t="s">
        <v>10</v>
      </c>
      <c r="C6" s="92">
        <f>'Financial statements'!BR13</f>
        <v>9430</v>
      </c>
      <c r="D6" s="92">
        <f>'Financial statements'!BS13</f>
        <v>48105</v>
      </c>
      <c r="E6" s="92">
        <f>'Financial statements'!BT13</f>
        <v>71213</v>
      </c>
      <c r="F6" s="92">
        <f>'Financial statements'!BU13</f>
        <v>157072</v>
      </c>
      <c r="G6" s="92">
        <f>'Financial statements'!BV13</f>
        <v>48958</v>
      </c>
      <c r="H6" s="92">
        <f>'Financial statements'!BW13</f>
        <v>34054</v>
      </c>
      <c r="I6" s="92">
        <f>'Financial statements'!BX13</f>
        <v>140299</v>
      </c>
      <c r="J6" s="92">
        <f>'Financial statements'!BY13</f>
        <v>20342</v>
      </c>
      <c r="K6" s="92">
        <f>'Financial statements'!BZ13</f>
        <v>39337</v>
      </c>
      <c r="L6" s="92">
        <f>'Financial statements'!CA13</f>
        <v>128471</v>
      </c>
      <c r="M6" s="92">
        <f>'Financial statements'!CB13</f>
        <v>16346</v>
      </c>
      <c r="N6" s="92">
        <f>'Financial statements'!CC13</f>
        <v>274464</v>
      </c>
      <c r="O6" s="92">
        <f>'Financial statements'!CD13</f>
        <v>129508</v>
      </c>
      <c r="P6" s="92">
        <f>'Financial statements'!CE13</f>
        <v>13152</v>
      </c>
      <c r="Q6" s="92">
        <f>'Financial statements'!CF13</f>
        <v>133985</v>
      </c>
      <c r="R6" s="92">
        <f>'Financial statements'!CG13</f>
        <v>264786</v>
      </c>
      <c r="S6" s="92">
        <f>'Financial statements'!CH13</f>
        <v>18236</v>
      </c>
      <c r="T6" s="92">
        <f>'Financial statements'!CI13</f>
        <v>14546</v>
      </c>
      <c r="U6" s="92">
        <f>'Financial statements'!CJ13</f>
        <v>93059</v>
      </c>
      <c r="V6" s="92">
        <f>'Financial statements'!CK13</f>
        <v>68613</v>
      </c>
      <c r="W6" s="92">
        <f>'Financial statements'!CL13</f>
        <v>205313</v>
      </c>
      <c r="X6" s="92">
        <f>'Financial statements'!CM13</f>
        <v>62214</v>
      </c>
      <c r="Y6" s="92">
        <f>'Financial statements'!CN13</f>
        <v>133730</v>
      </c>
      <c r="Z6" s="92">
        <f>'Financial statements'!CO13</f>
        <v>105297</v>
      </c>
      <c r="AA6" s="92">
        <f>'Financial statements'!CP13</f>
        <v>303450</v>
      </c>
      <c r="AB6" s="92">
        <f>'Financial statements'!CQ13</f>
        <v>32485</v>
      </c>
      <c r="AC6" s="92">
        <f>'Financial statements'!CR13</f>
        <v>121618</v>
      </c>
      <c r="AD6" s="92">
        <f>'Financial statements'!CS13</f>
        <v>116168</v>
      </c>
      <c r="AE6" s="92">
        <f>'Financial statements'!CT13</f>
        <v>330962</v>
      </c>
      <c r="AF6" s="92">
        <f>'Financial statements'!CU13</f>
        <v>243301</v>
      </c>
      <c r="AG6" s="92">
        <f>'Financial statements'!CV13</f>
        <v>27193</v>
      </c>
      <c r="AH6" s="92">
        <f>'Financial statements'!CW13</f>
        <v>2790.5</v>
      </c>
      <c r="AI6" s="92">
        <f>'Financial statements'!CX13</f>
        <v>229528.77999999997</v>
      </c>
      <c r="AJ6" s="92">
        <f>'Financial statements'!CY13</f>
        <v>150115.16999999998</v>
      </c>
      <c r="AK6" s="92">
        <f>'Financial statements'!CZ13</f>
        <v>30356.829999999998</v>
      </c>
      <c r="AL6" s="92">
        <f>'Financial statements'!DA13</f>
        <v>29724.58</v>
      </c>
      <c r="AM6" s="92">
        <f>'Financial statements'!DB13</f>
        <v>183477.43</v>
      </c>
      <c r="AN6" s="92">
        <f>'Financial statements'!DC13</f>
        <v>35596.380000000005</v>
      </c>
      <c r="AO6" s="92">
        <f>'Financial statements'!DD13</f>
        <v>13588.3</v>
      </c>
      <c r="AP6" s="92">
        <f>'Financial statements'!DE13</f>
        <v>12172.140000000001</v>
      </c>
      <c r="AQ6" s="92">
        <f>'Financial statements'!DF13</f>
        <v>27121.33</v>
      </c>
      <c r="AR6" s="92">
        <f>'Financial statements'!DG13</f>
        <v>269929.16000000003</v>
      </c>
      <c r="AS6" s="92">
        <f>'Financial statements'!DH13</f>
        <v>244135.2</v>
      </c>
      <c r="AT6" s="92">
        <f>'Financial statements'!DI13</f>
        <v>128273.84999999999</v>
      </c>
      <c r="AU6" s="92">
        <f>'Financial statements'!DJ13</f>
        <v>40694.989999999991</v>
      </c>
      <c r="AV6" s="92">
        <f>'Financial statements'!DK13</f>
        <v>27195.899999999998</v>
      </c>
      <c r="AW6" s="92">
        <f>'Financial statements'!DL13</f>
        <v>24129.559999999998</v>
      </c>
      <c r="AX6" s="92">
        <f>'Financial statements'!DM13</f>
        <v>105872.31000000001</v>
      </c>
      <c r="AY6" s="92">
        <f>'Financial statements'!DN13</f>
        <v>35574.360000000008</v>
      </c>
      <c r="AZ6" s="92">
        <f>'Financial statements'!DO13</f>
        <v>14132.3</v>
      </c>
      <c r="BA6" s="92">
        <f>'Financial statements'!DP13</f>
        <v>191438.86</v>
      </c>
      <c r="BB6" s="92">
        <f>'Financial statements'!DQ13</f>
        <v>138850.63</v>
      </c>
      <c r="BC6" s="92">
        <f>'Financial statements'!DR13</f>
        <v>162944.53</v>
      </c>
      <c r="BD6" s="92">
        <f>'Financial statements'!DS13</f>
        <v>11860.850000000002</v>
      </c>
      <c r="BE6" s="92">
        <f>'Financial statements'!DT13</f>
        <v>25840.52</v>
      </c>
      <c r="BF6" s="92">
        <f>'Financial statements'!DU13</f>
        <v>147417.40034288398</v>
      </c>
      <c r="BG6" s="92">
        <f>'Financial statements'!DV13</f>
        <v>305002.98</v>
      </c>
      <c r="BH6" s="92">
        <f>'Financial statements'!DW13</f>
        <v>14502.12</v>
      </c>
      <c r="BI6" s="92">
        <f>'Financial statements'!DX13</f>
        <v>50499</v>
      </c>
      <c r="BJ6" s="92">
        <f>'Financial statements'!DY13</f>
        <v>319049.96000000002</v>
      </c>
      <c r="BK6" s="92">
        <f>'Financial statements'!DZ13</f>
        <v>23688.560000000001</v>
      </c>
      <c r="BL6" s="92">
        <f>'Financial statements'!EA13</f>
        <v>5833.56</v>
      </c>
      <c r="BM6" s="92">
        <f>'Financial statements'!EB13</f>
        <v>178959.59</v>
      </c>
      <c r="BN6" s="92">
        <f>'Financial statements'!EC13</f>
        <v>63193.340000000004</v>
      </c>
      <c r="BO6" s="92">
        <f>'Financial statements'!ED13</f>
        <v>64965.840000000004</v>
      </c>
      <c r="BP6" s="92">
        <f>'Financial statements'!EE13</f>
        <v>156924.16</v>
      </c>
      <c r="BQ6" s="92">
        <f>'Financial statements'!EF13</f>
        <v>132446.08632946899</v>
      </c>
      <c r="BR6" s="92">
        <f>'Financial statements'!EG13</f>
        <v>81073.888383301295</v>
      </c>
      <c r="BS6" s="92">
        <f>'Financial statements'!EH13</f>
        <v>12750.71468859481</v>
      </c>
      <c r="BT6" s="92">
        <f>'Financial statements'!EI13</f>
        <v>152529.23079883761</v>
      </c>
      <c r="BU6" s="92">
        <f>'Financial statements'!EJ13</f>
        <v>126874.81</v>
      </c>
      <c r="BV6" s="92">
        <f>'Financial statements'!EK13</f>
        <v>100845.81917281603</v>
      </c>
      <c r="BW6" s="92">
        <f>'Financial statements'!EL13</f>
        <v>18673.03346852729</v>
      </c>
      <c r="BX6" s="92">
        <f>'Financial statements'!EM13</f>
        <v>44687.518270776447</v>
      </c>
      <c r="BY6" s="92">
        <f>'Financial statements'!EN13</f>
        <v>178409.02025384404</v>
      </c>
      <c r="BZ6" s="92">
        <f>'Financial statements'!EO13</f>
        <v>16172.263638094284</v>
      </c>
      <c r="CA6" s="92">
        <f>'Financial statements'!EP13</f>
        <v>116334.87117723575</v>
      </c>
      <c r="CB6" s="92">
        <f>'Financial statements'!EQ13</f>
        <v>137787.80450866566</v>
      </c>
      <c r="CC6" s="92">
        <f>'Financial statements'!ER13</f>
        <v>26635.97989926493</v>
      </c>
      <c r="CD6" s="92">
        <f>'Financial statements'!ES13</f>
        <v>66614.784243940914</v>
      </c>
      <c r="CE6" s="92">
        <f>'Financial statements'!ET13</f>
        <v>18416.629801766729</v>
      </c>
      <c r="CF6" s="92">
        <f>'Financial statements'!EU13</f>
        <v>33514.746511020858</v>
      </c>
      <c r="CG6" s="92">
        <f>'Financial statements'!EV13</f>
        <v>98079.36045981459</v>
      </c>
      <c r="CH6" s="92">
        <f>'Financial statements'!EW13</f>
        <v>7404.38</v>
      </c>
      <c r="CI6" s="92">
        <f>'Financial statements'!EX13</f>
        <v>5699.8504705578835</v>
      </c>
      <c r="CJ6" s="92">
        <f>'Financial statements'!EY13</f>
        <v>171809.87969621865</v>
      </c>
      <c r="CK6" s="92">
        <f>'Financial statements'!EZ13</f>
        <v>8086.7601906129703</v>
      </c>
      <c r="CL6" s="92">
        <f>'Financial statements'!FA13</f>
        <v>54512.492339246404</v>
      </c>
      <c r="CM6" s="92">
        <f>'Financial statements'!FB13</f>
        <v>176384.01737645015</v>
      </c>
      <c r="CN6" s="92">
        <f>'Financial statements'!FC13</f>
        <v>10722.342514336144</v>
      </c>
      <c r="CO6" s="92">
        <f>'Financial statements'!FD13</f>
        <v>194362.89863010039</v>
      </c>
      <c r="CP6" s="92">
        <f>'Financial statements'!FE13</f>
        <v>140511.82507441723</v>
      </c>
      <c r="CQ6" s="92">
        <f>'Financial statements'!FF13</f>
        <v>245111.97533011273</v>
      </c>
      <c r="CR6" s="92">
        <f>'Financial statements'!FG13</f>
        <v>22686.994839101455</v>
      </c>
      <c r="CS6" s="92">
        <f>'Financial statements'!FH13</f>
        <v>5096.3656600826353</v>
      </c>
      <c r="CT6" s="92">
        <f>'Financial statements'!FI13</f>
        <v>119666.10227201568</v>
      </c>
      <c r="CU6" s="92">
        <f>'Financial statements'!FJ13</f>
        <v>35492.031354356201</v>
      </c>
      <c r="CV6" s="664">
        <f>'Financial statements'!FK13</f>
        <v>5967.9227934148321</v>
      </c>
      <c r="CW6" s="92"/>
      <c r="CX6" s="92">
        <f>'Financial plan'!EZ18</f>
        <v>94532.828282828283</v>
      </c>
      <c r="CY6" s="92">
        <f>CJ6</f>
        <v>171809.87969621865</v>
      </c>
      <c r="CZ6" s="704">
        <f>'Financial statements'!$P13</f>
        <v>35492.031354356201</v>
      </c>
      <c r="DA6" s="92">
        <f>SUM('Financial plan'!$EY18:EZ18)</f>
        <v>189065.65656565657</v>
      </c>
      <c r="DB6" s="507">
        <f>SUM($CI6:CJ6)</f>
        <v>177509.73016677654</v>
      </c>
    </row>
    <row r="7" spans="1:106" ht="14.5" x14ac:dyDescent="0.35">
      <c r="B7" s="98" t="s">
        <v>11</v>
      </c>
      <c r="C7" s="92">
        <f>'Financial statements'!BR14</f>
        <v>17364</v>
      </c>
      <c r="D7" s="92">
        <f>'Financial statements'!BS14</f>
        <v>0</v>
      </c>
      <c r="E7" s="92">
        <f>'Financial statements'!BT14</f>
        <v>8526</v>
      </c>
      <c r="F7" s="92">
        <f>'Financial statements'!BU14</f>
        <v>0</v>
      </c>
      <c r="G7" s="92">
        <f>'Financial statements'!BV14</f>
        <v>3100</v>
      </c>
      <c r="H7" s="92">
        <f>'Financial statements'!BW14</f>
        <v>0</v>
      </c>
      <c r="I7" s="92">
        <f>'Financial statements'!BX14</f>
        <v>43231</v>
      </c>
      <c r="J7" s="92">
        <f>'Financial statements'!BY14</f>
        <v>8500</v>
      </c>
      <c r="K7" s="92">
        <f>'Financial statements'!BZ14</f>
        <v>17089</v>
      </c>
      <c r="L7" s="92">
        <f>'Financial statements'!CA14</f>
        <v>27493</v>
      </c>
      <c r="M7" s="92">
        <f>'Financial statements'!CB14</f>
        <v>37878</v>
      </c>
      <c r="N7" s="92">
        <f>'Financial statements'!CC14</f>
        <v>3000</v>
      </c>
      <c r="O7" s="92">
        <f>'Financial statements'!CD14</f>
        <v>1500</v>
      </c>
      <c r="P7" s="92">
        <f>'Financial statements'!CE14</f>
        <v>16025</v>
      </c>
      <c r="Q7" s="92">
        <f>'Financial statements'!CF14</f>
        <v>0</v>
      </c>
      <c r="R7" s="92">
        <f>'Financial statements'!CG14</f>
        <v>0</v>
      </c>
      <c r="S7" s="92">
        <f>'Financial statements'!CH14</f>
        <v>288</v>
      </c>
      <c r="T7" s="92">
        <f>'Financial statements'!CI14</f>
        <v>8308</v>
      </c>
      <c r="U7" s="92">
        <f>'Financial statements'!CJ14</f>
        <v>0</v>
      </c>
      <c r="V7" s="92">
        <f>'Financial statements'!CK14</f>
        <v>10582</v>
      </c>
      <c r="W7" s="92">
        <f>'Financial statements'!CL14</f>
        <v>6858</v>
      </c>
      <c r="X7" s="92">
        <f>'Financial statements'!CM14</f>
        <v>30100</v>
      </c>
      <c r="Y7" s="92">
        <f>'Financial statements'!CN14</f>
        <v>11000</v>
      </c>
      <c r="Z7" s="92">
        <f>'Financial statements'!CO14</f>
        <v>32405</v>
      </c>
      <c r="AA7" s="92">
        <f>'Financial statements'!CP14</f>
        <v>7581</v>
      </c>
      <c r="AB7" s="92">
        <f>'Financial statements'!CQ14</f>
        <v>46547</v>
      </c>
      <c r="AC7" s="92">
        <f>'Financial statements'!CR14</f>
        <v>18152</v>
      </c>
      <c r="AD7" s="92">
        <f>'Financial statements'!CS14</f>
        <v>29327</v>
      </c>
      <c r="AE7" s="92">
        <f>'Financial statements'!CT14</f>
        <v>27211</v>
      </c>
      <c r="AF7" s="92">
        <f>'Financial statements'!CU14</f>
        <v>40649</v>
      </c>
      <c r="AG7" s="92">
        <f>'Financial statements'!CV14</f>
        <v>53633</v>
      </c>
      <c r="AH7" s="92">
        <f>'Financial statements'!CW14</f>
        <v>51256.26</v>
      </c>
      <c r="AI7" s="92">
        <f>'Financial statements'!CX14</f>
        <v>50000</v>
      </c>
      <c r="AJ7" s="92">
        <f>'Financial statements'!CY14</f>
        <v>75707.83</v>
      </c>
      <c r="AK7" s="92">
        <f>'Financial statements'!CZ14</f>
        <v>67025</v>
      </c>
      <c r="AL7" s="92">
        <f>'Financial statements'!DA14</f>
        <v>65497.17</v>
      </c>
      <c r="AM7" s="92">
        <f>'Financial statements'!DB14</f>
        <v>40000.28</v>
      </c>
      <c r="AN7" s="92">
        <f>'Financial statements'!DC14</f>
        <v>40000</v>
      </c>
      <c r="AO7" s="92">
        <f>'Financial statements'!DD14</f>
        <v>21944.07</v>
      </c>
      <c r="AP7" s="92">
        <f>'Financial statements'!DE14</f>
        <v>30182.6</v>
      </c>
      <c r="AQ7" s="92">
        <f>'Financial statements'!DF14</f>
        <v>31415.429999999993</v>
      </c>
      <c r="AR7" s="92">
        <f>'Financial statements'!DG14</f>
        <v>37348.44</v>
      </c>
      <c r="AS7" s="92">
        <f>'Financial statements'!DH14</f>
        <v>12811.89</v>
      </c>
      <c r="AT7" s="92">
        <f>'Financial statements'!DI14</f>
        <v>3986.54</v>
      </c>
      <c r="AU7" s="92">
        <f>'Financial statements'!DJ14</f>
        <v>29491.18</v>
      </c>
      <c r="AV7" s="92">
        <f>'Financial statements'!DK14</f>
        <v>7509.7800000000007</v>
      </c>
      <c r="AW7" s="92">
        <f>'Financial statements'!DL14</f>
        <v>14039.72</v>
      </c>
      <c r="AX7" s="92">
        <f>'Financial statements'!DM14</f>
        <v>50787.479999999996</v>
      </c>
      <c r="AY7" s="92">
        <f>'Financial statements'!DN14</f>
        <v>9634.4699999999993</v>
      </c>
      <c r="AZ7" s="92">
        <f>'Financial statements'!DO14</f>
        <v>10864.91</v>
      </c>
      <c r="BA7" s="92">
        <f>'Financial statements'!DP14</f>
        <v>70670.710000000006</v>
      </c>
      <c r="BB7" s="92">
        <f>'Financial statements'!DQ14</f>
        <v>49612.770000000004</v>
      </c>
      <c r="BC7" s="92">
        <f>'Financial statements'!DR14</f>
        <v>79154.94</v>
      </c>
      <c r="BD7" s="92">
        <f>'Financial statements'!DS14</f>
        <v>15679.92</v>
      </c>
      <c r="BE7" s="92">
        <f>'Financial statements'!DT14</f>
        <v>13657.19</v>
      </c>
      <c r="BF7" s="92">
        <f>'Financial statements'!DU14</f>
        <v>44891.384087392333</v>
      </c>
      <c r="BG7" s="92">
        <f>'Financial statements'!DV14</f>
        <v>108440.42</v>
      </c>
      <c r="BH7" s="92">
        <f>'Financial statements'!DW14</f>
        <v>25877.37</v>
      </c>
      <c r="BI7" s="92">
        <f>'Financial statements'!DX14</f>
        <v>72782.480000000025</v>
      </c>
      <c r="BJ7" s="92">
        <f>'Financial statements'!DY14</f>
        <v>36530.620000000068</v>
      </c>
      <c r="BK7" s="92">
        <f>'Financial statements'!DZ14</f>
        <v>27724.44</v>
      </c>
      <c r="BL7" s="92">
        <f>'Financial statements'!EA14</f>
        <v>23263.949999999997</v>
      </c>
      <c r="BM7" s="92">
        <f>'Financial statements'!EB14</f>
        <v>53921.020000000004</v>
      </c>
      <c r="BN7" s="92">
        <f>'Financial statements'!EC14</f>
        <v>23160.780000000002</v>
      </c>
      <c r="BO7" s="92">
        <f>'Financial statements'!ED14</f>
        <v>76654.2</v>
      </c>
      <c r="BP7" s="92">
        <f>'Financial statements'!EE14</f>
        <v>31986.89</v>
      </c>
      <c r="BQ7" s="92">
        <f>'Financial statements'!EF14</f>
        <v>28256.076399097899</v>
      </c>
      <c r="BR7" s="92">
        <f>'Financial statements'!EG14</f>
        <v>57130.256494266199</v>
      </c>
      <c r="BS7" s="92">
        <f>'Financial statements'!EH14</f>
        <v>134567.023558557</v>
      </c>
      <c r="BT7" s="92">
        <f>'Financial statements'!EI14</f>
        <v>80414.973440708505</v>
      </c>
      <c r="BU7" s="92">
        <f>'Financial statements'!EJ14</f>
        <v>75914.928527922617</v>
      </c>
      <c r="BV7" s="92">
        <f>'Financial statements'!EK14</f>
        <v>136825.91867372463</v>
      </c>
      <c r="BW7" s="92">
        <f>'Financial statements'!EL14</f>
        <v>76987.468477662202</v>
      </c>
      <c r="BX7" s="92">
        <f>'Financial statements'!EM14</f>
        <v>90733.980096044106</v>
      </c>
      <c r="BY7" s="92">
        <f>'Financial statements'!EN14</f>
        <v>111721.04366446906</v>
      </c>
      <c r="BZ7" s="92">
        <f>'Financial statements'!EO14</f>
        <v>29006.563421084909</v>
      </c>
      <c r="CA7" s="92">
        <f>'Financial statements'!EP14</f>
        <v>148282.30877233314</v>
      </c>
      <c r="CB7" s="92">
        <f>'Financial statements'!EQ14</f>
        <v>109735.42753294573</v>
      </c>
      <c r="CC7" s="92">
        <f>'Financial statements'!ER14</f>
        <v>104906.03151501821</v>
      </c>
      <c r="CD7" s="92">
        <f>'Financial statements'!ES14</f>
        <v>114396.4282165943</v>
      </c>
      <c r="CE7" s="92">
        <f>'Financial statements'!ET14</f>
        <v>77838.28098395963</v>
      </c>
      <c r="CF7" s="92">
        <f>'Financial statements'!EU14</f>
        <v>41890.71214129607</v>
      </c>
      <c r="CG7" s="92">
        <f>'Financial statements'!EV14</f>
        <v>28596.836943991344</v>
      </c>
      <c r="CH7" s="92">
        <f>'Financial statements'!EW14</f>
        <v>-55744.479999999996</v>
      </c>
      <c r="CI7" s="92">
        <f>'Financial statements'!EX14</f>
        <v>65568.137081245877</v>
      </c>
      <c r="CJ7" s="92">
        <f>'Financial statements'!EY14</f>
        <v>92252.940194213326</v>
      </c>
      <c r="CK7" s="92">
        <f>'Financial statements'!EZ14</f>
        <v>64041.624422856839</v>
      </c>
      <c r="CL7" s="92">
        <f>'Financial statements'!FA14</f>
        <v>51555.677591988191</v>
      </c>
      <c r="CM7" s="92">
        <f>'Financial statements'!FB14</f>
        <v>42881.246587860594</v>
      </c>
      <c r="CN7" s="92">
        <f>'Financial statements'!FC14</f>
        <v>81245.56308773483</v>
      </c>
      <c r="CO7" s="92">
        <f>'Financial statements'!FD14</f>
        <v>79485.141062565628</v>
      </c>
      <c r="CP7" s="92">
        <f>'Financial statements'!FE14</f>
        <v>84359.948019779462</v>
      </c>
      <c r="CQ7" s="92">
        <f>'Financial statements'!FF14</f>
        <v>60738.173054639185</v>
      </c>
      <c r="CR7" s="92">
        <f>'Financial statements'!FG14</f>
        <v>65842.484170359734</v>
      </c>
      <c r="CS7" s="92">
        <f>'Financial statements'!FH14</f>
        <v>83846.499089664168</v>
      </c>
      <c r="CT7" s="92">
        <f>'Financial statements'!FI14</f>
        <v>81064.430809908372</v>
      </c>
      <c r="CU7" s="92">
        <f>'Financial statements'!FJ14</f>
        <v>17700.494619689402</v>
      </c>
      <c r="CV7" s="664">
        <f>'Financial statements'!FK14</f>
        <v>10068.302031423775</v>
      </c>
      <c r="CW7" s="92"/>
      <c r="CX7" s="92">
        <f>'Financial plan'!EZ19</f>
        <v>45000</v>
      </c>
      <c r="CY7" s="92">
        <f>CJ7</f>
        <v>92252.940194213326</v>
      </c>
      <c r="CZ7" s="704">
        <f>'Financial statements'!$P14</f>
        <v>17700.494619689402</v>
      </c>
      <c r="DA7" s="92">
        <f>SUM('Financial plan'!$EY19:EZ19)</f>
        <v>90000</v>
      </c>
      <c r="DB7" s="507">
        <f>SUM($CI7:CJ7)</f>
        <v>157821.07727545919</v>
      </c>
    </row>
    <row r="8" spans="1:106" ht="14.5" x14ac:dyDescent="0.35">
      <c r="B8" s="80" t="s">
        <v>12</v>
      </c>
      <c r="C8" s="100">
        <f>'Financial statements'!BR25</f>
        <v>678590</v>
      </c>
      <c r="D8" s="100">
        <f>'Financial statements'!BS25</f>
        <v>689828</v>
      </c>
      <c r="E8" s="100">
        <f>'Financial statements'!BT25</f>
        <v>711309</v>
      </c>
      <c r="F8" s="100">
        <f>'Financial statements'!BU25</f>
        <v>799474</v>
      </c>
      <c r="G8" s="100">
        <f>'Financial statements'!BV25</f>
        <v>704652</v>
      </c>
      <c r="H8" s="100">
        <f>'Financial statements'!BW25</f>
        <v>712230</v>
      </c>
      <c r="I8" s="100">
        <f>'Financial statements'!BX25</f>
        <v>932608</v>
      </c>
      <c r="J8" s="100">
        <f>'Financial statements'!BY25</f>
        <v>790244</v>
      </c>
      <c r="K8" s="100">
        <f>'Financial statements'!BZ25</f>
        <v>816074</v>
      </c>
      <c r="L8" s="100">
        <f>'Financial statements'!CA25</f>
        <v>930901</v>
      </c>
      <c r="M8" s="100">
        <f>'Financial statements'!CB25</f>
        <v>851311</v>
      </c>
      <c r="N8" s="100">
        <f>'Financial statements'!CC25</f>
        <v>1099493</v>
      </c>
      <c r="O8" s="100">
        <f>'Financial statements'!CD25</f>
        <v>956336</v>
      </c>
      <c r="P8" s="100">
        <f>'Financial statements'!CE25</f>
        <v>856023</v>
      </c>
      <c r="Q8" s="100">
        <f>'Financial statements'!CF25</f>
        <v>984824</v>
      </c>
      <c r="R8" s="100">
        <f>'Financial statements'!CG25</f>
        <v>1144387</v>
      </c>
      <c r="S8" s="100">
        <f>'Financial statements'!CH25</f>
        <v>901816</v>
      </c>
      <c r="T8" s="100">
        <f>'Financial statements'!CI25</f>
        <v>912601</v>
      </c>
      <c r="U8" s="100">
        <f>'Financial statements'!CJ25</f>
        <v>1025183</v>
      </c>
      <c r="V8" s="100">
        <f>'Financial statements'!CK25</f>
        <v>1027440</v>
      </c>
      <c r="W8" s="100">
        <f>'Financial statements'!CL25</f>
        <v>1194362</v>
      </c>
      <c r="X8" s="100">
        <f>'Financial statements'!CM25</f>
        <v>1095889</v>
      </c>
      <c r="Y8" s="100">
        <f>'Financial statements'!CN25</f>
        <v>1195252</v>
      </c>
      <c r="Z8" s="100">
        <f>'Financial statements'!CO25</f>
        <v>1203159</v>
      </c>
      <c r="AA8" s="100">
        <f>'Financial statements'!CP25</f>
        <v>1378118</v>
      </c>
      <c r="AB8" s="100">
        <f>'Financial statements'!CQ25</f>
        <v>1157269</v>
      </c>
      <c r="AC8" s="100">
        <f>'Financial statements'!CR25</f>
        <v>1221782</v>
      </c>
      <c r="AD8" s="100">
        <f>'Financial statements'!CS25</f>
        <v>1208836</v>
      </c>
      <c r="AE8" s="100">
        <f>'Financial statements'!CT25</f>
        <v>1391160</v>
      </c>
      <c r="AF8" s="100">
        <f>'Financial statements'!CU25</f>
        <v>1314166</v>
      </c>
      <c r="AG8" s="100">
        <f>'Financial statements'!CV25</f>
        <v>1125097</v>
      </c>
      <c r="AH8" s="100">
        <f>'Financial statements'!CW25</f>
        <v>1088547.99</v>
      </c>
      <c r="AI8" s="100">
        <f>'Financial statements'!CX25</f>
        <v>1330421.5200000003</v>
      </c>
      <c r="AJ8" s="100">
        <f>'Financial statements'!CY25</f>
        <v>1281091.57</v>
      </c>
      <c r="AK8" s="100">
        <f>'Financial statements'!CZ25</f>
        <v>1163406.9600000002</v>
      </c>
      <c r="AL8" s="100">
        <f>'Financial statements'!DA25</f>
        <v>1153437.9099999999</v>
      </c>
      <c r="AM8" s="100">
        <f>'Financial statements'!DB25</f>
        <v>1306304.22</v>
      </c>
      <c r="AN8" s="100">
        <f>'Financial statements'!DC25</f>
        <v>1165405.5999999996</v>
      </c>
      <c r="AO8" s="100">
        <f>'Financial statements'!DD25</f>
        <v>1148360.8799999999</v>
      </c>
      <c r="AP8" s="100">
        <f>'Financial statements'!DE25</f>
        <v>1236281.81</v>
      </c>
      <c r="AQ8" s="100">
        <f>'Financial statements'!DF25</f>
        <v>1232758.6700000002</v>
      </c>
      <c r="AR8" s="100">
        <f>'Financial statements'!DG25</f>
        <v>1537604</v>
      </c>
      <c r="AS8" s="100">
        <f>'Financial statements'!DH25</f>
        <v>1529113.33</v>
      </c>
      <c r="AT8" s="100">
        <f>'Financial statements'!DI25</f>
        <v>1517957.7399999998</v>
      </c>
      <c r="AU8" s="100">
        <f>'Financial statements'!DJ25</f>
        <v>1452314.81</v>
      </c>
      <c r="AV8" s="100">
        <f>'Financial statements'!DK25</f>
        <v>1473345.15</v>
      </c>
      <c r="AW8" s="100">
        <f>'Financial statements'!DL25</f>
        <v>1491328.7699999998</v>
      </c>
      <c r="AX8" s="100">
        <f>'Financial statements'!DM25</f>
        <v>1577652.7400000002</v>
      </c>
      <c r="AY8" s="100">
        <f>'Financial statements'!DN25</f>
        <v>1475293.07</v>
      </c>
      <c r="AZ8" s="100">
        <f>'Financial statements'!DO25</f>
        <v>1460935.3</v>
      </c>
      <c r="BA8" s="100">
        <f>'Financial statements'!DP25</f>
        <v>1720137.24</v>
      </c>
      <c r="BB8" s="100">
        <f>'Financial statements'!DQ25</f>
        <v>1763249.27</v>
      </c>
      <c r="BC8" s="100">
        <f>'Financial statements'!DR25</f>
        <v>1850249.93</v>
      </c>
      <c r="BD8" s="100">
        <f>'Financial statements'!DS25</f>
        <v>1680743.1199999999</v>
      </c>
      <c r="BE8" s="100">
        <f>'Financial statements'!DT25</f>
        <v>1725754.6038278227</v>
      </c>
      <c r="BF8" s="100">
        <f>'Financial statements'!DU25</f>
        <v>1862687.9408119649</v>
      </c>
      <c r="BG8" s="100">
        <f>'Financial statements'!DV25</f>
        <v>2197041.5900000003</v>
      </c>
      <c r="BH8" s="100">
        <f>'Financial statements'!DW25</f>
        <v>1822986.3286712656</v>
      </c>
      <c r="BI8" s="100">
        <f>'Financial statements'!DX25</f>
        <v>2021313.66</v>
      </c>
      <c r="BJ8" s="100">
        <f>'Financial statements'!DY25</f>
        <v>2216469.5500000003</v>
      </c>
      <c r="BK8" s="100">
        <f>'Financial statements'!DZ25</f>
        <v>1831328.22</v>
      </c>
      <c r="BL8" s="100">
        <f>'Financial statements'!EA25</f>
        <v>1835207.4900000002</v>
      </c>
      <c r="BM8" s="100">
        <f>'Financial statements'!EB25</f>
        <v>2076589.9099999997</v>
      </c>
      <c r="BN8" s="100">
        <f>'Financial statements'!EC25</f>
        <v>1914319.8</v>
      </c>
      <c r="BO8" s="100">
        <f>'Financial statements'!ED25</f>
        <v>1918364.8800000004</v>
      </c>
      <c r="BP8" s="100">
        <f>'Financial statements'!EE25</f>
        <v>2030502.7200000002</v>
      </c>
      <c r="BQ8" s="100">
        <f>'Financial statements'!EF25</f>
        <v>2012283.1056106868</v>
      </c>
      <c r="BR8" s="100">
        <f>'Financial statements'!EG25</f>
        <v>1979827.2375426479</v>
      </c>
      <c r="BS8" s="100">
        <f>'Financial statements'!EH25</f>
        <v>2038236.130363744</v>
      </c>
      <c r="BT8" s="100">
        <f>'Financial statements'!EI25</f>
        <v>2078646.0369077618</v>
      </c>
      <c r="BU8" s="100">
        <f>'Financial statements'!EJ25</f>
        <v>2087612.2442916043</v>
      </c>
      <c r="BV8" s="100">
        <f>'Financial statements'!EK25</f>
        <v>2169268.5999743775</v>
      </c>
      <c r="BW8" s="100">
        <f>'Financial statements'!EL25</f>
        <v>1964329.0337536104</v>
      </c>
      <c r="BX8" s="100">
        <f>'Financial statements'!EM25</f>
        <v>2077947.5739813403</v>
      </c>
      <c r="BY8" s="100">
        <f>'Financial statements'!EN25</f>
        <v>2286489.1281134463</v>
      </c>
      <c r="BZ8" s="100">
        <f>'Financial statements'!EO25</f>
        <v>2001057.1323808986</v>
      </c>
      <c r="CA8" s="100">
        <f>'Financial statements'!EP25</f>
        <v>2189795.7136087879</v>
      </c>
      <c r="CB8" s="100">
        <f>'Financial statements'!EQ25</f>
        <v>2144078.098775411</v>
      </c>
      <c r="CC8" s="100">
        <f>'Financial statements'!ER25</f>
        <v>2023869.6139062394</v>
      </c>
      <c r="CD8" s="100">
        <f>'Financial statements'!ES25</f>
        <v>2078680.8794454192</v>
      </c>
      <c r="CE8" s="100">
        <f>'Financial statements'!ET25</f>
        <v>1966225.8195214337</v>
      </c>
      <c r="CF8" s="100">
        <f>'Financial statements'!EU25</f>
        <v>1978937.185077098</v>
      </c>
      <c r="CG8" s="100">
        <f>'Financial statements'!EV25</f>
        <v>2036014.8998786372</v>
      </c>
      <c r="CH8" s="100">
        <f>'Financial statements'!EW25</f>
        <v>1803683.37</v>
      </c>
      <c r="CI8" s="100">
        <f>'Financial statements'!EX25</f>
        <v>1952815.8360002679</v>
      </c>
      <c r="CJ8" s="100">
        <f>'Financial statements'!EY25</f>
        <v>2177412.1173977889</v>
      </c>
      <c r="CK8" s="100">
        <f>'Financial statements'!EZ25</f>
        <v>1898199.832174615</v>
      </c>
      <c r="CL8" s="100">
        <f>'Financial statements'!FA25</f>
        <v>1997055.5128785269</v>
      </c>
      <c r="CM8" s="100">
        <f>'Financial statements'!FB25</f>
        <v>2054476.5398099069</v>
      </c>
      <c r="CN8" s="100">
        <f>'Financial statements'!FC25</f>
        <v>1992560.2557823211</v>
      </c>
      <c r="CO8" s="100">
        <f>'Financial statements'!FD25</f>
        <v>2211328.0229019444</v>
      </c>
      <c r="CP8" s="100">
        <f>'Financial statements'!FE25</f>
        <v>2221559.2441607066</v>
      </c>
      <c r="CQ8" s="100">
        <f>'Financial statements'!FF25</f>
        <v>2412347.6517598601</v>
      </c>
      <c r="CR8" s="100">
        <f>'Financial statements'!FG25</f>
        <v>2169538.2936562337</v>
      </c>
      <c r="CS8" s="100">
        <f>'Financial statements'!FH25</f>
        <v>2191454.6454517161</v>
      </c>
      <c r="CT8" s="100">
        <f>'Financial statements'!FI25</f>
        <v>2337828.864581631</v>
      </c>
      <c r="CU8" s="100">
        <f>'Financial statements'!FJ25</f>
        <v>2119571.0683699152</v>
      </c>
      <c r="CV8" s="554">
        <f>'Financial statements'!FK25</f>
        <v>2047742.3775045939</v>
      </c>
      <c r="CW8" s="100"/>
      <c r="CX8" s="100">
        <f>SUM(CX5:CX7)</f>
        <v>2274341.5317488802</v>
      </c>
      <c r="CY8" s="100">
        <f>CJ8</f>
        <v>2177412.1173977889</v>
      </c>
      <c r="CZ8" s="99">
        <f>SUM(CZ5:CZ7)</f>
        <v>4151277.2210496701</v>
      </c>
      <c r="DA8" s="100">
        <f>SUM('Financial plan'!$EY21:EZ21)</f>
        <v>4548683.0634977603</v>
      </c>
      <c r="DB8" s="680">
        <f>SUM($CI8:CJ8)</f>
        <v>4130227.9533980568</v>
      </c>
    </row>
    <row r="9" spans="1:106" ht="3.75" customHeight="1" x14ac:dyDescent="0.35">
      <c r="B9" s="8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6"/>
      <c r="CH9" s="96"/>
      <c r="CI9" s="96"/>
      <c r="CJ9" s="96"/>
      <c r="CK9" s="96"/>
      <c r="CL9" s="96"/>
      <c r="CM9" s="96"/>
      <c r="CN9" s="96"/>
      <c r="CO9" s="96"/>
      <c r="CP9" s="96"/>
      <c r="CQ9" s="96"/>
      <c r="CR9" s="96"/>
      <c r="CS9" s="96"/>
      <c r="CT9" s="96"/>
      <c r="CU9" s="96"/>
      <c r="CV9" s="697"/>
      <c r="CW9" s="96"/>
      <c r="CX9" s="96"/>
      <c r="CY9" s="96"/>
      <c r="CZ9" s="97"/>
      <c r="DA9" s="96"/>
      <c r="DB9" s="507">
        <f>SUM($CI9:CJ9)</f>
        <v>0</v>
      </c>
    </row>
    <row r="10" spans="1:106" ht="14.5" x14ac:dyDescent="0.35">
      <c r="B10" s="80" t="s">
        <v>13</v>
      </c>
      <c r="C10" s="100">
        <f>'Financial statements'!BR44</f>
        <v>373435</v>
      </c>
      <c r="D10" s="100">
        <f>'Financial statements'!BS44</f>
        <v>419655</v>
      </c>
      <c r="E10" s="100">
        <f>'Financial statements'!BT44</f>
        <v>398153</v>
      </c>
      <c r="F10" s="100">
        <f>('Financial statements'!BU44)</f>
        <v>401277</v>
      </c>
      <c r="G10" s="100">
        <f>('Financial statements'!BV44)</f>
        <v>356980</v>
      </c>
      <c r="H10" s="100">
        <f>('Financial statements'!BW44)</f>
        <v>381991</v>
      </c>
      <c r="I10" s="100">
        <f>('Financial statements'!BX44)</f>
        <v>490834</v>
      </c>
      <c r="J10" s="100">
        <f>('Financial statements'!BY44)</f>
        <v>419898</v>
      </c>
      <c r="K10" s="100">
        <f>('Financial statements'!BZ44)</f>
        <v>432199</v>
      </c>
      <c r="L10" s="100">
        <f>('Financial statements'!CA44)</f>
        <v>473628</v>
      </c>
      <c r="M10" s="100">
        <f>('Financial statements'!CB44)</f>
        <v>452372</v>
      </c>
      <c r="N10" s="100">
        <f>('Financial statements'!CC44)</f>
        <v>670935</v>
      </c>
      <c r="O10" s="100">
        <f>('Financial statements'!CD44)</f>
        <v>469976</v>
      </c>
      <c r="P10" s="100">
        <f>('Financial statements'!CE44)</f>
        <v>431048</v>
      </c>
      <c r="Q10" s="100">
        <f>('Financial statements'!CF44)</f>
        <v>437395</v>
      </c>
      <c r="R10" s="100">
        <f>('Financial statements'!CG44)</f>
        <v>495941</v>
      </c>
      <c r="S10" s="100">
        <f>('Financial statements'!CH44)</f>
        <v>427155</v>
      </c>
      <c r="T10" s="100">
        <f>('Financial statements'!CI44)</f>
        <v>392329</v>
      </c>
      <c r="U10" s="100">
        <f>('Financial statements'!CJ44)</f>
        <v>466281</v>
      </c>
      <c r="V10" s="100">
        <f>('Financial statements'!CK44)</f>
        <v>460561</v>
      </c>
      <c r="W10" s="100">
        <f>('Financial statements'!CL44)</f>
        <v>537628</v>
      </c>
      <c r="X10" s="100">
        <f>('Financial statements'!CM44)</f>
        <v>537442</v>
      </c>
      <c r="Y10" s="100">
        <f>('Financial statements'!CN44)</f>
        <v>579991</v>
      </c>
      <c r="Z10" s="100">
        <f>('Financial statements'!CO44)</f>
        <v>569612</v>
      </c>
      <c r="AA10" s="100">
        <f>('Financial statements'!CP44)</f>
        <v>610509</v>
      </c>
      <c r="AB10" s="100">
        <f>('Financial statements'!CQ44)</f>
        <v>558987</v>
      </c>
      <c r="AC10" s="100">
        <f>('Financial statements'!CR44)</f>
        <v>596592</v>
      </c>
      <c r="AD10" s="100">
        <f>('Financial statements'!CS44)</f>
        <v>566238</v>
      </c>
      <c r="AE10" s="100">
        <f>('Financial statements'!CT44)</f>
        <v>607710</v>
      </c>
      <c r="AF10" s="100">
        <f>('Financial statements'!CU44)</f>
        <v>631557</v>
      </c>
      <c r="AG10" s="100">
        <f>('Financial statements'!CV44)</f>
        <v>583808</v>
      </c>
      <c r="AH10" s="100">
        <f>('Financial statements'!CW44)</f>
        <v>564664.49999999988</v>
      </c>
      <c r="AI10" s="100">
        <f>('Financial statements'!CX44)</f>
        <v>674978.78000000026</v>
      </c>
      <c r="AJ10" s="100">
        <f>('Financial statements'!CY44)</f>
        <v>660778.42999999993</v>
      </c>
      <c r="AK10" s="100">
        <f>('Financial statements'!CZ44)</f>
        <v>605153.01000000013</v>
      </c>
      <c r="AL10" s="100">
        <f>('Financial statements'!DA44)</f>
        <v>608885.27</v>
      </c>
      <c r="AM10" s="100">
        <f>('Financial statements'!DB44)</f>
        <v>665821.94000000006</v>
      </c>
      <c r="AN10" s="100">
        <f>('Financial statements'!DC44)</f>
        <v>633087.37999999966</v>
      </c>
      <c r="AO10" s="100">
        <f>('Financial statements'!DD44)</f>
        <v>580575.02999999991</v>
      </c>
      <c r="AP10" s="100">
        <f>('Financial statements'!DE44)</f>
        <v>609685.35</v>
      </c>
      <c r="AQ10" s="100">
        <f>('Financial statements'!DF44)</f>
        <v>632809.17000000016</v>
      </c>
      <c r="AR10" s="100">
        <f>('Financial statements'!DG44)</f>
        <v>722301.33999999985</v>
      </c>
      <c r="AS10" s="100">
        <f>('Financial statements'!DH44)</f>
        <v>689919.32000000007</v>
      </c>
      <c r="AT10" s="100">
        <f>('Financial statements'!DI44)</f>
        <v>704950.07000000007</v>
      </c>
      <c r="AU10" s="100">
        <f>('Financial statements'!DJ44)</f>
        <v>675555.08000000019</v>
      </c>
      <c r="AV10" s="100">
        <f>('Financial statements'!DK44)</f>
        <v>689456.12</v>
      </c>
      <c r="AW10" s="100">
        <f>('Financial statements'!DL44)</f>
        <v>715014.51999999979</v>
      </c>
      <c r="AX10" s="100">
        <f>('Financial statements'!DM44)</f>
        <v>786021.35000000009</v>
      </c>
      <c r="AY10" s="100">
        <f>('Financial statements'!DN44)</f>
        <v>728149.84</v>
      </c>
      <c r="AZ10" s="100">
        <f>('Financial statements'!DO44)</f>
        <v>719558.3</v>
      </c>
      <c r="BA10" s="100">
        <f>('Financial statements'!DP44)</f>
        <v>822564.95999999985</v>
      </c>
      <c r="BB10" s="100">
        <f>('Financial statements'!DQ44)</f>
        <v>824760.13000000024</v>
      </c>
      <c r="BC10" s="100">
        <f>('Financial statements'!DR44)</f>
        <v>875480.07999999984</v>
      </c>
      <c r="BD10" s="100">
        <f>('Financial statements'!DS44)</f>
        <v>766313.04999999993</v>
      </c>
      <c r="BE10" s="100">
        <f>('Financial statements'!DT44)</f>
        <v>745273.40382782277</v>
      </c>
      <c r="BF10" s="100">
        <f>('Financial statements'!DU44)</f>
        <v>834551.10081196495</v>
      </c>
      <c r="BG10" s="100">
        <f>('Financial statements'!DV44)</f>
        <v>970292.69000000006</v>
      </c>
      <c r="BH10" s="100">
        <f>('Financial statements'!DW44)</f>
        <v>896831.10867126565</v>
      </c>
      <c r="BI10" s="100">
        <f>('Financial statements'!DX44)</f>
        <v>993450.16999999993</v>
      </c>
      <c r="BJ10" s="100">
        <f>('Financial statements'!DY44)</f>
        <v>1119073.4700000002</v>
      </c>
      <c r="BK10" s="100">
        <f>('Financial statements'!DZ44)</f>
        <v>984782.54999999981</v>
      </c>
      <c r="BL10" s="100">
        <f>('Financial statements'!EA44)</f>
        <v>1010027.61</v>
      </c>
      <c r="BM10" s="100">
        <f>('Financial statements'!EB44)</f>
        <v>1042516.9099999999</v>
      </c>
      <c r="BN10" s="100">
        <f>('Financial statements'!EC44)</f>
        <v>1022982.2299999999</v>
      </c>
      <c r="BO10" s="100">
        <f>('Financial statements'!ED44)</f>
        <v>1019292.0000000002</v>
      </c>
      <c r="BP10" s="100">
        <f>('Financial statements'!EE44)</f>
        <v>1005042.1600000001</v>
      </c>
      <c r="BQ10" s="100">
        <f>('Financial statements'!EF44)</f>
        <v>972238.94559619587</v>
      </c>
      <c r="BR10" s="100">
        <f>('Financial statements'!EG44)</f>
        <v>991854.3605376241</v>
      </c>
      <c r="BS10" s="100">
        <f>('Financial statements'!EH44)</f>
        <v>1115852.4297234253</v>
      </c>
      <c r="BT10" s="100">
        <f>('Financial statements'!EI44)</f>
        <v>1053352.8472710522</v>
      </c>
      <c r="BU10" s="100">
        <f>('Financial statements'!EJ44)</f>
        <v>1062109.1204405173</v>
      </c>
      <c r="BV10" s="100">
        <f>('Financial statements'!EK44)</f>
        <v>1201037.6153569259</v>
      </c>
      <c r="BW10" s="100">
        <f>('Financial statements'!EL44)</f>
        <v>1069825.2725010277</v>
      </c>
      <c r="BX10" s="100">
        <f>('Financial statements'!EM44)</f>
        <v>1105013.4428368716</v>
      </c>
      <c r="BY10" s="100">
        <f>('Financial statements'!EN44)</f>
        <v>1187554.4340360342</v>
      </c>
      <c r="BZ10" s="100">
        <f>('Financial statements'!EO44)</f>
        <v>1022331.9703783437</v>
      </c>
      <c r="CA10" s="100">
        <f>('Financial statements'!EP44)</f>
        <v>1162634.822659377</v>
      </c>
      <c r="CB10" s="100">
        <f>('Financial statements'!EQ44)</f>
        <v>1093380.7802343946</v>
      </c>
      <c r="CC10" s="100">
        <f>('Financial statements'!ER44)</f>
        <v>1047901.1998445075</v>
      </c>
      <c r="CD10" s="100">
        <f>('Financial statements'!ES44)</f>
        <v>1041665.5238442954</v>
      </c>
      <c r="CE10" s="100">
        <f>('Financial statements'!ET44)</f>
        <v>946029.10719144461</v>
      </c>
      <c r="CF10" s="100">
        <f>('Financial statements'!EU44)</f>
        <v>902665.80354050966</v>
      </c>
      <c r="CG10" s="100">
        <f>('Financial statements'!EV44)</f>
        <v>978166.37868196785</v>
      </c>
      <c r="CH10" s="100">
        <f>('Financial statements'!EW44)</f>
        <v>763224.76</v>
      </c>
      <c r="CI10" s="100">
        <f>('Financial statements'!EX44)</f>
        <v>974516.82176707895</v>
      </c>
      <c r="CJ10" s="100">
        <f>('Financial statements'!EY44)</f>
        <v>1023272.3030080765</v>
      </c>
      <c r="CK10" s="100">
        <f>('Financial statements'!EZ44)</f>
        <v>945974.25767347089</v>
      </c>
      <c r="CL10" s="100">
        <f>('Financial statements'!FA44)</f>
        <v>945166.70517736126</v>
      </c>
      <c r="CM10" s="100">
        <f>('Financial statements'!FB44)</f>
        <v>942531.53390467842</v>
      </c>
      <c r="CN10" s="100">
        <f>('Financial statements'!FC44)</f>
        <v>974786.72961771581</v>
      </c>
      <c r="CO10" s="100">
        <f>('Financial statements'!FD44)</f>
        <v>1088763.5325394543</v>
      </c>
      <c r="CP10" s="100">
        <f>('Financial statements'!FE44)</f>
        <v>1066362.0493160931</v>
      </c>
      <c r="CQ10" s="100">
        <f>('Financial statements'!FF44)</f>
        <v>1138566.5901536732</v>
      </c>
      <c r="CR10" s="100">
        <f>('Financial statements'!FG44)</f>
        <v>1037609.271495498</v>
      </c>
      <c r="CS10" s="100">
        <f>('Financial statements'!FH44)</f>
        <v>1144864.602224845</v>
      </c>
      <c r="CT10" s="100">
        <f>('Financial statements'!FI44)</f>
        <v>1136512.2009796603</v>
      </c>
      <c r="CU10" s="100">
        <f>('Financial statements'!FJ44)</f>
        <v>1000133.879595144</v>
      </c>
      <c r="CV10" s="554">
        <f>('Financial statements'!FK44)</f>
        <v>1053666.9453422709</v>
      </c>
      <c r="CW10" s="100"/>
      <c r="CX10" s="100">
        <f>'Financial plan'!EZ39</f>
        <v>1102575.971683318</v>
      </c>
      <c r="CY10" s="100">
        <f>CJ10</f>
        <v>1023272.3030080765</v>
      </c>
      <c r="CZ10" s="99">
        <f>'Financial statements'!$P44</f>
        <v>1000133.879595144</v>
      </c>
      <c r="DA10" s="100">
        <f>SUM('Financial plan'!$EY39:EZ39)</f>
        <v>2205151.9433666361</v>
      </c>
      <c r="DB10" s="680">
        <f>SUM($CI10:CJ10)</f>
        <v>1997789.1247751554</v>
      </c>
    </row>
    <row r="11" spans="1:106" s="1" customFormat="1" ht="14.5" x14ac:dyDescent="0.35">
      <c r="B11" s="101"/>
      <c r="C11" s="705"/>
      <c r="D11" s="705"/>
      <c r="E11" s="705"/>
      <c r="F11" s="705"/>
      <c r="G11" s="705"/>
      <c r="H11" s="705"/>
      <c r="I11" s="705"/>
      <c r="J11" s="705"/>
      <c r="K11" s="705"/>
      <c r="L11" s="705"/>
      <c r="M11" s="705"/>
      <c r="N11" s="705"/>
      <c r="O11" s="705"/>
      <c r="P11" s="705"/>
      <c r="Q11" s="705"/>
      <c r="R11" s="705"/>
      <c r="S11" s="705"/>
      <c r="T11" s="705"/>
      <c r="U11" s="705"/>
      <c r="V11" s="705"/>
      <c r="W11" s="705"/>
      <c r="X11" s="705"/>
      <c r="Y11" s="705"/>
      <c r="Z11" s="705"/>
      <c r="AA11" s="705"/>
      <c r="AB11" s="705"/>
      <c r="AC11" s="705"/>
      <c r="AD11" s="705"/>
      <c r="AE11" s="705"/>
      <c r="AF11" s="705"/>
      <c r="AG11" s="705"/>
      <c r="AH11" s="705"/>
      <c r="AI11" s="705"/>
      <c r="AJ11" s="705"/>
      <c r="AK11" s="705"/>
      <c r="AL11" s="705"/>
      <c r="AM11" s="705"/>
      <c r="AN11" s="705"/>
      <c r="AO11" s="705"/>
      <c r="AP11" s="705"/>
      <c r="AQ11" s="705"/>
      <c r="AR11" s="705"/>
      <c r="AS11" s="705"/>
      <c r="AT11" s="705"/>
      <c r="AU11" s="705"/>
      <c r="AV11" s="705"/>
      <c r="AW11" s="705"/>
      <c r="AX11" s="705"/>
      <c r="AY11" s="705"/>
      <c r="AZ11" s="705"/>
      <c r="BA11" s="705"/>
      <c r="BB11" s="705"/>
      <c r="BC11" s="705"/>
      <c r="BD11" s="705"/>
      <c r="BE11" s="705"/>
      <c r="BF11" s="705"/>
      <c r="BG11" s="705"/>
      <c r="BH11" s="705"/>
      <c r="BI11" s="705"/>
      <c r="BJ11" s="705"/>
      <c r="BK11" s="705"/>
      <c r="BL11" s="705"/>
      <c r="BM11" s="705"/>
      <c r="BN11" s="705"/>
      <c r="BO11" s="705"/>
      <c r="BP11" s="705"/>
      <c r="BQ11" s="705"/>
      <c r="BR11" s="705"/>
      <c r="BS11" s="705"/>
      <c r="BT11" s="705"/>
      <c r="BU11" s="705"/>
      <c r="BV11" s="705"/>
      <c r="BW11" s="705"/>
      <c r="BX11" s="705"/>
      <c r="BY11" s="705"/>
      <c r="BZ11" s="705"/>
      <c r="CA11" s="705"/>
      <c r="CB11" s="705"/>
      <c r="CC11" s="705"/>
      <c r="CD11" s="705"/>
      <c r="CE11" s="705"/>
      <c r="CF11" s="705"/>
      <c r="CG11" s="705"/>
      <c r="CH11" s="705"/>
      <c r="CI11" s="705"/>
      <c r="CJ11" s="705"/>
      <c r="CK11" s="705"/>
      <c r="CL11" s="705"/>
      <c r="CM11" s="705"/>
      <c r="CN11" s="705"/>
      <c r="CO11" s="705"/>
      <c r="CP11" s="705"/>
      <c r="CQ11" s="705"/>
      <c r="CR11" s="705"/>
      <c r="CS11" s="705"/>
      <c r="CT11" s="705"/>
      <c r="CU11" s="705"/>
      <c r="CV11" s="706"/>
      <c r="CW11" s="705"/>
      <c r="CX11" s="705"/>
      <c r="CY11" s="705"/>
      <c r="CZ11" s="707"/>
      <c r="DA11" s="705"/>
      <c r="DB11" s="507"/>
    </row>
    <row r="12" spans="1:106" ht="3.75" customHeight="1" x14ac:dyDescent="0.35">
      <c r="B12" s="80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96"/>
      <c r="CP12" s="96"/>
      <c r="CQ12" s="96"/>
      <c r="CR12" s="96"/>
      <c r="CS12" s="96"/>
      <c r="CT12" s="96"/>
      <c r="CU12" s="96"/>
      <c r="CV12" s="697"/>
      <c r="CW12" s="96"/>
      <c r="CX12" s="96"/>
      <c r="CY12" s="96"/>
      <c r="CZ12" s="97"/>
      <c r="DA12" s="96"/>
      <c r="DB12" s="507">
        <f>SUM($AY12:CG12)</f>
        <v>0</v>
      </c>
    </row>
    <row r="13" spans="1:106" s="10" customFormat="1" ht="14.5" x14ac:dyDescent="0.35">
      <c r="B13" s="80" t="s">
        <v>14</v>
      </c>
      <c r="C13" s="100">
        <f>-'Financial statements'!BR59</f>
        <v>435543</v>
      </c>
      <c r="D13" s="100">
        <f>-'Financial statements'!BS59</f>
        <v>437365</v>
      </c>
      <c r="E13" s="100">
        <f>-'Financial statements'!BT59</f>
        <v>469899</v>
      </c>
      <c r="F13" s="100">
        <f>-'Financial statements'!BU59</f>
        <v>480330</v>
      </c>
      <c r="G13" s="100">
        <f>-'Financial statements'!BV59</f>
        <v>469990</v>
      </c>
      <c r="H13" s="100">
        <f>-'Financial statements'!BW59</f>
        <v>482644</v>
      </c>
      <c r="I13" s="100">
        <f>-'Financial statements'!BX59</f>
        <v>522475</v>
      </c>
      <c r="J13" s="100">
        <f>-'Financial statements'!BY59</f>
        <v>501279</v>
      </c>
      <c r="K13" s="100">
        <f>-'Financial statements'!BZ59</f>
        <v>509428</v>
      </c>
      <c r="L13" s="100">
        <f>-'Financial statements'!CA59</f>
        <v>516353</v>
      </c>
      <c r="M13" s="100">
        <f>-'Financial statements'!CB59</f>
        <v>579247</v>
      </c>
      <c r="N13" s="100">
        <f>-'Financial statements'!CC59</f>
        <v>687401</v>
      </c>
      <c r="O13" s="100">
        <f>-'Financial statements'!CD59</f>
        <v>588961</v>
      </c>
      <c r="P13" s="100">
        <f>-'Financial statements'!CE59</f>
        <v>601922</v>
      </c>
      <c r="Q13" s="100">
        <f>-'Financial statements'!CF59</f>
        <v>593382</v>
      </c>
      <c r="R13" s="100">
        <f>-'Financial statements'!CG59</f>
        <v>665035</v>
      </c>
      <c r="S13" s="100">
        <f>-'Financial statements'!CH59</f>
        <v>613279</v>
      </c>
      <c r="T13" s="100">
        <f>-'Financial statements'!CI59</f>
        <v>669319</v>
      </c>
      <c r="U13" s="100">
        <f>-'Financial statements'!CJ59</f>
        <v>673721</v>
      </c>
      <c r="V13" s="100">
        <f>-'Financial statements'!CK59</f>
        <v>646896</v>
      </c>
      <c r="W13" s="100">
        <f>-'Financial statements'!CL59</f>
        <v>642395</v>
      </c>
      <c r="X13" s="100">
        <f>-'Financial statements'!CM59</f>
        <v>664698</v>
      </c>
      <c r="Y13" s="100">
        <f>-'Financial statements'!CN59</f>
        <v>719429</v>
      </c>
      <c r="Z13" s="100">
        <f>-'Financial statements'!CO59</f>
        <v>702115</v>
      </c>
      <c r="AA13" s="100">
        <f>-'Financial statements'!CP59</f>
        <v>681080</v>
      </c>
      <c r="AB13" s="100">
        <f>-'Financial statements'!CQ59</f>
        <v>686918</v>
      </c>
      <c r="AC13" s="100">
        <f>-'Financial statements'!CR59</f>
        <v>684346</v>
      </c>
      <c r="AD13" s="100">
        <f>-'Financial statements'!CS59</f>
        <v>601196</v>
      </c>
      <c r="AE13" s="100">
        <f>-'Financial statements'!CT59</f>
        <v>590234</v>
      </c>
      <c r="AF13" s="100">
        <f>-'Financial statements'!CU59</f>
        <v>599709</v>
      </c>
      <c r="AG13" s="100">
        <f>-'Financial statements'!CV59</f>
        <v>601687</v>
      </c>
      <c r="AH13" s="100">
        <f>-'Financial statements'!CW59</f>
        <v>603406.22000000009</v>
      </c>
      <c r="AI13" s="100">
        <f>-'Financial statements'!CX59</f>
        <v>636253.1399999999</v>
      </c>
      <c r="AJ13" s="100">
        <f>-'Financial statements'!CY59</f>
        <v>704837.22999999986</v>
      </c>
      <c r="AK13" s="100">
        <f>-'Financial statements'!CZ59</f>
        <v>664414.53999999992</v>
      </c>
      <c r="AL13" s="100">
        <f>-'Financial statements'!DA59</f>
        <v>672228.29999999958</v>
      </c>
      <c r="AM13" s="100">
        <f>-'Financial statements'!DB59</f>
        <v>800596.79</v>
      </c>
      <c r="AN13" s="100">
        <f>-'Financial statements'!DC59</f>
        <v>840224.53000000014</v>
      </c>
      <c r="AO13" s="100">
        <f>-'Financial statements'!DD59</f>
        <v>807691.75999999978</v>
      </c>
      <c r="AP13" s="100">
        <f>-'Financial statements'!DE59</f>
        <v>843143.84999999986</v>
      </c>
      <c r="AQ13" s="100">
        <f>-'Financial statements'!DF59</f>
        <v>866741.04</v>
      </c>
      <c r="AR13" s="100">
        <f>-'Financial statements'!DG59</f>
        <v>934210.56000000017</v>
      </c>
      <c r="AS13" s="100">
        <f>-'Financial statements'!DH59</f>
        <v>929255.57999999984</v>
      </c>
      <c r="AT13" s="100">
        <f>-'Financial statements'!DI59</f>
        <v>975706.47999999986</v>
      </c>
      <c r="AU13" s="100">
        <f>-'Financial statements'!DJ59</f>
        <v>1000674.7099999998</v>
      </c>
      <c r="AV13" s="100">
        <f>-'Financial statements'!DK59</f>
        <v>1022582.96</v>
      </c>
      <c r="AW13" s="100">
        <f>-'Financial statements'!DL59</f>
        <v>1041662.5999999997</v>
      </c>
      <c r="AX13" s="100">
        <f>-'Financial statements'!DM59</f>
        <v>1031654.3000000002</v>
      </c>
      <c r="AY13" s="100">
        <f>-'Financial statements'!DN59</f>
        <v>1090140.29</v>
      </c>
      <c r="AZ13" s="100">
        <f>-'Financial statements'!DO59</f>
        <v>1166985.33</v>
      </c>
      <c r="BA13" s="100">
        <f>-'Financial statements'!DP59</f>
        <v>1125933.05</v>
      </c>
      <c r="BB13" s="100">
        <f>-'Financial statements'!DQ59</f>
        <v>1198738.03</v>
      </c>
      <c r="BC13" s="100">
        <f>-'Financial statements'!DR59</f>
        <v>1177693.7100000002</v>
      </c>
      <c r="BD13" s="100">
        <f>-'Financial statements'!DS59</f>
        <v>1109653.2500000002</v>
      </c>
      <c r="BE13" s="100">
        <f>-'Financial statements'!DT59</f>
        <v>1141728.17</v>
      </c>
      <c r="BF13" s="100">
        <f>-'Financial statements'!DU59</f>
        <v>1094933.9800000002</v>
      </c>
      <c r="BG13" s="100">
        <f>-'Financial statements'!DV59</f>
        <v>1153925.82</v>
      </c>
      <c r="BH13" s="100">
        <f>-'Financial statements'!DW59</f>
        <v>1101731.55</v>
      </c>
      <c r="BI13" s="100">
        <f>-'Financial statements'!DX59</f>
        <v>1067406.7</v>
      </c>
      <c r="BJ13" s="100">
        <f>-'Financial statements'!DY59</f>
        <v>1107192.2299999997</v>
      </c>
      <c r="BK13" s="100">
        <f>-'Financial statements'!DZ59</f>
        <v>1095185.5285176204</v>
      </c>
      <c r="BL13" s="100">
        <f>-'Financial statements'!EA59</f>
        <v>1076920.4291579006</v>
      </c>
      <c r="BM13" s="100">
        <f>-'Financial statements'!EB59</f>
        <v>1035920.2459001385</v>
      </c>
      <c r="BN13" s="100">
        <f>-'Financial statements'!EC59</f>
        <v>1062833.1386029231</v>
      </c>
      <c r="BO13" s="100">
        <f>-'Financial statements'!ED59</f>
        <v>1066980.3113805822</v>
      </c>
      <c r="BP13" s="100">
        <f>-'Financial statements'!EE59</f>
        <v>1076597.8895582524</v>
      </c>
      <c r="BQ13" s="100">
        <f>-'Financial statements'!EF59</f>
        <v>1097603.8246727339</v>
      </c>
      <c r="BR13" s="100">
        <f>-'Financial statements'!EG59</f>
        <v>1049040.6491290601</v>
      </c>
      <c r="BS13" s="100">
        <f>-'Financial statements'!EH59</f>
        <v>1093087.1239898689</v>
      </c>
      <c r="BT13" s="100">
        <f>-'Financial statements'!EI59</f>
        <v>1095496.1653149566</v>
      </c>
      <c r="BU13" s="100">
        <f>-'Financial statements'!EJ59</f>
        <v>1072003.7727493534</v>
      </c>
      <c r="BV13" s="100">
        <f>-'Financial statements'!EK59</f>
        <v>1027827.184636598</v>
      </c>
      <c r="BW13" s="100">
        <f>-'Financial statements'!EL59</f>
        <v>1073973.8540772235</v>
      </c>
      <c r="BX13" s="100">
        <f>-'Financial statements'!EM59</f>
        <v>1117567.2805098579</v>
      </c>
      <c r="BY13" s="100">
        <f>-'Financial statements'!EN59</f>
        <v>1079351.2020097049</v>
      </c>
      <c r="BZ13" s="100">
        <f>-'Financial statements'!EO59</f>
        <v>1064964.4687535486</v>
      </c>
      <c r="CA13" s="100">
        <f>-'Financial statements'!EP59</f>
        <v>1103950.1949941332</v>
      </c>
      <c r="CB13" s="100">
        <f>-'Financial statements'!EQ59</f>
        <v>1126825.6223444915</v>
      </c>
      <c r="CC13" s="100">
        <f>-'Financial statements'!ER59</f>
        <v>1088664.1143942988</v>
      </c>
      <c r="CD13" s="100">
        <f>-'Financial statements'!ES59</f>
        <v>1077407.2665660086</v>
      </c>
      <c r="CE13" s="100">
        <f>-'Financial statements'!ET59</f>
        <v>1019589.7001031657</v>
      </c>
      <c r="CF13" s="100">
        <f>-'Financial statements'!EU59</f>
        <v>1121333.2746086121</v>
      </c>
      <c r="CG13" s="100">
        <f>-'Financial statements'!EV59</f>
        <v>1000961.3959969517</v>
      </c>
      <c r="CH13" s="100">
        <f>-'Financial statements'!EW59</f>
        <v>948159.46285087802</v>
      </c>
      <c r="CI13" s="100">
        <f>-'Financial statements'!EX59</f>
        <v>967732.26016284479</v>
      </c>
      <c r="CJ13" s="100">
        <f>-'Financial statements'!EY59</f>
        <v>985290.43394371099</v>
      </c>
      <c r="CK13" s="100">
        <f>-'Financial statements'!EZ59</f>
        <v>970357.92536525172</v>
      </c>
      <c r="CL13" s="100">
        <f>-'Financial statements'!FA59</f>
        <v>954623.85700120998</v>
      </c>
      <c r="CM13" s="100">
        <f>-'Financial statements'!FB59</f>
        <v>971365.35925571085</v>
      </c>
      <c r="CN13" s="100">
        <f>-'Financial statements'!FC59</f>
        <v>970480.19526601839</v>
      </c>
      <c r="CO13" s="100">
        <f>-'Financial statements'!FD59</f>
        <v>970014.41191119724</v>
      </c>
      <c r="CP13" s="100">
        <f>-'Financial statements'!FE59</f>
        <v>964127.61504830699</v>
      </c>
      <c r="CQ13" s="100">
        <f>-'Financial statements'!FF59</f>
        <v>997815.97750856611</v>
      </c>
      <c r="CR13" s="100">
        <f>-'Financial statements'!FG59</f>
        <v>931675.91707529745</v>
      </c>
      <c r="CS13" s="100">
        <f>-'Financial statements'!FH59</f>
        <v>912225.46612607327</v>
      </c>
      <c r="CT13" s="100">
        <f>-'Financial statements'!FI59</f>
        <v>865704.23897906626</v>
      </c>
      <c r="CU13" s="100">
        <f>-'Financial statements'!FJ59</f>
        <v>892668.38923903182</v>
      </c>
      <c r="CV13" s="554">
        <f>-'Financial statements'!FK59</f>
        <v>880582.4250083568</v>
      </c>
      <c r="CW13" s="100"/>
      <c r="CX13" s="100">
        <f>-'Financial plan'!EZ54</f>
        <v>936737.79121954669</v>
      </c>
      <c r="CY13" s="100">
        <f>CJ13</f>
        <v>985290.43394371099</v>
      </c>
      <c r="CZ13" s="99">
        <f>-'Financial statements'!$P59</f>
        <v>1773250.8142473886</v>
      </c>
      <c r="DA13" s="100">
        <f>-SUM('Financial plan'!$EY54:EZ54)</f>
        <v>1873475.5824390934</v>
      </c>
      <c r="DB13" s="680">
        <f>SUM($CI13:CJ13)</f>
        <v>1953022.6941065558</v>
      </c>
    </row>
    <row r="14" spans="1:106" s="10" customFormat="1" ht="14.5" outlineLevel="1" x14ac:dyDescent="0.35">
      <c r="B14" s="80" t="s">
        <v>15</v>
      </c>
      <c r="C14" s="699">
        <f>C10-C13</f>
        <v>-62108</v>
      </c>
      <c r="D14" s="699">
        <f>D10-D13</f>
        <v>-17710</v>
      </c>
      <c r="E14" s="699">
        <f t="shared" ref="E14:J14" si="0">E10-E13</f>
        <v>-71746</v>
      </c>
      <c r="F14" s="699">
        <f t="shared" si="0"/>
        <v>-79053</v>
      </c>
      <c r="G14" s="699">
        <f t="shared" si="0"/>
        <v>-113010</v>
      </c>
      <c r="H14" s="699">
        <f t="shared" si="0"/>
        <v>-100653</v>
      </c>
      <c r="I14" s="699">
        <f t="shared" si="0"/>
        <v>-31641</v>
      </c>
      <c r="J14" s="699">
        <f t="shared" si="0"/>
        <v>-81381</v>
      </c>
      <c r="K14" s="699">
        <f t="shared" ref="K14:AY14" si="1">K10-K13</f>
        <v>-77229</v>
      </c>
      <c r="L14" s="699">
        <f t="shared" si="1"/>
        <v>-42725</v>
      </c>
      <c r="M14" s="699">
        <f t="shared" si="1"/>
        <v>-126875</v>
      </c>
      <c r="N14" s="699">
        <f t="shared" si="1"/>
        <v>-16466</v>
      </c>
      <c r="O14" s="699">
        <f t="shared" si="1"/>
        <v>-118985</v>
      </c>
      <c r="P14" s="699">
        <f t="shared" si="1"/>
        <v>-170874</v>
      </c>
      <c r="Q14" s="699">
        <f t="shared" si="1"/>
        <v>-155987</v>
      </c>
      <c r="R14" s="699">
        <f t="shared" si="1"/>
        <v>-169094</v>
      </c>
      <c r="S14" s="699">
        <f t="shared" si="1"/>
        <v>-186124</v>
      </c>
      <c r="T14" s="699">
        <f t="shared" si="1"/>
        <v>-276990</v>
      </c>
      <c r="U14" s="699">
        <f t="shared" si="1"/>
        <v>-207440</v>
      </c>
      <c r="V14" s="699">
        <f t="shared" si="1"/>
        <v>-186335</v>
      </c>
      <c r="W14" s="699">
        <f t="shared" si="1"/>
        <v>-104767</v>
      </c>
      <c r="X14" s="699">
        <f t="shared" si="1"/>
        <v>-127256</v>
      </c>
      <c r="Y14" s="699">
        <f t="shared" si="1"/>
        <v>-139438</v>
      </c>
      <c r="Z14" s="699">
        <f t="shared" si="1"/>
        <v>-132503</v>
      </c>
      <c r="AA14" s="699">
        <f t="shared" si="1"/>
        <v>-70571</v>
      </c>
      <c r="AB14" s="699">
        <f t="shared" si="1"/>
        <v>-127931</v>
      </c>
      <c r="AC14" s="699">
        <f t="shared" si="1"/>
        <v>-87754</v>
      </c>
      <c r="AD14" s="699">
        <f t="shared" si="1"/>
        <v>-34958</v>
      </c>
      <c r="AE14" s="699">
        <f t="shared" si="1"/>
        <v>17476</v>
      </c>
      <c r="AF14" s="699">
        <f t="shared" si="1"/>
        <v>31848</v>
      </c>
      <c r="AG14" s="699">
        <f t="shared" si="1"/>
        <v>-17879</v>
      </c>
      <c r="AH14" s="699">
        <f t="shared" si="1"/>
        <v>-38741.720000000205</v>
      </c>
      <c r="AI14" s="699">
        <f t="shared" si="1"/>
        <v>38725.640000000363</v>
      </c>
      <c r="AJ14" s="699">
        <f t="shared" si="1"/>
        <v>-44058.79999999993</v>
      </c>
      <c r="AK14" s="699">
        <f t="shared" si="1"/>
        <v>-59261.529999999795</v>
      </c>
      <c r="AL14" s="699">
        <f t="shared" si="1"/>
        <v>-63343.029999999562</v>
      </c>
      <c r="AM14" s="699">
        <f t="shared" si="1"/>
        <v>-134774.84999999998</v>
      </c>
      <c r="AN14" s="699">
        <f t="shared" si="1"/>
        <v>-207137.15000000049</v>
      </c>
      <c r="AO14" s="699">
        <f t="shared" si="1"/>
        <v>-227116.72999999986</v>
      </c>
      <c r="AP14" s="699">
        <f t="shared" si="1"/>
        <v>-233458.49999999988</v>
      </c>
      <c r="AQ14" s="699">
        <f t="shared" si="1"/>
        <v>-233931.86999999988</v>
      </c>
      <c r="AR14" s="699">
        <f t="shared" si="1"/>
        <v>-211909.22000000032</v>
      </c>
      <c r="AS14" s="699">
        <f t="shared" si="1"/>
        <v>-239336.25999999978</v>
      </c>
      <c r="AT14" s="699">
        <f t="shared" si="1"/>
        <v>-270756.4099999998</v>
      </c>
      <c r="AU14" s="699">
        <f t="shared" si="1"/>
        <v>-325119.62999999966</v>
      </c>
      <c r="AV14" s="699">
        <f t="shared" si="1"/>
        <v>-333126.83999999997</v>
      </c>
      <c r="AW14" s="699">
        <f t="shared" si="1"/>
        <v>-326648.07999999996</v>
      </c>
      <c r="AX14" s="699">
        <f t="shared" si="1"/>
        <v>-245632.95000000007</v>
      </c>
      <c r="AY14" s="699">
        <f t="shared" si="1"/>
        <v>-361990.45000000007</v>
      </c>
      <c r="AZ14" s="699">
        <f t="shared" ref="AZ14:BA14" si="2">AZ10-AZ13</f>
        <v>-447427.03</v>
      </c>
      <c r="BA14" s="699">
        <f t="shared" si="2"/>
        <v>-303368.0900000002</v>
      </c>
      <c r="BB14" s="699">
        <f t="shared" ref="BB14:BC14" si="3">BB10-BB13</f>
        <v>-373977.89999999979</v>
      </c>
      <c r="BC14" s="699">
        <f t="shared" si="3"/>
        <v>-302213.63000000035</v>
      </c>
      <c r="BD14" s="699">
        <f t="shared" ref="BD14:BE14" si="4">BD10-BD13</f>
        <v>-343340.2000000003</v>
      </c>
      <c r="BE14" s="699">
        <f t="shared" si="4"/>
        <v>-396454.76617217716</v>
      </c>
      <c r="BF14" s="699">
        <f t="shared" ref="BF14:BG14" si="5">BF10-BF13</f>
        <v>-260382.87918803527</v>
      </c>
      <c r="BG14" s="699">
        <f t="shared" si="5"/>
        <v>-183633.13</v>
      </c>
      <c r="BH14" s="699">
        <f t="shared" ref="BH14:BI14" si="6">BH10-BH13</f>
        <v>-204900.44132873439</v>
      </c>
      <c r="BI14" s="699">
        <f t="shared" si="6"/>
        <v>-73956.530000000028</v>
      </c>
      <c r="BJ14" s="699">
        <f t="shared" ref="BJ14:BK14" si="7">BJ10-BJ13</f>
        <v>11881.240000000456</v>
      </c>
      <c r="BK14" s="699">
        <f t="shared" si="7"/>
        <v>-110402.97851762059</v>
      </c>
      <c r="BL14" s="699">
        <f t="shared" ref="BL14:BM14" si="8">BL10-BL13</f>
        <v>-66892.819157900638</v>
      </c>
      <c r="BM14" s="699">
        <f t="shared" si="8"/>
        <v>6596.6640998614021</v>
      </c>
      <c r="BN14" s="699">
        <f t="shared" ref="BN14:BO14" si="9">BN10-BN13</f>
        <v>-39850.908602923271</v>
      </c>
      <c r="BO14" s="699">
        <f t="shared" si="9"/>
        <v>-47688.31138058193</v>
      </c>
      <c r="BP14" s="699">
        <f t="shared" ref="BP14:BQ14" si="10">BP10-BP13</f>
        <v>-71555.729558252264</v>
      </c>
      <c r="BQ14" s="699">
        <f t="shared" si="10"/>
        <v>-125364.87907653803</v>
      </c>
      <c r="BR14" s="699">
        <f t="shared" ref="BR14:BS14" si="11">BR10-BR13</f>
        <v>-57186.288591435994</v>
      </c>
      <c r="BS14" s="699">
        <f t="shared" si="11"/>
        <v>22765.305733556394</v>
      </c>
      <c r="BT14" s="699">
        <f t="shared" ref="BT14:BU14" si="12">BT10-BT13</f>
        <v>-42143.318043904379</v>
      </c>
      <c r="BU14" s="699">
        <f t="shared" si="12"/>
        <v>-9894.6523088361137</v>
      </c>
      <c r="BV14" s="699">
        <f t="shared" ref="BV14:BW14" si="13">BV10-BV13</f>
        <v>173210.43072032789</v>
      </c>
      <c r="BW14" s="699">
        <f t="shared" si="13"/>
        <v>-4148.5815761957783</v>
      </c>
      <c r="BX14" s="699">
        <f t="shared" ref="BX14" si="14">BX10-BX13</f>
        <v>-12553.837672986323</v>
      </c>
      <c r="BY14" s="699">
        <f t="shared" ref="BY14:CC14" si="15">BY10-BY13</f>
        <v>108203.23202632926</v>
      </c>
      <c r="BZ14" s="699">
        <f t="shared" si="15"/>
        <v>-42632.498375204857</v>
      </c>
      <c r="CA14" s="699">
        <f t="shared" si="15"/>
        <v>58684.62766524381</v>
      </c>
      <c r="CB14" s="699">
        <f t="shared" si="15"/>
        <v>-33444.842110096943</v>
      </c>
      <c r="CC14" s="699">
        <f t="shared" si="15"/>
        <v>-40762.914549791254</v>
      </c>
      <c r="CD14" s="699">
        <f t="shared" ref="CD14:CE14" si="16">CD10-CD13</f>
        <v>-35741.742721713148</v>
      </c>
      <c r="CE14" s="699">
        <f t="shared" si="16"/>
        <v>-73560.592911721091</v>
      </c>
      <c r="CF14" s="699">
        <f t="shared" ref="CF14:CG14" si="17">CF10-CF13</f>
        <v>-218667.4710681024</v>
      </c>
      <c r="CG14" s="699">
        <f t="shared" si="17"/>
        <v>-22795.017314983881</v>
      </c>
      <c r="CH14" s="699">
        <f t="shared" ref="CH14:CI14" si="18">CH10-CH13</f>
        <v>-184934.70285087801</v>
      </c>
      <c r="CI14" s="699">
        <f t="shared" si="18"/>
        <v>6784.5616042341571</v>
      </c>
      <c r="CJ14" s="699">
        <f t="shared" ref="CJ14:CK14" si="19">CJ10-CJ13</f>
        <v>37981.869064365514</v>
      </c>
      <c r="CK14" s="699">
        <f t="shared" si="19"/>
        <v>-24383.667691780836</v>
      </c>
      <c r="CL14" s="699">
        <f t="shared" ref="CL14:CM14" si="20">CL10-CL13</f>
        <v>-9457.1518238487188</v>
      </c>
      <c r="CM14" s="699">
        <f t="shared" si="20"/>
        <v>-28833.825351032428</v>
      </c>
      <c r="CN14" s="699">
        <f t="shared" ref="CN14:CO14" si="21">CN10-CN13</f>
        <v>4306.5343516974244</v>
      </c>
      <c r="CO14" s="699">
        <f t="shared" si="21"/>
        <v>118749.12062825705</v>
      </c>
      <c r="CP14" s="699">
        <f>CP10-CP13</f>
        <v>102234.4342677861</v>
      </c>
      <c r="CQ14" s="699">
        <f t="shared" ref="CQ14:CR14" si="22">CQ10-CQ13</f>
        <v>140750.61264510709</v>
      </c>
      <c r="CR14" s="699">
        <f t="shared" si="22"/>
        <v>105933.35442020057</v>
      </c>
      <c r="CS14" s="699">
        <f t="shared" ref="CS14" si="23">CS10-CS13</f>
        <v>232639.13609877171</v>
      </c>
      <c r="CT14" s="699">
        <f t="shared" ref="CT14:CU14" si="24">CT10-CT13</f>
        <v>270807.96200059401</v>
      </c>
      <c r="CU14" s="699">
        <f t="shared" si="24"/>
        <v>107465.49035611213</v>
      </c>
      <c r="CV14" s="700">
        <f t="shared" ref="CV14" si="25">CV10-CV13</f>
        <v>173084.52033391409</v>
      </c>
      <c r="CW14" s="699"/>
      <c r="CX14" s="699">
        <f>CX10-CX13</f>
        <v>165838.18046377134</v>
      </c>
      <c r="CY14" s="699">
        <f>CJ14</f>
        <v>37981.869064365514</v>
      </c>
      <c r="CZ14" s="701">
        <f>CZ10-CZ13</f>
        <v>-773116.93465224467</v>
      </c>
      <c r="DA14" s="699">
        <f>SUM('Financial plan'!$EY55:EZ55)</f>
        <v>331676.36092754267</v>
      </c>
      <c r="DB14" s="702">
        <f>SUM($CI14:CJ14)</f>
        <v>44766.430668599671</v>
      </c>
    </row>
    <row r="15" spans="1:106" s="10" customFormat="1" ht="14.5" outlineLevel="1" x14ac:dyDescent="0.35">
      <c r="B15" s="98" t="s">
        <v>16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2">
        <v>-54619.971849459529</v>
      </c>
      <c r="BX15" s="92">
        <v>-54212.043477176383</v>
      </c>
      <c r="BY15" s="92">
        <v>-52009.544743167353</v>
      </c>
      <c r="BZ15" s="92">
        <v>-44091.326351090684</v>
      </c>
      <c r="CA15" s="92">
        <v>-52452.661633701238</v>
      </c>
      <c r="CB15" s="92">
        <v>-52654.669696247263</v>
      </c>
      <c r="CC15" s="92">
        <v>-1284.6887592843268</v>
      </c>
      <c r="CD15" s="92">
        <v>8743.0523385305423</v>
      </c>
      <c r="CE15" s="92">
        <v>21409.262167955982</v>
      </c>
      <c r="CF15" s="92">
        <v>28411.953239395574</v>
      </c>
      <c r="CG15" s="92">
        <v>78473.885913367121</v>
      </c>
      <c r="CH15" s="92">
        <v>174286.75285087799</v>
      </c>
      <c r="CI15" s="92">
        <v>-61094.727722572199</v>
      </c>
      <c r="CJ15" s="92">
        <v>-60710.73751532536</v>
      </c>
      <c r="CK15" s="92">
        <v>-60921.487098938349</v>
      </c>
      <c r="CL15" s="92">
        <v>-58165.515216722793</v>
      </c>
      <c r="CM15" s="92">
        <v>-25110.533192915202</v>
      </c>
      <c r="CN15" s="92">
        <v>-1288.57750576641</v>
      </c>
      <c r="CO15" s="92">
        <f>'Financial statements'!FD61</f>
        <v>-69.984466118157997</v>
      </c>
      <c r="CP15" s="92">
        <f>'Financial statements'!FE61</f>
        <v>-384</v>
      </c>
      <c r="CQ15" s="92">
        <f>'Financial statements'!FF61</f>
        <v>-8825.2866503568603</v>
      </c>
      <c r="CR15" s="92">
        <f>'Financial statements'!FG61</f>
        <v>0</v>
      </c>
      <c r="CS15" s="92">
        <f>'Financial statements'!FH61</f>
        <v>-52268</v>
      </c>
      <c r="CT15" s="92">
        <f>'Financial statements'!FI61</f>
        <v>-85639.5779107899</v>
      </c>
      <c r="CU15" s="92">
        <f>'Financial statements'!FJ61</f>
        <v>-57412</v>
      </c>
      <c r="CV15" s="664">
        <f>'Financial statements'!FK61</f>
        <v>-57893</v>
      </c>
      <c r="CW15" s="92"/>
      <c r="CX15" s="92">
        <f>'Financial plan'!EZ56</f>
        <v>-37964.188198659031</v>
      </c>
      <c r="CY15" s="92">
        <f>CJ15</f>
        <v>-60710.73751532536</v>
      </c>
      <c r="CZ15" s="704">
        <f>'Financial statements'!$P61</f>
        <v>-115305</v>
      </c>
      <c r="DA15" s="92">
        <f>SUM('Financial plan'!$EY56:EZ56)</f>
        <v>-75928.376397318061</v>
      </c>
      <c r="DB15" s="507">
        <f>SUM($CI15:CJ15)</f>
        <v>-121805.46523789756</v>
      </c>
    </row>
    <row r="16" spans="1:106" s="10" customFormat="1" ht="14.5" x14ac:dyDescent="0.35">
      <c r="B16" s="80" t="s">
        <v>17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>
        <f>SUM(BW14:BW15)</f>
        <v>-58768.553425655307</v>
      </c>
      <c r="BX16" s="100">
        <f t="shared" ref="BX16:CM16" si="26">SUM(BX14:BX15)</f>
        <v>-66765.881150162706</v>
      </c>
      <c r="BY16" s="100">
        <f t="shared" si="26"/>
        <v>56193.687283161911</v>
      </c>
      <c r="BZ16" s="100">
        <f t="shared" si="26"/>
        <v>-86723.824726295541</v>
      </c>
      <c r="CA16" s="100">
        <f t="shared" si="26"/>
        <v>6231.9660315425717</v>
      </c>
      <c r="CB16" s="100">
        <f t="shared" si="26"/>
        <v>-86099.511806344206</v>
      </c>
      <c r="CC16" s="100">
        <f t="shared" si="26"/>
        <v>-42047.603309075581</v>
      </c>
      <c r="CD16" s="100">
        <f t="shared" si="26"/>
        <v>-26998.690383182606</v>
      </c>
      <c r="CE16" s="100">
        <f t="shared" si="26"/>
        <v>-52151.330743765109</v>
      </c>
      <c r="CF16" s="100">
        <f t="shared" si="26"/>
        <v>-190255.51782870683</v>
      </c>
      <c r="CG16" s="100">
        <f t="shared" si="26"/>
        <v>55678.86859838324</v>
      </c>
      <c r="CH16" s="100">
        <f t="shared" si="26"/>
        <v>-10647.950000000012</v>
      </c>
      <c r="CI16" s="100">
        <f t="shared" si="26"/>
        <v>-54310.166118338042</v>
      </c>
      <c r="CJ16" s="100">
        <f t="shared" si="26"/>
        <v>-22728.868450959846</v>
      </c>
      <c r="CK16" s="100">
        <f t="shared" si="26"/>
        <v>-85305.154790719185</v>
      </c>
      <c r="CL16" s="100">
        <f t="shared" si="26"/>
        <v>-67622.667040571512</v>
      </c>
      <c r="CM16" s="100">
        <f t="shared" si="26"/>
        <v>-53944.35854394763</v>
      </c>
      <c r="CN16" s="100">
        <f t="shared" ref="CN16:CS16" si="27">SUM(CN14:CN15)</f>
        <v>3017.9568459310144</v>
      </c>
      <c r="CO16" s="100">
        <f t="shared" si="27"/>
        <v>118679.13616213889</v>
      </c>
      <c r="CP16" s="100">
        <f t="shared" si="27"/>
        <v>101850.4342677861</v>
      </c>
      <c r="CQ16" s="100">
        <f t="shared" si="27"/>
        <v>131925.32599475022</v>
      </c>
      <c r="CR16" s="100">
        <f t="shared" si="27"/>
        <v>105933.35442020057</v>
      </c>
      <c r="CS16" s="100">
        <f t="shared" si="27"/>
        <v>180371.13609877171</v>
      </c>
      <c r="CT16" s="100">
        <f t="shared" ref="CT16:CU16" si="28">SUM(CT14:CT15)</f>
        <v>185168.38408980411</v>
      </c>
      <c r="CU16" s="100">
        <f t="shared" si="28"/>
        <v>50053.490356112132</v>
      </c>
      <c r="CV16" s="554">
        <f t="shared" ref="CV16" si="29">SUM(CV14:CV15)</f>
        <v>115191.52033391409</v>
      </c>
      <c r="CW16" s="100"/>
      <c r="CX16" s="100">
        <f>SUM(CX14:CX15)</f>
        <v>127873.99226511231</v>
      </c>
      <c r="CY16" s="100">
        <f>CJ16</f>
        <v>-22728.868450959846</v>
      </c>
      <c r="CZ16" s="99">
        <f>SUM(CZ14:CZ15)</f>
        <v>-888421.93465224467</v>
      </c>
      <c r="DA16" s="100">
        <f>SUM(DA14:DA15)</f>
        <v>255747.98453022461</v>
      </c>
      <c r="DB16" s="680">
        <f>SUM($CI16:CJ16)</f>
        <v>-77039.034569297888</v>
      </c>
    </row>
    <row r="17" spans="2:109" s="10" customFormat="1" ht="14.5" x14ac:dyDescent="0.35">
      <c r="B17" s="98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6"/>
      <c r="CK17" s="96"/>
      <c r="CL17" s="96"/>
      <c r="CM17" s="96"/>
      <c r="CN17" s="96"/>
      <c r="CO17" s="96"/>
      <c r="CP17" s="96"/>
      <c r="CQ17" s="96"/>
      <c r="CR17" s="96"/>
      <c r="CS17" s="96"/>
      <c r="CT17" s="96"/>
      <c r="CU17" s="96"/>
      <c r="CV17" s="697"/>
      <c r="CW17" s="96"/>
      <c r="CX17" s="96"/>
      <c r="CY17" s="96"/>
      <c r="CZ17" s="97"/>
      <c r="DA17" s="96"/>
      <c r="DB17" s="698"/>
    </row>
    <row r="18" spans="2:109" ht="14.5" x14ac:dyDescent="0.35">
      <c r="B18" s="78" t="s">
        <v>18</v>
      </c>
      <c r="C18" s="92">
        <f>('Financial statements'!BR101+'Financial statements'!BR103)</f>
        <v>-192575</v>
      </c>
      <c r="D18" s="92">
        <f>('Financial statements'!BS101+'Financial statements'!BS103)</f>
        <v>-373888</v>
      </c>
      <c r="E18" s="92">
        <f>('Financial statements'!BT101+'Financial statements'!BT103)</f>
        <v>-219141</v>
      </c>
      <c r="F18" s="92">
        <f>('Financial statements'!BU101+'Financial statements'!BU103)</f>
        <v>137024</v>
      </c>
      <c r="G18" s="92">
        <f>('Financial statements'!BV101+'Financial statements'!BV103)</f>
        <v>-65158</v>
      </c>
      <c r="H18" s="92">
        <f>('Financial statements'!BW101+'Financial statements'!BW103)</f>
        <v>-275365</v>
      </c>
      <c r="I18" s="92">
        <f>('Financial statements'!BX101+'Financial statements'!BX103)</f>
        <v>-370534</v>
      </c>
      <c r="J18" s="92">
        <f>('Financial statements'!BY101+'Financial statements'!BY103)</f>
        <v>15814</v>
      </c>
      <c r="K18" s="92">
        <f>('Financial statements'!BZ101+'Financial statements'!BZ103)</f>
        <v>-377430</v>
      </c>
      <c r="L18" s="92">
        <f>('Financial statements'!CA101+'Financial statements'!CA103)</f>
        <v>-195186</v>
      </c>
      <c r="M18" s="92">
        <f>('Financial statements'!CB101+'Financial statements'!CB103)</f>
        <v>-328412.28000000003</v>
      </c>
      <c r="N18" s="92">
        <f>('Financial statements'!CC101+'Financial statements'!CC103)</f>
        <v>-82094</v>
      </c>
      <c r="O18" s="92">
        <f>('Financial statements'!CD101+'Financial statements'!CD103)</f>
        <v>244501.11</v>
      </c>
      <c r="P18" s="92">
        <f>('Financial statements'!CE101+'Financial statements'!CE103)</f>
        <v>-471774</v>
      </c>
      <c r="Q18" s="92">
        <f>('Financial statements'!CF101+'Financial statements'!CF103)</f>
        <v>227051.94</v>
      </c>
      <c r="R18" s="92">
        <f>('Financial statements'!CG101+'Financial statements'!CG103)</f>
        <v>-102671.06</v>
      </c>
      <c r="S18" s="92">
        <f>('Financial statements'!CH101+'Financial statements'!CH103)</f>
        <v>-34613.69</v>
      </c>
      <c r="T18" s="92">
        <f>('Financial statements'!CI101+'Financial statements'!CI103)</f>
        <v>-786510.6</v>
      </c>
      <c r="U18" s="92">
        <f>('Financial statements'!CJ101+'Financial statements'!CJ103)</f>
        <v>51341.640000000014</v>
      </c>
      <c r="V18" s="92">
        <f>('Financial statements'!CK101+'Financial statements'!CK103)</f>
        <v>-429363.62</v>
      </c>
      <c r="W18" s="92">
        <f>('Financial statements'!CL101+'Financial statements'!CL103)</f>
        <v>-56324.08</v>
      </c>
      <c r="X18" s="92">
        <f>('Financial statements'!CM101+'Financial statements'!CM103)</f>
        <v>79374.97</v>
      </c>
      <c r="Y18" s="92">
        <f>('Financial statements'!CN101+'Financial statements'!CN103)</f>
        <v>-572171.08000000007</v>
      </c>
      <c r="Z18" s="92">
        <f>('Financial statements'!CO101+'Financial statements'!CO103)</f>
        <v>-66868.62</v>
      </c>
      <c r="AA18" s="92">
        <f>('Financial statements'!CP101+'Financial statements'!CP103)</f>
        <v>-216146.03</v>
      </c>
      <c r="AB18" s="92">
        <f>('Financial statements'!CQ101+'Financial statements'!CQ103)</f>
        <v>334273.11</v>
      </c>
      <c r="AC18" s="92">
        <f>('Financial statements'!CR101+'Financial statements'!CR103)</f>
        <v>-328199</v>
      </c>
      <c r="AD18" s="92">
        <f>('Financial statements'!CS101+'Financial statements'!CS103)</f>
        <v>-109153</v>
      </c>
      <c r="AE18" s="92">
        <f>('Financial statements'!CT101+'Financial statements'!CT103)</f>
        <v>-280825.28000000003</v>
      </c>
      <c r="AF18" s="92">
        <f>('Financial statements'!CU101+'Financial statements'!CU103)</f>
        <v>353359.88</v>
      </c>
      <c r="AG18" s="92">
        <f>('Financial statements'!CV101+'Financial statements'!CV103)</f>
        <v>-571615</v>
      </c>
      <c r="AH18" s="92">
        <f>('Financial statements'!CW101+'Financial statements'!CW103)</f>
        <v>-203570.43000000002</v>
      </c>
      <c r="AI18" s="92">
        <f>('Financial statements'!CX101+'Financial statements'!CX103)</f>
        <v>-368073.5499999997</v>
      </c>
      <c r="AJ18" s="92">
        <f>('Financial statements'!CY101+'Financial statements'!CY103)</f>
        <v>737974.36999999883</v>
      </c>
      <c r="AK18" s="92">
        <f>('Financial statements'!CZ101+'Financial statements'!CZ103)</f>
        <v>-455410.67999999935</v>
      </c>
      <c r="AL18" s="92">
        <f>('Financial statements'!DA101+'Financial statements'!DA103)</f>
        <v>114747.75000000041</v>
      </c>
      <c r="AM18" s="92">
        <f>('Financial statements'!DB101+'Financial statements'!DB103)</f>
        <v>-1332458.3799999999</v>
      </c>
      <c r="AN18" s="92">
        <f>('Financial statements'!DC101+'Financial statements'!DC103)</f>
        <v>-723862.27000000025</v>
      </c>
      <c r="AO18" s="92">
        <f>('Financial statements'!DD101+'Financial statements'!DD103)</f>
        <v>129554.2064781817</v>
      </c>
      <c r="AP18" s="92">
        <f>('Financial statements'!DE101+'Financial statements'!DE103)</f>
        <v>-213371.7964781817</v>
      </c>
      <c r="AQ18" s="92">
        <f>('Financial statements'!DF101+'Financial statements'!DF103)</f>
        <v>-637966.71</v>
      </c>
      <c r="AR18" s="92">
        <f>('Financial statements'!DG101+'Financial statements'!DG103)</f>
        <v>-76303.669999999955</v>
      </c>
      <c r="AS18" s="92">
        <f>('Financial statements'!DH101+'Financial statements'!DH103)</f>
        <v>-559462.47000000416</v>
      </c>
      <c r="AT18" s="92">
        <f>('Financial statements'!DI101+'Financial statements'!DI103)</f>
        <v>-687028.55220324371</v>
      </c>
      <c r="AU18" s="92">
        <f>('Financial statements'!DJ101+'Financial statements'!DJ103)</f>
        <v>327346.91758124484</v>
      </c>
      <c r="AV18" s="92">
        <f>('Financial statements'!DK101+'Financial statements'!DK103)</f>
        <v>-785649.88000000105</v>
      </c>
      <c r="AW18" s="92">
        <f>('Financial statements'!DL101+'Financial statements'!DL103)</f>
        <v>-55851.209999995539</v>
      </c>
      <c r="AX18" s="92">
        <f>('Financial statements'!DM101+'Financial statements'!DM103)</f>
        <v>-500102.06999999948</v>
      </c>
      <c r="AY18" s="92">
        <f>('Financial statements'!DN101+'Financial statements'!DN103)</f>
        <v>-1058577.6344358998</v>
      </c>
      <c r="AZ18" s="92">
        <f>('Financial statements'!DO101+'Financial statements'!DO103)</f>
        <v>-374246.85957262141</v>
      </c>
      <c r="BA18" s="92">
        <f>('Financial statements'!DP101+'Financial statements'!DP103)</f>
        <v>-129730.61999999988</v>
      </c>
      <c r="BB18" s="92">
        <f>('Financial statements'!DQ101+'Financial statements'!DQ103)</f>
        <v>-671482.6599999998</v>
      </c>
      <c r="BC18" s="92">
        <f>('Financial statements'!DR101+'Financial statements'!DR103)</f>
        <v>-386610.13999999955</v>
      </c>
      <c r="BD18" s="92">
        <f>('Financial statements'!DS101+'Financial statements'!DS103)</f>
        <v>-200127.55999999904</v>
      </c>
      <c r="BE18" s="92">
        <f>('Financial statements'!DT101+'Financial statements'!DT103)</f>
        <v>-316043.10000000213</v>
      </c>
      <c r="BF18" s="92">
        <f>('Financial statements'!DU101+'Financial statements'!DU103)</f>
        <v>400471.30006392743</v>
      </c>
      <c r="BG18" s="92">
        <f>('Financial statements'!DV101+'Financial statements'!DV103)</f>
        <v>-829767.87999999849</v>
      </c>
      <c r="BH18" s="92">
        <f>('Financial statements'!DW101+'Financial statements'!DW103)</f>
        <v>-13010.529999997758</v>
      </c>
      <c r="BI18" s="92">
        <f>('Financial statements'!DX101+'Financial statements'!DX103)</f>
        <v>-622495.06000000518</v>
      </c>
      <c r="BJ18" s="92">
        <f>('Financial statements'!DY101+'Financial statements'!DY103)</f>
        <v>103022.4486060229</v>
      </c>
      <c r="BK18" s="92">
        <f>('Financial statements'!DZ101+'Financial statements'!DZ103)</f>
        <v>431184.4115106815</v>
      </c>
      <c r="BL18" s="92">
        <f>('Financial statements'!EA101+'Financial statements'!EA103)</f>
        <v>-951979.20258275454</v>
      </c>
      <c r="BM18" s="92">
        <f>('Financial statements'!EB101+'Financial statements'!EB103)</f>
        <v>-134150.73317845646</v>
      </c>
      <c r="BN18" s="92">
        <f>('Financial statements'!EC101+'Financial statements'!EC103)</f>
        <v>-622710.16577601107</v>
      </c>
      <c r="BO18" s="92">
        <f>('Financial statements'!ED101+'Financial statements'!ED103)</f>
        <v>581919.01039278507</v>
      </c>
      <c r="BP18" s="92">
        <f>('Financial statements'!EE101+'Financial statements'!EE103)</f>
        <v>-106470.27693518062</v>
      </c>
      <c r="BQ18" s="92">
        <f>('Financial statements'!EF101+'Financial statements'!EF103)</f>
        <v>886485.51784884697</v>
      </c>
      <c r="BR18" s="92">
        <f>('Financial statements'!EG101+'Financial statements'!EG103)</f>
        <v>-957411.57274659828</v>
      </c>
      <c r="BS18" s="92">
        <f>('Financial statements'!EH101+'Financial statements'!EH103)</f>
        <v>90399.189895107702</v>
      </c>
      <c r="BT18" s="92">
        <f>('Financial statements'!EI101+'Financial statements'!EI103)</f>
        <v>-398913.00271396671</v>
      </c>
      <c r="BU18" s="92">
        <f>('Financial statements'!EJ101+'Financial statements'!EJ103)</f>
        <v>-366181.42140112736</v>
      </c>
      <c r="BV18" s="92">
        <f>('Financial statements'!EK101+'Financial statements'!EK103)</f>
        <v>-120815.84202167217</v>
      </c>
      <c r="BW18" s="92">
        <f>('Financial statements'!EL101+'Financial statements'!EL103)</f>
        <v>589055.22608614934</v>
      </c>
      <c r="BX18" s="92">
        <f>('Financial statements'!EM101+'Financial statements'!EM103)</f>
        <v>-629521.0980184346</v>
      </c>
      <c r="BY18" s="92">
        <f>('Financial statements'!EN101+'Financial statements'!EN103)</f>
        <v>24334.49115230421</v>
      </c>
      <c r="BZ18" s="92">
        <f>('Financial statements'!EO101+'Financial statements'!EO103)</f>
        <v>463013.51878566085</v>
      </c>
      <c r="CA18" s="92">
        <f>('Financial statements'!EP101+'Financial statements'!EP103)</f>
        <v>-235346.66785338797</v>
      </c>
      <c r="CB18" s="92">
        <f>('Financial statements'!EQ101+'Financial statements'!EQ103)</f>
        <v>-270219.43774879613</v>
      </c>
      <c r="CC18" s="92">
        <f>('Financial statements'!ER101+'Financial statements'!ER103)</f>
        <v>1120571.7783622867</v>
      </c>
      <c r="CD18" s="92">
        <f>('Financial statements'!ES101+'Financial statements'!ES103)</f>
        <v>-867352.75740082399</v>
      </c>
      <c r="CE18" s="92">
        <f>('Financial statements'!ET101+'Financial statements'!ET103)</f>
        <v>184579.6071303577</v>
      </c>
      <c r="CF18" s="92">
        <f>('Financial statements'!EU101+'Financial statements'!EU103)</f>
        <v>26689.347872697515</v>
      </c>
      <c r="CG18" s="92">
        <f>('Financial statements'!EV101+'Financial statements'!EV103)</f>
        <v>-108183.69915675771</v>
      </c>
      <c r="CH18" s="92">
        <f>('Financial statements'!EW101+'Financial statements'!EW103)</f>
        <v>-76529.482517716882</v>
      </c>
      <c r="CI18" s="92">
        <f>('Financial statements'!EX101+'Financial statements'!EX103)</f>
        <v>-461093.9651108812</v>
      </c>
      <c r="CJ18" s="92">
        <f>('Financial statements'!EY101+'Financial statements'!EY103)</f>
        <v>289614.8229264777</v>
      </c>
      <c r="CK18" s="92">
        <f>('Financial statements'!EZ101+'Financial statements'!EZ103)</f>
        <v>31511.053057220255</v>
      </c>
      <c r="CL18" s="92">
        <f>('Financial statements'!FA101+'Financial statements'!FA103)</f>
        <v>-154209.34633739426</v>
      </c>
      <c r="CM18" s="92">
        <f>('Financial statements'!FB101+'Financial statements'!FB103)</f>
        <v>428163.46619125153</v>
      </c>
      <c r="CN18" s="92">
        <f>('Financial statements'!FC101+'Financial statements'!FC103)</f>
        <v>386387.52404822351</v>
      </c>
      <c r="CO18" s="92">
        <f>('Financial statements'!FD101+'Financial statements'!FD103)</f>
        <v>-645238.46714539116</v>
      </c>
      <c r="CP18" s="92">
        <f>('Financial statements'!FE101+'Financial statements'!FE103)</f>
        <v>449702.15999572986</v>
      </c>
      <c r="CQ18" s="92">
        <f>('Financial statements'!FF101+'Financial statements'!FF103)</f>
        <v>-314623.63771514536</v>
      </c>
      <c r="CR18" s="92">
        <f>('Financial statements'!FG101+'Financial statements'!FG103)</f>
        <v>262576.39919665619</v>
      </c>
      <c r="CS18" s="92">
        <f>('Financial statements'!FH101+'Financial statements'!FH103)</f>
        <v>-651415.65397148102</v>
      </c>
      <c r="CT18" s="92">
        <f>('Financial statements'!FI101+'Financial statements'!FI103)</f>
        <v>1031069.2226009128</v>
      </c>
      <c r="CU18" s="92">
        <f>('Financial statements'!FJ101+'Financial statements'!FJ103)</f>
        <v>-374367.072960597</v>
      </c>
      <c r="CV18" s="664">
        <f>('Financial statements'!FK101+'Financial statements'!FK103)</f>
        <v>-234918.61024796817</v>
      </c>
      <c r="CW18" s="92"/>
      <c r="CX18" s="92"/>
      <c r="CY18" s="92">
        <f>CJ18</f>
        <v>289614.8229264777</v>
      </c>
      <c r="CZ18" s="704">
        <f>SUM($CU18:CV18)</f>
        <v>-609285.68320856523</v>
      </c>
      <c r="DA18" s="88"/>
      <c r="DB18" s="507">
        <f>SUM($CI18:CJ18)</f>
        <v>-171479.14218440349</v>
      </c>
    </row>
    <row r="19" spans="2:109" ht="14.5" x14ac:dyDescent="0.35">
      <c r="B19" s="78" t="s">
        <v>19</v>
      </c>
      <c r="C19" s="92">
        <f>'Financial statements'!BR115</f>
        <v>1163323</v>
      </c>
      <c r="D19" s="92">
        <f>'Financial statements'!BS115</f>
        <v>787372</v>
      </c>
      <c r="E19" s="92">
        <f>'Financial statements'!BT115</f>
        <v>516015</v>
      </c>
      <c r="F19" s="92">
        <f>'Financial statements'!BU115</f>
        <v>609038</v>
      </c>
      <c r="G19" s="92">
        <f>'Financial statements'!BV115</f>
        <v>482329</v>
      </c>
      <c r="H19" s="92">
        <f>'Financial statements'!BW115</f>
        <v>730017</v>
      </c>
      <c r="I19" s="92">
        <f>'Financial statements'!BX115</f>
        <v>274252</v>
      </c>
      <c r="J19" s="92">
        <f>'Financial statements'!BY115</f>
        <v>685169</v>
      </c>
      <c r="K19" s="92">
        <f>'Financial statements'!BZ115</f>
        <v>680510</v>
      </c>
      <c r="L19" s="92">
        <f>'Financial statements'!CA115</f>
        <v>841213</v>
      </c>
      <c r="M19" s="92">
        <f>'Financial statements'!CB115</f>
        <v>565918.00000000023</v>
      </c>
      <c r="N19" s="92">
        <f>'Financial statements'!CC115</f>
        <v>903850.00000000023</v>
      </c>
      <c r="O19" s="92">
        <f>'Financial statements'!CD115</f>
        <v>1593333</v>
      </c>
      <c r="P19" s="92">
        <f>'Financial statements'!CE115</f>
        <v>1055991</v>
      </c>
      <c r="Q19" s="92">
        <f>'Financial statements'!CF115</f>
        <v>1198409.0000000005</v>
      </c>
      <c r="R19" s="92">
        <f>'Financial statements'!CG115</f>
        <v>1020309</v>
      </c>
      <c r="S19" s="92">
        <f>'Financial statements'!CH115</f>
        <v>3422604.0000000005</v>
      </c>
      <c r="T19" s="92">
        <f>'Financial statements'!CI115</f>
        <v>2518462</v>
      </c>
      <c r="U19" s="92">
        <f>'Financial statements'!CJ115</f>
        <v>2456488.0000000005</v>
      </c>
      <c r="V19" s="92">
        <f>'Financial statements'!CK115</f>
        <v>1957619.9999999995</v>
      </c>
      <c r="W19" s="92">
        <f>'Financial statements'!CL115</f>
        <v>1814204.9999999995</v>
      </c>
      <c r="X19" s="92">
        <f>'Financial statements'!CM115</f>
        <v>1778149.9999999998</v>
      </c>
      <c r="Y19" s="92">
        <f>'Financial statements'!CN115</f>
        <v>1091588</v>
      </c>
      <c r="Z19" s="92">
        <f>'Financial statements'!CO115</f>
        <v>1049830</v>
      </c>
      <c r="AA19" s="92">
        <f>'Financial statements'!CP115</f>
        <v>809363.9999999993</v>
      </c>
      <c r="AB19" s="92">
        <f>'Financial statements'!CQ115</f>
        <v>1018624.9999999999</v>
      </c>
      <c r="AC19" s="92">
        <f>'Financial statements'!CR115</f>
        <v>2326307</v>
      </c>
      <c r="AD19" s="92">
        <f>'Financial statements'!CS115</f>
        <v>2371052</v>
      </c>
      <c r="AE19" s="92">
        <f>'Financial statements'!CT115</f>
        <v>2564294.9999999991</v>
      </c>
      <c r="AF19" s="92">
        <f>'Financial statements'!CU115</f>
        <v>3104267</v>
      </c>
      <c r="AG19" s="92">
        <f>'Financial statements'!CV115</f>
        <v>2200819</v>
      </c>
      <c r="AH19" s="92">
        <f>'Financial statements'!CW115</f>
        <v>1880413.71</v>
      </c>
      <c r="AI19" s="92">
        <f>'Financial statements'!CX115</f>
        <v>1862349.8700000006</v>
      </c>
      <c r="AJ19" s="92">
        <f>'Financial statements'!CY115</f>
        <v>2094684.6699999995</v>
      </c>
      <c r="AK19" s="92">
        <f>'Financial statements'!CZ115</f>
        <v>1478972.9099999997</v>
      </c>
      <c r="AL19" s="92">
        <f>'Financial statements'!DA115</f>
        <v>16244488.270000001</v>
      </c>
      <c r="AM19" s="92">
        <f>'Financial statements'!DB115</f>
        <v>14508405.910000002</v>
      </c>
      <c r="AN19" s="92">
        <f>'Financial statements'!DC115</f>
        <v>13554211.420000002</v>
      </c>
      <c r="AO19" s="92">
        <f>'Financial statements'!DD115</f>
        <v>13513986.57</v>
      </c>
      <c r="AP19" s="92">
        <f>'Financial statements'!DE115</f>
        <v>12733605.9</v>
      </c>
      <c r="AQ19" s="92">
        <f>'Financial statements'!DF115</f>
        <v>11946238.790000001</v>
      </c>
      <c r="AR19" s="92">
        <f>'Financial statements'!DG115</f>
        <v>11668910.180000002</v>
      </c>
      <c r="AS19" s="92">
        <f>'Financial statements'!DH115</f>
        <v>10625697.259999998</v>
      </c>
      <c r="AT19" s="92">
        <f>'Financial statements'!DI115</f>
        <v>9741402.1877967548</v>
      </c>
      <c r="AU19" s="92">
        <f>'Financial statements'!DJ115</f>
        <v>14657634.539999999</v>
      </c>
      <c r="AV19" s="92">
        <f>'Financial statements'!DK115</f>
        <v>13372565.019999998</v>
      </c>
      <c r="AW19" s="92">
        <f>'Financial statements'!DL115</f>
        <v>12983481.700000003</v>
      </c>
      <c r="AX19" s="92">
        <f>'Financial statements'!DM115</f>
        <v>12171162.170000004</v>
      </c>
      <c r="AY19" s="92">
        <f>'Financial statements'!DN115</f>
        <v>10616371.91</v>
      </c>
      <c r="AZ19" s="92">
        <f>'Financial statements'!DO115</f>
        <v>10026678.109999999</v>
      </c>
      <c r="BA19" s="92">
        <f>'Financial statements'!DP115</f>
        <v>9613613.3599999994</v>
      </c>
      <c r="BB19" s="92">
        <f>'Financial statements'!DQ115</f>
        <v>8505448.3900000006</v>
      </c>
      <c r="BC19" s="92">
        <f>'Financial statements'!DR115</f>
        <v>7927932.2400000012</v>
      </c>
      <c r="BD19" s="92">
        <f>'Financial statements'!DS115</f>
        <v>8765841.2500000019</v>
      </c>
      <c r="BE19" s="92">
        <f>'Financial statements'!DT115</f>
        <v>8310817.6400000006</v>
      </c>
      <c r="BF19" s="92">
        <f>'Financial statements'!DU115</f>
        <v>12024752.77</v>
      </c>
      <c r="BG19" s="92">
        <f>'Financial statements'!DV115</f>
        <v>10392750.890000001</v>
      </c>
      <c r="BH19" s="92">
        <f>'Financial statements'!DW115</f>
        <v>9923628.0000000037</v>
      </c>
      <c r="BI19" s="92">
        <f>'Financial statements'!DX115</f>
        <v>9047234</v>
      </c>
      <c r="BJ19" s="92">
        <f>'Financial statements'!DY115</f>
        <v>8442636.9970905259</v>
      </c>
      <c r="BK19" s="92">
        <f>'Financial statements'!DZ115</f>
        <v>9129620.5600000005</v>
      </c>
      <c r="BL19" s="92">
        <f>'Financial statements'!EA115</f>
        <v>7920374.9900000002</v>
      </c>
      <c r="BM19" s="92">
        <f>'Financial statements'!EB115</f>
        <v>7017717.7000000002</v>
      </c>
      <c r="BN19" s="92">
        <f>'Financial statements'!EC115</f>
        <v>6130834.8700000001</v>
      </c>
      <c r="BO19" s="92">
        <f>'Financial statements'!ED115</f>
        <v>6464107.8099999996</v>
      </c>
      <c r="BP19" s="92">
        <f>'Financial statements'!EE115</f>
        <v>5559138.8300000001</v>
      </c>
      <c r="BQ19" s="92">
        <f>'Financial statements'!EF115</f>
        <v>6089186.7224634904</v>
      </c>
      <c r="BR19" s="92">
        <f>'Financial statements'!EG115</f>
        <v>5673591.8027059287</v>
      </c>
      <c r="BS19" s="92">
        <f>'Financial statements'!EH115</f>
        <v>5295596.6294021904</v>
      </c>
      <c r="BT19" s="92">
        <f>'Financial statements'!EI115</f>
        <v>4633664.0963715902</v>
      </c>
      <c r="BU19" s="92">
        <f>'Financial statements'!EJ115</f>
        <v>4671824.5761107868</v>
      </c>
      <c r="BV19" s="92">
        <f>'Financial statements'!EK115</f>
        <v>4143324.3771296595</v>
      </c>
      <c r="BW19" s="92">
        <f>'Financial statements'!EL115</f>
        <v>4385626.7420543507</v>
      </c>
      <c r="BX19" s="92">
        <f>'Financial statements'!EM115</f>
        <v>3197701.6310328082</v>
      </c>
      <c r="BY19" s="92">
        <f>'Financial statements'!EN115</f>
        <v>2605792.4845970962</v>
      </c>
      <c r="BZ19" s="92">
        <f>'Financial statements'!EO115</f>
        <v>2759175.6884436202</v>
      </c>
      <c r="CA19" s="92">
        <f>'Financial statements'!EP115</f>
        <v>2468764.0496096662</v>
      </c>
      <c r="CB19" s="92">
        <f>'Financial statements'!EQ115</f>
        <v>2353140.2950251303</v>
      </c>
      <c r="CC19" s="92">
        <f>'Financial statements'!ER115</f>
        <v>3130310.5620051571</v>
      </c>
      <c r="CD19" s="92">
        <f>'Financial statements'!ES115</f>
        <v>4255112.0310622267</v>
      </c>
      <c r="CE19" s="92">
        <f>'Financial statements'!ET115</f>
        <v>3428321.744589733</v>
      </c>
      <c r="CF19" s="92">
        <f>'Financial statements'!EU115</f>
        <v>3045742.2727231313</v>
      </c>
      <c r="CG19" s="92">
        <f>'Financial statements'!EV115</f>
        <v>2351182.9401169037</v>
      </c>
      <c r="CH19" s="92">
        <f>'Financial statements'!EW115</f>
        <v>4672940.0991020948</v>
      </c>
      <c r="CI19" s="92">
        <f>'Financial statements'!EX115</f>
        <v>3906031.7634248561</v>
      </c>
      <c r="CJ19" s="92">
        <f>'Financial statements'!EY115</f>
        <v>3099115.2867071331</v>
      </c>
      <c r="CK19" s="92">
        <f>'Financial statements'!EZ115</f>
        <v>2832541.2929573487</v>
      </c>
      <c r="CL19" s="92">
        <f>'Financial statements'!FA115</f>
        <v>2467098.4919532258</v>
      </c>
      <c r="CM19" s="92">
        <f>'Financial statements'!FB115</f>
        <v>2427631.8500138093</v>
      </c>
      <c r="CN19" s="92">
        <f>'Financial statements'!FC115</f>
        <v>2537064.2252016244</v>
      </c>
      <c r="CO19" s="92">
        <f>'Financial statements'!FD115</f>
        <v>3301624.9456113754</v>
      </c>
      <c r="CP19" s="92">
        <f>'Financial statements'!FE115</f>
        <v>3285212.9272379032</v>
      </c>
      <c r="CQ19" s="92">
        <f>'Financial statements'!FF115</f>
        <v>2603949.8638108401</v>
      </c>
      <c r="CR19" s="92">
        <f>'Financial statements'!FG115</f>
        <v>2430217.6833325583</v>
      </c>
      <c r="CS19" s="92">
        <f>'Financial statements'!FH115</f>
        <v>1775501.8466863176</v>
      </c>
      <c r="CT19" s="92">
        <f>'Financial statements'!FI115</f>
        <v>3096169.7488773288</v>
      </c>
      <c r="CU19" s="92">
        <f>'Financial statements'!FJ115</f>
        <v>3146355.31614932</v>
      </c>
      <c r="CV19" s="664">
        <f>'Financial statements'!FK115</f>
        <v>4773852.065736643</v>
      </c>
      <c r="CW19" s="92"/>
      <c r="CX19" s="92"/>
      <c r="CY19" s="92">
        <f>CJ19</f>
        <v>3099115.2867071331</v>
      </c>
      <c r="CZ19" s="704">
        <f>CV19</f>
        <v>4773852.065736643</v>
      </c>
      <c r="DA19" s="88"/>
      <c r="DB19" s="507">
        <f>CJ19</f>
        <v>3099115.2867071331</v>
      </c>
    </row>
    <row r="20" spans="2:109" ht="14.5" x14ac:dyDescent="0.35">
      <c r="B20" s="78"/>
      <c r="CV20" s="453"/>
      <c r="CZ20" s="91"/>
      <c r="DB20" s="507"/>
    </row>
    <row r="21" spans="2:109" ht="14.5" x14ac:dyDescent="0.35">
      <c r="B21" s="78" t="s">
        <v>20</v>
      </c>
      <c r="C21" s="93">
        <f>'Customer data'!L268</f>
        <v>967</v>
      </c>
      <c r="D21" s="93">
        <f>'Customer data'!M268</f>
        <v>1008</v>
      </c>
      <c r="E21" s="93">
        <f>'Customer data'!N268</f>
        <v>1083</v>
      </c>
      <c r="F21" s="93">
        <f>'Customer data'!O268</f>
        <v>1120</v>
      </c>
      <c r="G21" s="93">
        <f>'Customer data'!P268</f>
        <v>1175</v>
      </c>
      <c r="H21" s="93">
        <f>'Customer data'!Q268</f>
        <v>1221</v>
      </c>
      <c r="I21" s="93">
        <f>'Customer data'!R268</f>
        <v>1216</v>
      </c>
      <c r="J21" s="93">
        <f>'Customer data'!S268</f>
        <v>1252</v>
      </c>
      <c r="K21" s="93">
        <f>'Customer data'!T268</f>
        <v>1278</v>
      </c>
      <c r="L21" s="93">
        <f>'Customer data'!U268</f>
        <v>1284</v>
      </c>
      <c r="M21" s="93">
        <f>'Customer data'!V268</f>
        <v>1308</v>
      </c>
      <c r="N21" s="93">
        <f>'Customer data'!W268</f>
        <v>1324</v>
      </c>
      <c r="O21" s="93">
        <f>'Customer data'!X268</f>
        <v>1351</v>
      </c>
      <c r="P21" s="93">
        <f>'Customer data'!Y268</f>
        <v>1374</v>
      </c>
      <c r="Q21" s="93">
        <f>'Customer data'!Z268</f>
        <v>1402</v>
      </c>
      <c r="R21" s="93">
        <f>'Customer data'!AA268</f>
        <v>1392</v>
      </c>
      <c r="S21" s="93">
        <f>'Customer data'!AB268</f>
        <v>1393</v>
      </c>
      <c r="T21" s="93">
        <f>'Customer data'!AC268</f>
        <v>1422</v>
      </c>
      <c r="U21" s="93">
        <f>'Customer data'!AD268</f>
        <v>1417</v>
      </c>
      <c r="V21" s="93">
        <f>'Customer data'!AE268</f>
        <v>1432</v>
      </c>
      <c r="W21" s="93">
        <f>'Customer data'!AF268</f>
        <v>1432</v>
      </c>
      <c r="X21" s="93">
        <f>'Customer data'!AG268</f>
        <v>1412</v>
      </c>
      <c r="Y21" s="93">
        <f>'Customer data'!AH268</f>
        <v>1391</v>
      </c>
      <c r="Z21" s="93">
        <f>'Customer data'!AI268</f>
        <v>1381</v>
      </c>
      <c r="AA21" s="93">
        <f>'Customer data'!AJ268</f>
        <v>1379</v>
      </c>
      <c r="AB21" s="93">
        <f>'Customer data'!AK268</f>
        <v>1374</v>
      </c>
      <c r="AC21" s="93">
        <f>'Customer data'!AL268</f>
        <v>1384</v>
      </c>
      <c r="AD21" s="93">
        <f>'Customer data'!AM268</f>
        <v>1357</v>
      </c>
      <c r="AE21" s="93">
        <f>'Customer data'!AN268</f>
        <v>1332</v>
      </c>
      <c r="AF21" s="93">
        <f>'Customer data'!AO268</f>
        <v>1325</v>
      </c>
      <c r="AG21" s="93">
        <f>'Customer data'!AP268</f>
        <v>1301</v>
      </c>
      <c r="AH21" s="93">
        <f>'Customer data'!AQ268</f>
        <v>1291</v>
      </c>
      <c r="AI21" s="93">
        <f>'Customer data'!AR268</f>
        <v>1295</v>
      </c>
      <c r="AJ21" s="93">
        <f>'Customer data'!AS268</f>
        <v>1285</v>
      </c>
      <c r="AK21" s="93">
        <f>'Customer data'!AT268</f>
        <v>1289</v>
      </c>
      <c r="AL21" s="93">
        <f>'Customer data'!AU268</f>
        <v>1279</v>
      </c>
      <c r="AM21" s="93">
        <f>'Customer data'!AV268</f>
        <v>1265</v>
      </c>
      <c r="AN21" s="93">
        <f>'Customer data'!AW268</f>
        <v>1251</v>
      </c>
      <c r="AO21" s="93">
        <f>'Customer data'!AX268</f>
        <v>1252</v>
      </c>
      <c r="AP21" s="93">
        <f>'Customer data'!AY268</f>
        <v>1179</v>
      </c>
      <c r="AQ21" s="93">
        <f>'Customer data'!AZ268</f>
        <v>1186</v>
      </c>
      <c r="AR21" s="93">
        <f>'Customer data'!BA268</f>
        <v>1192</v>
      </c>
      <c r="AS21" s="93">
        <f>'Customer data'!BB268</f>
        <v>1197</v>
      </c>
      <c r="AT21" s="93">
        <f>'Customer data'!BC268</f>
        <v>1137</v>
      </c>
      <c r="AU21" s="93">
        <f>'Customer data'!BD268</f>
        <v>1146</v>
      </c>
      <c r="AV21" s="93">
        <f>'Customer data'!BE268</f>
        <v>1139</v>
      </c>
      <c r="AW21" s="93">
        <f>'Customer data'!BF268</f>
        <v>1134</v>
      </c>
      <c r="AX21" s="93">
        <f>'Customer data'!BG268</f>
        <v>1134</v>
      </c>
      <c r="AY21" s="93">
        <f>'Customer data'!BH268</f>
        <v>1122</v>
      </c>
      <c r="AZ21" s="93">
        <f>'Customer data'!BI268</f>
        <v>1125</v>
      </c>
      <c r="BA21" s="93">
        <f>'Customer data'!BJ268</f>
        <v>1129</v>
      </c>
      <c r="BB21" s="93">
        <f>'Customer data'!BK268</f>
        <v>1125</v>
      </c>
      <c r="BC21" s="93">
        <f>'Customer data'!BL268</f>
        <v>1155</v>
      </c>
      <c r="BD21" s="93">
        <f>'Customer data'!BM268</f>
        <v>1160</v>
      </c>
      <c r="BE21" s="93">
        <f>'Customer data'!BN268</f>
        <v>1133</v>
      </c>
      <c r="BF21" s="93">
        <f>'Customer data'!BO268</f>
        <v>1076</v>
      </c>
      <c r="BG21" s="93">
        <f>'Customer data'!BP268</f>
        <v>1076</v>
      </c>
      <c r="BH21" s="93">
        <f>'Customer data'!BQ268</f>
        <v>1058</v>
      </c>
      <c r="BI21" s="93">
        <f>'Customer data'!BR268</f>
        <v>1059</v>
      </c>
      <c r="BJ21" s="93">
        <f>'Customer data'!BS268</f>
        <v>1051</v>
      </c>
      <c r="BK21" s="93">
        <f>'Customer data'!BT268</f>
        <v>1049</v>
      </c>
      <c r="BL21" s="93">
        <f>'Customer data'!BU268</f>
        <v>1030</v>
      </c>
      <c r="BM21" s="93">
        <f>'Customer data'!BV268</f>
        <v>978</v>
      </c>
      <c r="BN21" s="93">
        <f>'Customer data'!BW268</f>
        <v>966</v>
      </c>
      <c r="BO21" s="93">
        <f>'Customer data'!BX268</f>
        <v>962</v>
      </c>
      <c r="BP21" s="93">
        <f>'Customer data'!BY268</f>
        <v>972</v>
      </c>
      <c r="BQ21" s="93">
        <f>'Customer data'!BZ268</f>
        <v>973</v>
      </c>
      <c r="BR21" s="93">
        <f>'Customer data'!CA268</f>
        <v>978</v>
      </c>
      <c r="BS21" s="93">
        <f>'Customer data'!CB268</f>
        <v>987</v>
      </c>
      <c r="BT21" s="93">
        <f>'Customer data'!CC268</f>
        <v>998</v>
      </c>
      <c r="BU21" s="93">
        <f>'Customer data'!CD268</f>
        <v>1002</v>
      </c>
      <c r="BV21" s="93">
        <f>'Customer data'!CE268</f>
        <v>1010</v>
      </c>
      <c r="BW21" s="93">
        <f>'Customer data'!CF268</f>
        <v>996</v>
      </c>
      <c r="BX21" s="93">
        <f>'Customer data'!CG268</f>
        <v>1001</v>
      </c>
      <c r="BY21" s="93">
        <f>'Customer data'!CH268</f>
        <v>988</v>
      </c>
      <c r="BZ21" s="93">
        <f>'Customer data'!CI268</f>
        <v>1003</v>
      </c>
      <c r="CA21" s="93">
        <f>'Customer data'!CJ268</f>
        <v>1001</v>
      </c>
      <c r="CB21" s="93">
        <f>'Customer data'!CK268</f>
        <v>1013</v>
      </c>
      <c r="CC21" s="93">
        <f>'Customer data'!CL268</f>
        <v>1038</v>
      </c>
      <c r="CD21" s="93">
        <f>'Customer data'!CM268</f>
        <v>1029</v>
      </c>
      <c r="CE21" s="93">
        <f>'Customer data'!CN268</f>
        <v>1037</v>
      </c>
      <c r="CF21" s="93">
        <f>'Customer data'!CO268</f>
        <v>1055</v>
      </c>
      <c r="CG21" s="93">
        <f>'Customer data'!CP268</f>
        <v>1065</v>
      </c>
      <c r="CH21" s="93">
        <f>'Customer data'!CQ268</f>
        <v>1037</v>
      </c>
      <c r="CI21" s="93">
        <f>'Customer data'!CR268</f>
        <v>1034</v>
      </c>
      <c r="CJ21" s="93">
        <f>'Customer data'!CS268</f>
        <v>1033</v>
      </c>
      <c r="CK21" s="93">
        <f>'Customer data'!CT268</f>
        <v>1044</v>
      </c>
      <c r="CL21" s="93">
        <f>'Customer data'!CU268</f>
        <v>1045</v>
      </c>
      <c r="CM21" s="93">
        <f>'Customer data'!CV268</f>
        <v>1049</v>
      </c>
      <c r="CN21" s="93">
        <f>'Customer data'!CW268</f>
        <v>1052</v>
      </c>
      <c r="CO21" s="93">
        <f>'Customer data'!CX268</f>
        <v>1055</v>
      </c>
      <c r="CP21" s="93">
        <f>'Customer data'!CY268</f>
        <v>1055</v>
      </c>
      <c r="CQ21" s="93">
        <f>'Customer data'!CZ268</f>
        <v>1059</v>
      </c>
      <c r="CR21" s="93">
        <f>'Customer data'!DA268</f>
        <v>1063</v>
      </c>
      <c r="CS21" s="93">
        <f>'Customer data'!DB268</f>
        <v>1077</v>
      </c>
      <c r="CT21" s="93">
        <f>'Customer data'!DC268</f>
        <v>1078</v>
      </c>
      <c r="CU21" s="93">
        <f>'Customer data'!DD268</f>
        <v>1056</v>
      </c>
      <c r="CV21" s="729">
        <f>'Customer data'!DE268</f>
        <v>1076</v>
      </c>
      <c r="CW21" s="93"/>
      <c r="CX21" s="93"/>
      <c r="CY21" s="93">
        <f>CJ21</f>
        <v>1033</v>
      </c>
      <c r="CZ21" s="708">
        <f>SUM($CU21:CV21)</f>
        <v>2132</v>
      </c>
      <c r="DA21" s="93"/>
      <c r="DB21" s="508">
        <f>CJ21</f>
        <v>1033</v>
      </c>
    </row>
    <row r="22" spans="2:109" ht="14.5" x14ac:dyDescent="0.35">
      <c r="B22" s="78" t="s">
        <v>21</v>
      </c>
      <c r="C22" s="102">
        <f>'Customer data'!L260</f>
        <v>1003681</v>
      </c>
      <c r="D22" s="102">
        <f>'Customer data'!M260</f>
        <v>1011809</v>
      </c>
      <c r="E22" s="102">
        <f>'Customer data'!N260</f>
        <v>1054447</v>
      </c>
      <c r="F22" s="102">
        <f>'Customer data'!O260</f>
        <v>946983</v>
      </c>
      <c r="G22" s="102">
        <f>'Customer data'!P260</f>
        <v>968106</v>
      </c>
      <c r="H22" s="102">
        <f>'Customer data'!Q260</f>
        <v>988289</v>
      </c>
      <c r="I22" s="102">
        <f>'Customer data'!R260</f>
        <v>999982</v>
      </c>
      <c r="J22" s="102">
        <f>'Customer data'!S260</f>
        <v>1019404</v>
      </c>
      <c r="K22" s="102">
        <f>'Customer data'!T260</f>
        <v>1032026</v>
      </c>
      <c r="L22" s="102">
        <f>'Customer data'!U260</f>
        <v>1055467</v>
      </c>
      <c r="M22" s="102">
        <f>'Customer data'!V260</f>
        <v>1065677</v>
      </c>
      <c r="N22" s="102">
        <f>'Customer data'!W260</f>
        <v>1074637</v>
      </c>
      <c r="O22" s="102">
        <f>'Customer data'!X260</f>
        <v>1089520</v>
      </c>
      <c r="P22" s="102">
        <f>'Customer data'!Y260</f>
        <v>1092624</v>
      </c>
      <c r="Q22" s="102">
        <f>'Customer data'!Z260</f>
        <v>1101393</v>
      </c>
      <c r="R22" s="102">
        <f>'Customer data'!AA260</f>
        <v>1144687</v>
      </c>
      <c r="S22" s="102">
        <f>'Customer data'!AB260</f>
        <v>1148786</v>
      </c>
      <c r="T22" s="102">
        <f>'Customer data'!AC260</f>
        <v>1184987</v>
      </c>
      <c r="U22" s="102">
        <f>'Customer data'!AD260</f>
        <v>1207786</v>
      </c>
      <c r="V22" s="102">
        <f>'Customer data'!AE260</f>
        <v>1204322</v>
      </c>
      <c r="W22" s="102">
        <f>'Customer data'!AF260</f>
        <v>1231101</v>
      </c>
      <c r="X22" s="102">
        <f>'Customer data'!AG260</f>
        <v>1250166</v>
      </c>
      <c r="Y22" s="102">
        <f>'Customer data'!AH260</f>
        <v>1263204</v>
      </c>
      <c r="Z22" s="102">
        <f>'Customer data'!AI260</f>
        <v>1296375</v>
      </c>
      <c r="AA22" s="102">
        <f>'Customer data'!AJ260</f>
        <v>1291698</v>
      </c>
      <c r="AB22" s="102">
        <f>'Customer data'!AK260</f>
        <v>1327688</v>
      </c>
      <c r="AC22" s="102">
        <f>'Customer data'!AL260</f>
        <v>1326448</v>
      </c>
      <c r="AD22" s="102">
        <f>'Customer data'!AM260</f>
        <v>1322711</v>
      </c>
      <c r="AE22" s="102">
        <f>'Customer data'!AN260</f>
        <v>1358794</v>
      </c>
      <c r="AF22" s="102">
        <f>'Customer data'!AO260</f>
        <v>1391760</v>
      </c>
      <c r="AG22" s="102">
        <f>'Customer data'!AP260</f>
        <v>1413521</v>
      </c>
      <c r="AH22" s="102">
        <f>'Customer data'!AQ260</f>
        <v>1425872</v>
      </c>
      <c r="AI22" s="102">
        <f>'Customer data'!AR260</f>
        <v>1442924</v>
      </c>
      <c r="AJ22" s="102">
        <f>'Customer data'!AS260</f>
        <v>1427432</v>
      </c>
      <c r="AK22" s="102">
        <f>'Customer data'!AT260</f>
        <v>1440186</v>
      </c>
      <c r="AL22" s="102">
        <f>'Customer data'!AU260</f>
        <v>1431382</v>
      </c>
      <c r="AM22" s="102">
        <f>'Customer data'!AV260</f>
        <v>1450313</v>
      </c>
      <c r="AN22" s="102">
        <f>'Customer data'!AW260</f>
        <v>1467226</v>
      </c>
      <c r="AO22" s="102">
        <f>'Customer data'!AX260</f>
        <v>1503853</v>
      </c>
      <c r="AP22" s="102">
        <f>'Customer data'!AY260</f>
        <v>1577177</v>
      </c>
      <c r="AQ22" s="102">
        <f>'Customer data'!AZ260</f>
        <v>1612586</v>
      </c>
      <c r="AR22" s="102">
        <f>'Customer data'!BA260</f>
        <v>1681566</v>
      </c>
      <c r="AS22" s="102">
        <f>'Customer data'!BB260</f>
        <v>1711496</v>
      </c>
      <c r="AT22" s="102">
        <f>'Customer data'!BC260</f>
        <v>1734078</v>
      </c>
      <c r="AU22" s="102">
        <f>'Customer data'!BD260</f>
        <v>1788994</v>
      </c>
      <c r="AV22" s="102">
        <f>'Customer data'!BE260</f>
        <v>1827973</v>
      </c>
      <c r="AW22" s="102">
        <f>'Customer data'!BF260</f>
        <v>1870175</v>
      </c>
      <c r="AX22" s="102">
        <f>'Customer data'!BG260</f>
        <v>1890458</v>
      </c>
      <c r="AY22" s="102">
        <f>'Customer data'!BH260</f>
        <v>1931866</v>
      </c>
      <c r="AZ22" s="102">
        <f>'Customer data'!BI260</f>
        <v>1963862</v>
      </c>
      <c r="BA22" s="102">
        <f>'Customer data'!BJ260</f>
        <v>1984697</v>
      </c>
      <c r="BB22" s="102">
        <f>'Customer data'!BK260</f>
        <v>2022406</v>
      </c>
      <c r="BC22" s="102">
        <f>'Customer data'!BL260</f>
        <v>2059640</v>
      </c>
      <c r="BD22" s="102">
        <f>'Customer data'!BM260</f>
        <v>2094197</v>
      </c>
      <c r="BE22" s="102">
        <f>'Customer data'!BN260</f>
        <v>2141438</v>
      </c>
      <c r="BF22" s="102">
        <f>'Customer data'!BO260</f>
        <v>2149372</v>
      </c>
      <c r="BG22" s="102">
        <f>'Customer data'!BP260</f>
        <v>2197839</v>
      </c>
      <c r="BH22" s="102">
        <f>'Customer data'!BQ260</f>
        <v>2215769</v>
      </c>
      <c r="BI22" s="102">
        <f>'Customer data'!BR260</f>
        <v>2274154</v>
      </c>
      <c r="BJ22" s="102">
        <f>'Customer data'!BS260</f>
        <v>2311815</v>
      </c>
      <c r="BK22" s="102">
        <f>'Customer data'!BT260</f>
        <v>2223942</v>
      </c>
      <c r="BL22" s="102">
        <f>'Customer data'!BU260</f>
        <v>2269188</v>
      </c>
      <c r="BM22" s="102">
        <f>'Customer data'!BV260</f>
        <v>2239713</v>
      </c>
      <c r="BN22" s="102">
        <f>'Customer data'!BW260</f>
        <v>2258940</v>
      </c>
      <c r="BO22" s="102">
        <f>'Customer data'!BX260</f>
        <v>2280733</v>
      </c>
      <c r="BP22" s="102">
        <f>'Customer data'!BY260</f>
        <v>2279461</v>
      </c>
      <c r="BQ22" s="102">
        <f>'Customer data'!BZ260</f>
        <v>2301970</v>
      </c>
      <c r="BR22" s="102">
        <f>'Customer data'!CA260</f>
        <v>2321629</v>
      </c>
      <c r="BS22" s="102">
        <f>'Customer data'!CB260</f>
        <v>2362192</v>
      </c>
      <c r="BT22" s="102">
        <f>'Customer data'!CC260</f>
        <v>2396388</v>
      </c>
      <c r="BU22" s="102">
        <f>'Customer data'!CD260</f>
        <v>2433721</v>
      </c>
      <c r="BV22" s="102">
        <f>'Customer data'!CE260</f>
        <v>2452291</v>
      </c>
      <c r="BW22" s="102">
        <f>'Customer data'!CF260</f>
        <v>2465405</v>
      </c>
      <c r="BX22" s="102">
        <f>'Customer data'!CG260</f>
        <v>2463246</v>
      </c>
      <c r="BY22" s="102">
        <f>'Customer data'!CH260</f>
        <v>2528738</v>
      </c>
      <c r="BZ22" s="102">
        <f>'Customer data'!CI260</f>
        <v>2539659</v>
      </c>
      <c r="CA22" s="102">
        <f>'Customer data'!CJ260</f>
        <v>2569997</v>
      </c>
      <c r="CB22" s="102">
        <f>'Customer data'!CK260</f>
        <v>2559022</v>
      </c>
      <c r="CC22" s="102">
        <f>'Customer data'!CL260</f>
        <v>2529552</v>
      </c>
      <c r="CD22" s="102">
        <f>'Customer data'!CM260</f>
        <v>2565076</v>
      </c>
      <c r="CE22" s="102">
        <f>'Customer data'!CN260</f>
        <v>2551871</v>
      </c>
      <c r="CF22" s="102">
        <f>'Customer data'!CO260</f>
        <v>2566325</v>
      </c>
      <c r="CG22" s="102">
        <f>'Customer data'!CP260</f>
        <v>2638477</v>
      </c>
      <c r="CH22" s="102">
        <f>'Customer data'!CQ260</f>
        <v>2636733</v>
      </c>
      <c r="CI22" s="102">
        <f>'Customer data'!CR260</f>
        <v>2643984</v>
      </c>
      <c r="CJ22" s="102">
        <f>'Customer data'!CS260</f>
        <v>2642271</v>
      </c>
      <c r="CK22" s="102">
        <f>'Customer data'!CT260</f>
        <v>2659831</v>
      </c>
      <c r="CL22" s="102">
        <f>'Customer data'!CU260</f>
        <v>2661581</v>
      </c>
      <c r="CM22" s="102">
        <f>'Customer data'!CV260</f>
        <v>2674243</v>
      </c>
      <c r="CN22" s="102">
        <f>'Customer data'!CW260</f>
        <v>2712020</v>
      </c>
      <c r="CO22" s="102">
        <f>'Customer data'!CX260</f>
        <v>4833926</v>
      </c>
      <c r="CP22" s="102">
        <f>'Customer data'!CY260</f>
        <v>4837176</v>
      </c>
      <c r="CQ22" s="102">
        <f>'Customer data'!CZ260</f>
        <v>4872014</v>
      </c>
      <c r="CR22" s="102">
        <f>'Customer data'!DA260</f>
        <v>4894166</v>
      </c>
      <c r="CS22" s="102">
        <f>'Customer data'!DB260</f>
        <v>4933670</v>
      </c>
      <c r="CT22" s="102">
        <f>'Customer data'!DC260</f>
        <v>4989825</v>
      </c>
      <c r="CU22" s="102">
        <f>'Customer data'!DD260</f>
        <v>5002737</v>
      </c>
      <c r="CV22" s="519">
        <f>'Customer data'!DE260</f>
        <v>5032348</v>
      </c>
      <c r="CW22" s="102"/>
      <c r="CX22" s="102"/>
      <c r="CY22" s="102">
        <f>CJ22</f>
        <v>2642271</v>
      </c>
      <c r="CZ22" s="519">
        <f>SUM($CU22:CV22)</f>
        <v>10035085</v>
      </c>
      <c r="DA22" s="102"/>
      <c r="DB22" s="509">
        <f>CJ22</f>
        <v>2642271</v>
      </c>
      <c r="DE22" s="93"/>
    </row>
    <row r="23" spans="2:109" ht="14.5" x14ac:dyDescent="0.35">
      <c r="B23" s="78" t="s">
        <v>22</v>
      </c>
      <c r="C23" s="709">
        <f>'Customer data'!L265</f>
        <v>0.44055232688473728</v>
      </c>
      <c r="D23" s="709">
        <f>'Customer data'!M265</f>
        <v>0.43709534111675225</v>
      </c>
      <c r="E23" s="709">
        <f>'Customer data'!N265</f>
        <v>0.43224363102175833</v>
      </c>
      <c r="F23" s="709">
        <f>'Customer data'!O265</f>
        <v>0.36389776796415563</v>
      </c>
      <c r="G23" s="709">
        <f>'Customer data'!P265</f>
        <v>0.35595792196309084</v>
      </c>
      <c r="H23" s="709">
        <f>'Customer data'!Q265</f>
        <v>0.3486884909171305</v>
      </c>
      <c r="I23" s="709">
        <f>'Customer data'!R265</f>
        <v>0.34482720688972401</v>
      </c>
      <c r="J23" s="709">
        <f>'Customer data'!S265</f>
        <v>0.33825745239375166</v>
      </c>
      <c r="K23" s="709">
        <f>'Customer data'!T265</f>
        <v>0.33412045820551034</v>
      </c>
      <c r="L23" s="709">
        <f>'Customer data'!U265</f>
        <v>0.33688878951213064</v>
      </c>
      <c r="M23" s="709">
        <f>'Customer data'!V265</f>
        <v>0.33366113747411269</v>
      </c>
      <c r="N23" s="709">
        <f>'Customer data'!W265</f>
        <v>0.33087917129225963</v>
      </c>
      <c r="O23" s="709">
        <f>'Customer data'!X265</f>
        <v>0.32980395036346283</v>
      </c>
      <c r="P23" s="709">
        <f>'Customer data'!Y265</f>
        <v>0.31906859084186323</v>
      </c>
      <c r="Q23" s="709">
        <f>'Customer data'!Z265</f>
        <v>0.29924922348335242</v>
      </c>
      <c r="R23" s="709">
        <f>'Customer data'!AA265</f>
        <v>0.3134647287861223</v>
      </c>
      <c r="S23" s="709">
        <f>'Customer data'!AB265</f>
        <v>0.29434202714865954</v>
      </c>
      <c r="T23" s="709">
        <f>'Customer data'!AC265</f>
        <v>0.30208770222795694</v>
      </c>
      <c r="U23" s="709">
        <f>'Customer data'!AD265</f>
        <v>0.30286656742171214</v>
      </c>
      <c r="V23" s="709">
        <f>'Customer data'!AE265</f>
        <v>0.28953801391986528</v>
      </c>
      <c r="W23" s="709">
        <f>'Customer data'!AF265</f>
        <v>0.29063090680618403</v>
      </c>
      <c r="X23" s="709">
        <f>'Customer data'!AG265</f>
        <v>0.28635077261739639</v>
      </c>
      <c r="Y23" s="709">
        <f>'Customer data'!AH265</f>
        <v>0.27847679393035485</v>
      </c>
      <c r="Z23" s="709">
        <f>'Customer data'!AI265</f>
        <v>0.29044759425320604</v>
      </c>
      <c r="AA23" s="709">
        <f>'Customer data'!AJ265</f>
        <v>0.27495436239740251</v>
      </c>
      <c r="AB23" s="709">
        <f>'Customer data'!AK265</f>
        <v>0.28295201884780158</v>
      </c>
      <c r="AC23" s="709">
        <f>'Customer data'!AL265</f>
        <v>0.26923256697586334</v>
      </c>
      <c r="AD23" s="709">
        <f>'Customer data'!AM265</f>
        <v>0.26774858604789709</v>
      </c>
      <c r="AE23" s="709">
        <f>'Customer data'!AN265</f>
        <v>0.28135096269191651</v>
      </c>
      <c r="AF23" s="709">
        <f>'Customer data'!AO265</f>
        <v>0.28277863999540148</v>
      </c>
      <c r="AG23" s="709">
        <f>'Customer data'!AP265</f>
        <v>0.27855829520749958</v>
      </c>
      <c r="AH23" s="709">
        <f>'Customer data'!AQ265</f>
        <v>0.27517477024585657</v>
      </c>
      <c r="AI23" s="709">
        <f>'Customer data'!AR265</f>
        <v>0.27879916059335075</v>
      </c>
      <c r="AJ23" s="709">
        <f>'Customer data'!AS265</f>
        <v>0.26059525077201579</v>
      </c>
      <c r="AK23" s="709">
        <f>'Customer data'!AT265</f>
        <v>0.25796251317538149</v>
      </c>
      <c r="AL23" s="709">
        <f>'Customer data'!AU265</f>
        <v>0.25210251351491075</v>
      </c>
      <c r="AM23" s="709">
        <f>'Customer data'!AV265</f>
        <v>0.24970954545673935</v>
      </c>
      <c r="AN23" s="709">
        <f>'Customer data'!AW265</f>
        <v>0.24091653228609636</v>
      </c>
      <c r="AO23" s="709">
        <f>'Customer data'!AX265</f>
        <v>0.2350489043809468</v>
      </c>
      <c r="AP23" s="709">
        <f>'Customer data'!AY265</f>
        <v>0.22768528833479057</v>
      </c>
      <c r="AQ23" s="709">
        <f>'Customer data'!AZ265</f>
        <v>0.22203156916902417</v>
      </c>
      <c r="AR23" s="709">
        <f>'Customer data'!BA265</f>
        <v>0.21292414332830231</v>
      </c>
      <c r="AS23" s="709">
        <f>'Customer data'!BB265</f>
        <v>0.19866771526196964</v>
      </c>
      <c r="AT23" s="709">
        <f>'Customer data'!BC265</f>
        <v>0.19324678590005756</v>
      </c>
      <c r="AU23" s="709">
        <f>'Customer data'!BD265</f>
        <v>0.18465796978637156</v>
      </c>
      <c r="AV23" s="709">
        <f>'Customer data'!BE265</f>
        <v>0.17869684070825992</v>
      </c>
      <c r="AW23" s="709">
        <f>'Customer data'!BF265</f>
        <v>0.17263143823438984</v>
      </c>
      <c r="AX23" s="709">
        <f>'Customer data'!BG265</f>
        <v>0.16749856384008532</v>
      </c>
      <c r="AY23" s="709">
        <f>'Customer data'!BH265</f>
        <v>0.16423965223260825</v>
      </c>
      <c r="AZ23" s="709">
        <f>'Customer data'!BI265</f>
        <v>0.16009933488198255</v>
      </c>
      <c r="BA23" s="709">
        <f>'Customer data'!BJ265</f>
        <v>0.15394541333009523</v>
      </c>
      <c r="BB23" s="709">
        <f>'Customer data'!BK265</f>
        <v>0.15103594431582976</v>
      </c>
      <c r="BC23" s="709">
        <f>'Customer data'!BL265</f>
        <v>0.14549630032432853</v>
      </c>
      <c r="BD23" s="709">
        <f>'Customer data'!BM265</f>
        <v>0.1406983201675869</v>
      </c>
      <c r="BE23" s="709">
        <f>'Customer data'!BN265</f>
        <v>0.14038603966119961</v>
      </c>
      <c r="BF23" s="709">
        <f>'Customer data'!BO265</f>
        <v>0.1356117042559408</v>
      </c>
      <c r="BG23" s="709">
        <f>'Customer data'!BP265</f>
        <v>0.13163248081410878</v>
      </c>
      <c r="BH23" s="709">
        <f>'Customer data'!BQ265</f>
        <v>0.12662556430747068</v>
      </c>
      <c r="BI23" s="709">
        <f>'Customer data'!BR265</f>
        <v>0.12374491789034515</v>
      </c>
      <c r="BJ23" s="709">
        <f>'Customer data'!BS265</f>
        <v>0.11882957762623739</v>
      </c>
      <c r="BK23" s="709">
        <f>'Customer data'!BT265</f>
        <v>0.12289304307396506</v>
      </c>
      <c r="BL23" s="709">
        <f>'Customer data'!BU265</f>
        <v>0.11971595125657283</v>
      </c>
      <c r="BM23" s="709">
        <f>'Customer data'!BV265</f>
        <v>0.12135706673131781</v>
      </c>
      <c r="BN23" s="709">
        <f>'Customer data'!BW265</f>
        <v>0.1191815630339894</v>
      </c>
      <c r="BO23" s="709">
        <f>'Customer data'!BX265</f>
        <v>0.11378754111068679</v>
      </c>
      <c r="BP23" s="709">
        <f>'Customer data'!BY265</f>
        <v>0.10575263187218382</v>
      </c>
      <c r="BQ23" s="709">
        <f>'Customer data'!BZ265</f>
        <v>0.10428024691894335</v>
      </c>
      <c r="BR23" s="709">
        <f>'Customer data'!CA265</f>
        <v>9.8483004821183745E-2</v>
      </c>
      <c r="BS23" s="709">
        <f>'Customer data'!CB265</f>
        <v>9.6393942575370678E-2</v>
      </c>
      <c r="BT23" s="709">
        <f>'Customer data'!CC265</f>
        <v>9.5202446348421038E-2</v>
      </c>
      <c r="BU23" s="709">
        <f>'Customer data'!CD265</f>
        <v>9.3964756025855065E-2</v>
      </c>
      <c r="BV23" s="709">
        <f>'Customer data'!CE265</f>
        <v>9.3715631627730972E-2</v>
      </c>
      <c r="BW23" s="709">
        <f>'Customer data'!CF265</f>
        <v>9.3027717555533476E-2</v>
      </c>
      <c r="BX23" s="709">
        <f>'Customer data'!CG265</f>
        <v>9.2232769280859481E-2</v>
      </c>
      <c r="BY23" s="709">
        <f>'Customer data'!CH265</f>
        <v>8.4431443668739115E-2</v>
      </c>
      <c r="BZ23" s="709">
        <f>'Customer data'!CI265</f>
        <v>8.406837295873186E-2</v>
      </c>
      <c r="CA23" s="709">
        <f>'Customer data'!CJ265</f>
        <v>8.3016439318800761E-2</v>
      </c>
      <c r="CB23" s="709">
        <f>'Customer data'!CK265</f>
        <v>8.266087591275105E-2</v>
      </c>
      <c r="CC23" s="709">
        <f>'Customer data'!CL265</f>
        <v>8.3642478984420954E-2</v>
      </c>
      <c r="CD23" s="709">
        <f>'Customer data'!CM265</f>
        <v>8.2249414832153117E-2</v>
      </c>
      <c r="CE23" s="709">
        <f>'Customer data'!CN265</f>
        <v>6.8765231471340046E-2</v>
      </c>
      <c r="CF23" s="709">
        <f>'Customer data'!CO265</f>
        <v>6.4725629061011369E-2</v>
      </c>
      <c r="CG23" s="709">
        <f>'Customer data'!CP265</f>
        <v>5.9793964472686326E-2</v>
      </c>
      <c r="CH23" s="709">
        <f>'Customer data'!CQ265</f>
        <v>4.8538475454283768E-2</v>
      </c>
      <c r="CI23" s="709">
        <f>'Customer data'!CR265</f>
        <v>4.7300588808404286E-2</v>
      </c>
      <c r="CJ23" s="709">
        <f>'Customer data'!CS265</f>
        <v>4.592905118362197E-2</v>
      </c>
      <c r="CK23" s="709">
        <f>'Customer data'!CT265</f>
        <v>3.9644624038143776E-2</v>
      </c>
      <c r="CL23" s="709">
        <f>'Customer data'!CU265</f>
        <v>3.5122733443017515E-2</v>
      </c>
      <c r="CM23" s="709">
        <f>'Customer data'!CV265</f>
        <v>3.4603811246771518E-2</v>
      </c>
      <c r="CN23" s="709">
        <f>'Customer data'!CW265</f>
        <v>3.3525563970767176E-2</v>
      </c>
      <c r="CO23" s="709">
        <f>'Customer data'!CX265</f>
        <v>1.8951055518847414E-2</v>
      </c>
      <c r="CP23" s="709">
        <f>'Customer data'!CY265</f>
        <v>1.9610615780777874E-2</v>
      </c>
      <c r="CQ23" s="709">
        <f>'Customer data'!CZ265</f>
        <v>1.9548178638238725E-2</v>
      </c>
      <c r="CR23" s="709">
        <f>'Customer data'!DA265</f>
        <v>1.951915811600996E-2</v>
      </c>
      <c r="CS23" s="709">
        <f>'Customer data'!DB265</f>
        <v>1.9345639250294405E-2</v>
      </c>
      <c r="CT23" s="709">
        <f>'Customer data'!DC265</f>
        <v>1.4336374522152581E-2</v>
      </c>
      <c r="CU23" s="709">
        <f>'Customer data'!DD265</f>
        <v>1.4543838702694146E-2</v>
      </c>
      <c r="CV23" s="730">
        <f>'Customer data'!DE265</f>
        <v>1.4371223929664641E-2</v>
      </c>
      <c r="CW23" s="709"/>
      <c r="CX23" s="709"/>
      <c r="CY23" s="709">
        <f>CJ23</f>
        <v>4.592905118362197E-2</v>
      </c>
      <c r="CZ23" s="711">
        <f>SUM($CU23:CV23)</f>
        <v>2.8915062632358789E-2</v>
      </c>
      <c r="DA23" s="709"/>
      <c r="DB23" s="510">
        <f>CJ23</f>
        <v>4.592905118362197E-2</v>
      </c>
      <c r="DE23" s="102"/>
    </row>
    <row r="24" spans="2:109" ht="14.5" x14ac:dyDescent="0.35">
      <c r="B24" s="78" t="s">
        <v>23</v>
      </c>
      <c r="C24" s="709">
        <f>'Customer data'!L266</f>
        <v>0</v>
      </c>
      <c r="D24" s="709">
        <f>'Customer data'!M266</f>
        <v>0</v>
      </c>
      <c r="E24" s="709">
        <f>'Customer data'!N266</f>
        <v>0</v>
      </c>
      <c r="F24" s="709">
        <f>'Customer data'!O266</f>
        <v>0.37603948539730914</v>
      </c>
      <c r="G24" s="709">
        <f>'Customer data'!P266</f>
        <v>0.37054206874040652</v>
      </c>
      <c r="H24" s="709">
        <f>'Customer data'!Q266</f>
        <v>0.37522425120587194</v>
      </c>
      <c r="I24" s="709">
        <f>'Customer data'!R266</f>
        <v>0.37162868931640769</v>
      </c>
      <c r="J24" s="709">
        <f>'Customer data'!S266</f>
        <v>0.37641209961899308</v>
      </c>
      <c r="K24" s="709">
        <f>'Customer data'!T266</f>
        <v>0.3781164428027976</v>
      </c>
      <c r="L24" s="709">
        <f>'Customer data'!U266</f>
        <v>0.39146273640009588</v>
      </c>
      <c r="M24" s="709">
        <f>'Customer data'!V266</f>
        <v>0.39402089000700963</v>
      </c>
      <c r="N24" s="709">
        <f>'Customer data'!W266</f>
        <v>0.39466629196649661</v>
      </c>
      <c r="O24" s="709">
        <f>'Customer data'!X266</f>
        <v>0.39277847125339599</v>
      </c>
      <c r="P24" s="709">
        <f>'Customer data'!Y266</f>
        <v>0.38599463310342808</v>
      </c>
      <c r="Q24" s="709">
        <f>'Customer data'!Z266</f>
        <v>0.36851605194512765</v>
      </c>
      <c r="R24" s="709">
        <f>'Customer data'!AA266</f>
        <v>0.38766579859821942</v>
      </c>
      <c r="S24" s="709">
        <f>'Customer data'!AB266</f>
        <v>0.3724026929297537</v>
      </c>
      <c r="T24" s="709">
        <f>'Customer data'!AC266</f>
        <v>0.3837130702699692</v>
      </c>
      <c r="U24" s="709">
        <f>'Customer data'!AD266</f>
        <v>0.38813581213890541</v>
      </c>
      <c r="V24" s="709">
        <f>'Customer data'!AE266</f>
        <v>0.37856652954940623</v>
      </c>
      <c r="W24" s="709">
        <f>'Customer data'!AF266</f>
        <v>0.3884206088696216</v>
      </c>
      <c r="X24" s="709">
        <f>'Customer data'!AG266</f>
        <v>0.3860607311349053</v>
      </c>
      <c r="Y24" s="709">
        <f>'Customer data'!AH266</f>
        <v>0.38484916133894448</v>
      </c>
      <c r="Z24" s="709">
        <f>'Customer data'!AI266</f>
        <v>0.39885141259280688</v>
      </c>
      <c r="AA24" s="709">
        <f>'Customer data'!AJ266</f>
        <v>0.38474318300407678</v>
      </c>
      <c r="AB24" s="709">
        <f>'Customer data'!AK266</f>
        <v>0.39118979760305134</v>
      </c>
      <c r="AC24" s="709">
        <f>'Customer data'!AL266</f>
        <v>0.37886897940967157</v>
      </c>
      <c r="AD24" s="709">
        <f>'Customer data'!AM266</f>
        <v>0.38153156660827647</v>
      </c>
      <c r="AE24" s="709">
        <f>'Customer data'!AN266</f>
        <v>0.39239870061245485</v>
      </c>
      <c r="AF24" s="709">
        <f>'Customer data'!AO266</f>
        <v>0.39062553888601481</v>
      </c>
      <c r="AG24" s="709">
        <f>'Customer data'!AP266</f>
        <v>0.39198144208681723</v>
      </c>
      <c r="AH24" s="709">
        <f>'Customer data'!AQ266</f>
        <v>0.39307735897752394</v>
      </c>
      <c r="AI24" s="709">
        <f>'Customer data'!AR266</f>
        <v>0.4018402909647355</v>
      </c>
      <c r="AJ24" s="709">
        <f>'Customer data'!AS266</f>
        <v>0.38558053903793665</v>
      </c>
      <c r="AK24" s="709">
        <f>'Customer data'!AT266</f>
        <v>0.38549326267579326</v>
      </c>
      <c r="AL24" s="709">
        <f>'Customer data'!AU266</f>
        <v>0.38211742218359601</v>
      </c>
      <c r="AM24" s="709">
        <f>'Customer data'!AV266</f>
        <v>0.37725649566679742</v>
      </c>
      <c r="AN24" s="709">
        <f>'Customer data'!AW266</f>
        <v>0.36916398700677333</v>
      </c>
      <c r="AO24" s="709">
        <f>'Customer data'!AX266</f>
        <v>0.36300289988449669</v>
      </c>
      <c r="AP24" s="709">
        <f>'Customer data'!AY266</f>
        <v>0.35124846482037209</v>
      </c>
      <c r="AQ24" s="709">
        <f>'Customer data'!AZ266</f>
        <v>0.34344028783581154</v>
      </c>
      <c r="AR24" s="709">
        <f>'Customer data'!BA266</f>
        <v>0.330320070696006</v>
      </c>
      <c r="AS24" s="709">
        <f>'Customer data'!BB266</f>
        <v>0.31728324226290916</v>
      </c>
      <c r="AT24" s="709">
        <f>'Customer data'!BC266</f>
        <v>0.31302109824356228</v>
      </c>
      <c r="AU24" s="709">
        <f>'Customer data'!BD266</f>
        <v>0.30152309063082383</v>
      </c>
      <c r="AV24" s="709">
        <f>'Customer data'!BE266</f>
        <v>0.29509845057886525</v>
      </c>
      <c r="AW24" s="709">
        <f>'Customer data'!BF266</f>
        <v>0.28951675645327307</v>
      </c>
      <c r="AX24" s="709">
        <f>'Customer data'!BG266</f>
        <v>0.28386507396620292</v>
      </c>
      <c r="AY24" s="709">
        <f>'Customer data'!BH266</f>
        <v>0.28001476292869176</v>
      </c>
      <c r="AZ24" s="709">
        <f>'Customer data'!BI266</f>
        <v>0.27505394981928466</v>
      </c>
      <c r="BA24" s="709">
        <f>'Customer data'!BJ266</f>
        <v>0.27109679714334228</v>
      </c>
      <c r="BB24" s="709">
        <f>'Customer data'!BK266</f>
        <v>0.26732960641928477</v>
      </c>
      <c r="BC24" s="709">
        <f>'Customer data'!BL266</f>
        <v>0.26153211240799362</v>
      </c>
      <c r="BD24" s="709">
        <f>'Customer data'!BM266</f>
        <v>0.25840023646294974</v>
      </c>
      <c r="BE24" s="709">
        <f>'Customer data'!BN266</f>
        <v>0.25797338050412855</v>
      </c>
      <c r="BF24" s="709">
        <f>'Customer data'!BO266</f>
        <v>0.25429474283651227</v>
      </c>
      <c r="BG24" s="709">
        <f>'Customer data'!BP266</f>
        <v>0.25165082610691686</v>
      </c>
      <c r="BH24" s="709">
        <f>'Customer data'!BQ266</f>
        <v>0.24903633907686226</v>
      </c>
      <c r="BI24" s="709">
        <f>'Customer data'!BR266</f>
        <v>0.24812259855752952</v>
      </c>
      <c r="BJ24" s="709">
        <f>'Customer data'!BS266</f>
        <v>0.24537171010656131</v>
      </c>
      <c r="BK24" s="709">
        <f>'Customer data'!BT266</f>
        <v>0.25470313524363497</v>
      </c>
      <c r="BL24" s="709">
        <f>'Customer data'!BU266</f>
        <v>0.24920147647528543</v>
      </c>
      <c r="BM24" s="709">
        <f>'Customer data'!BV266</f>
        <v>0.25286632706958434</v>
      </c>
      <c r="BN24" s="709">
        <f>'Customer data'!BW266</f>
        <v>0.25342018822987772</v>
      </c>
      <c r="BO24" s="709">
        <f>'Customer data'!BX266</f>
        <v>0.2489519816655435</v>
      </c>
      <c r="BP24" s="709">
        <f>'Customer data'!BY266</f>
        <v>0.24088896454030143</v>
      </c>
      <c r="BQ24" s="709">
        <f>'Customer data'!BZ266</f>
        <v>0.23666381403754175</v>
      </c>
      <c r="BR24" s="709">
        <f>'Customer data'!CA266</f>
        <v>0.2345366120082063</v>
      </c>
      <c r="BS24" s="709">
        <f>'Customer data'!CB266</f>
        <v>0.23383492959082072</v>
      </c>
      <c r="BT24" s="709">
        <f>'Customer data'!CC266</f>
        <v>0.23356902137717264</v>
      </c>
      <c r="BU24" s="709">
        <f>'Customer data'!CD266</f>
        <v>0.23310806785165597</v>
      </c>
      <c r="BV24" s="709">
        <f>'Customer data'!CE266</f>
        <v>0.23418509467269585</v>
      </c>
      <c r="BW24" s="709">
        <f>'Customer data'!CF266</f>
        <v>0.23533618208772999</v>
      </c>
      <c r="BX24" s="709">
        <f>'Customer data'!CG266</f>
        <v>0.23719677206417872</v>
      </c>
      <c r="BY24" s="709">
        <f>'Customer data'!CH266</f>
        <v>0.22819999541273156</v>
      </c>
      <c r="BZ24" s="709">
        <f>'Customer data'!CI266</f>
        <v>0.23179056715881935</v>
      </c>
      <c r="CA24" s="709">
        <f>'Customer data'!CJ266</f>
        <v>0.22883528657815555</v>
      </c>
      <c r="CB24" s="709">
        <f>'Customer data'!CK266</f>
        <v>0.22869947972311297</v>
      </c>
      <c r="CC24" s="709">
        <f>'Customer data'!CL266</f>
        <v>0.23184619252737243</v>
      </c>
      <c r="CD24" s="709">
        <f>'Customer data'!CM266</f>
        <v>0.23103331051399648</v>
      </c>
      <c r="CE24" s="709">
        <f>'Customer data'!CN266</f>
        <v>0.22082738508333688</v>
      </c>
      <c r="CF24" s="709">
        <f>'Customer data'!CO266</f>
        <v>0.21882887007686089</v>
      </c>
      <c r="CG24" s="709">
        <f>'Customer data'!CP266</f>
        <v>0.21157470768174216</v>
      </c>
      <c r="CH24" s="709">
        <f>'Customer data'!CQ266</f>
        <v>0.20132831045084959</v>
      </c>
      <c r="CI24" s="709">
        <f>'Customer data'!CR266</f>
        <v>0.20086543640203572</v>
      </c>
      <c r="CJ24" s="709">
        <f>'Customer data'!CS266</f>
        <v>0.2005668608556806</v>
      </c>
      <c r="CK24" s="709">
        <f>'Customer data'!CT266</f>
        <v>0.19600906974916826</v>
      </c>
      <c r="CL24" s="709">
        <f>'Customer data'!CU266</f>
        <v>0.19319832836197734</v>
      </c>
      <c r="CM24" s="709">
        <f>'Customer data'!CV266</f>
        <v>0.19353476853075804</v>
      </c>
      <c r="CN24" s="709">
        <f>'Customer data'!CW266</f>
        <v>0.19059593955796786</v>
      </c>
      <c r="CO24" s="709">
        <f>'Customer data'!CX266</f>
        <v>0.10834919690537256</v>
      </c>
      <c r="CP24" s="709">
        <f>'Customer data'!CY266</f>
        <v>0.10847424199574297</v>
      </c>
      <c r="CQ24" s="709">
        <f>'Customer data'!CZ266</f>
        <v>0.1099974261157706</v>
      </c>
      <c r="CR24" s="709">
        <f>'Customer data'!DA266</f>
        <v>0.11057736905532015</v>
      </c>
      <c r="CS24" s="709">
        <f>'Customer data'!DB266</f>
        <v>0.11085885355121036</v>
      </c>
      <c r="CT24" s="709">
        <f>'Customer data'!DC266</f>
        <v>0.10588006593417605</v>
      </c>
      <c r="CU24" s="709">
        <f>'Customer data'!DD266</f>
        <v>0.10473626736724317</v>
      </c>
      <c r="CV24" s="730">
        <f>'Customer data'!DE266</f>
        <v>0.10323908441943999</v>
      </c>
      <c r="CW24" s="709"/>
      <c r="CX24" s="709"/>
      <c r="CY24" s="709">
        <f>CJ24</f>
        <v>0.2005668608556806</v>
      </c>
      <c r="CZ24" s="711">
        <f>SUM($CU24:CV24)</f>
        <v>0.20797535178668317</v>
      </c>
      <c r="DA24" s="709"/>
      <c r="DB24" s="510">
        <f>CJ24</f>
        <v>0.2005668608556806</v>
      </c>
      <c r="DE24" s="709"/>
    </row>
    <row r="25" spans="2:109" ht="14.5" x14ac:dyDescent="0.35">
      <c r="B25" s="78"/>
      <c r="CV25" s="453"/>
      <c r="CZ25" s="710"/>
      <c r="DB25" s="506"/>
      <c r="DE25" s="709"/>
    </row>
    <row r="26" spans="2:109" ht="14.5" x14ac:dyDescent="0.35">
      <c r="B26" s="80" t="s">
        <v>24</v>
      </c>
      <c r="C26" s="55"/>
      <c r="D26" s="55"/>
      <c r="CV26" s="453"/>
      <c r="CY26" s="55"/>
      <c r="CZ26" s="91"/>
      <c r="DB26" s="279"/>
      <c r="DE26" s="44"/>
    </row>
    <row r="27" spans="2:109" ht="14.5" x14ac:dyDescent="0.35">
      <c r="B27" s="457" t="s">
        <v>25</v>
      </c>
      <c r="C27" s="122">
        <f>'Revenue data'!D67</f>
        <v>0</v>
      </c>
      <c r="D27" s="122">
        <f>'Revenue data'!E67</f>
        <v>0</v>
      </c>
      <c r="E27" s="122">
        <f>'Revenue data'!F67</f>
        <v>0</v>
      </c>
      <c r="F27" s="122">
        <f>'Revenue data'!G67</f>
        <v>0.47393759860351364</v>
      </c>
      <c r="G27" s="122">
        <f>'Revenue data'!H67</f>
        <v>0.44698155003987994</v>
      </c>
      <c r="H27" s="122">
        <f>'Revenue data'!I67</f>
        <v>0.48112279987130313</v>
      </c>
      <c r="I27" s="122">
        <f>'Revenue data'!J67</f>
        <v>0.53460121838548769</v>
      </c>
      <c r="J27" s="122">
        <f>'Revenue data'!K67</f>
        <v>0.42195686409950139</v>
      </c>
      <c r="K27" s="122">
        <f>'Revenue data'!L67</f>
        <v>0.56518661368748579</v>
      </c>
      <c r="L27" s="122">
        <f>'Revenue data'!M67</f>
        <v>0.44449128891871059</v>
      </c>
      <c r="M27" s="122">
        <f>'Revenue data'!N67</f>
        <v>0.48683225010857356</v>
      </c>
      <c r="N27" s="122">
        <f>'Revenue data'!O67</f>
        <v>0.49964957700611684</v>
      </c>
      <c r="O27" s="122">
        <f>'Revenue data'!P67</f>
        <v>0.51578813370295928</v>
      </c>
      <c r="P27" s="122">
        <f>'Revenue data'!Q67</f>
        <v>0.54519830089891907</v>
      </c>
      <c r="Q27" s="122">
        <f>'Revenue data'!R67</f>
        <v>0.53049413936481848</v>
      </c>
      <c r="R27" s="122">
        <f>'Revenue data'!S67</f>
        <v>0.517874908072953</v>
      </c>
      <c r="S27" s="122">
        <f>'Revenue data'!T67</f>
        <v>0.54329726303123982</v>
      </c>
      <c r="T27" s="122">
        <f>'Revenue data'!U67</f>
        <v>0.53514195932787145</v>
      </c>
      <c r="U27" s="122">
        <f>'Revenue data'!V67</f>
        <v>0.53671047921938908</v>
      </c>
      <c r="V27" s="122">
        <f>'Revenue data'!W67</f>
        <v>0.56549363508347528</v>
      </c>
      <c r="W27" s="122">
        <f>'Revenue data'!X67</f>
        <v>0.55140021494375735</v>
      </c>
      <c r="X27" s="122">
        <f>'Revenue data'!Y67</f>
        <v>0.55201289457059555</v>
      </c>
      <c r="Y27" s="122">
        <f>'Revenue data'!Z67</f>
        <v>0.5803569633865262</v>
      </c>
      <c r="Z27" s="122">
        <f>'Revenue data'!AA67</f>
        <v>0.60711423853919466</v>
      </c>
      <c r="AA27" s="122">
        <f>'Revenue data'!AB67</f>
        <v>0.46822698189609019</v>
      </c>
      <c r="AB27" s="122">
        <f>'Revenue data'!AC67</f>
        <v>0.44453620250280462</v>
      </c>
      <c r="AC27" s="122">
        <f>'Revenue data'!AD67</f>
        <v>0.44644023520260268</v>
      </c>
      <c r="AD27" s="122">
        <f>'Revenue data'!AE67</f>
        <v>0.39024534610513406</v>
      </c>
      <c r="AE27" s="122">
        <f>'Revenue data'!AF67</f>
        <v>0.40345117374535094</v>
      </c>
      <c r="AF27" s="122">
        <f>'Revenue data'!AG67</f>
        <v>0.37975929717396412</v>
      </c>
      <c r="AG27" s="122">
        <f>'Revenue data'!AH67</f>
        <v>0.38814552427603255</v>
      </c>
      <c r="AH27" s="122">
        <f>'Revenue data'!AI67</f>
        <v>0.41104281821191613</v>
      </c>
      <c r="AI27" s="122">
        <f>'Revenue data'!AJ67</f>
        <v>0.41250786019700825</v>
      </c>
      <c r="AJ27" s="122">
        <f>'Revenue data'!AK67</f>
        <v>0.4223102837167555</v>
      </c>
      <c r="AK27" s="122">
        <f>'Revenue data'!AL67</f>
        <v>0.43979173680164541</v>
      </c>
      <c r="AL27" s="122">
        <f>'Revenue data'!AM67</f>
        <v>0.44715591268828675</v>
      </c>
      <c r="AM27" s="122">
        <f>'Revenue data'!AN67</f>
        <v>0.53888081765004492</v>
      </c>
      <c r="AN27" s="122">
        <f>'Revenue data'!AO67</f>
        <v>0.56202233825931658</v>
      </c>
      <c r="AO27" s="122">
        <f>'Revenue data'!AP67</f>
        <v>0.56688254749639932</v>
      </c>
      <c r="AP27" s="122">
        <f>'Revenue data'!AQ67</f>
        <v>0.5597309599564062</v>
      </c>
      <c r="AQ27" s="122">
        <f>'Revenue data'!AR67</f>
        <v>0.57946225530552886</v>
      </c>
      <c r="AR27" s="122">
        <f>'Revenue data'!AS67</f>
        <v>0.56337905990738291</v>
      </c>
      <c r="AS27" s="122">
        <f>'Revenue data'!AT67</f>
        <v>0.59153569084372726</v>
      </c>
      <c r="AT27" s="122">
        <f>'Revenue data'!AU67</f>
        <v>0.64320536353198088</v>
      </c>
      <c r="AU27" s="122">
        <f>'Revenue data'!AV67</f>
        <v>0.62762072952911963</v>
      </c>
      <c r="AV27" s="122">
        <f>'Revenue data'!AW67</f>
        <v>0.59635113226375902</v>
      </c>
      <c r="AW27" s="122">
        <f>'Revenue data'!AX67</f>
        <v>0.61289724093246434</v>
      </c>
      <c r="AX27" s="122">
        <f>'Revenue data'!AY67</f>
        <v>0.63994556508412459</v>
      </c>
      <c r="AY27" s="122">
        <f>'Revenue data'!AZ67</f>
        <v>0.4089119970360004</v>
      </c>
      <c r="AZ27" s="122">
        <f>'Revenue data'!BA67</f>
        <v>0.39134375929370085</v>
      </c>
      <c r="BA27" s="122">
        <f>'Revenue data'!BB67</f>
        <v>0.39211520839514485</v>
      </c>
      <c r="BB27" s="122">
        <f>'Revenue data'!BC67</f>
        <v>0.38943313500350946</v>
      </c>
      <c r="BC27" s="122">
        <f>'Revenue data'!BD67</f>
        <v>0.39872514674872783</v>
      </c>
      <c r="BD27" s="122">
        <f>'Revenue data'!BE67</f>
        <v>0.40749270070271276</v>
      </c>
      <c r="BE27" s="122">
        <f>'Revenue data'!BF67</f>
        <v>0.41338196174973102</v>
      </c>
      <c r="BF27" s="122">
        <f>'Revenue data'!BG67</f>
        <v>0.40431329562720258</v>
      </c>
      <c r="BG27" s="122">
        <f>'Revenue data'!BH67</f>
        <v>0.42125520215967538</v>
      </c>
      <c r="BH27" s="122">
        <f>'Revenue data'!BI67</f>
        <v>0.39724806366411691</v>
      </c>
      <c r="BI27" s="122">
        <f>'Revenue data'!BJ67</f>
        <v>0.49059312155124968</v>
      </c>
      <c r="BJ27" s="122">
        <f>'Revenue data'!BK67</f>
        <v>0.53234013716919948</v>
      </c>
      <c r="BK27" s="122">
        <f>'Revenue data'!BL67</f>
        <v>0.64674946657282251</v>
      </c>
      <c r="BL27" s="122">
        <f>'Revenue data'!BM67</f>
        <v>0.66070812068374019</v>
      </c>
      <c r="BM27" s="122">
        <f>'Revenue data'!BN67</f>
        <v>0.6522105164147507</v>
      </c>
      <c r="BN27" s="122">
        <f>'Revenue data'!BO67</f>
        <v>0.64986637503710187</v>
      </c>
      <c r="BO27" s="122">
        <f>'Revenue data'!BP67</f>
        <v>0.63121399195727335</v>
      </c>
      <c r="BP27" s="122">
        <f>'Revenue data'!BQ67</f>
        <v>0.64112893466116816</v>
      </c>
      <c r="BQ27" s="122">
        <f>'Revenue data'!BR67</f>
        <v>0.61854085162344208</v>
      </c>
      <c r="BR27" s="122">
        <f>'Revenue data'!BS67</f>
        <v>0.60272971101488049</v>
      </c>
      <c r="BS27" s="122">
        <f>'Revenue data'!BT67</f>
        <v>0.63279705750066062</v>
      </c>
      <c r="BT27" s="122">
        <f>'Revenue data'!BU67</f>
        <v>0.6216741622643438</v>
      </c>
      <c r="BU27" s="122">
        <f>'Revenue data'!BV67</f>
        <v>0.63399891832783828</v>
      </c>
      <c r="BV27" s="122">
        <f>'Revenue data'!BW67</f>
        <v>0.64445419796690251</v>
      </c>
      <c r="BW27" s="122">
        <f>'Revenue data'!BX67</f>
        <v>0.60313968366735027</v>
      </c>
      <c r="BX27" s="122">
        <f>'Revenue data'!BY67</f>
        <v>0.6332915298591193</v>
      </c>
      <c r="BY27" s="122">
        <f>'Revenue data'!BZ67</f>
        <v>0.63999065465279326</v>
      </c>
      <c r="BZ27" s="122">
        <f>'Revenue data'!CA67</f>
        <v>0.64002281348263357</v>
      </c>
      <c r="CA27" s="122">
        <f>'Revenue data'!CB67</f>
        <v>0.66403036052357833</v>
      </c>
      <c r="CB27" s="122">
        <f>'Revenue data'!CC67</f>
        <v>0.55732870435560533</v>
      </c>
      <c r="CC27" s="122">
        <f>'Revenue data'!CD67</f>
        <v>0.59880947985671196</v>
      </c>
      <c r="CD27" s="122">
        <f>'Revenue data'!CE67</f>
        <v>0.62248991075262261</v>
      </c>
      <c r="CE27" s="122">
        <f>'Revenue data'!CF67</f>
        <v>0.61335043354484786</v>
      </c>
      <c r="CF27" s="122">
        <f>'Revenue data'!CG67</f>
        <v>0.62806629894763888</v>
      </c>
      <c r="CG27" s="122">
        <f>'Revenue data'!CH67</f>
        <v>0.64949025117233183</v>
      </c>
      <c r="CH27" s="122">
        <f>'Revenue data'!CI67</f>
        <v>0.64178306049353251</v>
      </c>
      <c r="CI27" s="122">
        <f>'Revenue data'!CJ67</f>
        <v>0.63760711406082016</v>
      </c>
      <c r="CJ27" s="122">
        <f>'Revenue data'!CK67</f>
        <v>0.62197060985556363</v>
      </c>
      <c r="CK27" s="122">
        <f>'Revenue data'!CL67</f>
        <v>0.6327349589164063</v>
      </c>
      <c r="CL27" s="122">
        <f>'Revenue data'!CM67</f>
        <v>0.63570137742177479</v>
      </c>
      <c r="CM27" s="122">
        <f>'Revenue data'!CN67</f>
        <v>0.63094733395498048</v>
      </c>
      <c r="CN27" s="122">
        <f>'Revenue data'!CO67</f>
        <v>0.63588851891102605</v>
      </c>
      <c r="CO27" s="122">
        <f>'Revenue data'!CP67</f>
        <v>0.63986801107835667</v>
      </c>
      <c r="CP27" s="122">
        <f>'Revenue data'!CQ67</f>
        <v>0.65628076742612818</v>
      </c>
      <c r="CQ27" s="122">
        <f>'Revenue data'!CR67</f>
        <v>0.68063138925273825</v>
      </c>
      <c r="CR27" s="122">
        <f>'Revenue data'!CS67</f>
        <v>0.66374622929551941</v>
      </c>
      <c r="CS27" s="122">
        <f>'Revenue data'!CT67</f>
        <v>0.68448257756973285</v>
      </c>
      <c r="CT27" s="122">
        <f>'Revenue data'!CU67</f>
        <v>0.68227426066890196</v>
      </c>
      <c r="CU27" s="122">
        <f>'Revenue data'!CV67</f>
        <v>0.66113149435985208</v>
      </c>
      <c r="CV27" s="731">
        <f>'Revenue data'!CW67</f>
        <v>0.6811399429464523</v>
      </c>
      <c r="CW27" s="122"/>
      <c r="CX27" s="35"/>
      <c r="CY27" s="122">
        <f>CJ27</f>
        <v>0.62197060985556363</v>
      </c>
      <c r="CZ27" s="712"/>
      <c r="DA27" s="713"/>
      <c r="DB27" s="279"/>
    </row>
    <row r="28" spans="2:109" ht="14.5" x14ac:dyDescent="0.35">
      <c r="B28" s="458" t="s">
        <v>26</v>
      </c>
      <c r="C28" s="122">
        <f>'Revenue data'!D68</f>
        <v>0</v>
      </c>
      <c r="D28" s="122">
        <f>'Revenue data'!E68</f>
        <v>0</v>
      </c>
      <c r="E28" s="122">
        <f>'Revenue data'!F68</f>
        <v>0</v>
      </c>
      <c r="F28" s="122">
        <f>'Revenue data'!G68</f>
        <v>1.3259999999999998</v>
      </c>
      <c r="G28" s="122">
        <f>'Revenue data'!H68</f>
        <v>1.868767123287671</v>
      </c>
      <c r="H28" s="122">
        <f>'Revenue data'!I68</f>
        <v>2.1263999999999998</v>
      </c>
      <c r="I28" s="122">
        <f>'Revenue data'!J68</f>
        <v>3.2501351351351349</v>
      </c>
      <c r="J28" s="122">
        <f>'Revenue data'!K68</f>
        <v>2.6760810810810809</v>
      </c>
      <c r="K28" s="122">
        <f>'Revenue data'!L68</f>
        <v>3.1144594594594595</v>
      </c>
      <c r="L28" s="122">
        <f>'Revenue data'!M68</f>
        <v>4.1156756756756758</v>
      </c>
      <c r="M28" s="122">
        <f>'Revenue data'!N68</f>
        <v>7.3514473684210531</v>
      </c>
      <c r="N28" s="122">
        <f>'Revenue data'!O68</f>
        <v>3.3620000000000005</v>
      </c>
      <c r="O28" s="122">
        <f>'Revenue data'!P68</f>
        <v>0</v>
      </c>
      <c r="P28" s="122">
        <f>'Revenue data'!Q68</f>
        <v>0</v>
      </c>
      <c r="Q28" s="122">
        <f>'Revenue data'!R68</f>
        <v>0</v>
      </c>
      <c r="R28" s="122">
        <f>'Revenue data'!S68</f>
        <v>0</v>
      </c>
      <c r="S28" s="122">
        <f>'Revenue data'!T68</f>
        <v>0</v>
      </c>
      <c r="T28" s="122">
        <f>'Revenue data'!U68</f>
        <v>1.2733500566640776</v>
      </c>
      <c r="U28" s="122">
        <f>'Revenue data'!V68</f>
        <v>1.2541559593101641</v>
      </c>
      <c r="V28" s="122">
        <f>'Revenue data'!W68</f>
        <v>1.249517894345765</v>
      </c>
      <c r="W28" s="122">
        <f>'Revenue data'!X68</f>
        <v>1.1638896260189855</v>
      </c>
      <c r="X28" s="122">
        <f>'Revenue data'!Y68</f>
        <v>1.0390104256903638</v>
      </c>
      <c r="Y28" s="122">
        <f>'Revenue data'!Z68</f>
        <v>0.88038611974439762</v>
      </c>
      <c r="Z28" s="122">
        <f>'Revenue data'!AA68</f>
        <v>0.85488340031582244</v>
      </c>
      <c r="AA28" s="122">
        <f>'Revenue data'!AB68</f>
        <v>670.81698780000011</v>
      </c>
      <c r="AB28" s="122">
        <f>'Revenue data'!AC68</f>
        <v>497.79540721698112</v>
      </c>
      <c r="AC28" s="122">
        <f>'Revenue data'!AD68</f>
        <v>511.27989123287671</v>
      </c>
      <c r="AD28" s="122">
        <f>'Revenue data'!AE68</f>
        <v>557.27195574468089</v>
      </c>
      <c r="AE28" s="122">
        <f>'Revenue data'!AF68</f>
        <v>227.59411506849315</v>
      </c>
      <c r="AF28" s="122">
        <f>'Revenue data'!AG68</f>
        <v>218.37808706099815</v>
      </c>
      <c r="AG28" s="122">
        <f>'Revenue data'!AH68</f>
        <v>197.35690768388108</v>
      </c>
      <c r="AH28" s="122">
        <f>'Revenue data'!AI68</f>
        <v>113.31341552462527</v>
      </c>
      <c r="AI28" s="122">
        <f>'Revenue data'!AJ68</f>
        <v>87.165836312500005</v>
      </c>
      <c r="AJ28" s="122">
        <f>'Revenue data'!AK68</f>
        <v>50.681445264052286</v>
      </c>
      <c r="AK28" s="122">
        <f>'Revenue data'!AL68</f>
        <v>122.63397334817596</v>
      </c>
      <c r="AL28" s="122">
        <f>'Revenue data'!AM68</f>
        <v>32.215023654800433</v>
      </c>
      <c r="AM28" s="122">
        <f>'Revenue data'!AN68</f>
        <v>0.75694891285394761</v>
      </c>
      <c r="AN28" s="122">
        <f>'Revenue data'!AO68</f>
        <v>0.76108971782819079</v>
      </c>
      <c r="AO28" s="122">
        <f>'Revenue data'!AP68</f>
        <v>0.73166046242062777</v>
      </c>
      <c r="AP28" s="122">
        <f>'Revenue data'!AQ68</f>
        <v>0.71406367066464804</v>
      </c>
      <c r="AQ28" s="122">
        <f>'Revenue data'!AR68</f>
        <v>0.70902518437571793</v>
      </c>
      <c r="AR28" s="122">
        <f>'Revenue data'!AS68</f>
        <v>0.6649513810279496</v>
      </c>
      <c r="AS28" s="122">
        <f>'Revenue data'!AT68</f>
        <v>0.66774275364675861</v>
      </c>
      <c r="AT28" s="122">
        <f>'Revenue data'!AU68</f>
        <v>0.53646524887054603</v>
      </c>
      <c r="AU28" s="122">
        <f>'Revenue data'!AV68</f>
        <v>0.56810259901457427</v>
      </c>
      <c r="AV28" s="122">
        <f>'Revenue data'!AW68</f>
        <v>0.44594803402563138</v>
      </c>
      <c r="AW28" s="122">
        <f>'Revenue data'!AX68</f>
        <v>0.58922650844358915</v>
      </c>
      <c r="AX28" s="122">
        <f>'Revenue data'!AY68</f>
        <v>0.57456931867867389</v>
      </c>
      <c r="AY28" s="122">
        <f>'Revenue data'!AZ68</f>
        <v>2.3446062828495395</v>
      </c>
      <c r="AZ28" s="122">
        <f>'Revenue data'!BA68</f>
        <v>2.2300081742633555</v>
      </c>
      <c r="BA28" s="122">
        <f>'Revenue data'!BB68</f>
        <v>2.2619440854344934</v>
      </c>
      <c r="BB28" s="122">
        <f>'Revenue data'!BC68</f>
        <v>2.1406376088408741</v>
      </c>
      <c r="BC28" s="122">
        <f>'Revenue data'!BD68</f>
        <v>1.9965058146229877</v>
      </c>
      <c r="BD28" s="122">
        <f>'Revenue data'!BE68</f>
        <v>1.9146463348906952</v>
      </c>
      <c r="BE28" s="122">
        <f>'Revenue data'!BF68</f>
        <v>1.8219689065850089</v>
      </c>
      <c r="BF28" s="122">
        <f>'Revenue data'!BG68</f>
        <v>1.7189815776027466</v>
      </c>
      <c r="BG28" s="122">
        <f>'Revenue data'!BH68</f>
        <v>1.7703748507240442</v>
      </c>
      <c r="BH28" s="122">
        <f>'Revenue data'!BI68</f>
        <v>1.7973622956046089</v>
      </c>
      <c r="BI28" s="122">
        <f>'Revenue data'!BJ68</f>
        <v>1.4247687662409967</v>
      </c>
      <c r="BJ28" s="122">
        <f>'Revenue data'!BK68</f>
        <v>1.1538783241110806</v>
      </c>
      <c r="BK28" s="122">
        <f>'Revenue data'!BL68</f>
        <v>8.1979623091663001</v>
      </c>
      <c r="BL28" s="122">
        <f>'Revenue data'!BM68</f>
        <v>8.3630029111154283</v>
      </c>
      <c r="BM28" s="122">
        <f>'Revenue data'!BN68</f>
        <v>7.2036090690476158</v>
      </c>
      <c r="BN28" s="122">
        <f>'Revenue data'!BO68</f>
        <v>7.1257162959418663</v>
      </c>
      <c r="BO28" s="122">
        <f>'Revenue data'!BP68</f>
        <v>7.029916289067736</v>
      </c>
      <c r="BP28" s="122">
        <f>'Revenue data'!BQ68</f>
        <v>79.807384497433688</v>
      </c>
      <c r="BQ28" s="122">
        <f>'Revenue data'!BR68</f>
        <v>20.399708213360732</v>
      </c>
      <c r="BR28" s="122">
        <f>'Revenue data'!BS68</f>
        <v>8.999914646087932</v>
      </c>
      <c r="BS28" s="122">
        <f>'Revenue data'!BT68</f>
        <v>18.252220843672458</v>
      </c>
      <c r="BT28" s="122">
        <f>'Revenue data'!BU68</f>
        <v>25.039360902255641</v>
      </c>
      <c r="BU28" s="122">
        <f>'Revenue data'!BV68</f>
        <v>27.352996115151846</v>
      </c>
      <c r="BV28" s="122">
        <f>'Revenue data'!BW68</f>
        <v>36.269020695649274</v>
      </c>
      <c r="BW28" s="122">
        <f>'Revenue data'!BX68</f>
        <v>22.207661345241345</v>
      </c>
      <c r="BX28" s="122">
        <f>'Revenue data'!BY68</f>
        <v>30.597167838129188</v>
      </c>
      <c r="BY28" s="122">
        <f>'Revenue data'!BZ68</f>
        <v>28.366368241918693</v>
      </c>
      <c r="BZ28" s="122">
        <f>'Revenue data'!CA68</f>
        <v>28.86333108784212</v>
      </c>
      <c r="CA28" s="122">
        <f>'Revenue data'!CB68</f>
        <v>21.216584866901677</v>
      </c>
      <c r="CB28" s="122">
        <f>'Revenue data'!CC68</f>
        <v>24.23174026009174</v>
      </c>
      <c r="CC28" s="122">
        <f>'Revenue data'!CD68</f>
        <v>13.976707017106422</v>
      </c>
      <c r="CD28" s="122">
        <f>'Revenue data'!CE68</f>
        <v>8.7652205964444612</v>
      </c>
      <c r="CE28" s="122">
        <f>'Revenue data'!CF68</f>
        <v>6.8847245627681479</v>
      </c>
      <c r="CF28" s="122">
        <f>'Revenue data'!CG68</f>
        <v>3.4143634937355856</v>
      </c>
      <c r="CG28" s="122">
        <f>'Revenue data'!CH68</f>
        <v>4.3985373457870027</v>
      </c>
      <c r="CH28" s="122">
        <f>'Revenue data'!CI68</f>
        <v>1.571252500974502</v>
      </c>
      <c r="CI28" s="122">
        <f>'Revenue data'!CJ68</f>
        <v>0.10051449529774105</v>
      </c>
      <c r="CJ28" s="122">
        <f>'Revenue data'!CK68</f>
        <v>0.16641292088694937</v>
      </c>
      <c r="CK28" s="122">
        <f>'Revenue data'!CL68</f>
        <v>0.19569088901595444</v>
      </c>
      <c r="CL28" s="122">
        <f>'Revenue data'!CM68</f>
        <v>0.18794998143419461</v>
      </c>
      <c r="CM28" s="122">
        <f>'Revenue data'!CN68</f>
        <v>0.1937395900581329</v>
      </c>
      <c r="CN28" s="122">
        <f>'Revenue data'!CO68</f>
        <v>0.18304824678290718</v>
      </c>
      <c r="CO28" s="122">
        <f>'Revenue data'!CP68</f>
        <v>0.18243183482270472</v>
      </c>
      <c r="CP28" s="122">
        <f>'Revenue data'!CQ68</f>
        <v>0.16929555146570768</v>
      </c>
      <c r="CQ28" s="122">
        <f>'Revenue data'!CR68</f>
        <v>0.16825814910091372</v>
      </c>
      <c r="CR28" s="122">
        <f>'Revenue data'!CS68</f>
        <v>0.1959022721116786</v>
      </c>
      <c r="CS28" s="122">
        <f>'Revenue data'!CT68</f>
        <v>0.1874401417829509</v>
      </c>
      <c r="CT28" s="122">
        <f>'Revenue data'!CU68</f>
        <v>0.16619755758890301</v>
      </c>
      <c r="CU28" s="122">
        <f>'Revenue data'!CV68</f>
        <v>0.16790063241709124</v>
      </c>
      <c r="CV28" s="731">
        <f>'Revenue data'!CW68</f>
        <v>0.15024505013781575</v>
      </c>
      <c r="CW28" s="122"/>
      <c r="CX28" s="35"/>
      <c r="CY28" s="122">
        <f>CJ28</f>
        <v>0.16641292088694937</v>
      </c>
      <c r="CZ28" s="712"/>
      <c r="DA28" s="714"/>
      <c r="DB28" s="279"/>
    </row>
    <row r="29" spans="2:109" ht="14.5" x14ac:dyDescent="0.35">
      <c r="B29" s="458" t="s">
        <v>27</v>
      </c>
      <c r="C29" s="122">
        <f>'Revenue data'!D69</f>
        <v>0</v>
      </c>
      <c r="D29" s="122">
        <f>'Revenue data'!E69</f>
        <v>0</v>
      </c>
      <c r="E29" s="122">
        <f>'Revenue data'!F69</f>
        <v>0</v>
      </c>
      <c r="F29" s="122">
        <f>'Revenue data'!G69</f>
        <v>1.434151755010818</v>
      </c>
      <c r="G29" s="122">
        <f>'Revenue data'!H69</f>
        <v>1.5458214615203987</v>
      </c>
      <c r="H29" s="122">
        <f>'Revenue data'!I69</f>
        <v>1.3286054121817881</v>
      </c>
      <c r="I29" s="122">
        <f>'Revenue data'!J69</f>
        <v>1.422075995375002</v>
      </c>
      <c r="J29" s="122">
        <f>'Revenue data'!K69</f>
        <v>1.7304567141751284</v>
      </c>
      <c r="K29" s="122">
        <f>'Revenue data'!L69</f>
        <v>1.1198911205143756</v>
      </c>
      <c r="L29" s="122">
        <f>'Revenue data'!M69</f>
        <v>1.4902802799856667</v>
      </c>
      <c r="M29" s="122">
        <f>'Revenue data'!N69</f>
        <v>1.3841107186489139</v>
      </c>
      <c r="N29" s="122">
        <f>'Revenue data'!O69</f>
        <v>1.9655893286429562</v>
      </c>
      <c r="O29" s="122">
        <f>'Revenue data'!P69</f>
        <v>1.4746822438527203</v>
      </c>
      <c r="P29" s="122">
        <f>'Revenue data'!Q69</f>
        <v>1.2597579708218876</v>
      </c>
      <c r="Q29" s="122">
        <f>'Revenue data'!R69</f>
        <v>1.549216752513918</v>
      </c>
      <c r="R29" s="122">
        <f>'Revenue data'!S69</f>
        <v>1.3614782781481076</v>
      </c>
      <c r="S29" s="122">
        <f>'Revenue data'!T69</f>
        <v>1.2288941911529523</v>
      </c>
      <c r="T29" s="122">
        <f>'Revenue data'!U69</f>
        <v>1.1799943924795495</v>
      </c>
      <c r="U29" s="122">
        <f>'Revenue data'!V69</f>
        <v>1.2130067707500034</v>
      </c>
      <c r="V29" s="122">
        <f>'Revenue data'!W69</f>
        <v>1.2346627385181816</v>
      </c>
      <c r="W29" s="122">
        <f>'Revenue data'!X69</f>
        <v>1.4328649204190971</v>
      </c>
      <c r="X29" s="122">
        <f>'Revenue data'!Y69</f>
        <v>1.495626768882057</v>
      </c>
      <c r="Y29" s="122">
        <f>'Revenue data'!Z69</f>
        <v>1.3469798399415047</v>
      </c>
      <c r="Z29" s="122">
        <f>'Revenue data'!AA69</f>
        <v>1.2951076101008079</v>
      </c>
      <c r="AA29" s="122">
        <f>'Revenue data'!AB69</f>
        <v>1.5745206640895024</v>
      </c>
      <c r="AB29" s="122">
        <f>'Revenue data'!AC69</f>
        <v>1.5552755640621125</v>
      </c>
      <c r="AC29" s="122">
        <f>'Revenue data'!AD69</f>
        <v>1.683436790405153</v>
      </c>
      <c r="AD29" s="122">
        <f>'Revenue data'!AE69</f>
        <v>1.6747405023488329</v>
      </c>
      <c r="AE29" s="122">
        <f>'Revenue data'!AF69</f>
        <v>1.6307843135292084</v>
      </c>
      <c r="AF29" s="122">
        <f>'Revenue data'!AG69</f>
        <v>1.6875463622294293</v>
      </c>
      <c r="AG29" s="122">
        <f>'Revenue data'!AH69</f>
        <v>1.8048839920482251</v>
      </c>
      <c r="AH29" s="122">
        <f>'Revenue data'!AI69</f>
        <v>1.7304116944765198</v>
      </c>
      <c r="AI29" s="122">
        <f>'Revenue data'!AJ69</f>
        <v>1.6011530669901264</v>
      </c>
      <c r="AJ29" s="122">
        <f>'Revenue data'!AK69</f>
        <v>1.6854783986471378</v>
      </c>
      <c r="AK29" s="122">
        <f>'Revenue data'!AL69</f>
        <v>1.6283494958548816</v>
      </c>
      <c r="AL29" s="122">
        <f>'Revenue data'!AM69</f>
        <v>1.3869434565731165</v>
      </c>
      <c r="AM29" s="122">
        <f>'Revenue data'!AN69</f>
        <v>1.2717156719009288</v>
      </c>
      <c r="AN29" s="122">
        <f>'Revenue data'!AO69</f>
        <v>1.2875308679973523</v>
      </c>
      <c r="AO29" s="122">
        <f>'Revenue data'!AP69</f>
        <v>1.1441899850048101</v>
      </c>
      <c r="AP29" s="122">
        <f>'Revenue data'!AQ69</f>
        <v>1.2104268386502997</v>
      </c>
      <c r="AQ29" s="122">
        <f>'Revenue data'!AR69</f>
        <v>1.2387476993720627</v>
      </c>
      <c r="AR29" s="122">
        <f>'Revenue data'!AS69</f>
        <v>1.2165461359079095</v>
      </c>
      <c r="AS29" s="122">
        <f>'Revenue data'!AT69</f>
        <v>1.2694940058720838</v>
      </c>
      <c r="AT29" s="122">
        <f>'Revenue data'!AU69</f>
        <v>1.3193904897626714</v>
      </c>
      <c r="AU29" s="122">
        <f>'Revenue data'!AV69</f>
        <v>1.2607138505854596</v>
      </c>
      <c r="AV29" s="122">
        <f>'Revenue data'!AW69</f>
        <v>1.3098807297527642</v>
      </c>
      <c r="AW29" s="122">
        <f>'Revenue data'!AX69</f>
        <v>1.3499297261344956</v>
      </c>
      <c r="AX29" s="122">
        <f>'Revenue data'!AY69</f>
        <v>1.3818881899506916</v>
      </c>
      <c r="AY29" s="122">
        <f>'Revenue data'!AZ69</f>
        <v>1.8679595959130872</v>
      </c>
      <c r="AZ29" s="122">
        <f>'Revenue data'!BA69</f>
        <v>2.0020954419575321</v>
      </c>
      <c r="BA29" s="122">
        <f>'Revenue data'!BB69</f>
        <v>1.7602991759545357</v>
      </c>
      <c r="BB29" s="122">
        <f>'Revenue data'!BC69</f>
        <v>2.0262778442770006</v>
      </c>
      <c r="BC29" s="122">
        <f>'Revenue data'!BD69</f>
        <v>1.829705528610071</v>
      </c>
      <c r="BD29" s="122">
        <f>'Revenue data'!BE69</f>
        <v>1.9304765987084871</v>
      </c>
      <c r="BE29" s="122">
        <f>'Revenue data'!BF69</f>
        <v>2.0203292718787385</v>
      </c>
      <c r="BF29" s="122">
        <f>'Revenue data'!BG69</f>
        <v>1.9413275081768364</v>
      </c>
      <c r="BG29" s="122">
        <f>'Revenue data'!BH69</f>
        <v>1.7344289976803935</v>
      </c>
      <c r="BH29" s="122">
        <f>'Revenue data'!BI69</f>
        <v>2.1512444746193613</v>
      </c>
      <c r="BI29" s="122">
        <f>'Revenue data'!BJ69</f>
        <v>1.7693084656755131</v>
      </c>
      <c r="BJ29" s="122">
        <f>'Revenue data'!BK69</f>
        <v>1.8309283923704165</v>
      </c>
      <c r="BK29" s="122">
        <f>'Revenue data'!BL69</f>
        <v>1.3402473635402172</v>
      </c>
      <c r="BL29" s="122">
        <f>'Revenue data'!BM69</f>
        <v>1.3715314000310652</v>
      </c>
      <c r="BM29" s="122">
        <f>'Revenue data'!BN69</f>
        <v>1.3208244540631098</v>
      </c>
      <c r="BN29" s="122">
        <f>'Revenue data'!BO69</f>
        <v>1.3510995488514737</v>
      </c>
      <c r="BO29" s="122">
        <f>'Revenue data'!BP69</f>
        <v>1.3626593178066022</v>
      </c>
      <c r="BP29" s="122">
        <f>'Revenue data'!BQ69</f>
        <v>1.3019461132212837</v>
      </c>
      <c r="BQ29" s="122">
        <f>'Revenue data'!BR69</f>
        <v>1.3184710885571529</v>
      </c>
      <c r="BR29" s="122">
        <f>'Revenue data'!BS69</f>
        <v>1.3303033496268664</v>
      </c>
      <c r="BS29" s="122">
        <f>'Revenue data'!BT69</f>
        <v>1.3900716175841055</v>
      </c>
      <c r="BT29" s="122">
        <f>'Revenue data'!BU69</f>
        <v>1.3024489517962465</v>
      </c>
      <c r="BU29" s="122">
        <f>'Revenue data'!BV69</f>
        <v>1.3226587970337069</v>
      </c>
      <c r="BV29" s="122">
        <f>'Revenue data'!BW69</f>
        <v>1.268367927000885</v>
      </c>
      <c r="BW29" s="122">
        <f>'Revenue data'!BX69</f>
        <v>1.3206197691352881</v>
      </c>
      <c r="BX29" s="122">
        <f>'Revenue data'!BY69</f>
        <v>1.2712077836541409</v>
      </c>
      <c r="BY29" s="122">
        <f>'Revenue data'!BZ69</f>
        <v>1.198138212902331</v>
      </c>
      <c r="BZ29" s="122">
        <f>'Revenue data'!CA69</f>
        <v>1.2424446930400532</v>
      </c>
      <c r="CA29" s="122">
        <f>'Revenue data'!CB69</f>
        <v>1.1979482127556607</v>
      </c>
      <c r="CB29" s="122">
        <f>'Revenue data'!CC69</f>
        <v>1.1807320959454559</v>
      </c>
      <c r="CC29" s="122">
        <f>'Revenue data'!CD69</f>
        <v>1.2229180202525667</v>
      </c>
      <c r="CD29" s="122">
        <f>'Revenue data'!CE69</f>
        <v>1.245971101438005</v>
      </c>
      <c r="CE29" s="122">
        <f>'Revenue data'!CF69</f>
        <v>1.3662582309286451</v>
      </c>
      <c r="CF29" s="122">
        <f>'Revenue data'!CG69</f>
        <v>1.2246572994224838</v>
      </c>
      <c r="CG29" s="122">
        <f>'Revenue data'!CH69</f>
        <v>1.1872108018807361</v>
      </c>
      <c r="CH29" s="122">
        <f>'Revenue data'!CI69</f>
        <v>1.2041243370903219</v>
      </c>
      <c r="CI29" s="122">
        <f>'Revenue data'!CJ69</f>
        <v>1.21859455154292</v>
      </c>
      <c r="CJ29" s="122">
        <f>'Revenue data'!CK69</f>
        <v>1.1809963539896058</v>
      </c>
      <c r="CK29" s="122">
        <f>'Revenue data'!CL69</f>
        <v>1.1835797798986392</v>
      </c>
      <c r="CL29" s="122">
        <f>'Revenue data'!CM69</f>
        <v>1.2601207187837393</v>
      </c>
      <c r="CM29" s="122">
        <f>'Revenue data'!CN69</f>
        <v>1.2381957635115028</v>
      </c>
      <c r="CN29" s="122">
        <f>'Revenue data'!CO69</f>
        <v>1.2119541889864678</v>
      </c>
      <c r="CO29" s="122">
        <f>'Revenue data'!CP69</f>
        <v>1.2044067791579181</v>
      </c>
      <c r="CP29" s="122">
        <f>'Revenue data'!CQ69</f>
        <v>1.2224895341058843</v>
      </c>
      <c r="CQ29" s="122">
        <f>'Revenue data'!CR69</f>
        <v>1.2542788024444147</v>
      </c>
      <c r="CR29" s="122">
        <f>'Revenue data'!CS69</f>
        <v>1.323846663015652</v>
      </c>
      <c r="CS29" s="122">
        <f>'Revenue data'!CT69</f>
        <v>1.2286850203670099</v>
      </c>
      <c r="CT29" s="122">
        <f>'Revenue data'!CU69</f>
        <v>1.3028182994265238</v>
      </c>
      <c r="CU29" s="122">
        <f>'Revenue data'!CV69</f>
        <v>1.2151280585060094</v>
      </c>
      <c r="CV29" s="731">
        <f>'Revenue data'!CW69</f>
        <v>1.2279207834410155</v>
      </c>
      <c r="CW29" s="122"/>
      <c r="CX29" s="35"/>
      <c r="CY29" s="122">
        <f>CJ29</f>
        <v>1.1809963539896058</v>
      </c>
      <c r="CZ29" s="712"/>
      <c r="DA29" s="714"/>
      <c r="DB29" s="279"/>
    </row>
    <row r="30" spans="2:109" ht="14.5" x14ac:dyDescent="0.35">
      <c r="B30" s="458" t="s">
        <v>28</v>
      </c>
      <c r="C30" s="122">
        <f>'Revenue data'!D70</f>
        <v>0</v>
      </c>
      <c r="D30" s="122">
        <f>'Revenue data'!E70</f>
        <v>0</v>
      </c>
      <c r="E30" s="122">
        <f>'Revenue data'!F70</f>
        <v>0</v>
      </c>
      <c r="F30" s="122">
        <f>'Revenue data'!G70</f>
        <v>1.7337055964790886</v>
      </c>
      <c r="G30" s="122">
        <f>'Revenue data'!H70</f>
        <v>1.6915671509112278</v>
      </c>
      <c r="H30" s="122">
        <f>'Revenue data'!I70</f>
        <v>0.98808661040627377</v>
      </c>
      <c r="I30" s="122">
        <f>'Revenue data'!J70</f>
        <v>1.5106706582106502</v>
      </c>
      <c r="J30" s="122">
        <f>'Revenue data'!K70</f>
        <v>1.1871073127663971</v>
      </c>
      <c r="K30" s="122">
        <f>'Revenue data'!L70</f>
        <v>1.2999119462253483</v>
      </c>
      <c r="L30" s="122">
        <f>'Revenue data'!M70</f>
        <v>1.2173312195007768</v>
      </c>
      <c r="M30" s="122">
        <f>'Revenue data'!N70</f>
        <v>1.2424114266138855</v>
      </c>
      <c r="N30" s="122">
        <f>'Revenue data'!O70</f>
        <v>0.67469221032370541</v>
      </c>
      <c r="O30" s="122">
        <f>'Revenue data'!P70</f>
        <v>1.1617278047826187</v>
      </c>
      <c r="P30" s="122">
        <f>'Revenue data'!Q70</f>
        <v>1.4419960837267054</v>
      </c>
      <c r="Q30" s="122">
        <f>'Revenue data'!R70</f>
        <v>1.4442603261192097</v>
      </c>
      <c r="R30" s="122">
        <f>'Revenue data'!S70</f>
        <v>1.4126094287778332</v>
      </c>
      <c r="S30" s="122">
        <f>'Revenue data'!T70</f>
        <v>1.424885959121613</v>
      </c>
      <c r="T30" s="122">
        <f>'Revenue data'!U70</f>
        <v>1.4492273495001999</v>
      </c>
      <c r="U30" s="122">
        <f>'Revenue data'!V70</f>
        <v>1.574543233302709</v>
      </c>
      <c r="V30" s="122">
        <f>'Revenue data'!W70</f>
        <v>1.5039018970015929</v>
      </c>
      <c r="W30" s="122">
        <f>'Revenue data'!X70</f>
        <v>1.4300922994564969</v>
      </c>
      <c r="X30" s="122">
        <f>'Revenue data'!Y70</f>
        <v>1.3929975146403923</v>
      </c>
      <c r="Y30" s="122">
        <f>'Revenue data'!Z70</f>
        <v>1.4080196323037681</v>
      </c>
      <c r="Z30" s="122">
        <f>'Revenue data'!AA70</f>
        <v>1.3362611526407453</v>
      </c>
      <c r="AA30" s="122">
        <f>'Revenue data'!AB70</f>
        <v>1.3662337002582507</v>
      </c>
      <c r="AB30" s="122">
        <f>'Revenue data'!AC70</f>
        <v>1.3371810820121752</v>
      </c>
      <c r="AC30" s="122">
        <f>'Revenue data'!AD70</f>
        <v>1.2360530283224753</v>
      </c>
      <c r="AD30" s="122">
        <f>'Revenue data'!AE70</f>
        <v>1.1052191625572576</v>
      </c>
      <c r="AE30" s="122">
        <f>'Revenue data'!AF70</f>
        <v>1.0955162543684542</v>
      </c>
      <c r="AF30" s="122">
        <f>'Revenue data'!AG70</f>
        <v>1.1173674197640018</v>
      </c>
      <c r="AG30" s="122">
        <f>'Revenue data'!AH70</f>
        <v>1.0861226246292037</v>
      </c>
      <c r="AH30" s="122">
        <f>'Revenue data'!AI70</f>
        <v>1.0159512867173894</v>
      </c>
      <c r="AI30" s="122">
        <f>'Revenue data'!AJ70</f>
        <v>0.96641581143817845</v>
      </c>
      <c r="AJ30" s="122">
        <f>'Revenue data'!AK70</f>
        <v>0.92365349898122462</v>
      </c>
      <c r="AK30" s="122">
        <f>'Revenue data'!AL70</f>
        <v>0.84383263128626262</v>
      </c>
      <c r="AL30" s="122">
        <f>'Revenue data'!AM70</f>
        <v>0.888771322020524</v>
      </c>
      <c r="AM30" s="122">
        <f>'Revenue data'!AN70</f>
        <v>0.95972292184483787</v>
      </c>
      <c r="AN30" s="122">
        <f>'Revenue data'!AO70</f>
        <v>0.94058403244347355</v>
      </c>
      <c r="AO30" s="122">
        <f>'Revenue data'!AP70</f>
        <v>0.90973389635403046</v>
      </c>
      <c r="AP30" s="122">
        <f>'Revenue data'!AQ70</f>
        <v>0.91026812127027046</v>
      </c>
      <c r="AQ30" s="122">
        <f>'Revenue data'!AR70</f>
        <v>0.93021197910108366</v>
      </c>
      <c r="AR30" s="122">
        <f>'Revenue data'!AS70</f>
        <v>1.0043347778088418</v>
      </c>
      <c r="AS30" s="122">
        <f>'Revenue data'!AT70</f>
        <v>0.99004804405167746</v>
      </c>
      <c r="AT30" s="122">
        <f>'Revenue data'!AU70</f>
        <v>0.97686969509709964</v>
      </c>
      <c r="AU30" s="122">
        <f>'Revenue data'!AV70</f>
        <v>0.96574081410765666</v>
      </c>
      <c r="AV30" s="122">
        <f>'Revenue data'!AW70</f>
        <v>0.93333637699024374</v>
      </c>
      <c r="AW30" s="122">
        <f>'Revenue data'!AX70</f>
        <v>0.94431604406985203</v>
      </c>
      <c r="AX30" s="122">
        <f>'Revenue data'!AY70</f>
        <v>0.96240375994671867</v>
      </c>
      <c r="AY30" s="122">
        <f>'Revenue data'!AZ70</f>
        <v>0.9086675908021925</v>
      </c>
      <c r="AZ30" s="122">
        <f>'Revenue data'!BA70</f>
        <v>0.96977460412836936</v>
      </c>
      <c r="BA30" s="122">
        <f>'Revenue data'!BB70</f>
        <v>1.0570826420369015</v>
      </c>
      <c r="BB30" s="122">
        <f>'Revenue data'!BC70</f>
        <v>1.1442016741569689</v>
      </c>
      <c r="BC30" s="122">
        <f>'Revenue data'!BD70</f>
        <v>1.1519530111886589</v>
      </c>
      <c r="BD30" s="122">
        <f>'Revenue data'!BE70</f>
        <v>1.1461783955600813</v>
      </c>
      <c r="BE30" s="122">
        <f>'Revenue data'!BF70</f>
        <v>1.0931155528065255</v>
      </c>
      <c r="BF30" s="122">
        <f>'Revenue data'!BG70</f>
        <v>1.179525533215207</v>
      </c>
      <c r="BG30" s="122">
        <f>'Revenue data'!BH70</f>
        <v>1.2564611342742655</v>
      </c>
      <c r="BH30" s="122">
        <f>'Revenue data'!BI70</f>
        <v>1.2355027418022815</v>
      </c>
      <c r="BI30" s="122">
        <f>'Revenue data'!BJ70</f>
        <v>1.1517449277719247</v>
      </c>
      <c r="BJ30" s="122">
        <f>'Revenue data'!BK70</f>
        <v>1.2118099433927436</v>
      </c>
      <c r="BK30" s="122">
        <f>'Revenue data'!BL70</f>
        <v>1.0978061376211885</v>
      </c>
      <c r="BL30" s="122">
        <f>'Revenue data'!BM70</f>
        <v>1.1582741705833706</v>
      </c>
      <c r="BM30" s="122">
        <f>'Revenue data'!BN70</f>
        <v>1.1504469083631252</v>
      </c>
      <c r="BN30" s="122">
        <f>'Revenue data'!BO70</f>
        <v>1.1324692684929609</v>
      </c>
      <c r="BO30" s="122">
        <f>'Revenue data'!BP70</f>
        <v>1.1124425161706792</v>
      </c>
      <c r="BP30" s="122">
        <f>'Revenue data'!BQ70</f>
        <v>1.1209010820742895</v>
      </c>
      <c r="BQ30" s="122">
        <f>'Revenue data'!BR70</f>
        <v>1.1235971601316519</v>
      </c>
      <c r="BR30" s="122">
        <f>'Revenue data'!BS70</f>
        <v>1.1229661119588685</v>
      </c>
      <c r="BS30" s="122">
        <f>'Revenue data'!BT70</f>
        <v>1.1280481622117773</v>
      </c>
      <c r="BT30" s="122">
        <f>'Revenue data'!BU70</f>
        <v>1.085552236353218</v>
      </c>
      <c r="BU30" s="122">
        <f>'Revenue data'!BV70</f>
        <v>1.1200852032565942</v>
      </c>
      <c r="BV30" s="122">
        <f>'Revenue data'!BW70</f>
        <v>1.2061902873963632</v>
      </c>
      <c r="BW30" s="122">
        <f>'Revenue data'!BX70</f>
        <v>1.1015464316456129</v>
      </c>
      <c r="BX30" s="122">
        <f>'Revenue data'!BY70</f>
        <v>1.0703074932648524</v>
      </c>
      <c r="BY30" s="122">
        <f>'Revenue data'!BZ70</f>
        <v>1.0864396312229578</v>
      </c>
      <c r="BZ30" s="122">
        <f>'Revenue data'!CA70</f>
        <v>1.0829963087271612</v>
      </c>
      <c r="CA30" s="122">
        <f>'Revenue data'!CB70</f>
        <v>1.0603168624484329</v>
      </c>
      <c r="CB30" s="122">
        <f>'Revenue data'!CC70</f>
        <v>1.0063114822500456</v>
      </c>
      <c r="CC30" s="122">
        <f>'Revenue data'!CD70</f>
        <v>0.93514692982572856</v>
      </c>
      <c r="CD30" s="122">
        <f>'Revenue data'!CE70</f>
        <v>0.9207330238137249</v>
      </c>
      <c r="CE30" s="122">
        <f>'Revenue data'!CF70</f>
        <v>0.87526590957703143</v>
      </c>
      <c r="CF30" s="122">
        <f>'Revenue data'!CG70</f>
        <v>0.84436296018154189</v>
      </c>
      <c r="CG30" s="122">
        <f>'Revenue data'!CH70</f>
        <v>0.83108975349249781</v>
      </c>
      <c r="CH30" s="122">
        <f>'Revenue data'!CI70</f>
        <v>0.81184672653275847</v>
      </c>
      <c r="CI30" s="122">
        <f>'Revenue data'!CJ70</f>
        <v>0.8408012765632098</v>
      </c>
      <c r="CJ30" s="122">
        <f>'Revenue data'!CK70</f>
        <v>0.86771695002498139</v>
      </c>
      <c r="CK30" s="122">
        <f>'Revenue data'!CL70</f>
        <v>0.77679885458047071</v>
      </c>
      <c r="CL30" s="122">
        <f>'Revenue data'!CM70</f>
        <v>0.82056055069440892</v>
      </c>
      <c r="CM30" s="122">
        <f>'Revenue data'!CN70</f>
        <v>0.82235055087176279</v>
      </c>
      <c r="CN30" s="122">
        <f>'Revenue data'!CO70</f>
        <v>0.82196796915634907</v>
      </c>
      <c r="CO30" s="122">
        <f>'Revenue data'!CP70</f>
        <v>0.82563288771193244</v>
      </c>
      <c r="CP30" s="122">
        <f>'Revenue data'!CQ70</f>
        <v>0.8472253800555134</v>
      </c>
      <c r="CQ30" s="122">
        <f>'Revenue data'!CR70</f>
        <v>0.8611015428296247</v>
      </c>
      <c r="CR30" s="122">
        <f>'Revenue data'!CS70</f>
        <v>0.84581980947469693</v>
      </c>
      <c r="CS30" s="122">
        <f>'Revenue data'!CT70</f>
        <v>0.86487381384319451</v>
      </c>
      <c r="CT30" s="122">
        <f>'Revenue data'!CU70</f>
        <v>0.83357999894526191</v>
      </c>
      <c r="CU30" s="122">
        <f>'Revenue data'!CV70</f>
        <v>0.83111204668265792</v>
      </c>
      <c r="CV30" s="731">
        <f>'Revenue data'!CW70</f>
        <v>0.85075652213929442</v>
      </c>
      <c r="CW30" s="122"/>
      <c r="CX30" s="35"/>
      <c r="CY30" s="122">
        <f>CJ30</f>
        <v>0.86771695002498139</v>
      </c>
      <c r="CZ30" s="712"/>
      <c r="DA30" s="714"/>
      <c r="DB30" s="279"/>
    </row>
    <row r="31" spans="2:109" s="10" customFormat="1" ht="14.5" x14ac:dyDescent="0.35">
      <c r="B31" s="80" t="s">
        <v>29</v>
      </c>
      <c r="C31" s="122" t="str">
        <f>'Revenue data'!D73</f>
        <v/>
      </c>
      <c r="D31" s="122" t="str">
        <f>'Revenue data'!E73</f>
        <v/>
      </c>
      <c r="E31" s="122" t="str">
        <f>'Revenue data'!F73</f>
        <v/>
      </c>
      <c r="F31" s="122">
        <f>'Revenue data'!G73</f>
        <v>0.68957536890941229</v>
      </c>
      <c r="G31" s="122">
        <f>'Revenue data'!H73</f>
        <v>0.69043563669109953</v>
      </c>
      <c r="H31" s="122">
        <f>'Revenue data'!I73</f>
        <v>0.67969090062329218</v>
      </c>
      <c r="I31" s="122">
        <f>'Revenue data'!J73</f>
        <v>0.74783621137093748</v>
      </c>
      <c r="J31" s="122">
        <f>'Revenue data'!K73</f>
        <v>0.70462126557907201</v>
      </c>
      <c r="K31" s="122">
        <f>'Revenue data'!L73</f>
        <v>0.71640613984179102</v>
      </c>
      <c r="L31" s="122">
        <f>'Revenue data'!M73</f>
        <v>0.67969608037305773</v>
      </c>
      <c r="M31" s="122">
        <f>'Revenue data'!N73</f>
        <v>0.7003210605579161</v>
      </c>
      <c r="N31" s="122">
        <f>'Revenue data'!O73</f>
        <v>0.76798333726146017</v>
      </c>
      <c r="O31" s="122">
        <f>'Revenue data'!P73</f>
        <v>0.73421312566426089</v>
      </c>
      <c r="P31" s="122">
        <f>'Revenue data'!Q73</f>
        <v>0.7410202158095357</v>
      </c>
      <c r="Q31" s="122">
        <f>'Revenue data'!R73</f>
        <v>0.78281194149886846</v>
      </c>
      <c r="R31" s="122">
        <f>'Revenue data'!S73</f>
        <v>0.73380840904272948</v>
      </c>
      <c r="S31" s="122">
        <f>'Revenue data'!T73</f>
        <v>0.744781495367423</v>
      </c>
      <c r="T31" s="122">
        <f>'Revenue data'!U73</f>
        <v>0.73235237372503104</v>
      </c>
      <c r="U31" s="122">
        <f>'Revenue data'!V73</f>
        <v>0.7515643821915885</v>
      </c>
      <c r="V31" s="122">
        <f>'Revenue data'!W73</f>
        <v>0.77384934038204223</v>
      </c>
      <c r="W31" s="122">
        <f>'Revenue data'!X73</f>
        <v>0.79219241216737235</v>
      </c>
      <c r="X31" s="122">
        <f>'Revenue data'!Y73</f>
        <v>0.79978042358199009</v>
      </c>
      <c r="Y31" s="122">
        <f>'Revenue data'!Z73</f>
        <v>0.80349458263390816</v>
      </c>
      <c r="Z31" s="122">
        <f>'Revenue data'!AA73</f>
        <v>0.80275184774339226</v>
      </c>
      <c r="AA31" s="122">
        <f>'Revenue data'!AB73</f>
        <v>0.82774442406109183</v>
      </c>
      <c r="AB31" s="122">
        <f>'Revenue data'!AC73</f>
        <v>0.79848299635771547</v>
      </c>
      <c r="AC31" s="122">
        <f>'Revenue data'!AD73</f>
        <v>0.81544117300292462</v>
      </c>
      <c r="AD31" s="122">
        <f>'Revenue data'!AE73</f>
        <v>0.77341404692213112</v>
      </c>
      <c r="AE31" s="122">
        <f>'Revenue data'!AF73</f>
        <v>0.75546492990723335</v>
      </c>
      <c r="AF31" s="122">
        <f>'Revenue data'!AG73</f>
        <v>0.74432218751640067</v>
      </c>
      <c r="AG31" s="122">
        <f>'Revenue data'!AH73</f>
        <v>0.74265454208161086</v>
      </c>
      <c r="AH31" s="122">
        <f>'Revenue data'!AI73</f>
        <v>0.73192983749534291</v>
      </c>
      <c r="AI31" s="122">
        <f>'Revenue data'!AJ73</f>
        <v>0.70971320593620257</v>
      </c>
      <c r="AJ31" s="122">
        <f>'Revenue data'!AK73</f>
        <v>0.72872990532849957</v>
      </c>
      <c r="AK31" s="122">
        <f>'Revenue data'!AL73</f>
        <v>0.72451473170681358</v>
      </c>
      <c r="AL31" s="122">
        <f>'Revenue data'!AM73</f>
        <v>0.7187214015970389</v>
      </c>
      <c r="AM31" s="122">
        <f>'Revenue data'!AN73</f>
        <v>0.73886646668705358</v>
      </c>
      <c r="AN31" s="122">
        <f>'Revenue data'!AO73</f>
        <v>0.75346772355617408</v>
      </c>
      <c r="AO31" s="122">
        <f>'Revenue data'!AP73</f>
        <v>0.73254825686366598</v>
      </c>
      <c r="AP31" s="122">
        <f>'Revenue data'!AQ73</f>
        <v>0.73640184185163482</v>
      </c>
      <c r="AQ31" s="122">
        <f>'Revenue data'!AR73</f>
        <v>0.7531388075536698</v>
      </c>
      <c r="AR31" s="122">
        <f>'Revenue data'!AS73</f>
        <v>0.74586267508201165</v>
      </c>
      <c r="AS31" s="122">
        <f>'Revenue data'!AT73</f>
        <v>0.76990277150649533</v>
      </c>
      <c r="AT31" s="122">
        <f>'Revenue data'!AU73</f>
        <v>0.77405686805317475</v>
      </c>
      <c r="AU31" s="122">
        <f>'Revenue data'!AV73</f>
        <v>0.76644780492998732</v>
      </c>
      <c r="AV31" s="122">
        <f>'Revenue data'!AW73</f>
        <v>0.70241312157131797</v>
      </c>
      <c r="AW31" s="122">
        <f>'Revenue data'!AX73</f>
        <v>0.77243348067872308</v>
      </c>
      <c r="AX31" s="122">
        <f>'Revenue data'!AY73</f>
        <v>0.78665891731209248</v>
      </c>
      <c r="AY31" s="122">
        <f>'Revenue data'!AZ73</f>
        <v>0.74043701828854969</v>
      </c>
      <c r="AZ31" s="122">
        <f>'Revenue data'!BA73</f>
        <v>0.74365242623867223</v>
      </c>
      <c r="BA31" s="122">
        <f>'Revenue data'!BB73</f>
        <v>0.73947782669298956</v>
      </c>
      <c r="BB31" s="122">
        <f>'Revenue data'!BC73</f>
        <v>0.76189571946373946</v>
      </c>
      <c r="BC31" s="122">
        <f>'Revenue data'!BD73</f>
        <v>0.77660160085943453</v>
      </c>
      <c r="BD31" s="122">
        <f>'Revenue data'!BE73</f>
        <v>0.78418525893954649</v>
      </c>
      <c r="BE31" s="122">
        <f>'Revenue data'!BF73</f>
        <v>0.7930260855423904</v>
      </c>
      <c r="BF31" s="122">
        <f>'Revenue data'!BG73</f>
        <v>0.7944465032291429</v>
      </c>
      <c r="BG31" s="122">
        <f>'Revenue data'!BH73</f>
        <v>0.81261518904229091</v>
      </c>
      <c r="BH31" s="122">
        <f>'Revenue data'!BI73</f>
        <v>0.81905875534184258</v>
      </c>
      <c r="BI31" s="122" t="e">
        <f>'Revenue data'!BJ73</f>
        <v>#VALUE!</v>
      </c>
      <c r="BJ31" s="122">
        <f>'Revenue data'!BK73</f>
        <v>0.82186820021933327</v>
      </c>
      <c r="BK31" s="122">
        <f>'Revenue data'!BL73</f>
        <v>0.80646275408353219</v>
      </c>
      <c r="BL31" s="122">
        <f>'Revenue data'!BM73</f>
        <v>0.8327284114250052</v>
      </c>
      <c r="BM31" s="122">
        <f>'Revenue data'!BN73</f>
        <v>0.81738158303072583</v>
      </c>
      <c r="BN31" s="122">
        <f>'Revenue data'!BO73</f>
        <v>0.81155174672536567</v>
      </c>
      <c r="BO31" s="122">
        <f>'Revenue data'!BP73</f>
        <v>0.79774386542455233</v>
      </c>
      <c r="BP31" s="122">
        <f>'Revenue data'!BQ73</f>
        <v>0.80484158910338754</v>
      </c>
      <c r="BQ31" s="122">
        <f>'Revenue data'!BR73</f>
        <v>0.78157201945579713</v>
      </c>
      <c r="BR31" s="122">
        <f>'Revenue data'!BS73</f>
        <v>0.76243809313079214</v>
      </c>
      <c r="BS31" s="122">
        <f>'Revenue data'!BT73</f>
        <v>0.80064614308643212</v>
      </c>
      <c r="BT31" s="122">
        <f>'Revenue data'!BU73</f>
        <v>0.77309783818660305</v>
      </c>
      <c r="BU31" s="122">
        <f>'Revenue data'!BV73</f>
        <v>0.78775090140401038</v>
      </c>
      <c r="BV31" s="122">
        <f>'Revenue data'!BW73</f>
        <v>0.80190665165749353</v>
      </c>
      <c r="BW31" s="122">
        <f>'Revenue data'!BX73</f>
        <v>0.75407384293074098</v>
      </c>
      <c r="BX31" s="122">
        <f>'Revenue data'!BY73</f>
        <v>0.77139748309332856</v>
      </c>
      <c r="BY31" s="122">
        <f>'Revenue data'!BZ73</f>
        <v>0.77542657492106648</v>
      </c>
      <c r="BZ31" s="122">
        <f>'Revenue data'!CA73</f>
        <v>0.77686299488054689</v>
      </c>
      <c r="CA31" s="122">
        <f>'Revenue data'!CB73</f>
        <v>0.79444988075202094</v>
      </c>
      <c r="CB31" s="122">
        <f>'Revenue data'!CC73</f>
        <v>0.68184589610310053</v>
      </c>
      <c r="CC31" s="122">
        <f>'Revenue data'!CD73</f>
        <v>0.71247455835956652</v>
      </c>
      <c r="CD31" s="122">
        <f>'Revenue data'!CE73</f>
        <v>0.73420568101853134</v>
      </c>
      <c r="CE31" s="122">
        <f>'Revenue data'!CF73</f>
        <v>0.72898167042560191</v>
      </c>
      <c r="CF31" s="122">
        <f>'Revenue data'!CG73</f>
        <v>0.72778138507696255</v>
      </c>
      <c r="CG31" s="122">
        <f>'Revenue data'!CH73</f>
        <v>0.75713930111002048</v>
      </c>
      <c r="CH31" s="122">
        <f>'Revenue data'!CI73</f>
        <v>0.74913182675814682</v>
      </c>
      <c r="CI31" s="122">
        <f>'Revenue data'!CJ73</f>
        <v>0.73029229848034627</v>
      </c>
      <c r="CJ31" s="122">
        <f>'Revenue data'!CK73</f>
        <v>0.72278417626638991</v>
      </c>
      <c r="CK31" s="122">
        <f>'Revenue data'!CL73</f>
        <v>0.71370767402136503</v>
      </c>
      <c r="CL31" s="122">
        <f>'Revenue data'!CM73</f>
        <v>0.72662865734628068</v>
      </c>
      <c r="CM31" s="122">
        <f>'Revenue data'!CN73</f>
        <v>0.72089599796795611</v>
      </c>
      <c r="CN31" s="122">
        <f>'Revenue data'!CO73</f>
        <v>0.71865517167341997</v>
      </c>
      <c r="CO31" s="122">
        <f>'Revenue data'!CP73</f>
        <v>0.4105691733626487</v>
      </c>
      <c r="CP31" s="122">
        <f>'Revenue data'!CQ73</f>
        <v>0.41757074995496263</v>
      </c>
      <c r="CQ31" s="122">
        <f>'Revenue data'!CR73</f>
        <v>0.42914915155923622</v>
      </c>
      <c r="CR31" s="122">
        <f>'Revenue data'!CS73</f>
        <v>0.42191774692792711</v>
      </c>
      <c r="CS31" s="122">
        <f>'Revenue data'!CT73</f>
        <v>0.43248476281943399</v>
      </c>
      <c r="CT31" s="122">
        <f>'Revenue data'!CU73</f>
        <v>0.42899289654633233</v>
      </c>
      <c r="CU31" s="122">
        <f>'Revenue data'!CV73</f>
        <v>0.41638735503337387</v>
      </c>
      <c r="CV31" s="731">
        <f>'Revenue data'!CW73</f>
        <v>0.41970865091979315</v>
      </c>
      <c r="CW31" s="122"/>
      <c r="CX31" s="55"/>
      <c r="CY31" s="122">
        <f>CJ31</f>
        <v>0.72278417626638991</v>
      </c>
      <c r="CZ31" s="715"/>
      <c r="DA31" s="55"/>
      <c r="DB31" s="736"/>
    </row>
    <row r="32" spans="2:109" ht="14.5" x14ac:dyDescent="0.35">
      <c r="B32" s="87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4"/>
      <c r="AQ32" s="94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4"/>
      <c r="BF32" s="94"/>
      <c r="BG32" s="94"/>
      <c r="BH32" s="94"/>
      <c r="BI32" s="94"/>
      <c r="BJ32" s="94"/>
      <c r="BK32" s="94"/>
      <c r="BL32" s="94"/>
      <c r="BM32" s="94"/>
      <c r="BN32" s="94"/>
      <c r="BO32" s="94"/>
      <c r="BP32" s="94"/>
      <c r="BQ32" s="94"/>
      <c r="BR32" s="94"/>
      <c r="BS32" s="94"/>
      <c r="BT32" s="94"/>
      <c r="BU32" s="94"/>
      <c r="BV32" s="94"/>
      <c r="BW32" s="94"/>
      <c r="BX32" s="94"/>
      <c r="BY32" s="94"/>
      <c r="BZ32" s="94"/>
      <c r="CA32" s="94"/>
      <c r="CB32" s="94"/>
      <c r="CC32" s="94"/>
      <c r="CD32" s="94"/>
      <c r="CE32" s="94"/>
      <c r="CF32" s="94"/>
      <c r="CG32" s="94"/>
      <c r="CH32" s="94"/>
      <c r="CI32" s="94"/>
      <c r="CJ32" s="94"/>
      <c r="CK32" s="94"/>
      <c r="CL32" s="94"/>
      <c r="CM32" s="94"/>
      <c r="CN32" s="94"/>
      <c r="CO32" s="94"/>
      <c r="CP32" s="94"/>
      <c r="CQ32" s="94"/>
      <c r="CR32" s="94"/>
      <c r="CS32" s="94"/>
      <c r="CT32" s="94"/>
      <c r="CU32" s="94"/>
      <c r="CV32" s="665"/>
      <c r="CW32" s="94"/>
      <c r="CX32" s="94"/>
      <c r="CY32" s="94"/>
      <c r="CZ32" s="95"/>
      <c r="DA32" s="94"/>
      <c r="DB32" s="280"/>
    </row>
    <row r="33" spans="2:101" ht="14.5" x14ac:dyDescent="0.35">
      <c r="CV33" s="453"/>
    </row>
    <row r="34" spans="2:101" ht="14.5" x14ac:dyDescent="0.35">
      <c r="B34" s="218" t="s">
        <v>30</v>
      </c>
      <c r="CV34" s="453"/>
    </row>
    <row r="35" spans="2:101" ht="14.5" x14ac:dyDescent="0.35">
      <c r="CV35" s="453"/>
    </row>
    <row r="36" spans="2:101" ht="14.5" x14ac:dyDescent="0.35">
      <c r="B36" t="s">
        <v>31</v>
      </c>
      <c r="C36" s="92">
        <v>639147</v>
      </c>
      <c r="D36" s="92">
        <v>622382</v>
      </c>
      <c r="E36" s="92">
        <v>605883</v>
      </c>
      <c r="F36" s="92">
        <v>637640</v>
      </c>
      <c r="G36" s="92">
        <v>642498</v>
      </c>
      <c r="H36" s="92">
        <v>669885</v>
      </c>
      <c r="I36" s="92">
        <v>746354</v>
      </c>
      <c r="J36" s="92">
        <v>753906</v>
      </c>
      <c r="K36" s="92">
        <v>735804.2688902868</v>
      </c>
      <c r="L36" s="92">
        <v>755020</v>
      </c>
      <c r="M36" s="92">
        <v>786812.8125</v>
      </c>
      <c r="N36" s="92">
        <v>821137</v>
      </c>
      <c r="O36" s="92">
        <f>('Financial statements'!CD7-'Financial statements'!CD11)</f>
        <v>802039</v>
      </c>
      <c r="P36" s="92">
        <f>('Financial statements'!CE7-'Financial statements'!CE11)</f>
        <v>799566</v>
      </c>
      <c r="Q36" s="92">
        <f>('Financial statements'!CF7-'Financial statements'!CF11)</f>
        <v>840978</v>
      </c>
      <c r="R36" s="92">
        <f>('Financial statements'!CG7-'Financial statements'!CG11)</f>
        <v>829964.4615384615</v>
      </c>
      <c r="S36" s="92">
        <f>('Financial statements'!CH7-'Financial statements'!CH11)</f>
        <v>840841.92307692312</v>
      </c>
      <c r="T36" s="92">
        <f>('Financial statements'!CI7-'Financial statements'!CI11)</f>
        <v>854073</v>
      </c>
      <c r="U36" s="92">
        <f>('Financial statements'!CJ7-'Financial statements'!CJ11)</f>
        <v>897330.29411764711</v>
      </c>
      <c r="V36" s="92">
        <f>('Financial statements'!CK7-'Financial statements'!CK11)</f>
        <v>932348.38842975209</v>
      </c>
      <c r="W36" s="92">
        <f>('Financial statements'!CL7-'Financial statements'!CL11)</f>
        <v>974395.08258104336</v>
      </c>
      <c r="X36" s="92">
        <f>('Financial statements'!CM7-'Financial statements'!CM11)</f>
        <v>989270</v>
      </c>
      <c r="Y36" s="92">
        <f>('Financial statements'!CN7-'Financial statements'!CN11)</f>
        <v>1000407</v>
      </c>
      <c r="Z36" s="92">
        <f>('Financial statements'!CO7-'Financial statements'!CO11)</f>
        <v>1029855</v>
      </c>
      <c r="AA36" s="92">
        <f>('Financial statements'!CP7-'Financial statements'!CP11)</f>
        <v>1049684.6666666667</v>
      </c>
      <c r="AB36" s="92">
        <f>('Financial statements'!CQ7-'Financial statements'!CQ11)</f>
        <v>1047820.8974358974</v>
      </c>
      <c r="AC36" s="92">
        <f>('Financial statements'!CR7-'Financial statements'!CR11)</f>
        <v>1067780</v>
      </c>
      <c r="AD36" s="92">
        <f>('Financial statements'!CS7-'Financial statements'!CS11)</f>
        <v>1019626.5652173914</v>
      </c>
      <c r="AE36" s="92">
        <f>('Financial statements'!CT7-'Financial statements'!CT11)</f>
        <v>1018556.2346041056</v>
      </c>
      <c r="AF36" s="92">
        <f>('Financial statements'!CU7-'Financial statements'!CU11)</f>
        <v>1015222.6510263929</v>
      </c>
      <c r="AG36" s="92">
        <f>('Financial statements'!CV7-'Financial statements'!CV11)</f>
        <v>1034063.3305480346</v>
      </c>
      <c r="AH36" s="92">
        <f>('Financial statements'!CW7-'Financial statements'!CW11)</f>
        <v>1022396.9810268438</v>
      </c>
      <c r="AI36" s="92">
        <f>('Financial statements'!CX7-'Financial statements'!CX11)</f>
        <v>1008380.4277502878</v>
      </c>
      <c r="AJ36" s="92">
        <f>('Financial statements'!CY7-'Financial statements'!CY11)</f>
        <v>1023806.8642702986</v>
      </c>
      <c r="AK36" s="92">
        <f>('Financial statements'!CZ7-'Financial statements'!CZ11)</f>
        <v>1017833.7450678541</v>
      </c>
      <c r="AL36" s="92">
        <f>('Financial statements'!DA7-'Financial statements'!DA11)</f>
        <v>1034421.5945982371</v>
      </c>
      <c r="AM36" s="92">
        <f>('Financial statements'!DB7-'Financial statements'!DB11)</f>
        <v>1049467.4362805877</v>
      </c>
      <c r="AN36" s="92">
        <f>('Financial statements'!DC7-'Financial statements'!DC11)</f>
        <v>1069440.1684454202</v>
      </c>
      <c r="AO36" s="92">
        <f>('Financial statements'!DD7-'Financial statements'!DD11)</f>
        <v>1064298.8452199204</v>
      </c>
      <c r="AP36" s="92">
        <f>('Financial statements'!DE7-'Financial statements'!DE11)</f>
        <v>1088622.0583953017</v>
      </c>
      <c r="AQ36" s="92">
        <f>('Financial statements'!DF7-'Financial statements'!DF11)</f>
        <v>1119584.5254575885</v>
      </c>
      <c r="AR36" s="92">
        <f>('Financial statements'!DG7-'Financial statements'!DG11)</f>
        <v>1138720.7930431713</v>
      </c>
      <c r="AS36" s="92">
        <f>('Financial statements'!DH7-'Financial statements'!DH11)</f>
        <v>1197362.7698331513</v>
      </c>
      <c r="AT36" s="92">
        <f>('Financial statements'!DI7-'Financial statements'!DI11)</f>
        <v>1300644.6524414138</v>
      </c>
      <c r="AU36" s="92">
        <f>('Financial statements'!DJ7-'Financial statements'!DJ11)</f>
        <v>1262745.6366924827</v>
      </c>
      <c r="AV36" s="92">
        <f>('Financial statements'!DK7-'Financial statements'!DK11)</f>
        <v>1310313.1064791435</v>
      </c>
      <c r="AW36" s="92">
        <f>('Financial statements'!DL7-'Financial statements'!DL11)</f>
        <v>1366061.7103809961</v>
      </c>
      <c r="AX36" s="92">
        <f>('Financial statements'!DM7-'Financial statements'!DM11)</f>
        <v>1420706.0479449388</v>
      </c>
      <c r="AY36" s="92">
        <f>('Financial statements'!DN7-'Financial statements'!DN11)</f>
        <v>1365424.6770146345</v>
      </c>
      <c r="AZ36" s="92">
        <f>('Financial statements'!DO7-'Financial statements'!DO11)</f>
        <v>1392826.0357046479</v>
      </c>
      <c r="BA36" s="92">
        <f>('Financial statements'!DP7-'Financial statements'!DP11)</f>
        <v>1395265.2491698733</v>
      </c>
      <c r="BB36" s="92">
        <f>('Financial statements'!DQ7-'Financial statements'!DQ11)</f>
        <v>1474143.75</v>
      </c>
      <c r="BC36" s="92">
        <f>('Financial statements'!DR7-'Financial statements'!DR11)</f>
        <v>1526574.3028697451</v>
      </c>
      <c r="BD36" s="92">
        <f>('Financial statements'!DS7-'Financial statements'!DS11)</f>
        <v>1555971.7664693932</v>
      </c>
      <c r="BE36" s="92">
        <f>('Financial statements'!DT7-'Financial statements'!DT11)</f>
        <v>1593609.7097173347</v>
      </c>
      <c r="BF36" s="92">
        <f>('Financial statements'!DU7-'Financial statements'!DU11)</f>
        <v>1609762.792157091</v>
      </c>
      <c r="BG36" s="92">
        <f>('Financial statements'!DV7-'Financial statements'!DV11)</f>
        <v>1699017.4600000002</v>
      </c>
      <c r="BH36" s="92">
        <f>('Financial statements'!DW7-'Financial statements'!DW11)</f>
        <v>1738174.5486712656</v>
      </c>
      <c r="BI36" s="92">
        <f>('Financial statements'!DX7-'Financial statements'!DX11)</f>
        <v>1739247.8812451498</v>
      </c>
      <c r="BJ36" s="92">
        <f>('Financial statements'!DY7-'Financial statements'!DY11)</f>
        <v>1814355.423537221</v>
      </c>
      <c r="BK36" s="92">
        <f>('Financial statements'!DZ7-'Financial statements'!DZ11)</f>
        <v>1763719.4988647499</v>
      </c>
      <c r="BL36" s="92">
        <f>('Financial statements'!EA7-'Financial statements'!EA11)</f>
        <v>1783521.0641443585</v>
      </c>
      <c r="BM36" s="92">
        <f>('Financial statements'!EB7-'Financial statements'!EB11)</f>
        <v>1766730.2334275222</v>
      </c>
      <c r="BN36" s="92">
        <f>('Financial statements'!EC7-'Financial statements'!EC11)</f>
        <v>1788925.4351059042</v>
      </c>
      <c r="BO36" s="92">
        <f>('Financial statements'!ED7-'Financial statements'!ED11)</f>
        <v>1755475.2550903135</v>
      </c>
      <c r="BP36" s="92">
        <f>('Financial statements'!EE7-'Financial statements'!EE11)</f>
        <v>1783878.8417414236</v>
      </c>
      <c r="BQ36" s="92">
        <f>('Financial statements'!EF7-'Financial statements'!EF11)</f>
        <v>1755013.4610735816</v>
      </c>
      <c r="BR36" s="92">
        <f>('Financial statements'!EG7-'Financial statements'!EG11)</f>
        <v>1768226.125001204</v>
      </c>
      <c r="BS36" s="92">
        <f>('Financial statements'!EH7-'Financial statements'!EH11)</f>
        <v>1831489.6648808501</v>
      </c>
      <c r="BT36" s="92">
        <f>('Financial statements'!EI7-'Financial statements'!EI11)</f>
        <v>1797920.2049832742</v>
      </c>
      <c r="BU36" s="92">
        <f>('Financial statements'!EJ7-'Financial statements'!EJ11)</f>
        <v>1847465.8680834519</v>
      </c>
      <c r="BV36" s="92">
        <f>('Financial statements'!EK7-'Financial statements'!EK11)</f>
        <v>1898178.5998806464</v>
      </c>
      <c r="BW36" s="92">
        <f>('Financial statements'!EL7-'Financial statements'!EL11)</f>
        <v>1840748.5438772449</v>
      </c>
      <c r="BX36" s="92">
        <f>('Financial statements'!EM7-'Financial statements'!EM11)</f>
        <v>1868458.1566598217</v>
      </c>
      <c r="BY36" s="92">
        <f>('Financial statements'!EN7-'Financial statements'!EN11)</f>
        <v>1888484.6739220871</v>
      </c>
      <c r="BZ36" s="92">
        <f>('Financial statements'!EO7-'Financial statements'!EO11)</f>
        <v>1909860.9603972968</v>
      </c>
      <c r="CA36" s="92">
        <f>('Financial statements'!EP7-'Financial statements'!EP11)</f>
        <v>1860328.3314808449</v>
      </c>
      <c r="CB36" s="92">
        <f>('Financial statements'!EQ7-'Financial statements'!EQ11)</f>
        <v>1836341.003482816</v>
      </c>
      <c r="CC36" s="92">
        <f>('Financial statements'!ER7-'Financial statements'!ER11)</f>
        <v>1826556.6219533836</v>
      </c>
      <c r="CD36" s="92">
        <f>('Financial statements'!ES7-'Financial statements'!ES11)</f>
        <v>1814099.2728673809</v>
      </c>
      <c r="CE36" s="92">
        <f>('Financial statements'!ET7-'Financial statements'!ET11)</f>
        <v>1796474.4830564433</v>
      </c>
      <c r="CF36" s="92">
        <f>('Financial statements'!EU7-'Financial statements'!EU11)</f>
        <v>1778822.1564317772</v>
      </c>
      <c r="CG36" s="92">
        <f>('Financial statements'!EV7-'Financial statements'!EV11)</f>
        <v>1857620.0753730035</v>
      </c>
      <c r="CH36" s="92">
        <f>('Financial statements'!EW7-'Financial statements'!EW11)</f>
        <v>1810907.8222853981</v>
      </c>
      <c r="CI36" s="92">
        <f>('Financial statements'!EX7-'Financial statements'!EX11)</f>
        <v>1832602.9568821013</v>
      </c>
      <c r="CJ36" s="92">
        <f>('Financial statements'!EY7-'Financial statements'!EY11)</f>
        <v>1821808.9449211897</v>
      </c>
      <c r="CK36" s="92">
        <f>('Financial statements'!EZ7-'Financial statements'!EZ11)</f>
        <v>1797603.1175170331</v>
      </c>
      <c r="CL36" s="92">
        <f>('Financial statements'!FA7-'Financial statements'!FA11)</f>
        <v>1795087.9784499579</v>
      </c>
      <c r="CM36" s="92">
        <f>('Financial statements'!FB7-'Financial statements'!FB11)</f>
        <v>1791868.9038295625</v>
      </c>
      <c r="CN36" s="92">
        <f>('Financial statements'!FC7-'Financial statements'!FC11)</f>
        <v>1815631.8134429103</v>
      </c>
      <c r="CO36" s="92">
        <f>('Financial statements'!FD7-'Financial statements'!FD11)</f>
        <v>1913872.2725282209</v>
      </c>
      <c r="CP36" s="92">
        <f>('Financial statements'!FE7-'Financial statements'!FE11)</f>
        <v>1955410.3282963443</v>
      </c>
      <c r="CQ36" s="92">
        <f>('Financial statements'!FF7-'Financial statements'!FF11)</f>
        <v>2018653.9067423132</v>
      </c>
      <c r="CR36" s="92">
        <f>('Financial statements'!FG7-'Financial statements'!FG11)</f>
        <v>1994124.3507101797</v>
      </c>
      <c r="CS36" s="92">
        <f>('Financial statements'!FH7-'Financial statements'!FH11)</f>
        <v>2052396.2883239849</v>
      </c>
      <c r="CT36" s="92">
        <f>('Financial statements'!FI7-'Financial statements'!FI11)</f>
        <v>2017055.1460533168</v>
      </c>
      <c r="CU36" s="92">
        <f>('Financial statements'!FJ7-'Financial statements'!FJ11)</f>
        <v>1987738.3683721859</v>
      </c>
      <c r="CV36" s="664">
        <f>('Financial statements'!FK7-'Financial statements'!FK11)</f>
        <v>1997378.2203713632</v>
      </c>
      <c r="CW36" s="92"/>
    </row>
    <row r="37" spans="2:101" ht="14.5" x14ac:dyDescent="0.35">
      <c r="B37" t="s">
        <v>32</v>
      </c>
      <c r="C37" s="92">
        <v>-253784.8166252588</v>
      </c>
      <c r="D37" s="92">
        <v>-223280.03225672879</v>
      </c>
      <c r="E37" s="92">
        <v>-221613.58053830225</v>
      </c>
      <c r="F37" s="92">
        <v>-274831.37316770188</v>
      </c>
      <c r="G37" s="92">
        <v>-275266.40778467909</v>
      </c>
      <c r="H37" s="92">
        <v>-276183.84962732921</v>
      </c>
      <c r="I37" s="92">
        <v>-296698.88275362318</v>
      </c>
      <c r="J37" s="92">
        <v>-334737.67596273293</v>
      </c>
      <c r="K37" s="92">
        <v>-313929.84281573503</v>
      </c>
      <c r="L37" s="92">
        <v>-301441.01265010348</v>
      </c>
      <c r="M37" s="92">
        <v>-336950.49093167705</v>
      </c>
      <c r="N37" s="92">
        <v>-261748.00745341618</v>
      </c>
      <c r="O37" s="92">
        <v>-358318.48960662528</v>
      </c>
      <c r="P37" s="92">
        <v>-374434.9144306418</v>
      </c>
      <c r="Q37" s="92">
        <v>-433952</v>
      </c>
      <c r="R37" s="92">
        <v>-446927.98</v>
      </c>
      <c r="S37" s="92">
        <v>-426542</v>
      </c>
      <c r="T37" s="92">
        <v>-475745.53061224491</v>
      </c>
      <c r="U37" s="92">
        <v>-473212.70901993325</v>
      </c>
      <c r="V37" s="92">
        <v>-489166.48235387501</v>
      </c>
      <c r="W37" s="92">
        <v>-512771.55359352549</v>
      </c>
      <c r="X37" s="92">
        <v>-492932.85567436158</v>
      </c>
      <c r="Y37" s="92">
        <v>-486789.0541646877</v>
      </c>
      <c r="Z37" s="92">
        <v>-520508.8776769978</v>
      </c>
      <c r="AA37" s="92">
        <v>-540281.29313714243</v>
      </c>
      <c r="AB37" s="92">
        <v>-544638.94829893927</v>
      </c>
      <c r="AC37" s="92">
        <v>-521877.27986363869</v>
      </c>
      <c r="AD37" s="92">
        <v>-500224.96825082001</v>
      </c>
      <c r="AE37" s="92">
        <v>-525698.3716467194</v>
      </c>
      <c r="AF37" s="92">
        <v>-490930.37615413318</v>
      </c>
      <c r="AG37" s="92">
        <v>-527790.55998496723</v>
      </c>
      <c r="AH37" s="92">
        <v>-496612.21384560125</v>
      </c>
      <c r="AI37" s="92">
        <v>-478920.57549042522</v>
      </c>
      <c r="AJ37" s="92">
        <v>-487671.27686863061</v>
      </c>
      <c r="AK37" s="92">
        <v>-489808.53489858238</v>
      </c>
      <c r="AL37" s="92">
        <v>-490328.09783914668</v>
      </c>
      <c r="AM37" s="92">
        <v>-476672.97792193986</v>
      </c>
      <c r="AN37" s="92">
        <v>-480585.01910199469</v>
      </c>
      <c r="AO37" s="92">
        <v>-489223.80500138749</v>
      </c>
      <c r="AP37" s="92">
        <v>-492939.2937020096</v>
      </c>
      <c r="AQ37" s="92">
        <v>-502357.38552479318</v>
      </c>
      <c r="AR37" s="92">
        <v>-508518.50704536436</v>
      </c>
      <c r="AS37" s="92">
        <v>-563486.08795202081</v>
      </c>
      <c r="AT37" s="92">
        <v>-610546.89661762828</v>
      </c>
      <c r="AU37" s="92">
        <v>-588358.14058254659</v>
      </c>
      <c r="AV37" s="92">
        <v>-623265.16375072196</v>
      </c>
      <c r="AW37" s="92">
        <v>-638209.67191398656</v>
      </c>
      <c r="AX37" s="92">
        <v>-626478.00517600682</v>
      </c>
      <c r="AY37" s="92">
        <v>-641602.08353106049</v>
      </c>
      <c r="AZ37" s="92">
        <v>-656573.28462687857</v>
      </c>
      <c r="BA37" s="92">
        <v>-687946.19342881534</v>
      </c>
      <c r="BB37" s="92">
        <v>-736431.94064512302</v>
      </c>
      <c r="BC37" s="92">
        <v>-770425.04931742977</v>
      </c>
      <c r="BD37" s="92">
        <v>-781268.70689506421</v>
      </c>
      <c r="BE37" s="92">
        <v>-853578.88312107348</v>
      </c>
      <c r="BF37" s="92">
        <v>-841171.00094412942</v>
      </c>
      <c r="BG37" s="92">
        <v>-888188.48426083988</v>
      </c>
      <c r="BH37" s="92">
        <v>-844912.74833240162</v>
      </c>
      <c r="BI37" s="92">
        <v>-820049.92846768512</v>
      </c>
      <c r="BJ37" s="92">
        <v>-777082.45801630546</v>
      </c>
      <c r="BK37" s="92">
        <v>-773105.38166897721</v>
      </c>
      <c r="BL37" s="92">
        <v>-769185.25728599646</v>
      </c>
      <c r="BM37" s="92">
        <v>-803811.66472160805</v>
      </c>
      <c r="BN37" s="92">
        <v>-807633.21949736669</v>
      </c>
      <c r="BO37" s="92">
        <v>-818541.90839632344</v>
      </c>
      <c r="BP37" s="92">
        <f>'Financial statements'!EE28+81815.52</f>
        <v>-850574.01</v>
      </c>
      <c r="BQ37" s="92">
        <f>'Financial statements'!EF28-39296.05+155656.07</f>
        <v>-835206.55001449096</v>
      </c>
      <c r="BR37" s="92">
        <v>-833702.69102667598</v>
      </c>
      <c r="BS37" s="92">
        <v>-834493.98034989135</v>
      </c>
      <c r="BT37" s="92">
        <v>-843928.030518368</v>
      </c>
      <c r="BU37" s="92">
        <v>-862625.27780811698</v>
      </c>
      <c r="BV37" s="92">
        <v>-839983.69357333402</v>
      </c>
      <c r="BW37" s="92">
        <v>-820294.41781567596</v>
      </c>
      <c r="BX37" s="92">
        <v>-825606.72949888348</v>
      </c>
      <c r="BY37" s="92">
        <v>-875623.64385650004</v>
      </c>
      <c r="BZ37" s="92">
        <v>-886195.76469036401</v>
      </c>
      <c r="CA37" s="92">
        <v>-876476.55525232572</v>
      </c>
      <c r="CB37" s="92">
        <v>-892632.66107164486</v>
      </c>
      <c r="CC37" s="92">
        <v>-890287.69515291695</v>
      </c>
      <c r="CD37" s="92">
        <v>-900034.35986134189</v>
      </c>
      <c r="CE37" s="92">
        <v>-904632.70015060366</v>
      </c>
      <c r="CF37" s="92">
        <v>-901978.80492696306</v>
      </c>
      <c r="CG37" s="92">
        <v>-923068.28485585912</v>
      </c>
      <c r="CH37" s="92">
        <v>-893177.63313174481</v>
      </c>
      <c r="CI37" s="92">
        <v>-905740.25579559884</v>
      </c>
      <c r="CJ37" s="92">
        <v>-911726.58904206171</v>
      </c>
      <c r="CK37" s="92">
        <v>-899445.97240699246</v>
      </c>
      <c r="CL37" s="92">
        <v>-909998.42519056844</v>
      </c>
      <c r="CM37" s="92">
        <v>-902434.50043532881</v>
      </c>
      <c r="CN37" s="92">
        <v>-904871.73200524098</v>
      </c>
      <c r="CO37" s="92">
        <v>-973813.83970907005</v>
      </c>
      <c r="CP37" s="92">
        <v>-989227.45839614584</v>
      </c>
      <c r="CQ37" s="92">
        <v>-1005662.8589926774</v>
      </c>
      <c r="CR37" s="92">
        <v>-985394.18616276712</v>
      </c>
      <c r="CS37" s="92">
        <v>-985185.83488770016</v>
      </c>
      <c r="CT37" s="92">
        <v>-962071.93842146662</v>
      </c>
      <c r="CU37" s="92">
        <v>-966952.2166757189</v>
      </c>
      <c r="CV37" s="664">
        <v>-961251.51238725404</v>
      </c>
      <c r="CW37" s="92"/>
    </row>
    <row r="38" spans="2:101" ht="14.5" x14ac:dyDescent="0.35">
      <c r="B38" t="s">
        <v>33</v>
      </c>
      <c r="C38" s="92">
        <f t="shared" ref="C38" si="30">SUM(C36:C37)</f>
        <v>385362.18337474123</v>
      </c>
      <c r="D38" s="92">
        <f t="shared" ref="D38" si="31">SUM(D36:D37)</f>
        <v>399101.96774327121</v>
      </c>
      <c r="E38" s="92">
        <f t="shared" ref="E38" si="32">SUM(E36:E37)</f>
        <v>384269.41946169775</v>
      </c>
      <c r="F38" s="92">
        <f t="shared" ref="F38" si="33">SUM(F36:F37)</f>
        <v>362808.62683229812</v>
      </c>
      <c r="G38" s="92">
        <f t="shared" ref="G38" si="34">SUM(G36:G37)</f>
        <v>367231.59221532091</v>
      </c>
      <c r="H38" s="92">
        <f t="shared" ref="H38" si="35">SUM(H36:H37)</f>
        <v>393701.15037267079</v>
      </c>
      <c r="I38" s="92">
        <f t="shared" ref="I38" si="36">SUM(I36:I37)</f>
        <v>449655.11724637682</v>
      </c>
      <c r="J38" s="92">
        <f t="shared" ref="J38" si="37">SUM(J36:J37)</f>
        <v>419168.32403726707</v>
      </c>
      <c r="K38" s="92">
        <f t="shared" ref="K38" si="38">SUM(K36:K37)</f>
        <v>421874.42607455177</v>
      </c>
      <c r="L38" s="92">
        <f t="shared" ref="L38" si="39">SUM(L36:L37)</f>
        <v>453578.98734989652</v>
      </c>
      <c r="M38" s="92">
        <f t="shared" ref="M38" si="40">SUM(M36:M37)</f>
        <v>449862.32156832295</v>
      </c>
      <c r="N38" s="92">
        <f t="shared" ref="N38" si="41">SUM(N36:N37)</f>
        <v>559388.99254658376</v>
      </c>
      <c r="O38" s="92">
        <f t="shared" ref="O38" si="42">SUM(O36:O37)</f>
        <v>443720.51039337472</v>
      </c>
      <c r="P38" s="92">
        <f t="shared" ref="P38" si="43">SUM(P36:P37)</f>
        <v>425131.0855693582</v>
      </c>
      <c r="Q38" s="92">
        <f t="shared" ref="Q38" si="44">SUM(Q36:Q37)</f>
        <v>407026</v>
      </c>
      <c r="R38" s="92">
        <f t="shared" ref="R38" si="45">SUM(R36:R37)</f>
        <v>383036.48153846152</v>
      </c>
      <c r="S38" s="92">
        <f t="shared" ref="S38" si="46">SUM(S36:S37)</f>
        <v>414299.92307692312</v>
      </c>
      <c r="T38" s="92">
        <f t="shared" ref="T38" si="47">SUM(T36:T37)</f>
        <v>378327.46938775509</v>
      </c>
      <c r="U38" s="92">
        <f t="shared" ref="U38" si="48">SUM(U36:U37)</f>
        <v>424117.58509771386</v>
      </c>
      <c r="V38" s="92">
        <f t="shared" ref="V38" si="49">SUM(V36:V37)</f>
        <v>443181.90607587708</v>
      </c>
      <c r="W38" s="92">
        <f t="shared" ref="W38" si="50">SUM(W36:W37)</f>
        <v>461623.52898751787</v>
      </c>
      <c r="X38" s="92">
        <f t="shared" ref="X38" si="51">SUM(X36:X37)</f>
        <v>496337.14432563842</v>
      </c>
      <c r="Y38" s="92">
        <f t="shared" ref="Y38" si="52">SUM(Y36:Y37)</f>
        <v>513617.9458353123</v>
      </c>
      <c r="Z38" s="92">
        <f t="shared" ref="Z38" si="53">SUM(Z36:Z37)</f>
        <v>509346.1223230022</v>
      </c>
      <c r="AA38" s="92">
        <f t="shared" ref="AA38" si="54">SUM(AA36:AA37)</f>
        <v>509403.37352952431</v>
      </c>
      <c r="AB38" s="92">
        <f t="shared" ref="AB38" si="55">SUM(AB36:AB37)</f>
        <v>503181.94913695811</v>
      </c>
      <c r="AC38" s="92">
        <f t="shared" ref="AC38" si="56">SUM(AC36:AC37)</f>
        <v>545902.72013636131</v>
      </c>
      <c r="AD38" s="92">
        <f t="shared" ref="AD38" si="57">SUM(AD36:AD37)</f>
        <v>519401.59696657135</v>
      </c>
      <c r="AE38" s="92">
        <f t="shared" ref="AE38" si="58">SUM(AE36:AE37)</f>
        <v>492857.86295738618</v>
      </c>
      <c r="AF38" s="92">
        <f t="shared" ref="AF38" si="59">SUM(AF36:AF37)</f>
        <v>524292.2748722597</v>
      </c>
      <c r="AG38" s="92">
        <f t="shared" ref="AG38" si="60">SUM(AG36:AG37)</f>
        <v>506272.7705630674</v>
      </c>
      <c r="AH38" s="92">
        <f t="shared" ref="AH38" si="61">SUM(AH36:AH37)</f>
        <v>525784.76718124258</v>
      </c>
      <c r="AI38" s="92">
        <f t="shared" ref="AI38" si="62">SUM(AI36:AI37)</f>
        <v>529459.85225986259</v>
      </c>
      <c r="AJ38" s="92">
        <f t="shared" ref="AJ38" si="63">SUM(AJ36:AJ37)</f>
        <v>536135.58740166808</v>
      </c>
      <c r="AK38" s="92">
        <f t="shared" ref="AK38" si="64">SUM(AK36:AK37)</f>
        <v>528025.21016927168</v>
      </c>
      <c r="AL38" s="92">
        <f t="shared" ref="AL38" si="65">SUM(AL36:AL37)</f>
        <v>544093.49675909034</v>
      </c>
      <c r="AM38" s="92">
        <f t="shared" ref="AM38:AX38" si="66">SUM(AM36:AM37)</f>
        <v>572794.45835864777</v>
      </c>
      <c r="AN38" s="92">
        <f t="shared" si="66"/>
        <v>588855.14934342552</v>
      </c>
      <c r="AO38" s="92">
        <f t="shared" si="66"/>
        <v>575075.0402185329</v>
      </c>
      <c r="AP38" s="92">
        <f t="shared" si="66"/>
        <v>595682.76469329209</v>
      </c>
      <c r="AQ38" s="92">
        <f t="shared" si="66"/>
        <v>617227.13993279531</v>
      </c>
      <c r="AR38" s="92">
        <f t="shared" si="66"/>
        <v>630202.28599780693</v>
      </c>
      <c r="AS38" s="92">
        <f t="shared" si="66"/>
        <v>633876.68188113044</v>
      </c>
      <c r="AT38" s="92">
        <f t="shared" si="66"/>
        <v>690097.75582378556</v>
      </c>
      <c r="AU38" s="92">
        <f t="shared" si="66"/>
        <v>674387.49610993615</v>
      </c>
      <c r="AV38" s="92">
        <f t="shared" si="66"/>
        <v>687047.94272842153</v>
      </c>
      <c r="AW38" s="92">
        <f t="shared" si="66"/>
        <v>727852.03846700955</v>
      </c>
      <c r="AX38" s="92">
        <f t="shared" si="66"/>
        <v>794228.04276893195</v>
      </c>
      <c r="AY38" s="92">
        <f>SUM(AY36:AY37)</f>
        <v>723822.59348357399</v>
      </c>
      <c r="AZ38" s="92">
        <f>SUM(AZ36:AZ37)</f>
        <v>736252.75107776932</v>
      </c>
      <c r="BA38" s="92">
        <f t="shared" ref="BA38:BJ38" si="67">SUM(BA36:BA37)</f>
        <v>707319.05574105796</v>
      </c>
      <c r="BB38" s="92">
        <f t="shared" si="67"/>
        <v>737711.80935487698</v>
      </c>
      <c r="BC38" s="92">
        <f t="shared" si="67"/>
        <v>756149.25355231529</v>
      </c>
      <c r="BD38" s="92">
        <f t="shared" si="67"/>
        <v>774703.05957432895</v>
      </c>
      <c r="BE38" s="92">
        <f t="shared" si="67"/>
        <v>740030.82659626123</v>
      </c>
      <c r="BF38" s="92">
        <f t="shared" si="67"/>
        <v>768591.79121296154</v>
      </c>
      <c r="BG38" s="92">
        <f t="shared" si="67"/>
        <v>810828.97573916032</v>
      </c>
      <c r="BH38" s="92">
        <f t="shared" si="67"/>
        <v>893261.80033886398</v>
      </c>
      <c r="BI38" s="92">
        <f t="shared" si="67"/>
        <v>919197.95277746464</v>
      </c>
      <c r="BJ38" s="92">
        <f t="shared" si="67"/>
        <v>1037272.9655209156</v>
      </c>
      <c r="BK38" s="92">
        <f t="shared" ref="BK38:BL38" si="68">SUM(BK36:BK37)</f>
        <v>990614.11719577271</v>
      </c>
      <c r="BL38" s="92">
        <f t="shared" si="68"/>
        <v>1014335.806858362</v>
      </c>
      <c r="BM38" s="92">
        <f t="shared" ref="BM38:BN38" si="69">SUM(BM36:BM37)</f>
        <v>962918.56870591419</v>
      </c>
      <c r="BN38" s="92">
        <f t="shared" si="69"/>
        <v>981292.21560853755</v>
      </c>
      <c r="BO38" s="92">
        <f t="shared" ref="BO38:BQ38" si="70">SUM(BO36:BO37)</f>
        <v>936933.34669399005</v>
      </c>
      <c r="BP38" s="92">
        <f t="shared" si="70"/>
        <v>933304.83174142358</v>
      </c>
      <c r="BQ38" s="92">
        <f t="shared" si="70"/>
        <v>919806.91105909063</v>
      </c>
      <c r="BR38" s="92">
        <f>SUM(BR36:BR37)</f>
        <v>934523.43397452799</v>
      </c>
      <c r="BS38" s="92">
        <f t="shared" ref="BS38:BT38" si="71">SUM(BS36:BS37)</f>
        <v>996995.68453095877</v>
      </c>
      <c r="BT38" s="92">
        <f t="shared" si="71"/>
        <v>953992.17446490622</v>
      </c>
      <c r="BU38" s="92">
        <f t="shared" ref="BU38" si="72">SUM(BU36:BU37)</f>
        <v>984840.59027533489</v>
      </c>
      <c r="BV38" s="92">
        <f t="shared" ref="BV38:CA38" si="73">SUM(BV36:BV37)</f>
        <v>1058194.9063073124</v>
      </c>
      <c r="BW38" s="92">
        <f t="shared" si="73"/>
        <v>1020454.126061569</v>
      </c>
      <c r="BX38" s="92">
        <f t="shared" si="73"/>
        <v>1042851.4271609383</v>
      </c>
      <c r="BY38" s="92">
        <f t="shared" si="73"/>
        <v>1012861.030065587</v>
      </c>
      <c r="BZ38" s="92">
        <f t="shared" si="73"/>
        <v>1023665.1957069328</v>
      </c>
      <c r="CA38" s="92">
        <f t="shared" si="73"/>
        <v>983851.77622851916</v>
      </c>
      <c r="CB38" s="92">
        <f t="shared" ref="CB38:CC38" si="74">SUM(CB36:CB37)</f>
        <v>943708.34241117118</v>
      </c>
      <c r="CC38" s="92">
        <f t="shared" si="74"/>
        <v>936268.92680046661</v>
      </c>
      <c r="CD38" s="92">
        <f t="shared" ref="CD38:CE38" si="75">SUM(CD36:CD37)</f>
        <v>914064.91300603899</v>
      </c>
      <c r="CE38" s="92">
        <f t="shared" si="75"/>
        <v>891841.78290583962</v>
      </c>
      <c r="CF38" s="92">
        <f t="shared" ref="CF38:CM38" si="76">SUM(CF36:CF37)</f>
        <v>876843.35150481411</v>
      </c>
      <c r="CG38" s="92">
        <f t="shared" si="76"/>
        <v>934551.79051714437</v>
      </c>
      <c r="CH38" s="92">
        <f t="shared" si="76"/>
        <v>917730.18915365334</v>
      </c>
      <c r="CI38" s="92">
        <f t="shared" si="76"/>
        <v>926862.70108650241</v>
      </c>
      <c r="CJ38" s="92">
        <f t="shared" si="76"/>
        <v>910082.35587912798</v>
      </c>
      <c r="CK38" s="92">
        <f t="shared" si="76"/>
        <v>898157.14511004067</v>
      </c>
      <c r="CL38" s="92">
        <f>SUM(CL36:CL37)</f>
        <v>885089.55325938947</v>
      </c>
      <c r="CM38" s="92">
        <f t="shared" si="76"/>
        <v>889434.40339423367</v>
      </c>
      <c r="CN38" s="92">
        <f t="shared" ref="CN38:CO38" si="77">SUM(CN36:CN37)</f>
        <v>910760.08143766935</v>
      </c>
      <c r="CO38" s="92">
        <f t="shared" si="77"/>
        <v>940058.43281915085</v>
      </c>
      <c r="CP38" s="92">
        <f>SUM(CP36:CP37)</f>
        <v>966182.86990019842</v>
      </c>
      <c r="CQ38" s="92">
        <f t="shared" ref="CQ38:CS38" si="78">SUM(CQ36:CQ37)</f>
        <v>1012991.0477496358</v>
      </c>
      <c r="CR38" s="92">
        <f t="shared" si="78"/>
        <v>1008730.1645474125</v>
      </c>
      <c r="CS38" s="92">
        <f t="shared" si="78"/>
        <v>1067210.4534362848</v>
      </c>
      <c r="CT38" s="92">
        <f t="shared" ref="CT38:CU38" si="79">SUM(CT36:CT37)</f>
        <v>1054983.2076318501</v>
      </c>
      <c r="CU38" s="92">
        <f t="shared" si="79"/>
        <v>1020786.151696467</v>
      </c>
      <c r="CV38" s="664">
        <f t="shared" ref="CV38" si="80">SUM(CV36:CV37)</f>
        <v>1036126.7079841092</v>
      </c>
      <c r="CW38" s="92"/>
    </row>
    <row r="39" spans="2:101" ht="15" customHeight="1" x14ac:dyDescent="0.35">
      <c r="B39" s="442" t="s">
        <v>34</v>
      </c>
      <c r="C39" s="439">
        <f t="shared" ref="C39" si="81">C38/C36</f>
        <v>0.60293200683839743</v>
      </c>
      <c r="D39" s="439">
        <f t="shared" ref="D39" si="82">D38/D36</f>
        <v>0.64124921309303806</v>
      </c>
      <c r="E39" s="439">
        <f t="shared" ref="E39" si="83">E38/E36</f>
        <v>0.63423040333149761</v>
      </c>
      <c r="F39" s="439">
        <f t="shared" ref="F39" si="84">F38/F36</f>
        <v>0.5689866175777839</v>
      </c>
      <c r="G39" s="439">
        <f t="shared" ref="G39" si="85">G38/G36</f>
        <v>0.57156845969220282</v>
      </c>
      <c r="H39" s="439">
        <f t="shared" ref="H39" si="86">H38/H36</f>
        <v>0.58771453364782134</v>
      </c>
      <c r="I39" s="439">
        <f t="shared" ref="I39" si="87">I38/I36</f>
        <v>0.60246895876002116</v>
      </c>
      <c r="J39" s="439">
        <f t="shared" ref="J39" si="88">J38/J36</f>
        <v>0.55599547428627316</v>
      </c>
      <c r="K39" s="439">
        <f t="shared" ref="K39" si="89">K38/K36</f>
        <v>0.57335142497991676</v>
      </c>
      <c r="L39" s="439">
        <f t="shared" ref="L39" si="90">L38/L36</f>
        <v>0.60075095672948597</v>
      </c>
      <c r="M39" s="439">
        <f t="shared" ref="M39" si="91">M38/M36</f>
        <v>0.57175266393914115</v>
      </c>
      <c r="N39" s="439">
        <f t="shared" ref="N39" si="92">N38/N36</f>
        <v>0.68123710482731115</v>
      </c>
      <c r="O39" s="439">
        <f t="shared" ref="O39" si="93">O38/O36</f>
        <v>0.55324056609887384</v>
      </c>
      <c r="P39" s="439">
        <f t="shared" ref="P39" si="94">P38/P36</f>
        <v>0.53170230546241115</v>
      </c>
      <c r="Q39" s="439">
        <f t="shared" ref="Q39" si="95">Q38/Q36</f>
        <v>0.48399125779746915</v>
      </c>
      <c r="R39" s="439">
        <f t="shared" ref="R39" si="96">R38/R36</f>
        <v>0.46150949744094694</v>
      </c>
      <c r="S39" s="439">
        <f t="shared" ref="S39" si="97">S38/S36</f>
        <v>0.49272034577065388</v>
      </c>
      <c r="T39" s="439">
        <f t="shared" ref="T39" si="98">T38/T36</f>
        <v>0.44296853944306291</v>
      </c>
      <c r="U39" s="439">
        <f t="shared" ref="U39" si="99">U38/U36</f>
        <v>0.47264378331810636</v>
      </c>
      <c r="V39" s="439">
        <f t="shared" ref="V39" si="100">V38/V36</f>
        <v>0.4753393812609874</v>
      </c>
      <c r="W39" s="439">
        <f t="shared" ref="W39" si="101">W38/W36</f>
        <v>0.47375396001049014</v>
      </c>
      <c r="X39" s="439">
        <f t="shared" ref="X39" si="102">X38/X36</f>
        <v>0.50172060643266092</v>
      </c>
      <c r="Y39" s="439">
        <f t="shared" ref="Y39" si="103">Y38/Y36</f>
        <v>0.51340898837704285</v>
      </c>
      <c r="Z39" s="439">
        <f t="shared" ref="Z39" si="104">Z38/Z36</f>
        <v>0.49458042377130973</v>
      </c>
      <c r="AA39" s="439">
        <f t="shared" ref="AA39" si="105">AA38/AA36</f>
        <v>0.48529181163250068</v>
      </c>
      <c r="AB39" s="439">
        <f t="shared" ref="AB39" si="106">AB38/AB36</f>
        <v>0.48021751653196182</v>
      </c>
      <c r="AC39" s="439">
        <f t="shared" ref="AC39" si="107">AC38/AC36</f>
        <v>0.51125018274959388</v>
      </c>
      <c r="AD39" s="439">
        <f t="shared" ref="AD39" si="108">AD38/AD36</f>
        <v>0.50940375102509361</v>
      </c>
      <c r="AE39" s="439">
        <f t="shared" ref="AE39" si="109">AE38/AE36</f>
        <v>0.48387889270438872</v>
      </c>
      <c r="AF39" s="439">
        <f t="shared" ref="AF39" si="110">AF38/AF36</f>
        <v>0.51643082858937273</v>
      </c>
      <c r="AG39" s="439">
        <f t="shared" ref="AG39" si="111">AG38/AG36</f>
        <v>0.48959551664476109</v>
      </c>
      <c r="AH39" s="439">
        <f t="shared" ref="AH39" si="112">AH38/AH36</f>
        <v>0.51426674465839184</v>
      </c>
      <c r="AI39" s="439">
        <f t="shared" ref="AI39" si="113">AI38/AI36</f>
        <v>0.52505962798295835</v>
      </c>
      <c r="AJ39" s="439">
        <f t="shared" ref="AJ39" si="114">AJ38/AJ36</f>
        <v>0.52366867825582497</v>
      </c>
      <c r="AK39" s="439">
        <f t="shared" ref="AK39" si="115">AK38/AK36</f>
        <v>0.51877353519466074</v>
      </c>
      <c r="AL39" s="439">
        <f t="shared" ref="AL39" si="116">AL38/AL36</f>
        <v>0.52598814603286859</v>
      </c>
      <c r="AM39" s="439">
        <f t="shared" ref="AM39:AX39" si="117">AM38/AM36</f>
        <v>0.54579536111066562</v>
      </c>
      <c r="AN39" s="439">
        <f t="shared" si="117"/>
        <v>0.55062000354765828</v>
      </c>
      <c r="AO39" s="439">
        <f t="shared" si="117"/>
        <v>0.54033229745701994</v>
      </c>
      <c r="AP39" s="439">
        <f t="shared" si="117"/>
        <v>0.54718968819294955</v>
      </c>
      <c r="AQ39" s="439">
        <f t="shared" si="117"/>
        <v>0.55130017064189651</v>
      </c>
      <c r="AR39" s="439">
        <f t="shared" si="117"/>
        <v>0.55343003293513637</v>
      </c>
      <c r="AS39" s="439">
        <f t="shared" si="117"/>
        <v>0.52939401311889722</v>
      </c>
      <c r="AT39" s="439">
        <f t="shared" si="117"/>
        <v>0.53058131944679665</v>
      </c>
      <c r="AU39" s="439">
        <f t="shared" si="117"/>
        <v>0.53406440419494416</v>
      </c>
      <c r="AV39" s="439">
        <f t="shared" si="117"/>
        <v>0.52433875486031201</v>
      </c>
      <c r="AW39" s="439">
        <f t="shared" si="117"/>
        <v>0.53281051136702373</v>
      </c>
      <c r="AX39" s="439">
        <f t="shared" si="117"/>
        <v>0.55903756017494843</v>
      </c>
      <c r="AY39" s="439">
        <f>AY38/AY36</f>
        <v>0.53010803574030918</v>
      </c>
      <c r="AZ39" s="439">
        <f>AZ38/AZ36</f>
        <v>0.52860352420486589</v>
      </c>
      <c r="BA39" s="439">
        <f t="shared" ref="BA39:BJ39" si="118">BA38/BA36</f>
        <v>0.50694235820886702</v>
      </c>
      <c r="BB39" s="439">
        <f t="shared" si="118"/>
        <v>0.50043410580201353</v>
      </c>
      <c r="BC39" s="439">
        <f t="shared" si="118"/>
        <v>0.49532423815261467</v>
      </c>
      <c r="BD39" s="439">
        <f t="shared" si="118"/>
        <v>0.49789017787397483</v>
      </c>
      <c r="BE39" s="439">
        <f t="shared" si="118"/>
        <v>0.46437394431257806</v>
      </c>
      <c r="BF39" s="439">
        <f t="shared" si="118"/>
        <v>0.47745655133638931</v>
      </c>
      <c r="BG39" s="439">
        <f t="shared" si="118"/>
        <v>0.47723404545775544</v>
      </c>
      <c r="BH39" s="439">
        <f t="shared" si="118"/>
        <v>0.51390799676690191</v>
      </c>
      <c r="BI39" s="439">
        <f t="shared" si="118"/>
        <v>0.52850313212363909</v>
      </c>
      <c r="BJ39" s="439">
        <f t="shared" si="118"/>
        <v>0.57170329036119871</v>
      </c>
      <c r="BK39" s="439">
        <f t="shared" ref="BK39:BL39" si="119">BK38/BK36</f>
        <v>0.56166194104754152</v>
      </c>
      <c r="BL39" s="439">
        <f t="shared" si="119"/>
        <v>0.56872656412666933</v>
      </c>
      <c r="BM39" s="439">
        <f t="shared" ref="BM39:BN39" si="120">BM38/BM36</f>
        <v>0.54502863566092741</v>
      </c>
      <c r="BN39" s="439">
        <f t="shared" si="120"/>
        <v>0.54853723713221458</v>
      </c>
      <c r="BO39" s="439">
        <f t="shared" ref="BO39:BP39" si="121">BO38/BO36</f>
        <v>0.53372062293511957</v>
      </c>
      <c r="BP39" s="439">
        <f t="shared" si="121"/>
        <v>0.52318846431875987</v>
      </c>
      <c r="BQ39" s="439">
        <f t="shared" ref="BQ39:BR39" si="122">BQ38/BQ36</f>
        <v>0.52410248209516519</v>
      </c>
      <c r="BR39" s="439">
        <f t="shared" si="122"/>
        <v>0.52850900728202488</v>
      </c>
      <c r="BS39" s="439">
        <f t="shared" ref="BS39:BT39" si="123">BS38/BS36</f>
        <v>0.54436325994546064</v>
      </c>
      <c r="BT39" s="439">
        <f t="shared" si="123"/>
        <v>0.53060873993224911</v>
      </c>
      <c r="BU39" s="438">
        <f t="shared" ref="BU39:BV39" si="124">BU38/BU36</f>
        <v>0.53307647371964795</v>
      </c>
      <c r="BV39" s="439">
        <f t="shared" si="124"/>
        <v>0.55747910463949468</v>
      </c>
      <c r="BW39" s="439">
        <f t="shared" ref="BW39:BX39" si="125">BW38/BW36</f>
        <v>0.55436910677226137</v>
      </c>
      <c r="BX39" s="439">
        <f t="shared" si="125"/>
        <v>0.55813475053956141</v>
      </c>
      <c r="BY39" s="439">
        <f t="shared" ref="BY39" si="126">BY38/BY36</f>
        <v>0.53633531902699172</v>
      </c>
      <c r="BZ39" s="439">
        <f t="shared" ref="BZ39:CD39" si="127">BZ38/BZ36</f>
        <v>0.53598938191499867</v>
      </c>
      <c r="CA39" s="439">
        <f t="shared" si="127"/>
        <v>0.5288592124194339</v>
      </c>
      <c r="CB39" s="439">
        <f t="shared" si="127"/>
        <v>0.51390691631964214</v>
      </c>
      <c r="CC39" s="439">
        <f t="shared" si="127"/>
        <v>0.51258686182922042</v>
      </c>
      <c r="CD39" s="439">
        <f t="shared" si="127"/>
        <v>0.50386708526775392</v>
      </c>
      <c r="CE39" s="439">
        <f>CE38/CE36</f>
        <v>0.49643999473262707</v>
      </c>
      <c r="CF39" s="439">
        <f t="shared" ref="CF39" si="128">CF38/CF36</f>
        <v>0.49293480426605174</v>
      </c>
      <c r="CG39" s="439">
        <f t="shared" ref="CG39:CL39" si="129">CG38/CG36</f>
        <v>0.5030909188088365</v>
      </c>
      <c r="CH39" s="439">
        <f t="shared" si="129"/>
        <v>0.50677907393180366</v>
      </c>
      <c r="CI39" s="439">
        <f t="shared" si="129"/>
        <v>0.50576296278786981</v>
      </c>
      <c r="CJ39" s="439">
        <f t="shared" si="129"/>
        <v>0.49954873611540951</v>
      </c>
      <c r="CK39" s="439">
        <f t="shared" si="129"/>
        <v>0.49964151505847076</v>
      </c>
      <c r="CL39" s="439">
        <f t="shared" si="129"/>
        <v>0.4930619356181396</v>
      </c>
      <c r="CM39" s="439">
        <f t="shared" ref="CM39:CN39" si="130">CM38/CM36</f>
        <v>0.49637247540450324</v>
      </c>
      <c r="CN39" s="439">
        <f t="shared" si="130"/>
        <v>0.50162157035056087</v>
      </c>
      <c r="CO39" s="439">
        <f t="shared" ref="CO39:CQ39" si="131">CO38/CO36</f>
        <v>0.49118138462674721</v>
      </c>
      <c r="CP39" s="439">
        <f>CP38/CP36</f>
        <v>0.49410748011236466</v>
      </c>
      <c r="CQ39" s="439">
        <f t="shared" si="131"/>
        <v>0.50181511767135567</v>
      </c>
      <c r="CR39" s="439">
        <f t="shared" ref="CR39:CS39" si="132">CR38/CR36</f>
        <v>0.50585118434974596</v>
      </c>
      <c r="CS39" s="439">
        <f t="shared" si="132"/>
        <v>0.5199826463863777</v>
      </c>
      <c r="CT39" s="439">
        <f t="shared" ref="CT39:CU39" si="133">CT38/CT36</f>
        <v>0.52303141522733743</v>
      </c>
      <c r="CU39" s="439">
        <f t="shared" si="133"/>
        <v>0.51354150422342404</v>
      </c>
      <c r="CV39" s="733">
        <f t="shared" ref="CV39" si="134">CV38/CV36</f>
        <v>0.51874336939123478</v>
      </c>
      <c r="CW39" s="439"/>
    </row>
    <row r="42" spans="2:101" ht="15" customHeight="1" x14ac:dyDescent="0.35">
      <c r="C42" s="438"/>
      <c r="D42" s="438"/>
      <c r="E42" s="438"/>
      <c r="F42" s="438"/>
      <c r="G42" s="438"/>
      <c r="H42" s="438"/>
      <c r="I42" s="438"/>
      <c r="J42" s="438"/>
      <c r="K42" s="438"/>
      <c r="L42" s="438"/>
      <c r="M42" s="438"/>
      <c r="N42" s="438"/>
      <c r="O42" s="438"/>
      <c r="P42" s="438"/>
      <c r="Q42" s="438"/>
      <c r="R42" s="438"/>
      <c r="S42" s="438"/>
      <c r="T42" s="438"/>
      <c r="U42" s="438"/>
      <c r="V42" s="438"/>
      <c r="W42" s="438"/>
      <c r="X42" s="438"/>
      <c r="Y42" s="438"/>
      <c r="Z42" s="438"/>
      <c r="AA42" s="438"/>
      <c r="AB42" s="438"/>
      <c r="AC42" s="438"/>
      <c r="AD42" s="438"/>
      <c r="AE42" s="438"/>
      <c r="AF42" s="438"/>
      <c r="AG42" s="438"/>
      <c r="AH42" s="438"/>
      <c r="AI42" s="438"/>
      <c r="AJ42" s="438"/>
      <c r="AK42" s="438"/>
      <c r="AL42" s="438"/>
      <c r="AM42" s="438"/>
      <c r="AN42" s="438"/>
      <c r="AO42" s="438"/>
      <c r="AP42" s="438"/>
      <c r="AQ42" s="438"/>
      <c r="AR42" s="438"/>
      <c r="AS42" s="438"/>
      <c r="AT42" s="438"/>
      <c r="AU42" s="438"/>
      <c r="AV42" s="438"/>
      <c r="AW42" s="438"/>
      <c r="AX42" s="438"/>
      <c r="AY42" s="438"/>
      <c r="AZ42" s="438"/>
      <c r="BA42" s="438"/>
      <c r="BB42" s="438"/>
      <c r="BC42" s="438"/>
      <c r="BD42" s="438"/>
      <c r="BE42" s="438"/>
      <c r="BF42" s="438"/>
      <c r="BG42" s="438"/>
      <c r="BH42" s="438"/>
      <c r="BI42" s="438"/>
      <c r="BJ42" s="438"/>
      <c r="BK42" s="438"/>
      <c r="BL42" s="438"/>
      <c r="BM42" s="438"/>
    </row>
    <row r="44" spans="2:101" ht="15" customHeight="1" x14ac:dyDescent="0.35">
      <c r="C44" s="440"/>
      <c r="D44" s="440"/>
      <c r="E44" s="440"/>
      <c r="F44" s="440"/>
      <c r="G44" s="440"/>
      <c r="H44" s="440"/>
      <c r="I44" s="440"/>
      <c r="J44" s="440"/>
      <c r="K44" s="440"/>
      <c r="L44" s="440"/>
      <c r="M44" s="440"/>
      <c r="N44" s="440"/>
      <c r="O44" s="441"/>
      <c r="P44" s="441"/>
      <c r="Q44" s="441"/>
      <c r="R44" s="441"/>
      <c r="S44" s="441"/>
      <c r="T44" s="441"/>
      <c r="U44" s="441"/>
      <c r="V44" s="441"/>
      <c r="W44" s="441"/>
      <c r="X44" s="441"/>
      <c r="Y44" s="441"/>
      <c r="Z44" s="440"/>
      <c r="AA44" s="440"/>
      <c r="AB44" s="440"/>
      <c r="AC44" s="440"/>
      <c r="AD44" s="440"/>
      <c r="AE44" s="440"/>
      <c r="AF44" s="440"/>
      <c r="AG44" s="440"/>
      <c r="AH44" s="440"/>
      <c r="AI44" s="440"/>
      <c r="AJ44" s="440"/>
      <c r="AK44" s="440"/>
      <c r="AL44" s="440"/>
      <c r="AM44" s="440"/>
      <c r="AN44" s="440"/>
      <c r="AO44" s="440"/>
      <c r="AP44" s="440"/>
      <c r="AQ44" s="440"/>
      <c r="AR44" s="440"/>
      <c r="AS44" s="440"/>
      <c r="AT44" s="440"/>
      <c r="AU44" s="440"/>
      <c r="AV44" s="440"/>
      <c r="AW44" s="440"/>
      <c r="AX44" s="55">
        <v>2021</v>
      </c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>
        <v>2022</v>
      </c>
      <c r="BK44" s="571">
        <v>2023</v>
      </c>
      <c r="BL44" s="441"/>
      <c r="BM44" s="441"/>
    </row>
    <row r="45" spans="2:101" ht="15" customHeight="1" x14ac:dyDescent="0.35">
      <c r="AL45" s="102">
        <f>AL22</f>
        <v>1431382</v>
      </c>
      <c r="AX45" s="102">
        <f>AX22</f>
        <v>1890458</v>
      </c>
      <c r="BJ45" s="102">
        <f>BJ22</f>
        <v>2311815</v>
      </c>
      <c r="BK45" s="102">
        <f>BV22</f>
        <v>2452291</v>
      </c>
      <c r="BL45" s="44">
        <f>BK45*1.2</f>
        <v>2942749.1999999997</v>
      </c>
      <c r="BZ45" s="102"/>
      <c r="CA45" s="102"/>
      <c r="CB45" s="102"/>
      <c r="CC45" s="102"/>
      <c r="CD45" s="102"/>
      <c r="CE45" s="102"/>
      <c r="CF45" s="102"/>
      <c r="CG45" s="102"/>
      <c r="CH45" s="102"/>
      <c r="CI45" s="102"/>
      <c r="CJ45" s="102"/>
      <c r="CK45" s="102"/>
      <c r="CL45" s="102"/>
      <c r="CM45" s="102"/>
      <c r="CN45" s="102"/>
      <c r="CO45" s="102"/>
      <c r="CP45" s="102"/>
      <c r="CQ45" s="102"/>
      <c r="CR45" s="102"/>
      <c r="CS45" s="102"/>
      <c r="CT45" s="102"/>
      <c r="CU45" s="102"/>
      <c r="CV45" s="102"/>
      <c r="CW45" s="102"/>
    </row>
    <row r="46" spans="2:101" ht="15" customHeight="1" x14ac:dyDescent="0.35">
      <c r="AX46" s="102">
        <f>AX45-AL45</f>
        <v>459076</v>
      </c>
      <c r="BJ46" s="102">
        <f>BJ45-AX45</f>
        <v>421357</v>
      </c>
      <c r="BK46" s="102">
        <f>BK45-BJ45</f>
        <v>140476</v>
      </c>
    </row>
    <row r="47" spans="2:101" ht="15" customHeight="1" x14ac:dyDescent="0.35"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AX47" s="504">
        <f>AX46/AL45</f>
        <v>0.32072221112183891</v>
      </c>
      <c r="AY47" s="504" t="e">
        <f t="shared" ref="AY47:BI47" si="135">AY46/AM45</f>
        <v>#DIV/0!</v>
      </c>
      <c r="AZ47" s="504" t="e">
        <f t="shared" si="135"/>
        <v>#DIV/0!</v>
      </c>
      <c r="BA47" s="504" t="e">
        <f t="shared" si="135"/>
        <v>#DIV/0!</v>
      </c>
      <c r="BB47" s="504" t="e">
        <f t="shared" si="135"/>
        <v>#DIV/0!</v>
      </c>
      <c r="BC47" s="504" t="e">
        <f t="shared" si="135"/>
        <v>#DIV/0!</v>
      </c>
      <c r="BD47" s="504" t="e">
        <f t="shared" si="135"/>
        <v>#DIV/0!</v>
      </c>
      <c r="BE47" s="504" t="e">
        <f t="shared" si="135"/>
        <v>#DIV/0!</v>
      </c>
      <c r="BF47" s="504" t="e">
        <f t="shared" si="135"/>
        <v>#DIV/0!</v>
      </c>
      <c r="BG47" s="504" t="e">
        <f t="shared" si="135"/>
        <v>#DIV/0!</v>
      </c>
      <c r="BH47" s="504" t="e">
        <f t="shared" si="135"/>
        <v>#DIV/0!</v>
      </c>
      <c r="BI47" s="504" t="e">
        <f t="shared" si="135"/>
        <v>#DIV/0!</v>
      </c>
      <c r="BJ47" s="504">
        <f>BJ46/AX45</f>
        <v>0.22288620006368828</v>
      </c>
      <c r="BK47" s="504">
        <f>BK46/BJ45</f>
        <v>6.0764377772442861E-2</v>
      </c>
    </row>
    <row r="49" spans="63:63" ht="15" customHeight="1" x14ac:dyDescent="0.35">
      <c r="BK49" s="44">
        <f>(BK45/AL45)^(1/3)-1</f>
        <v>0.1965719490725919</v>
      </c>
    </row>
  </sheetData>
  <phoneticPr fontId="39" type="noConversion"/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X1047098"/>
  <sheetViews>
    <sheetView showGridLines="0" zoomScaleNormal="100" zoomScaleSheetLayoutView="70" workbookViewId="0">
      <pane xSplit="5" ySplit="3" topLeftCell="FG83" activePane="bottomRight" state="frozen"/>
      <selection pane="topRight" activeCell="EV111" sqref="EA111:EV111"/>
      <selection pane="bottomLeft" activeCell="EV111" sqref="EA111:EV111"/>
      <selection pane="bottomRight" activeCell="FM108" sqref="FM108"/>
    </sheetView>
  </sheetViews>
  <sheetFormatPr defaultRowHeight="14.5" outlineLevelRow="1" outlineLevelCol="1" x14ac:dyDescent="0.35"/>
  <cols>
    <col min="1" max="1" width="9" hidden="1" customWidth="1"/>
    <col min="2" max="2" width="3.54296875" customWidth="1"/>
    <col min="3" max="3" width="1.453125" customWidth="1"/>
    <col min="4" max="4" width="3.453125" customWidth="1"/>
    <col min="5" max="5" width="32.26953125" customWidth="1"/>
    <col min="6" max="6" width="9.453125" hidden="1" customWidth="1" outlineLevel="1"/>
    <col min="7" max="7" width="10.54296875" hidden="1" customWidth="1" outlineLevel="1"/>
    <col min="8" max="9" width="11.453125" hidden="1" customWidth="1" outlineLevel="1"/>
    <col min="10" max="10" width="12" hidden="1" customWidth="1" outlineLevel="1"/>
    <col min="11" max="11" width="10.54296875" customWidth="1" collapsed="1"/>
    <col min="12" max="12" width="8.81640625" customWidth="1"/>
    <col min="13" max="13" width="9.81640625" customWidth="1"/>
    <col min="14" max="14" width="9.6328125" customWidth="1"/>
    <col min="15" max="15" width="8.08984375" customWidth="1"/>
    <col min="16" max="16" width="10.54296875" customWidth="1"/>
    <col min="17" max="17" width="2.453125" customWidth="1"/>
    <col min="18" max="18" width="8.453125" hidden="1" customWidth="1" outlineLevel="1"/>
    <col min="19" max="20" width="7.453125" style="44" hidden="1" customWidth="1" outlineLevel="1"/>
    <col min="21" max="21" width="8.54296875" style="44" hidden="1" customWidth="1" outlineLevel="1"/>
    <col min="22" max="22" width="9.453125" style="44" hidden="1" customWidth="1" outlineLevel="1" collapsed="1"/>
    <col min="23" max="24" width="8.453125" style="44" hidden="1" customWidth="1" outlineLevel="1"/>
    <col min="25" max="38" width="9.453125" hidden="1" customWidth="1" outlineLevel="1"/>
    <col min="39" max="39" width="9" hidden="1" customWidth="1" outlineLevel="1"/>
    <col min="40" max="46" width="9.453125" hidden="1" customWidth="1" outlineLevel="1"/>
    <col min="47" max="47" width="10" hidden="1" customWidth="1" outlineLevel="1"/>
    <col min="48" max="48" width="9" hidden="1" customWidth="1" outlineLevel="1"/>
    <col min="49" max="49" width="9.453125" hidden="1" customWidth="1" outlineLevel="1"/>
    <col min="50" max="50" width="9.26953125" hidden="1" customWidth="1" outlineLevel="1"/>
    <col min="51" max="51" width="10.54296875" hidden="1" customWidth="1" outlineLevel="1"/>
    <col min="52" max="52" width="9.453125" hidden="1" customWidth="1" outlineLevel="1"/>
    <col min="53" max="53" width="9.26953125" hidden="1" customWidth="1" outlineLevel="1"/>
    <col min="54" max="54" width="9.26953125" customWidth="1" collapsed="1"/>
    <col min="55" max="57" width="9.26953125" customWidth="1"/>
    <col min="58" max="58" width="9" hidden="1" customWidth="1" outlineLevel="1"/>
    <col min="59" max="61" width="9.453125" hidden="1" customWidth="1" outlineLevel="1"/>
    <col min="62" max="63" width="8.453125" hidden="1" customWidth="1" outlineLevel="1"/>
    <col min="64" max="64" width="7.453125" hidden="1" customWidth="1" outlineLevel="1"/>
    <col min="65" max="65" width="8.453125" hidden="1" customWidth="1" outlineLevel="1"/>
    <col min="66" max="66" width="7.453125" hidden="1" customWidth="1" outlineLevel="1"/>
    <col min="67" max="68" width="8.453125" hidden="1" customWidth="1" outlineLevel="1"/>
    <col min="69" max="69" width="7.453125" hidden="1" customWidth="1" outlineLevel="1"/>
    <col min="70" max="70" width="10.453125" hidden="1" customWidth="1" outlineLevel="1" collapsed="1"/>
    <col min="71" max="73" width="10.453125" hidden="1" customWidth="1" outlineLevel="1"/>
    <col min="74" max="75" width="9.453125" hidden="1" customWidth="1" outlineLevel="1"/>
    <col min="76" max="79" width="8.453125" hidden="1" customWidth="1" outlineLevel="1"/>
    <col min="80" max="81" width="9.453125" hidden="1" customWidth="1" outlineLevel="1"/>
    <col min="82" max="82" width="8.453125" hidden="1" customWidth="1" outlineLevel="1" collapsed="1"/>
    <col min="83" max="98" width="8.453125" hidden="1" customWidth="1" outlineLevel="1"/>
    <col min="99" max="99" width="10.453125" hidden="1" customWidth="1" outlineLevel="1"/>
    <col min="100" max="104" width="8.453125" hidden="1" customWidth="1" outlineLevel="1"/>
    <col min="105" max="106" width="9" hidden="1" customWidth="1" outlineLevel="1"/>
    <col min="107" max="107" width="8" hidden="1" customWidth="1" outlineLevel="1"/>
    <col min="108" max="113" width="9" hidden="1" customWidth="1" outlineLevel="1"/>
    <col min="114" max="115" width="9.453125" hidden="1" customWidth="1" outlineLevel="1"/>
    <col min="116" max="116" width="9" hidden="1" customWidth="1" outlineLevel="1"/>
    <col min="117" max="125" width="9.453125" hidden="1" customWidth="1" outlineLevel="1"/>
    <col min="126" max="128" width="9.54296875" hidden="1" customWidth="1" outlineLevel="1"/>
    <col min="129" max="129" width="11" style="487" hidden="1" customWidth="1" outlineLevel="1"/>
    <col min="130" max="140" width="9.453125" hidden="1" customWidth="1" outlineLevel="1"/>
    <col min="141" max="141" width="11.54296875" style="487" hidden="1" customWidth="1" outlineLevel="1"/>
    <col min="142" max="142" width="11.54296875" style="487" hidden="1" customWidth="1" outlineLevel="1" collapsed="1"/>
    <col min="143" max="144" width="11.54296875" style="487" hidden="1" customWidth="1" outlineLevel="1"/>
    <col min="145" max="147" width="12.26953125" style="487" hidden="1" customWidth="1" outlineLevel="1"/>
    <col min="148" max="150" width="12.26953125" hidden="1" customWidth="1" outlineLevel="1"/>
    <col min="151" max="152" width="11.26953125" hidden="1" customWidth="1" outlineLevel="1"/>
    <col min="153" max="153" width="10.54296875" hidden="1" customWidth="1" outlineLevel="1"/>
    <col min="154" max="154" width="12" customWidth="1" collapsed="1"/>
    <col min="155" max="155" width="12.453125" customWidth="1"/>
    <col min="156" max="156" width="12.54296875" customWidth="1"/>
    <col min="157" max="157" width="11.81640625" customWidth="1"/>
    <col min="158" max="160" width="11.453125" customWidth="1"/>
    <col min="161" max="162" width="13" customWidth="1"/>
    <col min="163" max="163" width="11" customWidth="1"/>
    <col min="164" max="164" width="12.54296875" customWidth="1"/>
    <col min="165" max="165" width="11.08984375" customWidth="1"/>
    <col min="166" max="166" width="11.81640625" customWidth="1"/>
    <col min="167" max="167" width="12.36328125" customWidth="1"/>
    <col min="168" max="168" width="4.1796875" customWidth="1"/>
    <col min="169" max="169" width="3.1796875" customWidth="1"/>
    <col min="170" max="170" width="12.26953125" customWidth="1"/>
    <col min="171" max="171" width="13.54296875" customWidth="1"/>
    <col min="172" max="172" width="13.453125" hidden="1" customWidth="1"/>
    <col min="173" max="173" width="12.54296875" hidden="1" customWidth="1"/>
    <col min="174" max="174" width="0.1796875" customWidth="1"/>
    <col min="175" max="176" width="11.26953125" customWidth="1"/>
    <col min="177" max="177" width="12.90625" customWidth="1"/>
    <col min="178" max="178" width="11.1796875" customWidth="1"/>
  </cols>
  <sheetData>
    <row r="1" spans="1:178" hidden="1" x14ac:dyDescent="0.35">
      <c r="A1" t="s">
        <v>0</v>
      </c>
    </row>
    <row r="2" spans="1:178" ht="43.5" customHeight="1" x14ac:dyDescent="0.35">
      <c r="B2" s="64" t="s">
        <v>35</v>
      </c>
      <c r="C2" s="65"/>
      <c r="D2" s="65"/>
      <c r="E2" s="65"/>
      <c r="F2" s="67" t="s">
        <v>36</v>
      </c>
      <c r="G2" s="67" t="s">
        <v>37</v>
      </c>
      <c r="H2" s="67" t="s">
        <v>38</v>
      </c>
      <c r="I2" s="67" t="s">
        <v>39</v>
      </c>
      <c r="J2" s="67" t="s">
        <v>40</v>
      </c>
      <c r="K2" s="67" t="s">
        <v>41</v>
      </c>
      <c r="L2" s="67" t="s">
        <v>42</v>
      </c>
      <c r="M2" s="67" t="s">
        <v>43</v>
      </c>
      <c r="N2" s="67" t="s">
        <v>44</v>
      </c>
      <c r="O2" s="67" t="s">
        <v>45</v>
      </c>
      <c r="P2" s="67" t="s">
        <v>904</v>
      </c>
      <c r="Q2" s="67"/>
      <c r="R2" s="68" t="s">
        <v>46</v>
      </c>
      <c r="S2" s="68" t="s">
        <v>47</v>
      </c>
      <c r="T2" s="68" t="s">
        <v>48</v>
      </c>
      <c r="U2" s="68" t="s">
        <v>49</v>
      </c>
      <c r="V2" s="68" t="s">
        <v>50</v>
      </c>
      <c r="W2" s="68" t="s">
        <v>51</v>
      </c>
      <c r="X2" s="68" t="s">
        <v>52</v>
      </c>
      <c r="Y2" s="68" t="s">
        <v>53</v>
      </c>
      <c r="Z2" s="68" t="s">
        <v>54</v>
      </c>
      <c r="AA2" s="68" t="s">
        <v>55</v>
      </c>
      <c r="AB2" s="68" t="s">
        <v>56</v>
      </c>
      <c r="AC2" s="68" t="s">
        <v>57</v>
      </c>
      <c r="AD2" s="68" t="s">
        <v>58</v>
      </c>
      <c r="AE2" s="68" t="s">
        <v>59</v>
      </c>
      <c r="AF2" s="68" t="s">
        <v>60</v>
      </c>
      <c r="AG2" s="68" t="s">
        <v>61</v>
      </c>
      <c r="AH2" s="68" t="s">
        <v>62</v>
      </c>
      <c r="AI2" s="68" t="s">
        <v>63</v>
      </c>
      <c r="AJ2" s="68" t="s">
        <v>64</v>
      </c>
      <c r="AK2" s="68" t="s">
        <v>65</v>
      </c>
      <c r="AL2" s="68" t="s">
        <v>66</v>
      </c>
      <c r="AM2" s="68" t="s">
        <v>67</v>
      </c>
      <c r="AN2" s="68" t="s">
        <v>68</v>
      </c>
      <c r="AO2" s="68" t="s">
        <v>69</v>
      </c>
      <c r="AP2" s="68" t="s">
        <v>70</v>
      </c>
      <c r="AQ2" s="68" t="s">
        <v>71</v>
      </c>
      <c r="AR2" s="68" t="s">
        <v>72</v>
      </c>
      <c r="AS2" s="68" t="s">
        <v>73</v>
      </c>
      <c r="AT2" s="68" t="s">
        <v>74</v>
      </c>
      <c r="AU2" s="68" t="s">
        <v>75</v>
      </c>
      <c r="AV2" s="68" t="s">
        <v>76</v>
      </c>
      <c r="AW2" s="68" t="s">
        <v>77</v>
      </c>
      <c r="AX2" s="68" t="s">
        <v>78</v>
      </c>
      <c r="AY2" s="68" t="s">
        <v>79</v>
      </c>
      <c r="AZ2" s="68" t="s">
        <v>80</v>
      </c>
      <c r="BA2" s="68" t="s">
        <v>81</v>
      </c>
      <c r="BB2" s="68" t="s">
        <v>905</v>
      </c>
      <c r="BC2" s="68" t="s">
        <v>906</v>
      </c>
      <c r="BD2" s="68" t="s">
        <v>907</v>
      </c>
      <c r="BE2" s="68" t="s">
        <v>908</v>
      </c>
      <c r="BF2" s="69">
        <v>42736</v>
      </c>
      <c r="BG2" s="69">
        <v>42767</v>
      </c>
      <c r="BH2" s="69">
        <v>42795</v>
      </c>
      <c r="BI2" s="69">
        <v>42826</v>
      </c>
      <c r="BJ2" s="69">
        <v>42856</v>
      </c>
      <c r="BK2" s="69">
        <v>42887</v>
      </c>
      <c r="BL2" s="69">
        <v>42917</v>
      </c>
      <c r="BM2" s="69">
        <v>42948</v>
      </c>
      <c r="BN2" s="69">
        <v>42979</v>
      </c>
      <c r="BO2" s="69">
        <v>43009</v>
      </c>
      <c r="BP2" s="69">
        <v>43040</v>
      </c>
      <c r="BQ2" s="69">
        <v>43070</v>
      </c>
      <c r="BR2" s="69">
        <v>43101</v>
      </c>
      <c r="BS2" s="69">
        <v>43132</v>
      </c>
      <c r="BT2" s="69">
        <v>43160</v>
      </c>
      <c r="BU2" s="69">
        <v>43191</v>
      </c>
      <c r="BV2" s="69">
        <v>43221</v>
      </c>
      <c r="BW2" s="69">
        <v>43252</v>
      </c>
      <c r="BX2" s="69">
        <v>43282</v>
      </c>
      <c r="BY2" s="69">
        <v>43313</v>
      </c>
      <c r="BZ2" s="69">
        <v>43344</v>
      </c>
      <c r="CA2" s="69">
        <v>43374</v>
      </c>
      <c r="CB2" s="69">
        <v>43405</v>
      </c>
      <c r="CC2" s="69">
        <v>43435</v>
      </c>
      <c r="CD2" s="69">
        <v>43466</v>
      </c>
      <c r="CE2" s="69">
        <v>43497</v>
      </c>
      <c r="CF2" s="69">
        <v>43525</v>
      </c>
      <c r="CG2" s="69">
        <v>43556</v>
      </c>
      <c r="CH2" s="69">
        <v>43586</v>
      </c>
      <c r="CI2" s="69">
        <v>43617</v>
      </c>
      <c r="CJ2" s="69">
        <v>43647</v>
      </c>
      <c r="CK2" s="69">
        <v>43678</v>
      </c>
      <c r="CL2" s="69">
        <v>43709</v>
      </c>
      <c r="CM2" s="69">
        <v>43739</v>
      </c>
      <c r="CN2" s="69">
        <v>43770</v>
      </c>
      <c r="CO2" s="69">
        <v>43800</v>
      </c>
      <c r="CP2" s="69">
        <v>43831</v>
      </c>
      <c r="CQ2" s="69">
        <v>43862</v>
      </c>
      <c r="CR2" s="69">
        <v>43891</v>
      </c>
      <c r="CS2" s="69">
        <v>43922</v>
      </c>
      <c r="CT2" s="69">
        <v>43952</v>
      </c>
      <c r="CU2" s="69">
        <v>43983</v>
      </c>
      <c r="CV2" s="69">
        <v>44013</v>
      </c>
      <c r="CW2" s="69">
        <v>44044</v>
      </c>
      <c r="CX2" s="69">
        <v>44075</v>
      </c>
      <c r="CY2" s="69">
        <v>44105</v>
      </c>
      <c r="CZ2" s="69">
        <v>44136</v>
      </c>
      <c r="DA2" s="69">
        <v>44166</v>
      </c>
      <c r="DB2" s="69">
        <v>44197</v>
      </c>
      <c r="DC2" s="69">
        <v>44228</v>
      </c>
      <c r="DD2" s="69">
        <v>44256</v>
      </c>
      <c r="DE2" s="69">
        <v>44287</v>
      </c>
      <c r="DF2" s="69">
        <v>44317</v>
      </c>
      <c r="DG2" s="69">
        <v>44348</v>
      </c>
      <c r="DH2" s="69">
        <v>44378</v>
      </c>
      <c r="DI2" s="69">
        <v>44409</v>
      </c>
      <c r="DJ2" s="69">
        <v>44440</v>
      </c>
      <c r="DK2" s="69">
        <v>44470</v>
      </c>
      <c r="DL2" s="69">
        <v>44501</v>
      </c>
      <c r="DM2" s="69">
        <v>44531</v>
      </c>
      <c r="DN2" s="69">
        <v>44562</v>
      </c>
      <c r="DO2" s="69">
        <v>44593</v>
      </c>
      <c r="DP2" s="69">
        <v>44621</v>
      </c>
      <c r="DQ2" s="69">
        <v>44652</v>
      </c>
      <c r="DR2" s="69">
        <v>44682</v>
      </c>
      <c r="DS2" s="69">
        <v>44713</v>
      </c>
      <c r="DT2" s="69">
        <v>44743</v>
      </c>
      <c r="DU2" s="69">
        <v>44774</v>
      </c>
      <c r="DV2" s="69">
        <v>44805</v>
      </c>
      <c r="DW2" s="69">
        <v>44835</v>
      </c>
      <c r="DX2" s="69">
        <v>44866</v>
      </c>
      <c r="DY2" s="595">
        <v>44896</v>
      </c>
      <c r="DZ2" s="69">
        <v>44927</v>
      </c>
      <c r="EA2" s="69">
        <v>44958</v>
      </c>
      <c r="EB2" s="69">
        <v>44986</v>
      </c>
      <c r="EC2" s="69">
        <v>45017</v>
      </c>
      <c r="ED2" s="69">
        <v>45047</v>
      </c>
      <c r="EE2" s="69">
        <v>45078</v>
      </c>
      <c r="EF2" s="69">
        <v>45108</v>
      </c>
      <c r="EG2" s="69">
        <v>45139</v>
      </c>
      <c r="EH2" s="69">
        <v>45170</v>
      </c>
      <c r="EI2" s="69">
        <v>45200</v>
      </c>
      <c r="EJ2" s="69">
        <v>45231</v>
      </c>
      <c r="EK2" s="579">
        <v>45261</v>
      </c>
      <c r="EL2" s="579">
        <v>45292</v>
      </c>
      <c r="EM2" s="579">
        <v>45323</v>
      </c>
      <c r="EN2" s="579">
        <v>45352</v>
      </c>
      <c r="EO2" s="579">
        <v>45383</v>
      </c>
      <c r="EP2" s="579">
        <v>45413</v>
      </c>
      <c r="EQ2" s="579">
        <v>45444</v>
      </c>
      <c r="ER2" s="69">
        <v>45474</v>
      </c>
      <c r="ES2" s="69">
        <v>45505</v>
      </c>
      <c r="ET2" s="69">
        <v>45536</v>
      </c>
      <c r="EU2" s="69">
        <v>45566</v>
      </c>
      <c r="EV2" s="69">
        <v>45597</v>
      </c>
      <c r="EW2" s="69">
        <v>45627</v>
      </c>
      <c r="EX2" s="69">
        <v>45658</v>
      </c>
      <c r="EY2" s="69">
        <v>45689</v>
      </c>
      <c r="EZ2" s="69">
        <v>45717</v>
      </c>
      <c r="FA2" s="69">
        <v>45748</v>
      </c>
      <c r="FB2" s="69">
        <v>45778</v>
      </c>
      <c r="FC2" s="69">
        <v>45809</v>
      </c>
      <c r="FD2" s="69">
        <v>45839</v>
      </c>
      <c r="FE2" s="69">
        <v>45870</v>
      </c>
      <c r="FF2" s="69">
        <v>45901</v>
      </c>
      <c r="FG2" s="69">
        <v>45931</v>
      </c>
      <c r="FH2" s="69">
        <v>45962</v>
      </c>
      <c r="FI2" s="69">
        <v>45992</v>
      </c>
      <c r="FJ2" s="69">
        <v>46023</v>
      </c>
      <c r="FK2" s="69">
        <v>46054</v>
      </c>
      <c r="FL2" s="227"/>
      <c r="FM2" s="227"/>
      <c r="FN2" s="69">
        <v>46054</v>
      </c>
      <c r="FO2" s="348" t="s">
        <v>915</v>
      </c>
      <c r="FP2" s="348" t="s">
        <v>901</v>
      </c>
      <c r="FQ2" s="348" t="s">
        <v>901</v>
      </c>
      <c r="FR2" s="348" t="s">
        <v>901</v>
      </c>
      <c r="FS2" s="348" t="s">
        <v>916</v>
      </c>
      <c r="FT2" s="69" t="s">
        <v>902</v>
      </c>
      <c r="FU2" s="69" t="s">
        <v>902</v>
      </c>
      <c r="FV2" s="348" t="s">
        <v>903</v>
      </c>
    </row>
    <row r="3" spans="1:178" s="2" customFormat="1" x14ac:dyDescent="0.35">
      <c r="B3" s="66"/>
      <c r="C3" s="66"/>
      <c r="D3" s="66"/>
      <c r="E3" s="66"/>
      <c r="F3" s="66" t="s">
        <v>82</v>
      </c>
      <c r="G3" s="66" t="s">
        <v>83</v>
      </c>
      <c r="H3" s="66" t="s">
        <v>82</v>
      </c>
      <c r="I3" s="66" t="s">
        <v>82</v>
      </c>
      <c r="J3" s="66" t="s">
        <v>82</v>
      </c>
      <c r="K3" s="66" t="s">
        <v>82</v>
      </c>
      <c r="L3" s="66" t="s">
        <v>82</v>
      </c>
      <c r="M3" s="66" t="s">
        <v>82</v>
      </c>
      <c r="N3" s="66" t="s">
        <v>82</v>
      </c>
      <c r="O3" s="66" t="s">
        <v>82</v>
      </c>
      <c r="P3" s="66" t="s">
        <v>82</v>
      </c>
      <c r="Q3" s="66"/>
      <c r="R3" s="66" t="s">
        <v>82</v>
      </c>
      <c r="S3" s="66" t="s">
        <v>82</v>
      </c>
      <c r="T3" s="66" t="s">
        <v>82</v>
      </c>
      <c r="U3" s="66" t="s">
        <v>82</v>
      </c>
      <c r="V3" s="66" t="s">
        <v>82</v>
      </c>
      <c r="W3" s="66" t="s">
        <v>82</v>
      </c>
      <c r="X3" s="66" t="s">
        <v>82</v>
      </c>
      <c r="Y3" s="66" t="s">
        <v>82</v>
      </c>
      <c r="Z3" s="66" t="s">
        <v>82</v>
      </c>
      <c r="AA3" s="66" t="s">
        <v>82</v>
      </c>
      <c r="AB3" s="66" t="s">
        <v>82</v>
      </c>
      <c r="AC3" s="66" t="s">
        <v>82</v>
      </c>
      <c r="AD3" s="66" t="s">
        <v>82</v>
      </c>
      <c r="AE3" s="66" t="s">
        <v>82</v>
      </c>
      <c r="AF3" s="66" t="s">
        <v>82</v>
      </c>
      <c r="AG3" s="66" t="s">
        <v>82</v>
      </c>
      <c r="AH3" s="66" t="s">
        <v>82</v>
      </c>
      <c r="AI3" s="66" t="s">
        <v>82</v>
      </c>
      <c r="AJ3" s="66" t="s">
        <v>82</v>
      </c>
      <c r="AK3" s="66" t="s">
        <v>82</v>
      </c>
      <c r="AL3" s="66" t="s">
        <v>82</v>
      </c>
      <c r="AM3" s="66" t="s">
        <v>82</v>
      </c>
      <c r="AN3" s="66" t="s">
        <v>82</v>
      </c>
      <c r="AO3" s="66" t="s">
        <v>82</v>
      </c>
      <c r="AP3" s="66" t="s">
        <v>82</v>
      </c>
      <c r="AQ3" s="66" t="s">
        <v>82</v>
      </c>
      <c r="AR3" s="66" t="s">
        <v>82</v>
      </c>
      <c r="AS3" s="66" t="s">
        <v>82</v>
      </c>
      <c r="AT3" s="66" t="s">
        <v>82</v>
      </c>
      <c r="AU3" s="66" t="s">
        <v>82</v>
      </c>
      <c r="AV3" s="66" t="s">
        <v>82</v>
      </c>
      <c r="AW3" s="66" t="s">
        <v>82</v>
      </c>
      <c r="AX3" s="66" t="s">
        <v>82</v>
      </c>
      <c r="AY3" s="66" t="s">
        <v>82</v>
      </c>
      <c r="AZ3" s="66" t="s">
        <v>82</v>
      </c>
      <c r="BA3" s="66" t="s">
        <v>82</v>
      </c>
      <c r="BB3" s="66" t="s">
        <v>82</v>
      </c>
      <c r="BC3" s="66" t="s">
        <v>82</v>
      </c>
      <c r="BD3" s="66" t="s">
        <v>82</v>
      </c>
      <c r="BE3" s="66" t="s">
        <v>82</v>
      </c>
      <c r="BF3" s="66"/>
      <c r="BG3" s="66"/>
      <c r="BH3" s="66"/>
      <c r="BI3" s="66"/>
      <c r="BJ3" s="66"/>
      <c r="BK3" s="66"/>
      <c r="BL3" s="66"/>
      <c r="BM3" s="66"/>
      <c r="BN3" s="66"/>
      <c r="BO3" s="66"/>
      <c r="BP3" s="66"/>
      <c r="BQ3" s="66"/>
      <c r="BR3" s="66" t="s">
        <v>82</v>
      </c>
      <c r="BS3" s="66" t="s">
        <v>82</v>
      </c>
      <c r="BT3" s="66" t="s">
        <v>82</v>
      </c>
      <c r="BU3" s="66" t="s">
        <v>82</v>
      </c>
      <c r="BV3" s="66" t="s">
        <v>82</v>
      </c>
      <c r="BW3" s="66" t="s">
        <v>82</v>
      </c>
      <c r="BX3" s="66" t="s">
        <v>82</v>
      </c>
      <c r="BY3" s="66" t="s">
        <v>82</v>
      </c>
      <c r="BZ3" s="66" t="s">
        <v>82</v>
      </c>
      <c r="CA3" s="66" t="s">
        <v>82</v>
      </c>
      <c r="CB3" s="66" t="s">
        <v>82</v>
      </c>
      <c r="CC3" s="86" t="s">
        <v>82</v>
      </c>
      <c r="CD3" s="66" t="s">
        <v>82</v>
      </c>
      <c r="CE3" s="66" t="s">
        <v>82</v>
      </c>
      <c r="CF3" s="66" t="s">
        <v>82</v>
      </c>
      <c r="CG3" s="66" t="s">
        <v>82</v>
      </c>
      <c r="CH3" s="66" t="s">
        <v>82</v>
      </c>
      <c r="CI3" s="66" t="s">
        <v>82</v>
      </c>
      <c r="CJ3" s="66" t="s">
        <v>82</v>
      </c>
      <c r="CK3" s="66" t="s">
        <v>82</v>
      </c>
      <c r="CL3" s="66" t="s">
        <v>82</v>
      </c>
      <c r="CM3" s="66" t="s">
        <v>82</v>
      </c>
      <c r="CN3" s="66" t="s">
        <v>82</v>
      </c>
      <c r="CO3" s="66" t="s">
        <v>82</v>
      </c>
      <c r="CP3" s="66" t="s">
        <v>82</v>
      </c>
      <c r="CQ3" s="66" t="s">
        <v>82</v>
      </c>
      <c r="CR3" s="66" t="s">
        <v>82</v>
      </c>
      <c r="CS3" s="66" t="s">
        <v>82</v>
      </c>
      <c r="CT3" s="66" t="s">
        <v>82</v>
      </c>
      <c r="CU3" s="66" t="s">
        <v>82</v>
      </c>
      <c r="CV3" s="66" t="s">
        <v>82</v>
      </c>
      <c r="CW3" s="66" t="s">
        <v>82</v>
      </c>
      <c r="CX3" s="66" t="s">
        <v>82</v>
      </c>
      <c r="CY3" s="66" t="s">
        <v>82</v>
      </c>
      <c r="CZ3" s="66" t="s">
        <v>82</v>
      </c>
      <c r="DA3" s="66" t="s">
        <v>82</v>
      </c>
      <c r="DB3" s="66" t="s">
        <v>82</v>
      </c>
      <c r="DC3" s="66" t="s">
        <v>82</v>
      </c>
      <c r="DD3" s="66" t="s">
        <v>82</v>
      </c>
      <c r="DE3" s="66" t="s">
        <v>82</v>
      </c>
      <c r="DF3" s="66" t="s">
        <v>82</v>
      </c>
      <c r="DG3" s="66" t="s">
        <v>82</v>
      </c>
      <c r="DH3" s="66" t="s">
        <v>82</v>
      </c>
      <c r="DI3" s="66" t="s">
        <v>82</v>
      </c>
      <c r="DJ3" s="66" t="s">
        <v>82</v>
      </c>
      <c r="DK3" s="66" t="s">
        <v>82</v>
      </c>
      <c r="DL3" s="66" t="s">
        <v>82</v>
      </c>
      <c r="DM3" s="66" t="s">
        <v>82</v>
      </c>
      <c r="DN3" s="66" t="s">
        <v>82</v>
      </c>
      <c r="DO3" s="66" t="s">
        <v>82</v>
      </c>
      <c r="DP3" s="66" t="s">
        <v>82</v>
      </c>
      <c r="DQ3" s="66" t="s">
        <v>82</v>
      </c>
      <c r="DR3" s="66" t="s">
        <v>82</v>
      </c>
      <c r="DS3" s="66" t="s">
        <v>82</v>
      </c>
      <c r="DT3" s="66" t="s">
        <v>82</v>
      </c>
      <c r="DU3" s="66" t="s">
        <v>82</v>
      </c>
      <c r="DV3" s="66" t="s">
        <v>82</v>
      </c>
      <c r="DW3" s="66" t="s">
        <v>82</v>
      </c>
      <c r="DX3" s="66" t="s">
        <v>82</v>
      </c>
      <c r="DY3" s="468" t="s">
        <v>82</v>
      </c>
      <c r="DZ3" s="66" t="s">
        <v>82</v>
      </c>
      <c r="EA3" s="66" t="s">
        <v>82</v>
      </c>
      <c r="EB3" s="66" t="s">
        <v>82</v>
      </c>
      <c r="EC3" s="66" t="s">
        <v>82</v>
      </c>
      <c r="ED3" s="66" t="s">
        <v>82</v>
      </c>
      <c r="EE3" s="66" t="s">
        <v>82</v>
      </c>
      <c r="EF3" s="66" t="s">
        <v>82</v>
      </c>
      <c r="EG3" s="66" t="s">
        <v>82</v>
      </c>
      <c r="EH3" s="66" t="s">
        <v>82</v>
      </c>
      <c r="EI3" s="66" t="s">
        <v>82</v>
      </c>
      <c r="EJ3" s="66" t="s">
        <v>82</v>
      </c>
      <c r="EK3" s="468" t="s">
        <v>82</v>
      </c>
      <c r="EL3" s="468" t="s">
        <v>82</v>
      </c>
      <c r="EM3" s="468" t="s">
        <v>82</v>
      </c>
      <c r="EN3" s="468" t="s">
        <v>82</v>
      </c>
      <c r="EO3" s="468" t="s">
        <v>82</v>
      </c>
      <c r="EP3" s="468" t="s">
        <v>82</v>
      </c>
      <c r="EQ3" s="468" t="s">
        <v>82</v>
      </c>
      <c r="ER3" s="66" t="s">
        <v>82</v>
      </c>
      <c r="ES3" s="66" t="s">
        <v>82</v>
      </c>
      <c r="ET3" s="66" t="s">
        <v>82</v>
      </c>
      <c r="EU3" s="66" t="s">
        <v>82</v>
      </c>
      <c r="EV3" s="66" t="s">
        <v>82</v>
      </c>
      <c r="EW3" s="66" t="s">
        <v>82</v>
      </c>
      <c r="EX3" s="66" t="s">
        <v>82</v>
      </c>
      <c r="EY3" s="66" t="s">
        <v>82</v>
      </c>
      <c r="EZ3" s="66" t="s">
        <v>82</v>
      </c>
      <c r="FA3" s="66" t="s">
        <v>82</v>
      </c>
      <c r="FB3" s="66" t="s">
        <v>82</v>
      </c>
      <c r="FC3" s="66" t="s">
        <v>82</v>
      </c>
      <c r="FD3" s="66" t="s">
        <v>82</v>
      </c>
      <c r="FE3" s="66" t="s">
        <v>82</v>
      </c>
      <c r="FF3" s="66" t="s">
        <v>82</v>
      </c>
      <c r="FG3" s="66" t="s">
        <v>82</v>
      </c>
      <c r="FH3" s="66" t="s">
        <v>82</v>
      </c>
      <c r="FI3" s="66" t="s">
        <v>82</v>
      </c>
      <c r="FJ3" s="66" t="s">
        <v>82</v>
      </c>
      <c r="FK3" s="66" t="s">
        <v>82</v>
      </c>
      <c r="FN3" s="66" t="s">
        <v>85</v>
      </c>
      <c r="FT3" s="66" t="s">
        <v>82</v>
      </c>
      <c r="FU3" s="66" t="s">
        <v>85</v>
      </c>
      <c r="FV3" s="44"/>
    </row>
    <row r="4" spans="1:178" ht="15.5" hidden="1" x14ac:dyDescent="0.35">
      <c r="B4" s="3" t="s">
        <v>86</v>
      </c>
      <c r="H4" s="425"/>
      <c r="I4" s="425"/>
      <c r="J4" s="425"/>
      <c r="K4" s="425"/>
      <c r="L4" s="425"/>
      <c r="M4" s="425"/>
      <c r="N4" s="682"/>
      <c r="O4" s="521"/>
      <c r="P4" s="521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659"/>
      <c r="AL4" s="659"/>
      <c r="AM4" s="659"/>
      <c r="AN4" s="659"/>
      <c r="AO4" s="659"/>
      <c r="AP4" s="658"/>
      <c r="AQ4" s="448">
        <v>3</v>
      </c>
      <c r="AR4" s="448">
        <v>6</v>
      </c>
      <c r="AS4" s="448">
        <v>9</v>
      </c>
      <c r="AT4" s="448">
        <v>2</v>
      </c>
      <c r="AU4" s="448">
        <v>3</v>
      </c>
      <c r="AV4" s="448">
        <v>6</v>
      </c>
      <c r="AW4" s="448">
        <v>9</v>
      </c>
      <c r="AX4" s="448"/>
      <c r="AY4" s="448"/>
      <c r="AZ4" s="448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120"/>
      <c r="BS4" s="4"/>
      <c r="BT4" s="4"/>
      <c r="BU4" s="120"/>
      <c r="BV4" s="4"/>
      <c r="BW4" s="4"/>
      <c r="BX4" s="120"/>
      <c r="BY4" s="4"/>
      <c r="BZ4" s="4"/>
      <c r="CA4" s="120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V4" s="54"/>
      <c r="CX4" s="54"/>
      <c r="DA4" s="54"/>
      <c r="DM4" s="54"/>
      <c r="DN4" s="425"/>
      <c r="FE4" s="384"/>
      <c r="FF4" s="384"/>
    </row>
    <row r="5" spans="1:178" s="5" customFormat="1" ht="12.75" customHeight="1" x14ac:dyDescent="0.35">
      <c r="E5" s="6"/>
      <c r="F5" s="7"/>
      <c r="G5" s="7"/>
      <c r="H5" s="7"/>
      <c r="I5" s="7"/>
      <c r="J5" s="7"/>
      <c r="K5" s="7"/>
      <c r="L5" s="8"/>
      <c r="M5" s="8"/>
      <c r="N5" s="681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660"/>
      <c r="AR5" s="660"/>
      <c r="AS5" s="660"/>
      <c r="AT5" s="660"/>
      <c r="AU5" s="660"/>
      <c r="AV5" s="660"/>
      <c r="AW5" s="660"/>
      <c r="AX5" s="660"/>
      <c r="AY5" s="570"/>
      <c r="AZ5" s="570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V5" s="312"/>
      <c r="CX5" s="312"/>
      <c r="DF5"/>
      <c r="DG5"/>
      <c r="DJ5"/>
      <c r="DK5"/>
      <c r="DL5"/>
      <c r="DY5" s="581"/>
      <c r="EK5" s="581"/>
      <c r="EL5" s="581"/>
      <c r="EM5" s="581"/>
      <c r="EN5" s="581"/>
      <c r="EO5" s="581"/>
      <c r="EP5" s="581"/>
      <c r="EQ5" s="581"/>
      <c r="FK5" s="740"/>
    </row>
    <row r="6" spans="1:178" x14ac:dyDescent="0.35">
      <c r="D6" s="3" t="s">
        <v>87</v>
      </c>
      <c r="H6" s="11"/>
      <c r="I6" s="11"/>
      <c r="J6" s="11"/>
      <c r="K6" s="11"/>
      <c r="L6" s="11"/>
      <c r="M6" s="11"/>
      <c r="N6" s="8"/>
      <c r="O6" s="8"/>
      <c r="P6" s="8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/>
      <c r="AX6" s="121"/>
      <c r="AY6" s="121"/>
      <c r="AZ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/>
      <c r="CP6" s="121"/>
      <c r="CQ6" s="121"/>
      <c r="CR6" s="121"/>
      <c r="CV6" s="54"/>
      <c r="CX6" s="54"/>
      <c r="FK6" s="79"/>
    </row>
    <row r="7" spans="1:178" s="10" customFormat="1" x14ac:dyDescent="0.35">
      <c r="E7" s="10" t="s">
        <v>9</v>
      </c>
      <c r="F7" s="11">
        <v>5243000</v>
      </c>
      <c r="G7" s="11">
        <f>SUM(R7:U7)</f>
        <v>6817494</v>
      </c>
      <c r="H7" s="11">
        <f>SUM(V7:Y7)</f>
        <v>8562442</v>
      </c>
      <c r="I7" s="11">
        <f>SUM(Z7:AC7)</f>
        <v>11137767</v>
      </c>
      <c r="J7" s="11">
        <f>SUM(AD7:AG7)</f>
        <v>12663054.830000002</v>
      </c>
      <c r="K7" s="11">
        <f>SUM(AH7:AK7)</f>
        <v>15236723.76</v>
      </c>
      <c r="L7" s="11">
        <f>SUM(AL7:AO7)</f>
        <v>19841950.908880778</v>
      </c>
      <c r="M7" s="11">
        <f ca="1">SUM(AP7:AS7)</f>
        <v>22122280.318223529</v>
      </c>
      <c r="N7" s="11">
        <f ca="1">SUM(AT7:AW7)</f>
        <v>22910027.454443976</v>
      </c>
      <c r="O7" s="11">
        <f>SUM(AX7:BA7)</f>
        <v>23609043.446989451</v>
      </c>
      <c r="P7" s="11">
        <f>SUM($FJ7:FK7)</f>
        <v>4098084.6950756246</v>
      </c>
      <c r="Q7" s="12"/>
      <c r="R7" s="12">
        <f>SUM(BF7:BH7)</f>
        <v>1504042</v>
      </c>
      <c r="S7" s="12">
        <f>SUM(BI7:BK7)</f>
        <v>1661076</v>
      </c>
      <c r="T7" s="12">
        <f>SUM(BL7:BN7)</f>
        <v>1803269</v>
      </c>
      <c r="U7" s="12">
        <f>SUM(BO7:BQ7)</f>
        <v>1849107</v>
      </c>
      <c r="V7" s="12">
        <f>SUM(BR7:BT7)</f>
        <v>1925089</v>
      </c>
      <c r="W7" s="12">
        <f>SUM(BU7:BW7)</f>
        <v>1973172</v>
      </c>
      <c r="X7" s="12">
        <f>SUM(BX7:BZ7)</f>
        <v>2270128</v>
      </c>
      <c r="Y7" s="12">
        <f>SUM(CA7:CC7)</f>
        <v>2394053</v>
      </c>
      <c r="Z7" s="12">
        <f>SUM(CD7:CF7)</f>
        <v>2503013</v>
      </c>
      <c r="AA7" s="12">
        <f>SUM(CG7:CI7)</f>
        <v>2652640</v>
      </c>
      <c r="AB7" s="12">
        <f>SUM(CJ7:CL7)</f>
        <v>2862560</v>
      </c>
      <c r="AC7" s="12">
        <f>SUM(CM7:CO7)</f>
        <v>3119554</v>
      </c>
      <c r="AD7" s="12">
        <f>SUM(CP7:CR7)</f>
        <v>3227336</v>
      </c>
      <c r="AE7" s="12">
        <f>SUM(CS7:CU7)</f>
        <v>3126544</v>
      </c>
      <c r="AF7" s="12">
        <f>SUM(CV7:CX7)</f>
        <v>3129664.97</v>
      </c>
      <c r="AG7" s="12">
        <f>SUM(CY7:DA7)</f>
        <v>3179509.8600000003</v>
      </c>
      <c r="AH7" s="12">
        <f>SUM(DB7:DD7)</f>
        <v>3285464.2399999993</v>
      </c>
      <c r="AI7" s="12">
        <f>SUM(DE7:DG7)</f>
        <v>3598475.3800000004</v>
      </c>
      <c r="AJ7" s="12">
        <f t="shared" ref="AJ7:AJ14" si="0">SUM(DH7:DJ7)</f>
        <v>4039992.23</v>
      </c>
      <c r="AK7" s="12">
        <f>SUM(DK7:DM7)</f>
        <v>4312791.91</v>
      </c>
      <c r="AL7" s="12">
        <f>SUM(DN7:DP7)</f>
        <v>4324050</v>
      </c>
      <c r="AM7" s="12">
        <f>SUM(DQ7:DS7)</f>
        <v>4836138.68</v>
      </c>
      <c r="AN7" s="12">
        <f>SUM(DT7:DV7)</f>
        <v>5140234.2402095115</v>
      </c>
      <c r="AO7" s="12">
        <f>SUM(DW7:DY7)</f>
        <v>5541527.9886712655</v>
      </c>
      <c r="AP7" s="12">
        <f>SUM(DZ7:EB7)</f>
        <v>5429734.5</v>
      </c>
      <c r="AQ7" s="12">
        <f t="shared" ref="AQ7:AS14" ca="1" si="1">OFFSET($DZ7,0,AQ$4)+OFFSET($EA7,0,AQ$4)+OFFSET($EB7,0,AQ$4)</f>
        <v>5446302.1900000004</v>
      </c>
      <c r="AR7" s="12">
        <f t="shared" ca="1" si="1"/>
        <v>5584122.4276637929</v>
      </c>
      <c r="AS7" s="12">
        <f t="shared" ca="1" si="1"/>
        <v>5662121.2005597344</v>
      </c>
      <c r="AT7" s="12">
        <f>SUM(EL7:EN7)</f>
        <v>5807553.6716170739</v>
      </c>
      <c r="AU7" s="12">
        <f t="shared" ref="AU7:AW14" ca="1" si="2">OFFSET($EL7,0,AU$4)+OFFSET($EM7,0,AU$4)+OFFSET($EN7,0,AU$4)</f>
        <v>5777611.705714738</v>
      </c>
      <c r="AV7" s="12">
        <f t="shared" ca="1" si="2"/>
        <v>5659968.1782125477</v>
      </c>
      <c r="AW7" s="12">
        <f t="shared" ca="1" si="2"/>
        <v>5664893.8988996129</v>
      </c>
      <c r="AX7" s="12">
        <f>SUM(EX7:EZ7)</f>
        <v>5620968.5935169663</v>
      </c>
      <c r="AY7" s="12">
        <f>SUM(FA7:FC7)</f>
        <v>5626790.9689731393</v>
      </c>
      <c r="AZ7" s="12">
        <f>SUM(FD7:FF7)</f>
        <v>6040664.9576508962</v>
      </c>
      <c r="BA7" s="12">
        <f>SUM(FG7:FI7)</f>
        <v>6320618.9268484488</v>
      </c>
      <c r="BB7" s="12">
        <f>SUM(FJ7:FL7)</f>
        <v>4098084.6950756246</v>
      </c>
      <c r="BC7" s="12"/>
      <c r="BD7" s="12"/>
      <c r="BE7" s="12"/>
      <c r="BF7" s="12">
        <v>499065</v>
      </c>
      <c r="BG7" s="12">
        <v>471161</v>
      </c>
      <c r="BH7" s="12">
        <v>533816</v>
      </c>
      <c r="BI7" s="12">
        <v>544008</v>
      </c>
      <c r="BJ7" s="12">
        <v>573225</v>
      </c>
      <c r="BK7" s="12">
        <v>543843</v>
      </c>
      <c r="BL7" s="12">
        <v>569705</v>
      </c>
      <c r="BM7" s="12">
        <v>627045</v>
      </c>
      <c r="BN7" s="12">
        <v>606519</v>
      </c>
      <c r="BO7" s="12">
        <v>623258</v>
      </c>
      <c r="BP7" s="12">
        <v>611216</v>
      </c>
      <c r="BQ7" s="12">
        <v>614633</v>
      </c>
      <c r="BR7" s="12">
        <v>651796</v>
      </c>
      <c r="BS7" s="12">
        <v>641723</v>
      </c>
      <c r="BT7" s="12">
        <v>631570</v>
      </c>
      <c r="BU7" s="12">
        <v>642402</v>
      </c>
      <c r="BV7" s="12">
        <v>652594</v>
      </c>
      <c r="BW7" s="12">
        <v>678176</v>
      </c>
      <c r="BX7" s="12">
        <f>839078-90000</f>
        <v>749078</v>
      </c>
      <c r="BY7" s="12">
        <v>761402</v>
      </c>
      <c r="BZ7" s="12">
        <v>759648</v>
      </c>
      <c r="CA7" s="12">
        <v>774937</v>
      </c>
      <c r="CB7" s="12">
        <f>792087+5000</f>
        <v>797087</v>
      </c>
      <c r="CC7" s="12">
        <v>822029</v>
      </c>
      <c r="CD7" s="12">
        <f>831828-6500</f>
        <v>825328</v>
      </c>
      <c r="CE7" s="12">
        <v>826846</v>
      </c>
      <c r="CF7" s="12">
        <v>850839</v>
      </c>
      <c r="CG7" s="12">
        <f>881601-2000</f>
        <v>879601</v>
      </c>
      <c r="CH7" s="12">
        <v>883292</v>
      </c>
      <c r="CI7" s="12">
        <v>889747</v>
      </c>
      <c r="CJ7" s="12">
        <v>932124</v>
      </c>
      <c r="CK7" s="12">
        <v>948245</v>
      </c>
      <c r="CL7" s="12">
        <f>972191+10000</f>
        <v>982191</v>
      </c>
      <c r="CM7" s="12">
        <f>993575+10000</f>
        <v>1003575</v>
      </c>
      <c r="CN7" s="12">
        <f>1030522+20000</f>
        <v>1050522</v>
      </c>
      <c r="CO7" s="12">
        <v>1065457</v>
      </c>
      <c r="CP7" s="12">
        <v>1067087</v>
      </c>
      <c r="CQ7" s="12">
        <v>1078237</v>
      </c>
      <c r="CR7" s="12">
        <v>1082012</v>
      </c>
      <c r="CS7" s="12">
        <v>1063341</v>
      </c>
      <c r="CT7" s="12">
        <v>1032987</v>
      </c>
      <c r="CU7" s="12">
        <v>1030216</v>
      </c>
      <c r="CV7" s="12">
        <v>1044271</v>
      </c>
      <c r="CW7" s="12">
        <v>1034501.23</v>
      </c>
      <c r="CX7" s="12">
        <v>1050892.7400000002</v>
      </c>
      <c r="CY7" s="12">
        <v>1055268.57</v>
      </c>
      <c r="CZ7" s="12">
        <v>1066025.1300000001</v>
      </c>
      <c r="DA7" s="12">
        <v>1058216.1599999999</v>
      </c>
      <c r="DB7" s="12">
        <v>1082826.51</v>
      </c>
      <c r="DC7" s="12">
        <v>1089809.2199999997</v>
      </c>
      <c r="DD7" s="12">
        <v>1112828.51</v>
      </c>
      <c r="DE7" s="12">
        <v>1193927.07</v>
      </c>
      <c r="DF7" s="12">
        <v>1174221.9100000001</v>
      </c>
      <c r="DG7" s="12">
        <v>1230326.3999999999</v>
      </c>
      <c r="DH7" s="12">
        <v>1272166.24</v>
      </c>
      <c r="DI7" s="12">
        <v>1385697.3499999999</v>
      </c>
      <c r="DJ7" s="12">
        <v>1382128.6400000001</v>
      </c>
      <c r="DK7" s="12">
        <v>1438639.47</v>
      </c>
      <c r="DL7" s="12">
        <v>1453159.4899999998</v>
      </c>
      <c r="DM7" s="12">
        <v>1420992.9500000002</v>
      </c>
      <c r="DN7" s="12">
        <v>1430084.24</v>
      </c>
      <c r="DO7" s="12">
        <v>1435938.09</v>
      </c>
      <c r="DP7" s="12">
        <v>1458027.67</v>
      </c>
      <c r="DQ7" s="12">
        <v>1574785.87</v>
      </c>
      <c r="DR7" s="12">
        <v>1608150.46</v>
      </c>
      <c r="DS7" s="12">
        <v>1653202.3499999999</v>
      </c>
      <c r="DT7" s="12">
        <v>1686256.8938278228</v>
      </c>
      <c r="DU7" s="12">
        <v>1670379.1563816885</v>
      </c>
      <c r="DV7" s="12">
        <v>1783598.1900000002</v>
      </c>
      <c r="DW7" s="12">
        <v>1782606.8386712656</v>
      </c>
      <c r="DX7" s="12">
        <v>1898032.18</v>
      </c>
      <c r="DY7" s="511">
        <v>1860888.9700000002</v>
      </c>
      <c r="DZ7" s="12">
        <v>1779915.22</v>
      </c>
      <c r="EA7" s="12">
        <v>1806109.9800000002</v>
      </c>
      <c r="EB7" s="12">
        <v>1843709.2999999998</v>
      </c>
      <c r="EC7" s="12">
        <v>1827965.68</v>
      </c>
      <c r="ED7" s="12">
        <v>1776744.8400000003</v>
      </c>
      <c r="EE7" s="12">
        <v>1841591.6700000002</v>
      </c>
      <c r="EF7" s="12">
        <v>1851580.9428821199</v>
      </c>
      <c r="EG7" s="12">
        <v>1841623.0926650804</v>
      </c>
      <c r="EH7" s="12">
        <v>1890918.3921165923</v>
      </c>
      <c r="EI7" s="12">
        <v>1845701.8326682157</v>
      </c>
      <c r="EJ7" s="12">
        <v>1884822.5057636816</v>
      </c>
      <c r="EK7" s="511">
        <v>1931596.8621278368</v>
      </c>
      <c r="EL7" s="511">
        <v>1868668.531807421</v>
      </c>
      <c r="EM7" s="511">
        <v>1942526.0756145197</v>
      </c>
      <c r="EN7" s="511">
        <v>1996359.0641951333</v>
      </c>
      <c r="EO7" s="511">
        <v>1955878.3053217193</v>
      </c>
      <c r="EP7" s="511">
        <v>1925178.5336592188</v>
      </c>
      <c r="EQ7" s="511">
        <v>1896554.8667337995</v>
      </c>
      <c r="ER7" s="12">
        <v>1892327.6024919562</v>
      </c>
      <c r="ES7" s="12">
        <v>1897669.6669848838</v>
      </c>
      <c r="ET7" s="12">
        <v>1869970.9087357074</v>
      </c>
      <c r="EU7" s="12">
        <v>1903531.7264247811</v>
      </c>
      <c r="EV7" s="12">
        <v>1909338.7024748311</v>
      </c>
      <c r="EW7" s="12">
        <v>1852023.4700000002</v>
      </c>
      <c r="EX7" s="12">
        <v>1881547.8484484642</v>
      </c>
      <c r="EY7" s="12">
        <v>1913349.2975073569</v>
      </c>
      <c r="EZ7" s="12">
        <v>1826071.4475611453</v>
      </c>
      <c r="FA7" s="12">
        <v>1890987.3429472924</v>
      </c>
      <c r="FB7" s="12">
        <v>1835211.2758455961</v>
      </c>
      <c r="FC7" s="12">
        <v>1900592.3501802501</v>
      </c>
      <c r="FD7" s="12">
        <v>1937479.9832092782</v>
      </c>
      <c r="FE7" s="12">
        <v>1996687.4710665098</v>
      </c>
      <c r="FF7" s="12">
        <v>2106497.5033751084</v>
      </c>
      <c r="FG7" s="12">
        <v>2081008.8146467723</v>
      </c>
      <c r="FH7" s="12">
        <v>2102511.7807019693</v>
      </c>
      <c r="FI7" s="12">
        <v>2137098.331499707</v>
      </c>
      <c r="FJ7" s="12">
        <v>2066378.5423958695</v>
      </c>
      <c r="FK7" s="741">
        <v>2031706.1526797554</v>
      </c>
      <c r="FL7" s="12"/>
      <c r="FM7" s="12"/>
      <c r="FN7" s="12">
        <f>'Financial plan'!EZ8</f>
        <v>2134808.7034660517</v>
      </c>
      <c r="FO7" s="12">
        <f t="shared" ref="FO7:FO25" si="3">FK7-FJ7</f>
        <v>-34672.38971611415</v>
      </c>
      <c r="FP7" s="12">
        <f>FK7-FN7</f>
        <v>-103102.55078629637</v>
      </c>
      <c r="FQ7" s="12" t="e">
        <f>FL7-#REF!</f>
        <v>#REF!</v>
      </c>
      <c r="FR7" s="12">
        <f>FM7-FO7</f>
        <v>34672.38971611415</v>
      </c>
      <c r="FS7" s="12">
        <f>FK7-FN7</f>
        <v>-103102.55078629637</v>
      </c>
      <c r="FT7" s="12">
        <f>SUM($FJ7:FK7)</f>
        <v>4098084.6950756246</v>
      </c>
      <c r="FU7" s="12">
        <f>SUM('Financial plan'!$EY8:EZ8)</f>
        <v>4269617.4069321034</v>
      </c>
      <c r="FV7" s="12">
        <f>FT7-FU7</f>
        <v>-171532.71185647883</v>
      </c>
    </row>
    <row r="8" spans="1:178" s="13" customFormat="1" hidden="1" outlineLevel="1" x14ac:dyDescent="0.35">
      <c r="E8" s="14" t="s">
        <v>88</v>
      </c>
      <c r="F8" s="15"/>
      <c r="G8" s="15"/>
      <c r="H8" s="15">
        <f>SUM(V8:Y8)</f>
        <v>0</v>
      </c>
      <c r="I8" s="18"/>
      <c r="J8" s="18"/>
      <c r="K8" s="18"/>
      <c r="L8" s="11">
        <f>SUM(AL8:AO8)</f>
        <v>16191408.816057732</v>
      </c>
      <c r="M8" s="11">
        <f ca="1">SUM(AP8:AS8)</f>
        <v>18545177.527665772</v>
      </c>
      <c r="N8" s="11">
        <f t="shared" ref="N8:N14" ca="1" si="4">SUM(AT8:AW8)</f>
        <v>18942230.037210844</v>
      </c>
      <c r="O8" s="11">
        <f>SUM(AX8:BA8)</f>
        <v>19381276.926351029</v>
      </c>
      <c r="P8" s="11"/>
      <c r="Q8" s="16"/>
      <c r="R8" s="17"/>
      <c r="S8" s="17"/>
      <c r="T8" s="17"/>
      <c r="U8" s="17"/>
      <c r="V8" s="17"/>
      <c r="W8" s="17"/>
      <c r="X8" s="17"/>
      <c r="Y8" s="17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>
        <f t="shared" si="0"/>
        <v>3145685.7996605486</v>
      </c>
      <c r="AK8" s="16">
        <f t="shared" ref="AK8:AK14" si="5">SUM(DK8:DM8)</f>
        <v>3429560.0141441091</v>
      </c>
      <c r="AL8" s="16">
        <f t="shared" ref="AL8:AL14" si="6">SUM(DN8:DP8)</f>
        <v>3594702.5136881401</v>
      </c>
      <c r="AM8" s="16">
        <f t="shared" ref="AM8:AM14" si="7">SUM(DQ8:DS8)</f>
        <v>3936052.9816034874</v>
      </c>
      <c r="AN8" s="16">
        <f t="shared" ref="AN8:AN12" si="8">SUM(DT8:DV8)</f>
        <v>4180409.1569953938</v>
      </c>
      <c r="AO8" s="16">
        <f t="shared" ref="AO8:AO14" si="9">SUM(DW8:DY8)</f>
        <v>4480244.163770711</v>
      </c>
      <c r="AP8" s="16">
        <f t="shared" ref="AP8:AP14" si="10">SUM(DZ8:EB8)</f>
        <v>4616510.076934698</v>
      </c>
      <c r="AQ8" s="16">
        <f t="shared" ca="1" si="1"/>
        <v>4642098.6562371273</v>
      </c>
      <c r="AR8" s="16">
        <f t="shared" ca="1" si="1"/>
        <v>4575717.3312600395</v>
      </c>
      <c r="AS8" s="16">
        <f t="shared" ca="1" si="1"/>
        <v>4710851.4632339068</v>
      </c>
      <c r="AT8" s="16">
        <f t="shared" ref="AT8:AT69" si="11">SUM(EL8:EN8)</f>
        <v>4825955.9690377582</v>
      </c>
      <c r="AU8" s="16">
        <f t="shared" ca="1" si="2"/>
        <v>4830694.6647796473</v>
      </c>
      <c r="AV8" s="16">
        <f t="shared" ca="1" si="2"/>
        <v>4663263.3984153504</v>
      </c>
      <c r="AW8" s="16">
        <f t="shared" ca="1" si="2"/>
        <v>4622316.0049780887</v>
      </c>
      <c r="AX8" s="16">
        <f>SUM(EX8:EZ8)</f>
        <v>4681426.8602245739</v>
      </c>
      <c r="AY8" s="16">
        <f t="shared" ref="AY8:AY14" si="12">SUM(FA8:FC8)</f>
        <v>4617999.8539723493</v>
      </c>
      <c r="AZ8" s="16">
        <f>SUM(FD8:FF8)</f>
        <v>4968774.2975098249</v>
      </c>
      <c r="BA8" s="16">
        <f>SUM(FG8:FI8)</f>
        <v>5113075.9146442795</v>
      </c>
      <c r="BB8" s="16"/>
      <c r="BC8" s="16"/>
      <c r="BD8" s="16"/>
      <c r="BE8" s="16"/>
      <c r="BF8" s="16">
        <v>499065</v>
      </c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>
        <v>649914.64827037463</v>
      </c>
      <c r="CE8" s="17">
        <v>681816.83721529704</v>
      </c>
      <c r="CF8" s="17">
        <v>686818.05461030907</v>
      </c>
      <c r="CG8" s="17">
        <v>706085.33354820206</v>
      </c>
      <c r="CH8" s="17">
        <v>721614.64573738899</v>
      </c>
      <c r="CI8" s="17">
        <v>745628.78925356781</v>
      </c>
      <c r="CJ8" s="17">
        <v>784828.17964425555</v>
      </c>
      <c r="CK8" s="17">
        <v>811360.13727929152</v>
      </c>
      <c r="CL8" s="17">
        <v>807040.97118755837</v>
      </c>
      <c r="CM8" s="17">
        <v>819251.51619654777</v>
      </c>
      <c r="CN8" s="17">
        <v>834555.2212520747</v>
      </c>
      <c r="CO8" s="17">
        <v>826333.14343622327</v>
      </c>
      <c r="CP8" s="17">
        <v>852657.0618739567</v>
      </c>
      <c r="CQ8" s="17">
        <v>871151.97861222806</v>
      </c>
      <c r="CR8" s="17">
        <v>887552.87726281141</v>
      </c>
      <c r="CS8" s="17">
        <v>869608.71799267223</v>
      </c>
      <c r="CT8" s="17">
        <v>858430.70784324594</v>
      </c>
      <c r="CU8" s="17">
        <v>872676.05715979263</v>
      </c>
      <c r="CV8" s="17">
        <v>877679.47749533155</v>
      </c>
      <c r="CW8" s="17">
        <v>877817.2154870847</v>
      </c>
      <c r="CX8" s="17">
        <v>894364.00325588789</v>
      </c>
      <c r="CY8" s="17">
        <v>904984.65835938742</v>
      </c>
      <c r="CZ8" s="17">
        <v>902572.93979293911</v>
      </c>
      <c r="DA8" s="17">
        <v>907463.7973012107</v>
      </c>
      <c r="DB8" s="17">
        <v>914883.47522849869</v>
      </c>
      <c r="DC8" s="17">
        <v>923861.35695877776</v>
      </c>
      <c r="DD8" s="17">
        <v>921084.35691661376</v>
      </c>
      <c r="DE8" s="17">
        <v>921218.85957075167</v>
      </c>
      <c r="DF8" s="16">
        <v>945230.3082455683</v>
      </c>
      <c r="DG8" s="16">
        <v>972248.68937434861</v>
      </c>
      <c r="DH8" s="16">
        <v>1019061.1437139102</v>
      </c>
      <c r="DI8" s="16">
        <v>1078991.3152529136</v>
      </c>
      <c r="DJ8" s="16">
        <v>1047633.340693725</v>
      </c>
      <c r="DK8" s="16">
        <v>1111496.4123666901</v>
      </c>
      <c r="DL8" s="16">
        <v>1143557.7002377661</v>
      </c>
      <c r="DM8" s="16">
        <v>1174505.9015396531</v>
      </c>
      <c r="DN8" s="16">
        <v>1167208.1696881403</v>
      </c>
      <c r="DO8" s="16">
        <v>1190776.17</v>
      </c>
      <c r="DP8" s="16">
        <v>1236718.1740000001</v>
      </c>
      <c r="DQ8" s="16">
        <v>1274583.443541466</v>
      </c>
      <c r="DR8" s="16">
        <v>1313786.3674456174</v>
      </c>
      <c r="DS8" s="16">
        <v>1347683.1706164044</v>
      </c>
      <c r="DT8" s="16">
        <v>1367994.9411431025</v>
      </c>
      <c r="DU8" s="16">
        <v>1364861.2558522914</v>
      </c>
      <c r="DV8" s="16">
        <v>1447552.96</v>
      </c>
      <c r="DW8" s="16">
        <v>1499541.8486712654</v>
      </c>
      <c r="DX8" s="16">
        <v>1491842.8236081437</v>
      </c>
      <c r="DY8" s="547">
        <v>1488859.4914913021</v>
      </c>
      <c r="DZ8" s="16">
        <v>1534812.5131249819</v>
      </c>
      <c r="EA8" s="16">
        <v>1539169.6578298134</v>
      </c>
      <c r="EB8" s="16">
        <v>1542527.9059799025</v>
      </c>
      <c r="EC8" s="16">
        <v>1542706.8666215476</v>
      </c>
      <c r="ED8" s="16">
        <f>1544033.79561978</f>
        <v>1544033.79561978</v>
      </c>
      <c r="EE8" s="16">
        <v>1555357.9939957999</v>
      </c>
      <c r="EF8" s="16">
        <v>1499181.37347097</v>
      </c>
      <c r="EG8" s="16">
        <v>1524805.8639507317</v>
      </c>
      <c r="EH8" s="16">
        <v>1551730.0938383376</v>
      </c>
      <c r="EI8" s="16">
        <v>1559962.4391562294</v>
      </c>
      <c r="EJ8" s="16">
        <v>1579492.6264852053</v>
      </c>
      <c r="EK8" s="16">
        <v>1571396.3975924717</v>
      </c>
      <c r="EL8" s="16">
        <v>1598122.4875944543</v>
      </c>
      <c r="EM8" s="16">
        <v>1615036.3826381839</v>
      </c>
      <c r="EN8" s="16">
        <v>1612797.0988051204</v>
      </c>
      <c r="EO8" s="16">
        <v>1606008.6526354821</v>
      </c>
      <c r="EP8" s="16">
        <v>1613232.1886565164</v>
      </c>
      <c r="EQ8" s="16">
        <v>1611453.8234876485</v>
      </c>
      <c r="ER8" s="16">
        <v>1589514.0549034253</v>
      </c>
      <c r="ES8" s="16">
        <v>1561702.3845012807</v>
      </c>
      <c r="ET8" s="16">
        <v>1512046.9590106441</v>
      </c>
      <c r="EU8" s="16">
        <v>1516975.1363306693</v>
      </c>
      <c r="EV8" s="16">
        <v>1564706.7881204956</v>
      </c>
      <c r="EW8" s="16">
        <v>1540634.0805269233</v>
      </c>
      <c r="EX8" s="16">
        <v>1554387.2866039472</v>
      </c>
      <c r="EY8" s="16">
        <v>1575260.939769106</v>
      </c>
      <c r="EZ8" s="16">
        <v>1551778.6338515207</v>
      </c>
      <c r="FA8" s="16">
        <v>1533379.3387727914</v>
      </c>
      <c r="FB8" s="16">
        <v>1537217.6304969019</v>
      </c>
      <c r="FC8" s="16">
        <v>1547402.8847026564</v>
      </c>
      <c r="FD8" s="16">
        <v>1628511.7522758511</v>
      </c>
      <c r="FE8" s="16">
        <v>1649959.952327596</v>
      </c>
      <c r="FF8" s="16">
        <v>1690302.5929063775</v>
      </c>
      <c r="FG8" s="16">
        <v>1676516.9992551594</v>
      </c>
      <c r="FH8" s="16">
        <v>1729604.5492858773</v>
      </c>
      <c r="FI8" s="16">
        <v>1706954.3661032431</v>
      </c>
      <c r="FJ8" s="16">
        <v>1689488.0886848955</v>
      </c>
      <c r="FK8" s="742">
        <v>1672630.6094498134</v>
      </c>
      <c r="FL8" s="16"/>
      <c r="FM8" s="16"/>
      <c r="FN8" s="12"/>
      <c r="FO8" s="16">
        <f t="shared" si="3"/>
        <v>-16857.479235082166</v>
      </c>
      <c r="FP8" s="16"/>
      <c r="FQ8" s="16"/>
      <c r="FR8" s="16"/>
      <c r="FS8" s="16">
        <f t="shared" ref="FS8:FS62" si="13">FK8-FN8</f>
        <v>1672630.6094498134</v>
      </c>
      <c r="FT8" s="16">
        <f>SUM($FJ8:FK8)</f>
        <v>3362118.6981347091</v>
      </c>
      <c r="FU8" s="16"/>
      <c r="FV8" s="16"/>
    </row>
    <row r="9" spans="1:178" s="13" customFormat="1" hidden="1" outlineLevel="1" x14ac:dyDescent="0.35">
      <c r="E9" s="14" t="s">
        <v>89</v>
      </c>
      <c r="F9" s="18"/>
      <c r="G9" s="18"/>
      <c r="H9" s="18">
        <f>SUM(V9:Y9)</f>
        <v>0</v>
      </c>
      <c r="I9" s="18"/>
      <c r="J9" s="18"/>
      <c r="K9" s="18"/>
      <c r="L9" s="11">
        <f>SUM(AL9:AO9)</f>
        <v>1284246.9932224671</v>
      </c>
      <c r="M9" s="11">
        <f ca="1">SUM(AP9:AS9)</f>
        <v>1338044.3351364434</v>
      </c>
      <c r="N9" s="11">
        <f t="shared" ca="1" si="4"/>
        <v>1412569.8690652777</v>
      </c>
      <c r="O9" s="11">
        <f t="shared" ref="O9:O12" si="14">SUM(AX9:BA9)</f>
        <v>1568018.7475721543</v>
      </c>
      <c r="P9" s="11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>
        <f t="shared" si="0"/>
        <v>283167.74635813467</v>
      </c>
      <c r="AK9" s="16">
        <f t="shared" si="5"/>
        <v>289688.79453975428</v>
      </c>
      <c r="AL9" s="16">
        <f t="shared" si="6"/>
        <v>308558.3451774749</v>
      </c>
      <c r="AM9" s="16">
        <f t="shared" si="7"/>
        <v>316546.77699971094</v>
      </c>
      <c r="AN9" s="16">
        <f t="shared" si="8"/>
        <v>327239.9987120931</v>
      </c>
      <c r="AO9" s="16">
        <f t="shared" si="9"/>
        <v>331901.87233318825</v>
      </c>
      <c r="AP9" s="16">
        <f t="shared" si="10"/>
        <v>325457.31398589903</v>
      </c>
      <c r="AQ9" s="16">
        <f t="shared" ca="1" si="1"/>
        <v>325603.28759655607</v>
      </c>
      <c r="AR9" s="16">
        <f t="shared" ca="1" si="1"/>
        <v>339970.17149564537</v>
      </c>
      <c r="AS9" s="16">
        <f t="shared" ca="1" si="1"/>
        <v>347013.56205834297</v>
      </c>
      <c r="AT9" s="16">
        <f t="shared" si="11"/>
        <v>335426.6617628414</v>
      </c>
      <c r="AU9" s="16">
        <f t="shared" ca="1" si="2"/>
        <v>339342.54940420453</v>
      </c>
      <c r="AV9" s="16">
        <f t="shared" ca="1" si="2"/>
        <v>368529.73001036659</v>
      </c>
      <c r="AW9" s="16">
        <f t="shared" ca="1" si="2"/>
        <v>369270.92788786523</v>
      </c>
      <c r="AX9" s="16">
        <f t="shared" ref="AX9:AX12" si="15">SUM(EX9:EZ9)</f>
        <v>373465.58485573111</v>
      </c>
      <c r="AY9" s="16">
        <f t="shared" si="12"/>
        <v>376116.07840185595</v>
      </c>
      <c r="AZ9" s="16">
        <f t="shared" ref="AZ9:AZ12" si="16">SUM(FD9:FF9)</f>
        <v>393616.63902761642</v>
      </c>
      <c r="BA9" s="16">
        <f t="shared" ref="BA9:BA12" si="17">SUM(FG9:FI9)</f>
        <v>424820.44528695079</v>
      </c>
      <c r="BB9" s="16"/>
      <c r="BC9" s="16"/>
      <c r="BD9" s="16"/>
      <c r="BE9" s="16"/>
      <c r="BF9" s="16">
        <v>499065</v>
      </c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>
        <v>36859.289750049749</v>
      </c>
      <c r="CE9" s="16">
        <v>44348.864295005493</v>
      </c>
      <c r="CF9" s="16">
        <v>43639.913029284449</v>
      </c>
      <c r="CG9" s="16">
        <v>44970.83962798398</v>
      </c>
      <c r="CH9" s="16">
        <v>45780.697138648742</v>
      </c>
      <c r="CI9" s="16">
        <v>50743.46337349619</v>
      </c>
      <c r="CJ9" s="16">
        <v>48705.546036485546</v>
      </c>
      <c r="CK9" s="16">
        <v>52394.196830590336</v>
      </c>
      <c r="CL9" s="16">
        <v>57081.887575085668</v>
      </c>
      <c r="CM9" s="16">
        <v>55048.636340789315</v>
      </c>
      <c r="CN9" s="16">
        <v>56835.674119767471</v>
      </c>
      <c r="CO9" s="16">
        <v>54750.019539768655</v>
      </c>
      <c r="CP9" s="16">
        <v>62069.802174719734</v>
      </c>
      <c r="CQ9" s="16">
        <v>57378.902239993506</v>
      </c>
      <c r="CR9" s="16">
        <v>63279.560510096526</v>
      </c>
      <c r="CS9" s="16">
        <v>62477.31419094326</v>
      </c>
      <c r="CT9" s="16">
        <v>59353.215959623747</v>
      </c>
      <c r="CU9" s="16">
        <v>57107.824940544793</v>
      </c>
      <c r="CV9" s="16">
        <v>60740.504304828777</v>
      </c>
      <c r="CW9" s="16">
        <v>59045.584479269353</v>
      </c>
      <c r="CX9" s="16">
        <v>59229.910776172706</v>
      </c>
      <c r="CY9" s="16">
        <v>55992.250295409882</v>
      </c>
      <c r="CZ9" s="16">
        <v>63583.12675260727</v>
      </c>
      <c r="DA9" s="16">
        <v>74498.472718924037</v>
      </c>
      <c r="DB9" s="16">
        <v>74617.0877645828</v>
      </c>
      <c r="DC9" s="16">
        <v>74820.536483956705</v>
      </c>
      <c r="DD9" s="16">
        <v>74115.377421874422</v>
      </c>
      <c r="DE9" s="16">
        <v>77672.938011343009</v>
      </c>
      <c r="DF9" s="16">
        <v>78378.376118737157</v>
      </c>
      <c r="DG9" s="16">
        <v>77683.001727928655</v>
      </c>
      <c r="DH9" s="16">
        <v>84580.315293951659</v>
      </c>
      <c r="DI9" s="16">
        <v>113345.31063528973</v>
      </c>
      <c r="DJ9" s="16">
        <v>85242.120428893308</v>
      </c>
      <c r="DK9" s="16">
        <v>87640.481508064637</v>
      </c>
      <c r="DL9" s="16">
        <v>102842.86118561801</v>
      </c>
      <c r="DM9" s="16">
        <v>99205.45184607165</v>
      </c>
      <c r="DN9" s="16">
        <v>102385.10467747493</v>
      </c>
      <c r="DO9" s="16">
        <v>102010.1</v>
      </c>
      <c r="DP9" s="16">
        <v>104163.14049999999</v>
      </c>
      <c r="DQ9" s="16">
        <v>105466.17</v>
      </c>
      <c r="DR9" s="16">
        <v>105518.00699971098</v>
      </c>
      <c r="DS9" s="16">
        <v>105562.6</v>
      </c>
      <c r="DT9" s="16">
        <v>106301.97520153744</v>
      </c>
      <c r="DU9" s="16">
        <v>103742.32351055565</v>
      </c>
      <c r="DV9" s="16">
        <v>117195.7</v>
      </c>
      <c r="DW9" s="16">
        <v>113559.1</v>
      </c>
      <c r="DX9" s="16">
        <v>112845.07233318822</v>
      </c>
      <c r="DY9" s="547">
        <v>105497.7</v>
      </c>
      <c r="DZ9" s="16">
        <v>107727.62507520604</v>
      </c>
      <c r="EA9" s="16">
        <v>108828.44142920518</v>
      </c>
      <c r="EB9" s="16">
        <v>108901.24748148782</v>
      </c>
      <c r="EC9" s="16">
        <v>107874.91964201692</v>
      </c>
      <c r="ED9" s="16">
        <v>107164.94820068414</v>
      </c>
      <c r="EE9" s="16">
        <v>110563.41975385501</v>
      </c>
      <c r="EF9" s="16">
        <v>114057.54068631399</v>
      </c>
      <c r="EG9" s="16">
        <v>112571.73080933138</v>
      </c>
      <c r="EH9" s="16">
        <v>113340.9</v>
      </c>
      <c r="EI9" s="16">
        <v>116453.03468917952</v>
      </c>
      <c r="EJ9" s="16">
        <v>116873.70992759999</v>
      </c>
      <c r="EK9" s="16">
        <v>113686.8174415635</v>
      </c>
      <c r="EL9" s="16">
        <v>110115.54453927799</v>
      </c>
      <c r="EM9" s="16">
        <v>112345.62600831345</v>
      </c>
      <c r="EN9" s="16">
        <v>112965.49121524993</v>
      </c>
      <c r="EO9" s="16">
        <v>112636.16974632518</v>
      </c>
      <c r="EP9" s="16">
        <v>111453.70170147915</v>
      </c>
      <c r="EQ9" s="16">
        <v>115252.67795640022</v>
      </c>
      <c r="ER9" s="16">
        <v>117996.57449079856</v>
      </c>
      <c r="ES9" s="16">
        <v>119977.74920095626</v>
      </c>
      <c r="ET9" s="16">
        <v>130555.40631861177</v>
      </c>
      <c r="EU9" s="16">
        <v>121134.64005862045</v>
      </c>
      <c r="EV9" s="16">
        <v>124189.01102260282</v>
      </c>
      <c r="EW9" s="16">
        <v>123947.27680664198</v>
      </c>
      <c r="EX9" s="16">
        <v>127027.11393816609</v>
      </c>
      <c r="EY9" s="16">
        <v>120080.4537903841</v>
      </c>
      <c r="EZ9" s="16">
        <v>126358.01712718097</v>
      </c>
      <c r="FA9" s="16">
        <v>126480.71361473892</v>
      </c>
      <c r="FB9" s="16">
        <v>124680.07368743647</v>
      </c>
      <c r="FC9" s="16">
        <v>124955.29109968057</v>
      </c>
      <c r="FD9" s="16">
        <v>126338.73764428863</v>
      </c>
      <c r="FE9" s="16">
        <v>133037.75796646747</v>
      </c>
      <c r="FF9" s="16">
        <v>134240.14341686032</v>
      </c>
      <c r="FG9" s="16">
        <v>142709.24732183357</v>
      </c>
      <c r="FH9" s="16">
        <v>145014.64665229945</v>
      </c>
      <c r="FI9" s="16">
        <v>137096.55131281776</v>
      </c>
      <c r="FJ9" s="16">
        <v>135720.34337482139</v>
      </c>
      <c r="FK9" s="742">
        <v>148231.8137051122</v>
      </c>
      <c r="FL9" s="16"/>
      <c r="FM9" s="16"/>
      <c r="FN9" s="12"/>
      <c r="FO9" s="16">
        <f t="shared" si="3"/>
        <v>12511.470330290816</v>
      </c>
      <c r="FP9" s="16"/>
      <c r="FQ9" s="16"/>
      <c r="FR9" s="16"/>
      <c r="FS9" s="16">
        <f t="shared" si="13"/>
        <v>148231.8137051122</v>
      </c>
      <c r="FT9" s="16">
        <f>SUM($FJ9:FK9)</f>
        <v>283952.15707993356</v>
      </c>
      <c r="FU9" s="16"/>
      <c r="FV9" s="16"/>
    </row>
    <row r="10" spans="1:178" s="13" customFormat="1" hidden="1" outlineLevel="1" x14ac:dyDescent="0.35">
      <c r="E10" s="14" t="s">
        <v>90</v>
      </c>
      <c r="F10" s="18"/>
      <c r="G10" s="18"/>
      <c r="H10" s="18">
        <f>SUM(V10:Y10)</f>
        <v>0</v>
      </c>
      <c r="I10" s="18"/>
      <c r="J10" s="18"/>
      <c r="K10" s="18"/>
      <c r="L10" s="11">
        <f t="shared" ref="L10:L13" si="18">SUM(AL10:AO10)</f>
        <v>1428728.8452997301</v>
      </c>
      <c r="M10" s="11">
        <f t="shared" ref="M10:M13" ca="1" si="19">SUM(AP10:AS10)</f>
        <v>1615107.7025034181</v>
      </c>
      <c r="N10" s="11">
        <f t="shared" ca="1" si="4"/>
        <v>1652962.7322305227</v>
      </c>
      <c r="O10" s="11">
        <f t="shared" si="14"/>
        <v>1855901.5656872313</v>
      </c>
      <c r="P10" s="11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>
        <f t="shared" si="0"/>
        <v>331899.66425761103</v>
      </c>
      <c r="AK10" s="16">
        <f t="shared" si="5"/>
        <v>377831.98365782591</v>
      </c>
      <c r="AL10" s="16">
        <f t="shared" si="6"/>
        <v>250233.31250636489</v>
      </c>
      <c r="AM10" s="16">
        <f t="shared" si="7"/>
        <v>304123.10045449773</v>
      </c>
      <c r="AN10" s="16">
        <f t="shared" si="8"/>
        <v>394740.80259945185</v>
      </c>
      <c r="AO10" s="16">
        <f t="shared" si="9"/>
        <v>479631.6297394156</v>
      </c>
      <c r="AP10" s="16">
        <f t="shared" si="10"/>
        <v>372003.41206011816</v>
      </c>
      <c r="AQ10" s="16">
        <f t="shared" ca="1" si="1"/>
        <v>353720.92341677315</v>
      </c>
      <c r="AR10" s="16">
        <f t="shared" ca="1" si="1"/>
        <v>418521.95546424645</v>
      </c>
      <c r="AS10" s="16">
        <f t="shared" ca="1" si="1"/>
        <v>470861.41156228032</v>
      </c>
      <c r="AT10" s="16">
        <f t="shared" si="11"/>
        <v>412730.41754102195</v>
      </c>
      <c r="AU10" s="16">
        <f t="shared" ca="1" si="2"/>
        <v>413770.94944942527</v>
      </c>
      <c r="AV10" s="16">
        <f t="shared" ca="1" si="2"/>
        <v>390449.89121802687</v>
      </c>
      <c r="AW10" s="16">
        <f t="shared" ca="1" si="2"/>
        <v>436011.47402204853</v>
      </c>
      <c r="AX10" s="16">
        <f t="shared" si="15"/>
        <v>399003.80615331896</v>
      </c>
      <c r="AY10" s="16">
        <f t="shared" si="12"/>
        <v>406872.76334822481</v>
      </c>
      <c r="AZ10" s="16">
        <f t="shared" si="16"/>
        <v>525545.57102943701</v>
      </c>
      <c r="BA10" s="16">
        <f t="shared" si="17"/>
        <v>524479.42515625071</v>
      </c>
      <c r="BB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>
        <v>115265.06197957517</v>
      </c>
      <c r="CE10" s="16">
        <v>73400.298489697219</v>
      </c>
      <c r="CF10" s="16">
        <v>110520.0323604069</v>
      </c>
      <c r="CG10" s="16">
        <v>78908.288362275474</v>
      </c>
      <c r="CH10" s="16">
        <v>73446.58020088452</v>
      </c>
      <c r="CI10" s="16">
        <v>57700.747372935759</v>
      </c>
      <c r="CJ10" s="16">
        <v>63796.568436906033</v>
      </c>
      <c r="CK10" s="16">
        <v>68594.054319869843</v>
      </c>
      <c r="CL10" s="16">
        <v>110272.22381839945</v>
      </c>
      <c r="CM10" s="16">
        <v>114969.84746266305</v>
      </c>
      <c r="CN10" s="16">
        <v>109016.10462815795</v>
      </c>
      <c r="CO10" s="16">
        <v>148342.52676654985</v>
      </c>
      <c r="CP10" s="16">
        <v>134624.60819271594</v>
      </c>
      <c r="CQ10" s="16">
        <v>119228.12663839849</v>
      </c>
      <c r="CR10" s="16">
        <v>116947.82169936399</v>
      </c>
      <c r="CS10" s="16">
        <v>87540.764746885718</v>
      </c>
      <c r="CT10" s="16">
        <v>100803.64672718251</v>
      </c>
      <c r="CU10" s="16">
        <v>85470.338671320889</v>
      </c>
      <c r="CV10" s="16">
        <v>95643.459511260007</v>
      </c>
      <c r="CW10" s="16">
        <v>85534.125523142779</v>
      </c>
      <c r="CX10" s="16">
        <v>54786.480913832456</v>
      </c>
      <c r="CY10" s="16">
        <v>63422.038734787566</v>
      </c>
      <c r="CZ10" s="16">
        <v>51677.729720244861</v>
      </c>
      <c r="DA10" s="16">
        <v>52458.944649179575</v>
      </c>
      <c r="DB10" s="16">
        <v>59966.894723109785</v>
      </c>
      <c r="DC10" s="16">
        <v>70716.793781103319</v>
      </c>
      <c r="DD10" s="16">
        <v>69099.116693610587</v>
      </c>
      <c r="DE10" s="16">
        <v>89731.045271592608</v>
      </c>
      <c r="DF10" s="16">
        <v>95975.835076008836</v>
      </c>
      <c r="DG10" s="16">
        <v>89080.427893399232</v>
      </c>
      <c r="DH10" s="16">
        <v>93721.340022046264</v>
      </c>
      <c r="DI10" s="16">
        <v>108308.03337431613</v>
      </c>
      <c r="DJ10" s="16">
        <v>129870.29086124864</v>
      </c>
      <c r="DK10" s="16">
        <v>111176.15166755686</v>
      </c>
      <c r="DL10" s="16">
        <v>119661.18062464573</v>
      </c>
      <c r="DM10" s="16">
        <v>146994.65136562334</v>
      </c>
      <c r="DN10" s="16">
        <v>95809.609269065288</v>
      </c>
      <c r="DO10" s="16">
        <v>100039.76698242722</v>
      </c>
      <c r="DP10" s="16">
        <v>54383.93625487238</v>
      </c>
      <c r="DQ10" s="16">
        <v>94127.176177092304</v>
      </c>
      <c r="DR10" s="16">
        <v>107269.92842441663</v>
      </c>
      <c r="DS10" s="16">
        <v>102725.99585298882</v>
      </c>
      <c r="DT10" s="16">
        <v>119312.79337269477</v>
      </c>
      <c r="DU10" s="16">
        <v>141159.212794244</v>
      </c>
      <c r="DV10" s="16">
        <v>134268.7964325131</v>
      </c>
      <c r="DW10" s="16">
        <v>125073.60000000001</v>
      </c>
      <c r="DX10" s="16">
        <v>134559.80530381785</v>
      </c>
      <c r="DY10" s="547">
        <v>219998.22443559777</v>
      </c>
      <c r="DZ10" s="16">
        <v>121179.36066456191</v>
      </c>
      <c r="EA10" s="16">
        <v>135522.96488533981</v>
      </c>
      <c r="EB10" s="16">
        <v>115301.08651021647</v>
      </c>
      <c r="EC10" s="16">
        <v>138343.64884233981</v>
      </c>
      <c r="ED10" s="16">
        <v>104276.51126984632</v>
      </c>
      <c r="EE10" s="16">
        <v>111100.763304587</v>
      </c>
      <c r="EF10" s="16">
        <v>135028.19628601999</v>
      </c>
      <c r="EG10" s="16">
        <v>124028.09128596245</v>
      </c>
      <c r="EH10" s="16">
        <v>159465.667892264</v>
      </c>
      <c r="EI10" s="16">
        <v>116480.37428563327</v>
      </c>
      <c r="EJ10" s="16">
        <v>146149.99376146897</v>
      </c>
      <c r="EK10" s="16">
        <v>208231.04351517808</v>
      </c>
      <c r="EL10" s="16">
        <v>124658.72063117792</v>
      </c>
      <c r="EM10" s="16">
        <v>133202.45744969559</v>
      </c>
      <c r="EN10" s="16">
        <v>154869.23946014841</v>
      </c>
      <c r="EO10" s="16">
        <v>183304.35523873646</v>
      </c>
      <c r="EP10" s="16">
        <v>127767.03690258754</v>
      </c>
      <c r="EQ10" s="16">
        <v>102699.55730810127</v>
      </c>
      <c r="ER10" s="16">
        <v>112158.6343256954</v>
      </c>
      <c r="ES10" s="16">
        <v>128419.13916514401</v>
      </c>
      <c r="ET10" s="16">
        <v>149872.11772718746</v>
      </c>
      <c r="EU10" s="16">
        <v>132883.22620376505</v>
      </c>
      <c r="EV10" s="16">
        <v>160801.77614372675</v>
      </c>
      <c r="EW10" s="16">
        <v>142326.47167455673</v>
      </c>
      <c r="EX10" s="16">
        <v>150188.55633998799</v>
      </c>
      <c r="EY10" s="16">
        <v>125467.55136169966</v>
      </c>
      <c r="EZ10" s="16">
        <v>123347.69845163127</v>
      </c>
      <c r="FA10" s="16">
        <v>133927.92606242743</v>
      </c>
      <c r="FB10" s="16">
        <v>129671.19964522397</v>
      </c>
      <c r="FC10" s="16">
        <v>143273.6376405734</v>
      </c>
      <c r="FD10" s="16">
        <v>159021.78260808112</v>
      </c>
      <c r="FE10" s="16">
        <v>172412.61800228059</v>
      </c>
      <c r="FF10" s="16">
        <v>194111.17041907529</v>
      </c>
      <c r="FG10" s="16">
        <v>173698.10413318657</v>
      </c>
      <c r="FH10" s="16">
        <v>177777.09238580795</v>
      </c>
      <c r="FI10" s="16">
        <v>173004.22863725622</v>
      </c>
      <c r="FJ10" s="16">
        <v>162529.93631246904</v>
      </c>
      <c r="FK10" s="742">
        <v>176515.79721643784</v>
      </c>
      <c r="FL10" s="16"/>
      <c r="FM10" s="16"/>
      <c r="FN10" s="12"/>
      <c r="FO10" s="16">
        <f t="shared" si="3"/>
        <v>13985.860903968802</v>
      </c>
      <c r="FP10" s="16"/>
      <c r="FQ10" s="16"/>
      <c r="FR10" s="16"/>
      <c r="FS10" s="16">
        <f t="shared" si="13"/>
        <v>176515.79721643784</v>
      </c>
      <c r="FT10" s="16">
        <f>SUM($FJ10:FK10)</f>
        <v>339045.73352890689</v>
      </c>
      <c r="FU10" s="16"/>
      <c r="FV10" s="16"/>
    </row>
    <row r="11" spans="1:178" s="13" customFormat="1" hidden="1" outlineLevel="1" x14ac:dyDescent="0.35">
      <c r="E11" s="14" t="s">
        <v>91</v>
      </c>
      <c r="F11" s="18"/>
      <c r="G11" s="18"/>
      <c r="H11" s="18">
        <f>SUM(V11:Y11)</f>
        <v>0</v>
      </c>
      <c r="I11" s="18"/>
      <c r="J11" s="18"/>
      <c r="K11" s="18"/>
      <c r="L11" s="11">
        <f>SUM(AL11:AO11)</f>
        <v>937577.31232442043</v>
      </c>
      <c r="M11" s="11">
        <f t="shared" ca="1" si="19"/>
        <v>581736.06594624685</v>
      </c>
      <c r="N11" s="11">
        <f t="shared" ca="1" si="4"/>
        <v>821325.35265647317</v>
      </c>
      <c r="O11" s="11">
        <f t="shared" si="14"/>
        <v>802927.43929233542</v>
      </c>
      <c r="P11" s="11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>
        <f t="shared" si="0"/>
        <v>279239.1710329522</v>
      </c>
      <c r="AK11" s="16">
        <f t="shared" si="5"/>
        <v>215711.04519492137</v>
      </c>
      <c r="AL11" s="16">
        <f t="shared" si="6"/>
        <v>170534.0381108443</v>
      </c>
      <c r="AM11" s="16">
        <f t="shared" si="7"/>
        <v>279448.86066086148</v>
      </c>
      <c r="AN11" s="16">
        <f t="shared" si="8"/>
        <v>237844.27833508549</v>
      </c>
      <c r="AO11" s="16">
        <f t="shared" si="9"/>
        <v>249750.13521762917</v>
      </c>
      <c r="AP11" s="16">
        <f t="shared" si="10"/>
        <v>115763.70356336934</v>
      </c>
      <c r="AQ11" s="16">
        <f t="shared" ca="1" si="1"/>
        <v>118022.65806235909</v>
      </c>
      <c r="AR11" s="16">
        <f t="shared" ca="1" si="1"/>
        <v>229393.17670815683</v>
      </c>
      <c r="AS11" s="16">
        <f t="shared" ca="1" si="1"/>
        <v>118556.52761236159</v>
      </c>
      <c r="AT11" s="16">
        <f t="shared" si="11"/>
        <v>209862.29715792005</v>
      </c>
      <c r="AU11" s="16">
        <f t="shared" ca="1" si="2"/>
        <v>171081.41035377982</v>
      </c>
      <c r="AV11" s="16">
        <f t="shared" ca="1" si="2"/>
        <v>222837.80033533971</v>
      </c>
      <c r="AW11" s="16">
        <f t="shared" ca="1" si="2"/>
        <v>217543.84480943359</v>
      </c>
      <c r="AX11" s="16">
        <f t="shared" si="15"/>
        <v>168953.57419664218</v>
      </c>
      <c r="AY11" s="16">
        <f t="shared" si="12"/>
        <v>224202.27325070789</v>
      </c>
      <c r="AZ11" s="16">
        <f t="shared" si="16"/>
        <v>152728.45008401817</v>
      </c>
      <c r="BA11" s="16">
        <f t="shared" si="17"/>
        <v>257043.14176096726</v>
      </c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>
        <v>23288.999999999993</v>
      </c>
      <c r="CE11" s="16">
        <v>27280.000000000004</v>
      </c>
      <c r="CF11" s="16">
        <v>9861</v>
      </c>
      <c r="CG11" s="16">
        <v>49636.538461538454</v>
      </c>
      <c r="CH11" s="16">
        <v>42450.076923076922</v>
      </c>
      <c r="CI11" s="16">
        <v>35674.000000000007</v>
      </c>
      <c r="CJ11" s="16">
        <v>34793.705882352944</v>
      </c>
      <c r="CK11" s="16">
        <v>15896.611570247933</v>
      </c>
      <c r="CL11" s="16">
        <v>7795.9174189566038</v>
      </c>
      <c r="CM11" s="16">
        <v>14304.999999999995</v>
      </c>
      <c r="CN11" s="16">
        <v>50115</v>
      </c>
      <c r="CO11" s="16">
        <v>35601.999999999993</v>
      </c>
      <c r="CP11" s="16">
        <v>17402.333333333339</v>
      </c>
      <c r="CQ11" s="16">
        <v>30416.102564102577</v>
      </c>
      <c r="CR11" s="16">
        <v>14232.000000000004</v>
      </c>
      <c r="CS11" s="16">
        <v>43714.434782608696</v>
      </c>
      <c r="CT11" s="16">
        <v>14430.76539589443</v>
      </c>
      <c r="CU11" s="16">
        <v>14993.348973607039</v>
      </c>
      <c r="CV11" s="16">
        <v>10207.669451965361</v>
      </c>
      <c r="CW11" s="16">
        <v>12104.248973156262</v>
      </c>
      <c r="CX11" s="16">
        <v>42512.312249712391</v>
      </c>
      <c r="CY11" s="16">
        <v>31461.705729701425</v>
      </c>
      <c r="CZ11" s="16">
        <v>48191.38493214608</v>
      </c>
      <c r="DA11" s="16">
        <v>23794.565401762808</v>
      </c>
      <c r="DB11" s="16">
        <v>33359.073719412278</v>
      </c>
      <c r="DC11" s="16">
        <v>20369.051554579437</v>
      </c>
      <c r="DD11" s="16">
        <v>48529.664780079525</v>
      </c>
      <c r="DE11" s="16">
        <v>105305.01160469846</v>
      </c>
      <c r="DF11" s="16">
        <v>54637.384542411717</v>
      </c>
      <c r="DG11" s="16">
        <v>91605.606956828633</v>
      </c>
      <c r="DH11" s="16">
        <v>74803.470166848856</v>
      </c>
      <c r="DI11" s="16">
        <v>85052.697558585976</v>
      </c>
      <c r="DJ11" s="16">
        <v>119383.00330751739</v>
      </c>
      <c r="DK11" s="16">
        <v>128326.36352085641</v>
      </c>
      <c r="DL11" s="16">
        <v>87097.779619003602</v>
      </c>
      <c r="DM11" s="16">
        <v>286.90205506135408</v>
      </c>
      <c r="DN11" s="16">
        <v>64659.562985365512</v>
      </c>
      <c r="DO11" s="16">
        <v>43112.054295352173</v>
      </c>
      <c r="DP11" s="16">
        <v>62762.420830126619</v>
      </c>
      <c r="DQ11" s="16">
        <v>100642.12</v>
      </c>
      <c r="DR11" s="16">
        <v>81576.157130254811</v>
      </c>
      <c r="DS11" s="16">
        <v>97230.583530606687</v>
      </c>
      <c r="DT11" s="16">
        <v>92647.184110487957</v>
      </c>
      <c r="DU11" s="16">
        <v>60616.364224597535</v>
      </c>
      <c r="DV11" s="16">
        <v>84580.73</v>
      </c>
      <c r="DW11" s="16">
        <v>44432.29</v>
      </c>
      <c r="DX11" s="16">
        <v>158784.29875485005</v>
      </c>
      <c r="DY11" s="547">
        <v>46533.546462779108</v>
      </c>
      <c r="DZ11" s="16">
        <v>16195.721135250158</v>
      </c>
      <c r="EA11" s="16">
        <v>22588.915855641721</v>
      </c>
      <c r="EB11" s="16">
        <v>76979.066572477474</v>
      </c>
      <c r="EC11" s="16">
        <v>39040.244894095587</v>
      </c>
      <c r="ED11" s="16">
        <v>21269.584909686895</v>
      </c>
      <c r="EE11" s="16">
        <v>57712.828258576599</v>
      </c>
      <c r="EF11" s="16">
        <v>96567.481808538199</v>
      </c>
      <c r="EG11" s="16">
        <v>73396.967663876421</v>
      </c>
      <c r="EH11" s="16">
        <v>59428.727235742204</v>
      </c>
      <c r="EI11" s="16">
        <v>47781.627684941443</v>
      </c>
      <c r="EJ11" s="16">
        <v>37356.637680229702</v>
      </c>
      <c r="EK11" s="16">
        <v>33418.26224719044</v>
      </c>
      <c r="EL11" s="16">
        <v>27919.987930176056</v>
      </c>
      <c r="EM11" s="16">
        <v>74067.918954697816</v>
      </c>
      <c r="EN11" s="16">
        <v>107874.39027304619</v>
      </c>
      <c r="EO11" s="16">
        <v>46017.344924422447</v>
      </c>
      <c r="EP11" s="16">
        <v>64850.202178373998</v>
      </c>
      <c r="EQ11" s="16">
        <v>60213.863250983391</v>
      </c>
      <c r="ER11" s="16">
        <v>65770.980538572665</v>
      </c>
      <c r="ES11" s="16">
        <v>83570.394117502859</v>
      </c>
      <c r="ET11" s="16">
        <v>73496.425679264183</v>
      </c>
      <c r="EU11" s="16">
        <v>124709.56999300391</v>
      </c>
      <c r="EV11" s="16">
        <v>51718.627101827646</v>
      </c>
      <c r="EW11" s="16">
        <v>41115.647714602041</v>
      </c>
      <c r="EX11" s="16">
        <v>48944.891566363018</v>
      </c>
      <c r="EY11" s="16">
        <v>91540.352586167093</v>
      </c>
      <c r="EZ11" s="16">
        <v>28468.330044112085</v>
      </c>
      <c r="FA11" s="16">
        <v>95899.364497334493</v>
      </c>
      <c r="FB11" s="16">
        <v>43342.372016033602</v>
      </c>
      <c r="FC11" s="16">
        <v>84960.536737339789</v>
      </c>
      <c r="FD11" s="16">
        <v>23607.710681057386</v>
      </c>
      <c r="FE11" s="16">
        <v>41277.142770165694</v>
      </c>
      <c r="FF11" s="16">
        <v>87843.596632795103</v>
      </c>
      <c r="FG11" s="16">
        <v>86884.4639365927</v>
      </c>
      <c r="FH11" s="16">
        <v>50115.492377984403</v>
      </c>
      <c r="FI11" s="16">
        <v>120043.18544639015</v>
      </c>
      <c r="FJ11" s="16">
        <v>78640.17402368359</v>
      </c>
      <c r="FK11" s="742">
        <v>34327.932308392199</v>
      </c>
      <c r="FL11" s="16"/>
      <c r="FM11" s="16"/>
      <c r="FN11" s="12"/>
      <c r="FO11" s="16">
        <f t="shared" si="3"/>
        <v>-44312.241715291391</v>
      </c>
      <c r="FP11" s="16"/>
      <c r="FQ11" s="16"/>
      <c r="FR11" s="16"/>
      <c r="FS11" s="16">
        <f t="shared" si="13"/>
        <v>34327.932308392199</v>
      </c>
      <c r="FT11" s="16">
        <f>SUM($FJ11:FK11)</f>
        <v>112968.10633207578</v>
      </c>
      <c r="FU11" s="16"/>
      <c r="FV11" s="16"/>
    </row>
    <row r="12" spans="1:178" ht="12.75" hidden="1" customHeight="1" outlineLevel="1" x14ac:dyDescent="0.35">
      <c r="E12" s="14" t="s">
        <v>92</v>
      </c>
      <c r="F12" s="19"/>
      <c r="G12" s="19"/>
      <c r="H12" s="19"/>
      <c r="I12" s="19"/>
      <c r="J12" s="19"/>
      <c r="K12" s="19"/>
      <c r="L12" s="11">
        <f t="shared" si="18"/>
        <v>0</v>
      </c>
      <c r="M12" s="11">
        <f t="shared" ca="1" si="19"/>
        <v>42214.700649164923</v>
      </c>
      <c r="N12" s="11">
        <f t="shared" ca="1" si="4"/>
        <v>80939.470003578041</v>
      </c>
      <c r="O12" s="11">
        <f t="shared" si="14"/>
        <v>5800</v>
      </c>
      <c r="P12" s="11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12">
        <f>SUM(CG12:CI12)</f>
        <v>0</v>
      </c>
      <c r="AB12" s="20"/>
      <c r="AC12" s="20"/>
      <c r="AD12" s="20"/>
      <c r="AE12" s="20"/>
      <c r="AF12" s="20"/>
      <c r="AG12" s="20"/>
      <c r="AH12" s="20"/>
      <c r="AI12" s="20"/>
      <c r="AJ12" s="16">
        <f t="shared" si="0"/>
        <v>0</v>
      </c>
      <c r="AK12" s="16">
        <f t="shared" si="5"/>
        <v>0</v>
      </c>
      <c r="AL12" s="16">
        <f t="shared" si="6"/>
        <v>0</v>
      </c>
      <c r="AM12" s="16">
        <f t="shared" si="7"/>
        <v>0</v>
      </c>
      <c r="AN12" s="16">
        <f t="shared" si="8"/>
        <v>0</v>
      </c>
      <c r="AO12" s="16">
        <f t="shared" si="9"/>
        <v>0</v>
      </c>
      <c r="AP12" s="16">
        <f t="shared" si="10"/>
        <v>0</v>
      </c>
      <c r="AQ12" s="16">
        <f t="shared" ca="1" si="1"/>
        <v>6856.67182062352</v>
      </c>
      <c r="AR12" s="16">
        <f t="shared" ca="1" si="1"/>
        <v>20519.792735698502</v>
      </c>
      <c r="AS12" s="16">
        <f t="shared" ca="1" si="1"/>
        <v>14838.236092842897</v>
      </c>
      <c r="AT12" s="16">
        <f t="shared" si="11"/>
        <v>23578.326117531971</v>
      </c>
      <c r="AU12" s="16">
        <f t="shared" ca="1" si="2"/>
        <v>22722.131727681048</v>
      </c>
      <c r="AV12" s="16">
        <f t="shared" ca="1" si="2"/>
        <v>14887.358233464203</v>
      </c>
      <c r="AW12" s="16">
        <f t="shared" ca="1" si="2"/>
        <v>19751.653924900813</v>
      </c>
      <c r="AX12" s="16">
        <f t="shared" si="15"/>
        <v>3000</v>
      </c>
      <c r="AY12" s="16">
        <f t="shared" si="12"/>
        <v>1600</v>
      </c>
      <c r="AZ12" s="16">
        <f t="shared" si="16"/>
        <v>0</v>
      </c>
      <c r="BA12" s="16">
        <f t="shared" si="17"/>
        <v>1200</v>
      </c>
      <c r="BB12" s="16"/>
      <c r="BC12" s="16"/>
      <c r="BD12" s="16"/>
      <c r="BE12" s="16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16">
        <f>$V12/3</f>
        <v>0</v>
      </c>
      <c r="BS12" s="16">
        <f>$V12/3</f>
        <v>0</v>
      </c>
      <c r="BT12" s="16">
        <f>$V12/3</f>
        <v>0</v>
      </c>
      <c r="BU12" s="16">
        <f>$W12/3</f>
        <v>0</v>
      </c>
      <c r="BV12" s="16">
        <f>$W12/3</f>
        <v>0</v>
      </c>
      <c r="BW12" s="16">
        <f>$W12/3</f>
        <v>0</v>
      </c>
      <c r="BX12" s="16">
        <f>$X12/3</f>
        <v>0</v>
      </c>
      <c r="BY12" s="16">
        <f>$X12/3</f>
        <v>0</v>
      </c>
      <c r="BZ12" s="16">
        <f>$X12/3</f>
        <v>0</v>
      </c>
      <c r="CA12" s="16">
        <f>$Y12/3</f>
        <v>0</v>
      </c>
      <c r="CB12" s="16">
        <f>$Y12/3</f>
        <v>0</v>
      </c>
      <c r="CC12" s="16">
        <f>$Y12/3</f>
        <v>0</v>
      </c>
      <c r="CD12" s="16">
        <f>$Y12/3</f>
        <v>0</v>
      </c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92"/>
      <c r="ED12" s="54"/>
      <c r="EE12" s="16">
        <v>6856.67182062352</v>
      </c>
      <c r="EF12" s="16">
        <v>6746.3506302712804</v>
      </c>
      <c r="EG12" s="16">
        <v>6820.4389551784734</v>
      </c>
      <c r="EH12" s="16">
        <v>6953.0031502487454</v>
      </c>
      <c r="EI12" s="16">
        <v>5024.3568522320184</v>
      </c>
      <c r="EJ12" s="16">
        <v>4949.5379091779141</v>
      </c>
      <c r="EK12" s="16">
        <v>4864.3413314329646</v>
      </c>
      <c r="EL12" s="16">
        <v>7851.791112334653</v>
      </c>
      <c r="EM12" s="16">
        <v>7873.6905636289575</v>
      </c>
      <c r="EN12" s="16">
        <v>7852.8444415683589</v>
      </c>
      <c r="EO12" s="16">
        <v>7911.7827767531689</v>
      </c>
      <c r="EP12" s="16">
        <v>7875.404220261893</v>
      </c>
      <c r="EQ12" s="16">
        <v>6934.9447306659849</v>
      </c>
      <c r="ER12" s="16">
        <v>6887.3582334642033</v>
      </c>
      <c r="ES12" s="16">
        <v>4000</v>
      </c>
      <c r="ET12" s="16">
        <v>4000</v>
      </c>
      <c r="EU12" s="16">
        <v>7829.1538387224446</v>
      </c>
      <c r="EV12" s="16">
        <v>7922.5000861783701</v>
      </c>
      <c r="EW12" s="16">
        <v>4000</v>
      </c>
      <c r="EX12" s="16">
        <v>1000</v>
      </c>
      <c r="EY12" s="16">
        <v>1000</v>
      </c>
      <c r="EZ12" s="16">
        <v>1000</v>
      </c>
      <c r="FA12" s="16">
        <v>1300</v>
      </c>
      <c r="FB12" s="16">
        <v>300</v>
      </c>
      <c r="FC12" s="16">
        <v>0</v>
      </c>
      <c r="FD12" s="16">
        <v>0</v>
      </c>
      <c r="FE12" s="16">
        <v>0</v>
      </c>
      <c r="FF12" s="16">
        <v>0</v>
      </c>
      <c r="FG12" s="16">
        <v>1200</v>
      </c>
      <c r="FH12" s="16">
        <v>0</v>
      </c>
      <c r="FI12" s="16">
        <v>0</v>
      </c>
      <c r="FJ12" s="16">
        <v>0</v>
      </c>
      <c r="FK12" s="742">
        <v>0</v>
      </c>
      <c r="FL12" s="16"/>
      <c r="FM12" s="16"/>
      <c r="FN12" s="12"/>
      <c r="FO12" s="16">
        <f t="shared" si="3"/>
        <v>0</v>
      </c>
      <c r="FP12" s="16"/>
      <c r="FQ12" s="16"/>
      <c r="FR12" s="16"/>
      <c r="FS12" s="16">
        <f t="shared" si="13"/>
        <v>0</v>
      </c>
      <c r="FT12" s="16">
        <f>SUM($FJ12:FK12)</f>
        <v>0</v>
      </c>
      <c r="FU12" s="16"/>
      <c r="FV12" s="16"/>
    </row>
    <row r="13" spans="1:178" collapsed="1" x14ac:dyDescent="0.35">
      <c r="E13" s="10" t="s">
        <v>10</v>
      </c>
      <c r="F13" s="11">
        <v>3463000</v>
      </c>
      <c r="G13" s="11">
        <f>SUM(R13:U13)</f>
        <v>2366877</v>
      </c>
      <c r="H13" s="11">
        <f>SUM(V13:Y13)</f>
        <v>988091</v>
      </c>
      <c r="I13" s="11">
        <f>SUM(Z13:AC13)</f>
        <v>1242439</v>
      </c>
      <c r="J13" s="11">
        <f>SUM(AD13:AG13)</f>
        <v>1617692.8599999999</v>
      </c>
      <c r="K13" s="11">
        <f>SUM(AH13:AK13)</f>
        <v>1112186.55</v>
      </c>
      <c r="L13" s="11">
        <f t="shared" si="18"/>
        <v>1417113.5103428841</v>
      </c>
      <c r="M13" s="11">
        <f t="shared" ca="1" si="19"/>
        <v>1100085.5993730188</v>
      </c>
      <c r="N13" s="11">
        <f t="shared" ca="1" si="4"/>
        <v>762730.39223295159</v>
      </c>
      <c r="O13" s="11">
        <f>SUM(AX13:BA13)</f>
        <v>1154651.5043932523</v>
      </c>
      <c r="P13" s="11">
        <f t="shared" ref="P13:P32" si="20">FJ13</f>
        <v>35492.031354356201</v>
      </c>
      <c r="Q13" s="12"/>
      <c r="R13" s="12">
        <f>SUM(BF13:BH13)</f>
        <v>743655</v>
      </c>
      <c r="S13" s="12">
        <f>SUM(BI13:BK13)</f>
        <v>371572</v>
      </c>
      <c r="T13" s="12">
        <f>SUM(BL13:BN13)</f>
        <v>373641</v>
      </c>
      <c r="U13" s="12">
        <f>SUM(BO13:BQ13)</f>
        <v>878009</v>
      </c>
      <c r="V13" s="12">
        <f>SUM(BR13:BT13)</f>
        <v>128748</v>
      </c>
      <c r="W13" s="12">
        <f>SUM(BU13:BW13)</f>
        <v>240084</v>
      </c>
      <c r="X13" s="12">
        <f>SUM(BX13:BZ13)</f>
        <v>199978</v>
      </c>
      <c r="Y13" s="12">
        <f>SUM(CA13:CC13)</f>
        <v>419281</v>
      </c>
      <c r="Z13" s="12">
        <f>SUM(CD13:CF13)</f>
        <v>276645</v>
      </c>
      <c r="AA13" s="12">
        <f>SUM(CG13:CI13)</f>
        <v>297568</v>
      </c>
      <c r="AB13" s="12">
        <f>SUM(CJ13:CL13)</f>
        <v>366985</v>
      </c>
      <c r="AC13" s="12">
        <f>SUM(CM13:CO13)</f>
        <v>301241</v>
      </c>
      <c r="AD13" s="12">
        <f>SUM(CP13:CR13)</f>
        <v>457553</v>
      </c>
      <c r="AE13" s="12">
        <f>SUM(CS13:CU13)</f>
        <v>690431</v>
      </c>
      <c r="AF13" s="12">
        <f>SUM(CV13:CX13)</f>
        <v>259512.27999999997</v>
      </c>
      <c r="AG13" s="12">
        <f>SUM(CY13:DA13)</f>
        <v>210196.57999999996</v>
      </c>
      <c r="AH13" s="12">
        <f>SUM(DB13:DD13)</f>
        <v>232662.11</v>
      </c>
      <c r="AI13" s="12">
        <f>SUM(DE13:DG13)</f>
        <v>309222.63</v>
      </c>
      <c r="AJ13" s="12">
        <f t="shared" si="0"/>
        <v>413104.04</v>
      </c>
      <c r="AK13" s="12">
        <f t="shared" si="5"/>
        <v>157197.77000000002</v>
      </c>
      <c r="AL13" s="12">
        <f>SUM(DN13:DP13)</f>
        <v>241145.52</v>
      </c>
      <c r="AM13" s="12">
        <f>SUM(DQ13:DS13)</f>
        <v>313656.01</v>
      </c>
      <c r="AN13" s="12">
        <f>SUM(DT13:DV13)</f>
        <v>478260.90034288395</v>
      </c>
      <c r="AO13" s="12">
        <f t="shared" si="9"/>
        <v>384051.08</v>
      </c>
      <c r="AP13" s="12">
        <f t="shared" si="10"/>
        <v>208481.71</v>
      </c>
      <c r="AQ13" s="12">
        <f t="shared" ca="1" si="1"/>
        <v>285083.34000000003</v>
      </c>
      <c r="AR13" s="12">
        <f t="shared" ca="1" si="1"/>
        <v>226270.68940136509</v>
      </c>
      <c r="AS13" s="12">
        <f t="shared" ca="1" si="1"/>
        <v>380249.85997165367</v>
      </c>
      <c r="AT13" s="12">
        <f t="shared" si="11"/>
        <v>241769.57199314778</v>
      </c>
      <c r="AU13" s="12">
        <f t="shared" ca="1" si="2"/>
        <v>270294.93932399573</v>
      </c>
      <c r="AV13" s="12">
        <f t="shared" ca="1" si="2"/>
        <v>111667.39394497257</v>
      </c>
      <c r="AW13" s="12">
        <f t="shared" ca="1" si="2"/>
        <v>138998.48697083545</v>
      </c>
      <c r="AX13" s="12">
        <f>SUM(EX13:EZ13)</f>
        <v>185596.4903573895</v>
      </c>
      <c r="AY13" s="12">
        <f>SUM(FA13:FC13)</f>
        <v>241618.8522300327</v>
      </c>
      <c r="AZ13" s="12">
        <f>SUM(FD13:FF13)</f>
        <v>579986.69903463032</v>
      </c>
      <c r="BA13" s="12">
        <f>SUM(FG13:FI13)</f>
        <v>147449.46277119976</v>
      </c>
      <c r="BB13" s="12">
        <f>SUM(FJ13:FL13)</f>
        <v>41459.95414777103</v>
      </c>
      <c r="BC13" s="12"/>
      <c r="BD13" s="12"/>
      <c r="BE13" s="12"/>
      <c r="BF13" s="12">
        <v>654126</v>
      </c>
      <c r="BG13" s="12">
        <v>11580</v>
      </c>
      <c r="BH13" s="12">
        <v>77949</v>
      </c>
      <c r="BI13" s="12">
        <v>57451</v>
      </c>
      <c r="BJ13" s="12">
        <v>255545</v>
      </c>
      <c r="BK13" s="12">
        <v>58576</v>
      </c>
      <c r="BL13" s="12">
        <v>57120</v>
      </c>
      <c r="BM13" s="12">
        <v>138179</v>
      </c>
      <c r="BN13" s="12">
        <v>178342</v>
      </c>
      <c r="BO13" s="12">
        <v>665930</v>
      </c>
      <c r="BP13" s="12">
        <v>146843</v>
      </c>
      <c r="BQ13" s="12">
        <v>65236</v>
      </c>
      <c r="BR13" s="12">
        <v>9430</v>
      </c>
      <c r="BS13" s="12">
        <v>48105</v>
      </c>
      <c r="BT13" s="12">
        <v>71213</v>
      </c>
      <c r="BU13" s="12">
        <v>157072</v>
      </c>
      <c r="BV13" s="12">
        <v>48958</v>
      </c>
      <c r="BW13" s="12">
        <v>34054</v>
      </c>
      <c r="BX13" s="12">
        <v>140299</v>
      </c>
      <c r="BY13" s="12">
        <v>20342</v>
      </c>
      <c r="BZ13" s="12">
        <v>39337</v>
      </c>
      <c r="CA13" s="12">
        <v>128471</v>
      </c>
      <c r="CB13" s="12">
        <v>16346</v>
      </c>
      <c r="CC13" s="12">
        <v>274464</v>
      </c>
      <c r="CD13" s="12">
        <v>129508</v>
      </c>
      <c r="CE13" s="12">
        <v>13152</v>
      </c>
      <c r="CF13" s="12">
        <v>133985</v>
      </c>
      <c r="CG13" s="12">
        <v>264786</v>
      </c>
      <c r="CH13" s="12">
        <v>18236</v>
      </c>
      <c r="CI13" s="12">
        <v>14546</v>
      </c>
      <c r="CJ13" s="12">
        <v>93059</v>
      </c>
      <c r="CK13" s="12">
        <v>68613</v>
      </c>
      <c r="CL13" s="12">
        <v>205313</v>
      </c>
      <c r="CM13" s="12">
        <v>62214</v>
      </c>
      <c r="CN13" s="12">
        <v>133730</v>
      </c>
      <c r="CO13" s="12">
        <v>105297</v>
      </c>
      <c r="CP13" s="12">
        <v>303450</v>
      </c>
      <c r="CQ13" s="12">
        <v>32485</v>
      </c>
      <c r="CR13" s="12">
        <v>121618</v>
      </c>
      <c r="CS13" s="12">
        <v>116168</v>
      </c>
      <c r="CT13" s="12">
        <v>330962</v>
      </c>
      <c r="CU13" s="12">
        <v>243301</v>
      </c>
      <c r="CV13" s="12">
        <v>27193</v>
      </c>
      <c r="CW13" s="12">
        <v>2790.5</v>
      </c>
      <c r="CX13" s="12">
        <v>229528.77999999997</v>
      </c>
      <c r="CY13" s="12">
        <v>150115.16999999998</v>
      </c>
      <c r="CZ13" s="12">
        <f>30356.92-0.09</f>
        <v>30356.829999999998</v>
      </c>
      <c r="DA13" s="12">
        <v>29724.58</v>
      </c>
      <c r="DB13" s="12">
        <v>183477.43</v>
      </c>
      <c r="DC13" s="12">
        <f>35596.47-0.09</f>
        <v>35596.380000000005</v>
      </c>
      <c r="DD13" s="12">
        <v>13588.3</v>
      </c>
      <c r="DE13" s="12">
        <v>12172.140000000001</v>
      </c>
      <c r="DF13" s="12">
        <v>27121.33</v>
      </c>
      <c r="DG13" s="12">
        <v>269929.16000000003</v>
      </c>
      <c r="DH13" s="12">
        <v>244135.2</v>
      </c>
      <c r="DI13" s="12">
        <v>128273.84999999999</v>
      </c>
      <c r="DJ13" s="12">
        <v>40694.989999999991</v>
      </c>
      <c r="DK13" s="12">
        <v>27195.899999999998</v>
      </c>
      <c r="DL13" s="12">
        <v>24129.559999999998</v>
      </c>
      <c r="DM13" s="12">
        <v>105872.31000000001</v>
      </c>
      <c r="DN13" s="12">
        <v>35574.360000000008</v>
      </c>
      <c r="DO13" s="12">
        <v>14132.3</v>
      </c>
      <c r="DP13" s="12">
        <v>191438.86</v>
      </c>
      <c r="DQ13" s="12">
        <v>138850.63</v>
      </c>
      <c r="DR13" s="12">
        <v>162944.53</v>
      </c>
      <c r="DS13" s="12">
        <v>11860.850000000002</v>
      </c>
      <c r="DT13" s="12">
        <v>25840.52</v>
      </c>
      <c r="DU13" s="12">
        <v>147417.40034288398</v>
      </c>
      <c r="DV13" s="12">
        <v>305002.98</v>
      </c>
      <c r="DW13" s="12">
        <v>14502.12</v>
      </c>
      <c r="DX13" s="12">
        <v>50499</v>
      </c>
      <c r="DY13" s="511">
        <v>319049.96000000002</v>
      </c>
      <c r="DZ13" s="12">
        <v>23688.560000000001</v>
      </c>
      <c r="EA13" s="12">
        <v>5833.56</v>
      </c>
      <c r="EB13" s="12">
        <v>178959.59</v>
      </c>
      <c r="EC13" s="12">
        <v>63193.340000000004</v>
      </c>
      <c r="ED13" s="12">
        <v>64965.840000000004</v>
      </c>
      <c r="EE13" s="12">
        <v>156924.16</v>
      </c>
      <c r="EF13" s="12">
        <v>132446.08632946899</v>
      </c>
      <c r="EG13" s="12">
        <v>81073.888383301295</v>
      </c>
      <c r="EH13" s="12">
        <v>12750.71468859481</v>
      </c>
      <c r="EI13" s="12">
        <v>152529.23079883761</v>
      </c>
      <c r="EJ13" s="12">
        <v>126874.81</v>
      </c>
      <c r="EK13" s="511">
        <v>100845.81917281603</v>
      </c>
      <c r="EL13" s="511">
        <v>18673.03346852729</v>
      </c>
      <c r="EM13" s="511">
        <v>44687.518270776447</v>
      </c>
      <c r="EN13" s="511">
        <v>178409.02025384404</v>
      </c>
      <c r="EO13" s="511">
        <v>16172.263638094284</v>
      </c>
      <c r="EP13" s="511">
        <v>116334.87117723575</v>
      </c>
      <c r="EQ13" s="511">
        <v>137787.80450866566</v>
      </c>
      <c r="ER13" s="12">
        <v>26635.97989926493</v>
      </c>
      <c r="ES13" s="12">
        <v>66614.784243940914</v>
      </c>
      <c r="ET13" s="12">
        <v>18416.629801766729</v>
      </c>
      <c r="EU13" s="12">
        <v>33514.746511020858</v>
      </c>
      <c r="EV13" s="12">
        <v>98079.36045981459</v>
      </c>
      <c r="EW13" s="12">
        <v>7404.38</v>
      </c>
      <c r="EX13" s="12">
        <v>5699.8504705578835</v>
      </c>
      <c r="EY13" s="12">
        <v>171809.87969621865</v>
      </c>
      <c r="EZ13" s="12">
        <v>8086.7601906129703</v>
      </c>
      <c r="FA13" s="12">
        <v>54512.492339246404</v>
      </c>
      <c r="FB13" s="12">
        <v>176384.01737645015</v>
      </c>
      <c r="FC13" s="12">
        <v>10722.342514336144</v>
      </c>
      <c r="FD13" s="12">
        <v>194362.89863010039</v>
      </c>
      <c r="FE13" s="12">
        <v>140511.82507441723</v>
      </c>
      <c r="FF13" s="12">
        <v>245111.97533011273</v>
      </c>
      <c r="FG13" s="12">
        <v>22686.994839101455</v>
      </c>
      <c r="FH13" s="12">
        <v>5096.3656600826353</v>
      </c>
      <c r="FI13" s="12">
        <v>119666.10227201568</v>
      </c>
      <c r="FJ13" s="12">
        <v>35492.031354356201</v>
      </c>
      <c r="FK13" s="741">
        <v>5967.9227934148321</v>
      </c>
      <c r="FL13" s="12"/>
      <c r="FM13" s="12"/>
      <c r="FN13" s="12">
        <f>'Financial plan'!EZ18</f>
        <v>94532.828282828283</v>
      </c>
      <c r="FO13" s="12">
        <f t="shared" si="3"/>
        <v>-29524.108560941368</v>
      </c>
      <c r="FP13" s="12">
        <f t="shared" ref="FP13:FP25" si="21">FK13-FN13</f>
        <v>-88564.905489413446</v>
      </c>
      <c r="FQ13" s="12" t="e">
        <f>FL13-#REF!</f>
        <v>#REF!</v>
      </c>
      <c r="FR13" s="12">
        <f t="shared" ref="FR13:FR25" si="22">FM13-FO13</f>
        <v>29524.108560941368</v>
      </c>
      <c r="FS13" s="12">
        <f t="shared" si="13"/>
        <v>-88564.905489413446</v>
      </c>
      <c r="FT13" s="12">
        <f>SUM($FJ13:FK13)</f>
        <v>41459.95414777103</v>
      </c>
      <c r="FU13" s="12">
        <f>SUM('Financial plan'!$EY18:EZ18)</f>
        <v>189065.65656565657</v>
      </c>
      <c r="FV13" s="12">
        <f t="shared" ref="FV13:FV14" si="23">FT13-FU13</f>
        <v>-147605.70241788554</v>
      </c>
    </row>
    <row r="14" spans="1:178" x14ac:dyDescent="0.35">
      <c r="E14" s="10" t="s">
        <v>11</v>
      </c>
      <c r="F14" s="11">
        <v>173000</v>
      </c>
      <c r="G14" s="11">
        <f>SUM(R14:U14)</f>
        <v>151312</v>
      </c>
      <c r="H14" s="11">
        <f>SUM(V14:Y14)</f>
        <v>166181</v>
      </c>
      <c r="I14" s="11">
        <f>SUM(Z14:AC14)</f>
        <v>117066</v>
      </c>
      <c r="J14" s="11">
        <f>SUM(AD14:AG14)</f>
        <v>532586.26</v>
      </c>
      <c r="K14" s="11">
        <f>SUM(AH14:AK14)</f>
        <v>319517.40999999997</v>
      </c>
      <c r="L14" s="11">
        <f>SUM(AL14:AO14)</f>
        <v>537797.18408739241</v>
      </c>
      <c r="M14" s="11">
        <f ca="1">SUM(AP14:AS14)</f>
        <v>749820.45709427679</v>
      </c>
      <c r="N14" s="11">
        <f t="shared" ca="1" si="4"/>
        <v>878350.60176539863</v>
      </c>
      <c r="O14" s="11">
        <f t="shared" ref="O14" si="24">SUM(AX14:BA14)</f>
        <v>852881.86517281621</v>
      </c>
      <c r="P14" s="11">
        <f t="shared" si="20"/>
        <v>17700.494619689402</v>
      </c>
      <c r="Q14" s="12"/>
      <c r="R14" s="12">
        <f>SUM(BF14:BH14)</f>
        <v>42801</v>
      </c>
      <c r="S14" s="12">
        <f>SUM(BI14:BK14)</f>
        <v>52523</v>
      </c>
      <c r="T14" s="12">
        <f>SUM(BL14:BN14)</f>
        <v>45989</v>
      </c>
      <c r="U14" s="12">
        <f>SUM(BO14:BQ14)</f>
        <v>9999</v>
      </c>
      <c r="V14" s="12">
        <f>SUM(BR14:BT14)</f>
        <v>25890</v>
      </c>
      <c r="W14" s="12">
        <f>SUM(BU14:BW14)</f>
        <v>3100</v>
      </c>
      <c r="X14" s="12">
        <f>SUM(BX14:BZ14)</f>
        <v>68820</v>
      </c>
      <c r="Y14" s="12">
        <f>SUM(CA14:CC14)</f>
        <v>68371</v>
      </c>
      <c r="Z14" s="12">
        <f>SUM(CD14:CF14)</f>
        <v>17525</v>
      </c>
      <c r="AA14" s="12">
        <f>SUM(CG14:CI14)</f>
        <v>8596</v>
      </c>
      <c r="AB14" s="12">
        <f>SUM(CJ14:CL14)</f>
        <v>17440</v>
      </c>
      <c r="AC14" s="12">
        <f>SUM(CM14:CO14)</f>
        <v>73505</v>
      </c>
      <c r="AD14" s="12">
        <f>SUM(CP14:CR14)</f>
        <v>72280</v>
      </c>
      <c r="AE14" s="12">
        <f>SUM(CS14:CU14)</f>
        <v>97187</v>
      </c>
      <c r="AF14" s="12">
        <f>SUM(CV14:CX14)</f>
        <v>154889.26</v>
      </c>
      <c r="AG14" s="12">
        <f>SUM(CY14:DA14)</f>
        <v>208230</v>
      </c>
      <c r="AH14" s="12">
        <f>SUM(DB14:DD14)</f>
        <v>101944.35</v>
      </c>
      <c r="AI14" s="12">
        <f>SUM(DE14:DG14)</f>
        <v>98946.47</v>
      </c>
      <c r="AJ14" s="12">
        <f t="shared" si="0"/>
        <v>46289.61</v>
      </c>
      <c r="AK14" s="12">
        <f t="shared" si="5"/>
        <v>72336.98</v>
      </c>
      <c r="AL14" s="12">
        <f t="shared" si="6"/>
        <v>91170.09</v>
      </c>
      <c r="AM14" s="12">
        <f t="shared" si="7"/>
        <v>144447.63</v>
      </c>
      <c r="AN14" s="12">
        <f>SUM(DT14:DV14)</f>
        <v>166988.99408739235</v>
      </c>
      <c r="AO14" s="12">
        <f t="shared" si="9"/>
        <v>135190.47000000009</v>
      </c>
      <c r="AP14" s="12">
        <f t="shared" si="10"/>
        <v>104909.41</v>
      </c>
      <c r="AQ14" s="12">
        <f t="shared" ca="1" si="1"/>
        <v>131801.87</v>
      </c>
      <c r="AR14" s="12">
        <f t="shared" ca="1" si="1"/>
        <v>219953.35645192111</v>
      </c>
      <c r="AS14" s="12">
        <f t="shared" ca="1" si="1"/>
        <v>293155.82064235577</v>
      </c>
      <c r="AT14" s="12">
        <f>SUM(EL14:EN14)</f>
        <v>279442.49223817536</v>
      </c>
      <c r="AU14" s="12">
        <f t="shared" ca="1" si="2"/>
        <v>287024.29972636374</v>
      </c>
      <c r="AV14" s="12">
        <f t="shared" ca="1" si="2"/>
        <v>297140.74071557214</v>
      </c>
      <c r="AW14" s="12">
        <f t="shared" ca="1" si="2"/>
        <v>14743.06908528741</v>
      </c>
      <c r="AX14" s="12">
        <f>SUM(EX14:EZ14)</f>
        <v>221862.70169831603</v>
      </c>
      <c r="AY14" s="12">
        <f t="shared" si="12"/>
        <v>175682.48726758361</v>
      </c>
      <c r="AZ14" s="12">
        <f>SUM(FD14:FF14)</f>
        <v>224583.26213698427</v>
      </c>
      <c r="BA14" s="12">
        <f>SUM(FG14:FI14)</f>
        <v>230753.41406993227</v>
      </c>
      <c r="BB14" s="12">
        <f>SUM(FJ14:FL14)</f>
        <v>27768.796651113174</v>
      </c>
      <c r="BC14" s="12"/>
      <c r="BD14" s="12"/>
      <c r="BE14" s="12"/>
      <c r="BF14" s="12">
        <v>10000</v>
      </c>
      <c r="BG14" s="12">
        <v>12937</v>
      </c>
      <c r="BH14" s="12">
        <v>19864</v>
      </c>
      <c r="BI14" s="12">
        <v>20159</v>
      </c>
      <c r="BJ14" s="12">
        <v>9575</v>
      </c>
      <c r="BK14" s="12">
        <v>22789</v>
      </c>
      <c r="BL14" s="12">
        <v>10960</v>
      </c>
      <c r="BM14" s="12">
        <v>15029</v>
      </c>
      <c r="BN14" s="12">
        <v>20000</v>
      </c>
      <c r="BO14" s="12">
        <v>8333</v>
      </c>
      <c r="BP14" s="12">
        <v>833</v>
      </c>
      <c r="BQ14" s="12">
        <v>833</v>
      </c>
      <c r="BR14" s="12">
        <v>17364</v>
      </c>
      <c r="BS14" s="12">
        <v>0</v>
      </c>
      <c r="BT14" s="12">
        <v>8526</v>
      </c>
      <c r="BU14" s="12">
        <v>0</v>
      </c>
      <c r="BV14" s="12">
        <v>3100</v>
      </c>
      <c r="BW14" s="12">
        <v>0</v>
      </c>
      <c r="BX14" s="12">
        <v>43231</v>
      </c>
      <c r="BY14" s="12">
        <v>8500</v>
      </c>
      <c r="BZ14" s="12">
        <v>17089</v>
      </c>
      <c r="CA14" s="12">
        <v>27493</v>
      </c>
      <c r="CB14" s="12">
        <v>37878</v>
      </c>
      <c r="CC14" s="12">
        <v>3000</v>
      </c>
      <c r="CD14" s="12">
        <v>1500</v>
      </c>
      <c r="CE14" s="12">
        <v>16025</v>
      </c>
      <c r="CF14" s="12">
        <v>0</v>
      </c>
      <c r="CG14" s="12">
        <v>0</v>
      </c>
      <c r="CH14" s="12">
        <v>288</v>
      </c>
      <c r="CI14" s="12">
        <v>8308</v>
      </c>
      <c r="CJ14" s="12">
        <v>0</v>
      </c>
      <c r="CK14" s="12">
        <v>10582</v>
      </c>
      <c r="CL14" s="12">
        <v>6858</v>
      </c>
      <c r="CM14" s="12">
        <v>30100</v>
      </c>
      <c r="CN14" s="12">
        <f>1000+10000</f>
        <v>11000</v>
      </c>
      <c r="CO14" s="12">
        <v>32405</v>
      </c>
      <c r="CP14" s="12">
        <v>7581</v>
      </c>
      <c r="CQ14" s="12">
        <v>46547</v>
      </c>
      <c r="CR14" s="12">
        <v>18152</v>
      </c>
      <c r="CS14" s="12">
        <v>29327</v>
      </c>
      <c r="CT14" s="12">
        <v>27211</v>
      </c>
      <c r="CU14" s="12">
        <v>40649</v>
      </c>
      <c r="CV14" s="12">
        <v>53633</v>
      </c>
      <c r="CW14" s="12">
        <v>51256.26</v>
      </c>
      <c r="CX14" s="12">
        <v>50000</v>
      </c>
      <c r="CY14" s="12">
        <v>75707.83</v>
      </c>
      <c r="CZ14" s="12">
        <v>67025</v>
      </c>
      <c r="DA14" s="12">
        <v>65497.17</v>
      </c>
      <c r="DB14" s="12">
        <v>40000.28</v>
      </c>
      <c r="DC14" s="12">
        <v>40000</v>
      </c>
      <c r="DD14" s="12">
        <v>21944.07</v>
      </c>
      <c r="DE14" s="12">
        <v>30182.6</v>
      </c>
      <c r="DF14" s="12">
        <v>31415.429999999993</v>
      </c>
      <c r="DG14" s="12">
        <v>37348.44</v>
      </c>
      <c r="DH14" s="12">
        <v>12811.89</v>
      </c>
      <c r="DI14" s="12">
        <v>3986.54</v>
      </c>
      <c r="DJ14" s="12">
        <v>29491.18</v>
      </c>
      <c r="DK14" s="12">
        <v>7509.7800000000007</v>
      </c>
      <c r="DL14" s="12">
        <v>14039.72</v>
      </c>
      <c r="DM14" s="12">
        <v>50787.479999999996</v>
      </c>
      <c r="DN14" s="12">
        <v>9634.4699999999993</v>
      </c>
      <c r="DO14" s="12">
        <v>10864.91</v>
      </c>
      <c r="DP14" s="12">
        <v>70670.710000000006</v>
      </c>
      <c r="DQ14" s="12">
        <v>49612.770000000004</v>
      </c>
      <c r="DR14" s="12">
        <v>79154.94</v>
      </c>
      <c r="DS14" s="12">
        <v>15679.92</v>
      </c>
      <c r="DT14" s="12">
        <v>13657.19</v>
      </c>
      <c r="DU14" s="12">
        <v>44891.384087392333</v>
      </c>
      <c r="DV14" s="12">
        <v>108440.42</v>
      </c>
      <c r="DW14" s="12">
        <v>25877.37</v>
      </c>
      <c r="DX14" s="12">
        <v>72782.480000000025</v>
      </c>
      <c r="DY14" s="511">
        <v>36530.620000000068</v>
      </c>
      <c r="DZ14" s="12">
        <v>27724.44</v>
      </c>
      <c r="EA14" s="12">
        <v>23263.949999999997</v>
      </c>
      <c r="EB14" s="12">
        <v>53921.020000000004</v>
      </c>
      <c r="EC14" s="12">
        <v>23160.780000000002</v>
      </c>
      <c r="ED14" s="12">
        <v>76654.2</v>
      </c>
      <c r="EE14" s="12">
        <v>31986.89</v>
      </c>
      <c r="EF14" s="12">
        <v>28256.076399097899</v>
      </c>
      <c r="EG14" s="12">
        <v>57130.256494266199</v>
      </c>
      <c r="EH14" s="12">
        <v>134567.023558557</v>
      </c>
      <c r="EI14" s="12">
        <v>80414.973440708505</v>
      </c>
      <c r="EJ14" s="12">
        <v>75914.928527922617</v>
      </c>
      <c r="EK14" s="511">
        <v>136825.91867372463</v>
      </c>
      <c r="EL14" s="511">
        <v>76987.468477662202</v>
      </c>
      <c r="EM14" s="511">
        <v>90733.980096044106</v>
      </c>
      <c r="EN14" s="511">
        <v>111721.04366446906</v>
      </c>
      <c r="EO14" s="511">
        <v>29006.563421084909</v>
      </c>
      <c r="EP14" s="511">
        <v>148282.30877233314</v>
      </c>
      <c r="EQ14" s="511">
        <v>109735.42753294573</v>
      </c>
      <c r="ER14" s="12">
        <v>104906.03151501821</v>
      </c>
      <c r="ES14" s="12">
        <v>114396.4282165943</v>
      </c>
      <c r="ET14" s="12">
        <v>77838.28098395963</v>
      </c>
      <c r="EU14" s="12">
        <v>41890.71214129607</v>
      </c>
      <c r="EV14" s="12">
        <v>28596.836943991344</v>
      </c>
      <c r="EW14" s="12">
        <v>-55744.479999999996</v>
      </c>
      <c r="EX14" s="12">
        <v>65568.137081245877</v>
      </c>
      <c r="EY14" s="12">
        <v>92252.940194213326</v>
      </c>
      <c r="EZ14" s="12">
        <v>64041.624422856839</v>
      </c>
      <c r="FA14" s="12">
        <v>51555.677591988191</v>
      </c>
      <c r="FB14" s="12">
        <v>42881.246587860594</v>
      </c>
      <c r="FC14" s="12">
        <v>81245.56308773483</v>
      </c>
      <c r="FD14" s="12">
        <v>79485.141062565628</v>
      </c>
      <c r="FE14" s="12">
        <v>84359.948019779462</v>
      </c>
      <c r="FF14" s="12">
        <v>60738.173054639185</v>
      </c>
      <c r="FG14" s="12">
        <v>65842.484170359734</v>
      </c>
      <c r="FH14" s="12">
        <v>83846.499089664168</v>
      </c>
      <c r="FI14" s="12">
        <v>81064.430809908372</v>
      </c>
      <c r="FJ14" s="12">
        <v>17700.494619689402</v>
      </c>
      <c r="FK14" s="741">
        <v>10068.302031423775</v>
      </c>
      <c r="FL14" s="12"/>
      <c r="FM14" s="12"/>
      <c r="FN14" s="12">
        <f>'Financial plan'!EZ19</f>
        <v>45000</v>
      </c>
      <c r="FO14" s="12">
        <f t="shared" si="3"/>
        <v>-7632.1925882656269</v>
      </c>
      <c r="FP14" s="12">
        <f t="shared" si="21"/>
        <v>-34931.697968576227</v>
      </c>
      <c r="FQ14" s="12" t="e">
        <f>FL14-#REF!</f>
        <v>#REF!</v>
      </c>
      <c r="FR14" s="12">
        <f t="shared" si="22"/>
        <v>7632.1925882656269</v>
      </c>
      <c r="FS14" s="12">
        <f t="shared" si="13"/>
        <v>-34931.697968576227</v>
      </c>
      <c r="FT14" s="12">
        <f>SUM($FJ14:FK14)</f>
        <v>27768.796651113174</v>
      </c>
      <c r="FU14" s="12">
        <f>SUM('Financial plan'!$EY19:EZ19)</f>
        <v>90000</v>
      </c>
      <c r="FV14" s="12">
        <f t="shared" si="23"/>
        <v>-62231.203348886826</v>
      </c>
    </row>
    <row r="15" spans="1:178" hidden="1" outlineLevel="1" x14ac:dyDescent="0.35">
      <c r="E15" s="14" t="s">
        <v>93</v>
      </c>
      <c r="F15" s="11"/>
      <c r="G15" s="11"/>
      <c r="H15" s="11"/>
      <c r="I15" s="11"/>
      <c r="J15" s="11"/>
      <c r="K15" s="11"/>
      <c r="L15" s="11"/>
      <c r="M15" s="445"/>
      <c r="N15" s="445"/>
      <c r="O15" s="445"/>
      <c r="S15"/>
      <c r="T15"/>
      <c r="U15"/>
      <c r="V15"/>
      <c r="W15"/>
      <c r="X15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>
        <v>1500</v>
      </c>
      <c r="CE15" s="16">
        <v>16025</v>
      </c>
      <c r="CF15" s="16">
        <v>0</v>
      </c>
      <c r="CG15" s="16">
        <v>0</v>
      </c>
      <c r="CH15" s="16">
        <v>288</v>
      </c>
      <c r="CI15" s="16">
        <v>8308</v>
      </c>
      <c r="CJ15" s="16">
        <v>0</v>
      </c>
      <c r="CK15" s="16">
        <v>10582</v>
      </c>
      <c r="CL15" s="16">
        <v>6858</v>
      </c>
      <c r="CM15" s="16">
        <v>30100</v>
      </c>
      <c r="CN15" s="16">
        <v>11000</v>
      </c>
      <c r="CO15" s="16">
        <v>32405</v>
      </c>
      <c r="CP15" s="16">
        <v>7581</v>
      </c>
      <c r="CQ15" s="16">
        <v>46547</v>
      </c>
      <c r="CR15" s="16">
        <v>18152.000000000007</v>
      </c>
      <c r="CS15" s="16">
        <v>29327</v>
      </c>
      <c r="CT15" s="16">
        <v>27210.999999999996</v>
      </c>
      <c r="CU15" s="16">
        <v>40649</v>
      </c>
      <c r="CV15" s="16">
        <v>53633.57156129308</v>
      </c>
      <c r="CW15" s="16">
        <v>51256.259999999995</v>
      </c>
      <c r="CX15" s="16">
        <v>50000</v>
      </c>
      <c r="CY15" s="16">
        <v>75707.83120380537</v>
      </c>
      <c r="CZ15" s="16">
        <v>67025</v>
      </c>
      <c r="DA15" s="16">
        <v>65497.17</v>
      </c>
      <c r="DB15" s="16">
        <v>40000.28</v>
      </c>
      <c r="DC15" s="16">
        <v>40000</v>
      </c>
      <c r="DD15" s="16">
        <v>-10469.435966970443</v>
      </c>
      <c r="DE15" s="16">
        <v>6995.2635177592601</v>
      </c>
      <c r="DF15" s="16">
        <v>18946.799999999992</v>
      </c>
      <c r="DG15" s="16">
        <v>37348.444337107998</v>
      </c>
      <c r="DH15" s="16">
        <v>12811.8924753389</v>
      </c>
      <c r="DI15" s="16">
        <v>0</v>
      </c>
      <c r="DJ15" s="16">
        <v>24150</v>
      </c>
      <c r="DK15" s="16">
        <v>0</v>
      </c>
      <c r="DL15" s="16">
        <v>7707.51</v>
      </c>
      <c r="DM15" s="16">
        <v>0</v>
      </c>
      <c r="DN15" s="16">
        <v>0</v>
      </c>
      <c r="DO15" s="16">
        <v>0</v>
      </c>
      <c r="DP15" s="16">
        <v>20.239999999999998</v>
      </c>
      <c r="DQ15" s="16"/>
      <c r="DR15" s="16">
        <v>15854.5</v>
      </c>
      <c r="DS15" s="16"/>
      <c r="DT15" s="12"/>
      <c r="DU15" s="16">
        <v>12406.01</v>
      </c>
      <c r="DV15" s="16"/>
      <c r="DW15" s="16"/>
      <c r="EC15" s="16">
        <v>2200</v>
      </c>
      <c r="ED15" s="54"/>
      <c r="EK15" s="547"/>
      <c r="EL15" s="547"/>
      <c r="EM15" s="547"/>
      <c r="EN15" s="547"/>
      <c r="EO15" s="547"/>
      <c r="EP15" s="547"/>
      <c r="EQ15" s="547"/>
      <c r="ER15" s="16"/>
      <c r="ES15" s="16"/>
      <c r="ET15" s="16"/>
      <c r="EU15" s="16"/>
      <c r="EV15" s="16"/>
      <c r="EW15" s="16"/>
      <c r="FA15" s="16">
        <v>3801.3223147794602</v>
      </c>
      <c r="FB15" s="16"/>
      <c r="FC15" s="16"/>
      <c r="FD15" s="16"/>
      <c r="FE15" s="16"/>
      <c r="FF15" s="16"/>
      <c r="FG15" s="16"/>
      <c r="FH15" s="16"/>
      <c r="FI15" s="16"/>
      <c r="FJ15" s="16"/>
      <c r="FK15" s="742"/>
      <c r="FL15" s="16"/>
      <c r="FM15" s="16"/>
      <c r="FN15" s="12"/>
      <c r="FO15" s="16">
        <f t="shared" si="3"/>
        <v>0</v>
      </c>
      <c r="FP15" s="16">
        <f t="shared" si="21"/>
        <v>0</v>
      </c>
      <c r="FQ15" s="16" t="e">
        <f>FL15-#REF!</f>
        <v>#REF!</v>
      </c>
      <c r="FR15" s="16">
        <f t="shared" si="22"/>
        <v>0</v>
      </c>
      <c r="FS15" s="16">
        <f t="shared" si="13"/>
        <v>0</v>
      </c>
      <c r="FT15" s="16">
        <f>SUM($FJ15:FK15)</f>
        <v>0</v>
      </c>
      <c r="FU15" s="16"/>
      <c r="FV15" s="16"/>
    </row>
    <row r="16" spans="1:178" hidden="1" outlineLevel="1" x14ac:dyDescent="0.35">
      <c r="E16" s="14" t="s">
        <v>94</v>
      </c>
      <c r="F16" s="11"/>
      <c r="G16" s="11"/>
      <c r="H16" s="11"/>
      <c r="I16" s="11"/>
      <c r="J16" s="11"/>
      <c r="K16" s="11"/>
      <c r="L16" s="11"/>
      <c r="M16" s="445"/>
      <c r="N16" s="445"/>
      <c r="O16" s="445"/>
      <c r="P16" s="16">
        <f t="shared" si="20"/>
        <v>2259.2952310508199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>
        <f t="shared" ref="AZ16:AZ26" si="25">SUM(FD16:FG16)</f>
        <v>40576.867159498564</v>
      </c>
      <c r="BA16" s="16"/>
      <c r="BB16" s="16">
        <f>SUM(FJ16:FL16)</f>
        <v>4053.8647536205099</v>
      </c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>
        <v>0</v>
      </c>
      <c r="CE16" s="16">
        <v>0</v>
      </c>
      <c r="CF16" s="16">
        <v>0</v>
      </c>
      <c r="CG16" s="16">
        <v>0</v>
      </c>
      <c r="CH16" s="16">
        <v>0</v>
      </c>
      <c r="CI16" s="16">
        <v>0</v>
      </c>
      <c r="CJ16" s="16">
        <v>0</v>
      </c>
      <c r="CK16" s="16">
        <v>0</v>
      </c>
      <c r="CL16" s="16">
        <v>0</v>
      </c>
      <c r="CM16" s="16">
        <v>0</v>
      </c>
      <c r="CN16" s="16">
        <v>0</v>
      </c>
      <c r="CO16" s="16">
        <v>0</v>
      </c>
      <c r="CP16" s="16">
        <v>0</v>
      </c>
      <c r="CQ16" s="16">
        <v>0</v>
      </c>
      <c r="CR16" s="16">
        <v>0</v>
      </c>
      <c r="CS16" s="16">
        <v>0</v>
      </c>
      <c r="CT16" s="16">
        <v>0</v>
      </c>
      <c r="CU16" s="16">
        <v>0</v>
      </c>
      <c r="CV16" s="16">
        <v>0</v>
      </c>
      <c r="CW16" s="16">
        <v>0</v>
      </c>
      <c r="CX16" s="16">
        <v>0</v>
      </c>
      <c r="CY16" s="16">
        <v>0</v>
      </c>
      <c r="CZ16" s="16">
        <v>0</v>
      </c>
      <c r="DA16" s="16">
        <v>0</v>
      </c>
      <c r="DB16" s="16">
        <v>0</v>
      </c>
      <c r="DC16" s="16">
        <v>0</v>
      </c>
      <c r="DD16" s="16">
        <v>32413.091591140386</v>
      </c>
      <c r="DE16" s="16">
        <v>23187.339999999997</v>
      </c>
      <c r="DF16" s="16">
        <v>12469.034109243927</v>
      </c>
      <c r="DG16" s="16">
        <v>0</v>
      </c>
      <c r="DH16" s="16">
        <v>-1.8189894035458565E-12</v>
      </c>
      <c r="DI16" s="16">
        <v>3986.5369631839203</v>
      </c>
      <c r="DJ16" s="16">
        <v>5341.1812042453003</v>
      </c>
      <c r="DK16" s="16">
        <v>7509.7799068558907</v>
      </c>
      <c r="DL16" s="16">
        <v>4132.8898323821504</v>
      </c>
      <c r="DM16" s="16">
        <v>12069.79335631265</v>
      </c>
      <c r="DN16" s="16">
        <v>5511.6189749033056</v>
      </c>
      <c r="DO16" s="16">
        <v>10864.909452420015</v>
      </c>
      <c r="DP16" s="16">
        <v>8264.1201349999992</v>
      </c>
      <c r="DQ16" s="16">
        <v>1792.28</v>
      </c>
      <c r="DR16" s="16">
        <v>17334.931482124513</v>
      </c>
      <c r="DS16" s="16">
        <v>4516.1612819393158</v>
      </c>
      <c r="DT16" s="16">
        <v>7878.1</v>
      </c>
      <c r="DU16" s="16">
        <v>13642.28</v>
      </c>
      <c r="DV16" s="16">
        <v>13924.119163982294</v>
      </c>
      <c r="DW16" s="16">
        <v>18312.240000000002</v>
      </c>
      <c r="DX16" s="16">
        <v>9205.8079085351528</v>
      </c>
      <c r="DY16" s="547">
        <v>16697.674119746291</v>
      </c>
      <c r="DZ16" s="16">
        <v>19168.400000000001</v>
      </c>
      <c r="EA16" s="16">
        <v>6512.6124828210022</v>
      </c>
      <c r="EB16" s="16">
        <v>3730.1278951627014</v>
      </c>
      <c r="EC16" s="16">
        <v>7363.393331563323</v>
      </c>
      <c r="ED16" s="16">
        <v>2275.9011871751477</v>
      </c>
      <c r="EE16" s="16">
        <v>1908.9262057283499</v>
      </c>
      <c r="EF16" s="16">
        <v>14439.3663990979</v>
      </c>
      <c r="EG16" s="16">
        <v>5060.5621298721599</v>
      </c>
      <c r="EH16" s="16">
        <v>11540.3</v>
      </c>
      <c r="EI16" s="16">
        <v>11896.457372851501</v>
      </c>
      <c r="EJ16" s="16">
        <v>2165.9</v>
      </c>
      <c r="EK16" s="16">
        <v>36612.435254942415</v>
      </c>
      <c r="EL16" s="16">
        <v>455.32020049005558</v>
      </c>
      <c r="EM16" s="16">
        <v>14527.950461243812</v>
      </c>
      <c r="EN16" s="16">
        <v>2809.5048018625134</v>
      </c>
      <c r="EO16" s="16">
        <v>3733.0272478138568</v>
      </c>
      <c r="EP16" s="16">
        <v>14615.478689786025</v>
      </c>
      <c r="EQ16" s="16">
        <v>6177.2444980766459</v>
      </c>
      <c r="ER16" s="16">
        <v>14530.970305369978</v>
      </c>
      <c r="ES16" s="16">
        <v>16602.270165204391</v>
      </c>
      <c r="ET16" s="16">
        <f>6205.802403313</f>
        <v>6205.8024033129996</v>
      </c>
      <c r="EU16" s="16">
        <v>4745.3867709489732</v>
      </c>
      <c r="EV16" s="16">
        <v>9414.48</v>
      </c>
      <c r="EW16" s="16">
        <v>4080.87</v>
      </c>
      <c r="EX16" s="16">
        <v>10280</v>
      </c>
      <c r="EY16" s="16">
        <v>4907.6077543724223</v>
      </c>
      <c r="EZ16" s="16">
        <f>7185.22654141451+15000</f>
        <v>22185.226541414511</v>
      </c>
      <c r="FA16" s="16">
        <v>3982.4</v>
      </c>
      <c r="FB16" s="16">
        <v>1931.3744580891944</v>
      </c>
      <c r="FC16" s="16">
        <f>2014.12455963009+22500</f>
        <v>24514.124559630091</v>
      </c>
      <c r="FD16" s="16">
        <f>11472.7883077621+2156.85+16302.46</f>
        <v>29932.098307762099</v>
      </c>
      <c r="FE16" s="16">
        <v>2079.7383784775498</v>
      </c>
      <c r="FF16" s="16">
        <v>924.36051445709052</v>
      </c>
      <c r="FG16" s="16">
        <v>7640.66995880182</v>
      </c>
      <c r="FH16" s="16">
        <v>11328.986885657199</v>
      </c>
      <c r="FI16" s="16">
        <f>2605+1076</f>
        <v>3681</v>
      </c>
      <c r="FJ16" s="16">
        <v>2259.2952310508199</v>
      </c>
      <c r="FK16" s="742">
        <v>1794.56952256969</v>
      </c>
      <c r="FL16" s="16"/>
      <c r="FM16" s="16"/>
      <c r="FN16" s="12"/>
      <c r="FO16" s="16">
        <f t="shared" si="3"/>
        <v>-464.72570848112991</v>
      </c>
      <c r="FP16" s="16">
        <f t="shared" si="21"/>
        <v>1794.56952256969</v>
      </c>
      <c r="FQ16" s="16" t="e">
        <f>FL16-#REF!</f>
        <v>#REF!</v>
      </c>
      <c r="FR16" s="16">
        <f t="shared" si="22"/>
        <v>464.72570848112991</v>
      </c>
      <c r="FS16" s="16">
        <f t="shared" si="13"/>
        <v>1794.56952256969</v>
      </c>
      <c r="FT16" s="16">
        <f>SUM($FJ16:FK16)</f>
        <v>4053.8647536205099</v>
      </c>
      <c r="FU16" s="16"/>
      <c r="FV16" s="16"/>
    </row>
    <row r="17" spans="3:180" hidden="1" outlineLevel="1" x14ac:dyDescent="0.35">
      <c r="E17" s="14" t="s">
        <v>95</v>
      </c>
      <c r="F17" s="11"/>
      <c r="G17" s="11"/>
      <c r="H17" s="11"/>
      <c r="I17" s="11"/>
      <c r="J17" s="11"/>
      <c r="K17" s="11"/>
      <c r="L17" s="11"/>
      <c r="M17" s="445"/>
      <c r="N17" s="445"/>
      <c r="O17" s="445"/>
      <c r="P17" s="16">
        <f t="shared" si="20"/>
        <v>0</v>
      </c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>
        <f t="shared" si="25"/>
        <v>0</v>
      </c>
      <c r="BA17" s="16"/>
      <c r="BB17" s="16">
        <f t="shared" ref="BB17:BB24" si="26">SUM(FJ17:FL17)</f>
        <v>0</v>
      </c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16"/>
      <c r="DK17" s="16"/>
      <c r="DL17" s="16"/>
      <c r="DM17" s="16"/>
      <c r="DN17" s="16"/>
      <c r="DO17" s="16"/>
      <c r="DP17" s="16"/>
      <c r="DQ17" s="16"/>
      <c r="DR17" s="16"/>
      <c r="DS17" s="16"/>
      <c r="DT17" s="16"/>
      <c r="DU17" s="16"/>
      <c r="DV17" s="16"/>
      <c r="DW17" s="16"/>
      <c r="DX17" s="16"/>
      <c r="DY17" s="547"/>
      <c r="DZ17" s="16"/>
      <c r="EA17" s="16"/>
      <c r="EB17" s="16"/>
      <c r="EC17" s="16"/>
      <c r="ED17" s="16"/>
      <c r="EE17" s="16"/>
      <c r="EF17" s="16"/>
      <c r="EG17" s="16"/>
      <c r="EH17" s="16"/>
      <c r="EI17" s="16"/>
      <c r="EJ17" s="16"/>
      <c r="EK17" s="16"/>
      <c r="EL17" s="16"/>
      <c r="EM17" s="16"/>
      <c r="EN17" s="16"/>
      <c r="EO17" s="16"/>
      <c r="EP17" s="16"/>
      <c r="EQ17" s="16"/>
      <c r="ER17" s="16"/>
      <c r="ES17" s="16">
        <v>19320.456088346698</v>
      </c>
      <c r="ET17" s="16">
        <v>3785.1656101056501</v>
      </c>
      <c r="EU17" s="16">
        <v>20000</v>
      </c>
      <c r="EV17" s="16">
        <v>0</v>
      </c>
      <c r="EW17" s="16"/>
      <c r="EX17" s="16"/>
      <c r="EY17" s="16"/>
      <c r="EZ17" s="16">
        <v>0</v>
      </c>
      <c r="FA17" s="16">
        <v>9015.73</v>
      </c>
      <c r="FB17" s="16">
        <v>1500</v>
      </c>
      <c r="FC17" s="16">
        <v>0</v>
      </c>
      <c r="FD17" s="16"/>
      <c r="FE17" s="16">
        <v>0</v>
      </c>
      <c r="FF17" s="16"/>
      <c r="FG17" s="16"/>
      <c r="FH17" s="16">
        <v>10250</v>
      </c>
      <c r="FI17" s="16"/>
      <c r="FJ17" s="16">
        <v>0</v>
      </c>
      <c r="FK17" s="742">
        <v>0</v>
      </c>
      <c r="FL17" s="16"/>
      <c r="FM17" s="16"/>
      <c r="FN17" s="12"/>
      <c r="FO17" s="16">
        <f t="shared" si="3"/>
        <v>0</v>
      </c>
      <c r="FP17" s="16">
        <f t="shared" si="21"/>
        <v>0</v>
      </c>
      <c r="FQ17" s="16" t="e">
        <f>FL17-#REF!</f>
        <v>#REF!</v>
      </c>
      <c r="FR17" s="16">
        <f t="shared" si="22"/>
        <v>0</v>
      </c>
      <c r="FS17" s="16">
        <f t="shared" si="13"/>
        <v>0</v>
      </c>
      <c r="FT17" s="16">
        <f>SUM($FJ17:FK17)</f>
        <v>0</v>
      </c>
      <c r="FU17" s="16"/>
      <c r="FV17" s="16"/>
    </row>
    <row r="18" spans="3:180" hidden="1" outlineLevel="1" x14ac:dyDescent="0.35">
      <c r="E18" s="14" t="s">
        <v>96</v>
      </c>
      <c r="F18" s="11"/>
      <c r="G18" s="11"/>
      <c r="H18" s="11"/>
      <c r="I18" s="11"/>
      <c r="J18" s="11"/>
      <c r="K18" s="11"/>
      <c r="L18" s="11"/>
      <c r="M18" s="445"/>
      <c r="N18" s="445"/>
      <c r="O18" s="445"/>
      <c r="P18" s="16">
        <f t="shared" si="20"/>
        <v>0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>
        <f t="shared" si="25"/>
        <v>20209.931233352738</v>
      </c>
      <c r="BA18" s="16"/>
      <c r="BB18" s="16">
        <f t="shared" si="26"/>
        <v>0</v>
      </c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16"/>
      <c r="DO18" s="16"/>
      <c r="DP18" s="16"/>
      <c r="DQ18" s="16"/>
      <c r="DR18" s="16"/>
      <c r="DS18" s="16"/>
      <c r="DT18" s="16"/>
      <c r="DU18" s="16"/>
      <c r="DV18" s="16"/>
      <c r="DW18" s="16"/>
      <c r="DX18" s="16"/>
      <c r="DY18" s="547"/>
      <c r="DZ18" s="16"/>
      <c r="EA18" s="16"/>
      <c r="EB18" s="16"/>
      <c r="EC18" s="16"/>
      <c r="ED18" s="16"/>
      <c r="EE18" s="16"/>
      <c r="EF18" s="16"/>
      <c r="EG18" s="16"/>
      <c r="EH18" s="16"/>
      <c r="EI18" s="16"/>
      <c r="EJ18" s="16"/>
      <c r="EK18" s="16">
        <v>11843.0439942989</v>
      </c>
      <c r="EL18" s="16"/>
      <c r="EM18" s="16"/>
      <c r="EN18" s="16"/>
      <c r="EO18" s="16">
        <v>16779.515662363312</v>
      </c>
      <c r="EP18" s="16">
        <v>0</v>
      </c>
      <c r="EQ18" s="16">
        <v>0</v>
      </c>
      <c r="ER18" s="16">
        <v>0</v>
      </c>
      <c r="ES18" s="16">
        <v>0</v>
      </c>
      <c r="ET18" s="16"/>
      <c r="EV18" s="16"/>
      <c r="EW18" s="16"/>
      <c r="EX18" s="16"/>
      <c r="EY18" s="16"/>
      <c r="EZ18" s="16"/>
      <c r="FA18" s="16"/>
      <c r="FB18" s="16"/>
      <c r="FC18" s="16"/>
      <c r="FD18" s="16">
        <v>7574.2673886108332</v>
      </c>
      <c r="FE18" s="16">
        <v>12635.663844741905</v>
      </c>
      <c r="FF18" s="16"/>
      <c r="FG18" s="16"/>
      <c r="FH18" s="16"/>
      <c r="FI18" s="16"/>
      <c r="FJ18" s="16"/>
      <c r="FK18" s="742"/>
      <c r="FL18" s="16"/>
      <c r="FM18" s="16"/>
      <c r="FN18" s="12"/>
      <c r="FO18" s="16">
        <f t="shared" si="3"/>
        <v>0</v>
      </c>
      <c r="FP18" s="16">
        <f t="shared" si="21"/>
        <v>0</v>
      </c>
      <c r="FQ18" s="16" t="e">
        <f>FL18-#REF!</f>
        <v>#REF!</v>
      </c>
      <c r="FR18" s="16">
        <f t="shared" si="22"/>
        <v>0</v>
      </c>
      <c r="FS18" s="16">
        <f t="shared" si="13"/>
        <v>0</v>
      </c>
      <c r="FT18" s="16">
        <f>SUM($FJ18:FK18)</f>
        <v>0</v>
      </c>
      <c r="FU18" s="16"/>
      <c r="FV18" s="16"/>
    </row>
    <row r="19" spans="3:180" hidden="1" outlineLevel="1" x14ac:dyDescent="0.35">
      <c r="E19" s="14" t="s">
        <v>97</v>
      </c>
      <c r="F19" s="11"/>
      <c r="G19" s="11"/>
      <c r="H19" s="11"/>
      <c r="I19" s="11"/>
      <c r="J19" s="11"/>
      <c r="K19" s="11"/>
      <c r="L19" s="11"/>
      <c r="M19" s="445"/>
      <c r="N19" s="445"/>
      <c r="O19" s="445"/>
      <c r="P19" s="16">
        <f t="shared" si="20"/>
        <v>0</v>
      </c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>
        <f t="shared" si="25"/>
        <v>15543.78</v>
      </c>
      <c r="BA19" s="16"/>
      <c r="BB19" s="16">
        <f t="shared" si="26"/>
        <v>0</v>
      </c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v>0</v>
      </c>
      <c r="CM19" s="16">
        <v>0</v>
      </c>
      <c r="CN19" s="16">
        <v>0</v>
      </c>
      <c r="CO19" s="16">
        <v>0</v>
      </c>
      <c r="CP19" s="16">
        <v>0</v>
      </c>
      <c r="CQ19" s="16">
        <v>0</v>
      </c>
      <c r="CR19" s="16">
        <v>0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0</v>
      </c>
      <c r="DH19" s="16">
        <v>0</v>
      </c>
      <c r="DI19" s="16">
        <v>0</v>
      </c>
      <c r="DJ19" s="16">
        <v>0</v>
      </c>
      <c r="DK19" s="16">
        <v>0</v>
      </c>
      <c r="DL19" s="16">
        <v>-7.2759576141834259E-12</v>
      </c>
      <c r="DM19" s="16">
        <v>38717.689672959328</v>
      </c>
      <c r="DN19" s="16">
        <v>0</v>
      </c>
      <c r="DO19" s="16">
        <v>0</v>
      </c>
      <c r="DP19" s="16">
        <v>60088.42</v>
      </c>
      <c r="DQ19" s="16"/>
      <c r="DR19" s="16">
        <v>28466.546360722379</v>
      </c>
      <c r="DS19" s="16">
        <v>5600</v>
      </c>
      <c r="DT19" s="16"/>
      <c r="DU19" s="16">
        <v>8400</v>
      </c>
      <c r="DV19" s="16">
        <v>33434.848397898284</v>
      </c>
      <c r="DW19" s="16"/>
      <c r="DX19" s="16">
        <v>54262.96</v>
      </c>
      <c r="DY19" s="547">
        <v>18756.366018861743</v>
      </c>
      <c r="DZ19" s="16">
        <v>3364.3183453255638</v>
      </c>
      <c r="EA19" s="16">
        <v>15841.811487819728</v>
      </c>
      <c r="EB19" s="16">
        <v>13678.377504646334</v>
      </c>
      <c r="EC19" s="16">
        <v>9907.56</v>
      </c>
      <c r="ED19" s="16">
        <v>44009.465387960889</v>
      </c>
      <c r="EE19" s="16">
        <v>6042.36</v>
      </c>
      <c r="EF19" s="16">
        <v>4000</v>
      </c>
      <c r="EG19" s="16">
        <v>6474.26</v>
      </c>
      <c r="EH19" s="16">
        <v>40745.300000000003</v>
      </c>
      <c r="EI19" s="16">
        <v>0</v>
      </c>
      <c r="EJ19" s="16">
        <v>1146.7085046956481</v>
      </c>
      <c r="EK19" s="16">
        <v>9338.2086080540266</v>
      </c>
      <c r="EL19" s="16">
        <v>0</v>
      </c>
      <c r="EM19" s="16">
        <v>0</v>
      </c>
      <c r="EN19" s="16">
        <v>25000</v>
      </c>
      <c r="EO19" s="16"/>
      <c r="EP19" s="16">
        <v>10468.993526693321</v>
      </c>
      <c r="EQ19" s="16">
        <v>37116.698098345907</v>
      </c>
      <c r="ER19" s="16">
        <f>23369.4812214799+6219.77</f>
        <v>29589.251221479899</v>
      </c>
      <c r="ES19" s="16">
        <v>18403</v>
      </c>
      <c r="ET19" s="16"/>
      <c r="EU19" s="16">
        <v>3063.32307097796</v>
      </c>
      <c r="EV19" s="16"/>
      <c r="EW19" s="16">
        <v>5000</v>
      </c>
      <c r="EX19" s="16"/>
      <c r="EY19" s="16">
        <v>51016.435942499847</v>
      </c>
      <c r="EZ19" s="16"/>
      <c r="FA19" s="16"/>
      <c r="FB19" s="16"/>
      <c r="FC19" s="16"/>
      <c r="FD19" s="16">
        <v>15543.78</v>
      </c>
      <c r="FE19" s="16">
        <v>0</v>
      </c>
      <c r="FF19" s="16"/>
      <c r="FG19" s="16"/>
      <c r="FH19" s="16"/>
      <c r="FI19" s="16"/>
      <c r="FJ19" s="16"/>
      <c r="FK19" s="760"/>
      <c r="FL19" s="16"/>
      <c r="FM19" s="16"/>
      <c r="FN19" s="12"/>
      <c r="FO19" s="16">
        <f t="shared" si="3"/>
        <v>0</v>
      </c>
      <c r="FP19" s="16">
        <f t="shared" si="21"/>
        <v>0</v>
      </c>
      <c r="FQ19" s="16" t="e">
        <f>FL19-#REF!</f>
        <v>#REF!</v>
      </c>
      <c r="FR19" s="16">
        <f t="shared" si="22"/>
        <v>0</v>
      </c>
      <c r="FS19" s="16">
        <f t="shared" si="13"/>
        <v>0</v>
      </c>
      <c r="FT19" s="16">
        <f>SUM($FJ19:FK19)</f>
        <v>0</v>
      </c>
      <c r="FU19" s="16"/>
      <c r="FV19" s="16"/>
    </row>
    <row r="20" spans="3:180" hidden="1" outlineLevel="1" x14ac:dyDescent="0.35">
      <c r="E20" s="14" t="s">
        <v>98</v>
      </c>
      <c r="F20" s="11"/>
      <c r="G20" s="11"/>
      <c r="H20" s="11"/>
      <c r="I20" s="11"/>
      <c r="J20" s="11"/>
      <c r="K20" s="11"/>
      <c r="L20" s="11"/>
      <c r="M20" s="445"/>
      <c r="N20" s="445"/>
      <c r="O20" s="445"/>
      <c r="P20" s="16">
        <f t="shared" si="20"/>
        <v>4316.1993886385399</v>
      </c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>
        <f t="shared" si="25"/>
        <v>126971.079218787</v>
      </c>
      <c r="BA20" s="16"/>
      <c r="BB20" s="16">
        <f t="shared" si="26"/>
        <v>8589.9318974926209</v>
      </c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0</v>
      </c>
      <c r="CL20" s="16">
        <v>0</v>
      </c>
      <c r="CM20" s="16">
        <v>0</v>
      </c>
      <c r="CN20" s="16">
        <v>0</v>
      </c>
      <c r="CO20" s="16">
        <v>0</v>
      </c>
      <c r="CP20" s="16">
        <v>0</v>
      </c>
      <c r="CQ20" s="16">
        <v>0</v>
      </c>
      <c r="CR20" s="16">
        <v>0</v>
      </c>
      <c r="CS20" s="16">
        <v>0</v>
      </c>
      <c r="CT20" s="16">
        <v>0</v>
      </c>
      <c r="CU20" s="16">
        <v>0</v>
      </c>
      <c r="CV20" s="16">
        <v>0</v>
      </c>
      <c r="CW20" s="16">
        <v>0</v>
      </c>
      <c r="CX20" s="16">
        <v>0</v>
      </c>
      <c r="CY20" s="16">
        <v>0</v>
      </c>
      <c r="CZ20" s="16">
        <v>0</v>
      </c>
      <c r="DA20" s="16">
        <v>0</v>
      </c>
      <c r="DB20" s="16">
        <v>0</v>
      </c>
      <c r="DC20" s="16">
        <v>0</v>
      </c>
      <c r="DD20" s="16">
        <v>0</v>
      </c>
      <c r="DE20" s="16">
        <v>0</v>
      </c>
      <c r="DF20" s="16">
        <v>0</v>
      </c>
      <c r="DG20" s="16">
        <v>0</v>
      </c>
      <c r="DH20" s="16">
        <v>0</v>
      </c>
      <c r="DI20" s="16">
        <v>0</v>
      </c>
      <c r="DJ20" s="16">
        <v>0</v>
      </c>
      <c r="DK20" s="16">
        <v>0</v>
      </c>
      <c r="DL20" s="16">
        <v>2199.3199999999997</v>
      </c>
      <c r="DM20" s="16">
        <v>0</v>
      </c>
      <c r="DN20" s="16">
        <v>4122.8500000000004</v>
      </c>
      <c r="DO20" s="16">
        <v>0</v>
      </c>
      <c r="DP20" s="16">
        <v>2297.9299999999998</v>
      </c>
      <c r="DQ20" s="16">
        <v>9254.82</v>
      </c>
      <c r="DR20" s="16">
        <v>7980.92</v>
      </c>
      <c r="DS20" s="16">
        <v>5563.76</v>
      </c>
      <c r="DT20" s="16">
        <v>5779.08</v>
      </c>
      <c r="DU20" s="16">
        <v>5789.47</v>
      </c>
      <c r="DV20" s="16">
        <v>6035.6</v>
      </c>
      <c r="DW20" s="16">
        <v>7565.1</v>
      </c>
      <c r="DX20" s="16">
        <v>9313.7099999999991</v>
      </c>
      <c r="DY20" s="547">
        <v>1000</v>
      </c>
      <c r="DZ20" s="16">
        <v>5272.38</v>
      </c>
      <c r="EA20" s="16">
        <v>909.5281878544173</v>
      </c>
      <c r="EB20" s="16">
        <v>30340.89</v>
      </c>
      <c r="EC20" s="16">
        <v>3689.8247120229221</v>
      </c>
      <c r="ED20" s="16">
        <v>30368.83</v>
      </c>
      <c r="EE20" s="16">
        <v>18142.89</v>
      </c>
      <c r="EF20" s="16">
        <v>4681.72</v>
      </c>
      <c r="EG20" s="16">
        <v>35755.802772429917</v>
      </c>
      <c r="EH20" s="16">
        <v>11544.1</v>
      </c>
      <c r="EI20" s="16">
        <v>8063.3304744998613</v>
      </c>
      <c r="EJ20" s="16">
        <v>11629.683376539386</v>
      </c>
      <c r="EK20" s="16">
        <v>13078.08309120492</v>
      </c>
      <c r="EL20" s="16">
        <v>16563.25</v>
      </c>
      <c r="EM20" s="16">
        <v>14376.744231264434</v>
      </c>
      <c r="EN20" s="16">
        <v>15721.4169745566</v>
      </c>
      <c r="EO20" s="16">
        <v>1312.0775099635503</v>
      </c>
      <c r="EP20" s="16"/>
      <c r="EQ20" s="16">
        <v>3150</v>
      </c>
      <c r="ER20" s="16">
        <v>1000</v>
      </c>
      <c r="ES20" s="16"/>
      <c r="ET20" s="16">
        <v>7610.4654833183249</v>
      </c>
      <c r="EU20" s="16">
        <v>7620.2122993691401</v>
      </c>
      <c r="EV20" s="16">
        <v>10109.34</v>
      </c>
      <c r="EW20" s="16">
        <v>7746.8702996260499</v>
      </c>
      <c r="EX20" s="16">
        <v>22201.700983988299</v>
      </c>
      <c r="EY20" s="16">
        <v>7814.6280136144187</v>
      </c>
      <c r="EZ20" s="16">
        <f>6205.86619233899+7645.76</f>
        <v>13851.62619233899</v>
      </c>
      <c r="FA20" s="16">
        <v>7603.9309925529997</v>
      </c>
      <c r="FB20" s="16">
        <v>12589.982666564727</v>
      </c>
      <c r="FC20" s="16">
        <v>29500.406485500571</v>
      </c>
      <c r="FD20" s="16"/>
      <c r="FE20" s="16">
        <v>86043.573770450894</v>
      </c>
      <c r="FF20" s="16">
        <v>30244.576823767002</v>
      </c>
      <c r="FG20" s="16">
        <v>10682.9286245691</v>
      </c>
      <c r="FH20" s="16">
        <v>7783.36643393964</v>
      </c>
      <c r="FI20" s="16">
        <v>29383.193712759999</v>
      </c>
      <c r="FJ20" s="16">
        <v>4316.1993886385399</v>
      </c>
      <c r="FK20" s="760">
        <v>4273.7325088540802</v>
      </c>
      <c r="FL20" s="16"/>
      <c r="FM20" s="16"/>
      <c r="FN20" s="12"/>
      <c r="FO20" s="16">
        <f t="shared" si="3"/>
        <v>-42.466879784459707</v>
      </c>
      <c r="FP20" s="16">
        <f t="shared" si="21"/>
        <v>4273.7325088540802</v>
      </c>
      <c r="FQ20" s="16" t="e">
        <f>FL20-#REF!</f>
        <v>#REF!</v>
      </c>
      <c r="FR20" s="16">
        <f t="shared" si="22"/>
        <v>42.466879784459707</v>
      </c>
      <c r="FS20" s="16">
        <f t="shared" si="13"/>
        <v>4273.7325088540802</v>
      </c>
      <c r="FT20" s="16">
        <f>SUM($FJ20:FK20)</f>
        <v>8589.9318974926209</v>
      </c>
      <c r="FU20" s="16"/>
      <c r="FV20" s="16"/>
    </row>
    <row r="21" spans="3:180" hidden="1" outlineLevel="1" x14ac:dyDescent="0.35">
      <c r="E21" s="14" t="s">
        <v>99</v>
      </c>
      <c r="F21" s="11"/>
      <c r="G21" s="11"/>
      <c r="H21" s="11"/>
      <c r="I21" s="11"/>
      <c r="J21" s="11"/>
      <c r="K21" s="11"/>
      <c r="L21" s="11"/>
      <c r="M21" s="445"/>
      <c r="N21" s="445"/>
      <c r="O21" s="445"/>
      <c r="P21" s="16">
        <f t="shared" si="20"/>
        <v>0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>
        <f t="shared" si="25"/>
        <v>0</v>
      </c>
      <c r="BA21" s="16"/>
      <c r="BB21" s="16">
        <f t="shared" si="26"/>
        <v>0</v>
      </c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16"/>
      <c r="DK21" s="16"/>
      <c r="DL21" s="16"/>
      <c r="DM21" s="16"/>
      <c r="DN21" s="16"/>
      <c r="DO21" s="16"/>
      <c r="DP21" s="16"/>
      <c r="DQ21" s="16"/>
      <c r="DR21" s="16">
        <v>9518.0400000000009</v>
      </c>
      <c r="DS21" s="16"/>
      <c r="DT21" s="12"/>
      <c r="DU21" s="16">
        <v>4653.62</v>
      </c>
      <c r="DV21" s="16">
        <v>11009.169706255609</v>
      </c>
      <c r="DW21" s="16"/>
      <c r="EA21" s="16"/>
      <c r="EB21" s="16"/>
      <c r="EC21" s="16"/>
      <c r="ED21" s="16"/>
      <c r="EE21" s="16"/>
      <c r="EF21" s="16"/>
      <c r="EG21" s="16">
        <v>9839.6</v>
      </c>
      <c r="EH21" s="16">
        <v>11205.2</v>
      </c>
      <c r="EI21" s="16"/>
      <c r="EJ21" s="16"/>
      <c r="EK21" s="16"/>
      <c r="EL21" s="16"/>
      <c r="EM21" s="16"/>
      <c r="EN21" s="16"/>
      <c r="EO21" s="16">
        <v>0</v>
      </c>
      <c r="EP21" s="16"/>
      <c r="ES21" s="16"/>
      <c r="ET21" s="16"/>
      <c r="EU21" s="16"/>
      <c r="EV21" s="16"/>
      <c r="EW21" s="16"/>
      <c r="EX21" s="16"/>
      <c r="EY21" s="16"/>
      <c r="EZ21" s="16"/>
      <c r="FA21" s="16"/>
      <c r="FB21" s="16"/>
      <c r="FC21" s="16"/>
      <c r="FD21" s="16"/>
      <c r="FE21" s="16"/>
      <c r="FF21" s="16"/>
      <c r="FG21" s="16"/>
      <c r="FH21" s="16"/>
      <c r="FI21" s="16"/>
      <c r="FJ21" s="16"/>
      <c r="FK21" s="760"/>
      <c r="FL21" s="16"/>
      <c r="FM21" s="16"/>
      <c r="FN21" s="12"/>
      <c r="FO21" s="16">
        <f t="shared" si="3"/>
        <v>0</v>
      </c>
      <c r="FP21" s="16">
        <f t="shared" si="21"/>
        <v>0</v>
      </c>
      <c r="FQ21" s="16" t="e">
        <f>FL21-#REF!</f>
        <v>#REF!</v>
      </c>
      <c r="FR21" s="16">
        <f t="shared" si="22"/>
        <v>0</v>
      </c>
      <c r="FS21" s="16">
        <f t="shared" si="13"/>
        <v>0</v>
      </c>
      <c r="FT21" s="16">
        <f>SUM($FJ21:FK21)</f>
        <v>0</v>
      </c>
      <c r="FU21" s="16"/>
      <c r="FV21" s="16"/>
    </row>
    <row r="22" spans="3:180" hidden="1" outlineLevel="1" x14ac:dyDescent="0.35">
      <c r="E22" s="14" t="s">
        <v>100</v>
      </c>
      <c r="F22" s="11"/>
      <c r="G22" s="11"/>
      <c r="H22" s="11"/>
      <c r="I22" s="11"/>
      <c r="J22" s="11"/>
      <c r="K22" s="11"/>
      <c r="L22" s="11"/>
      <c r="M22" s="445"/>
      <c r="N22" s="445"/>
      <c r="O22" s="445"/>
      <c r="P22" s="16">
        <f t="shared" si="20"/>
        <v>0</v>
      </c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>
        <f t="shared" si="25"/>
        <v>100398.1113034039</v>
      </c>
      <c r="BA22" s="16"/>
      <c r="BB22" s="16">
        <f t="shared" si="26"/>
        <v>0</v>
      </c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v>0</v>
      </c>
      <c r="CM22" s="16">
        <v>0</v>
      </c>
      <c r="CN22" s="16">
        <v>0</v>
      </c>
      <c r="CO22" s="16">
        <v>0</v>
      </c>
      <c r="CP22" s="16">
        <v>0</v>
      </c>
      <c r="CQ22" s="16">
        <v>0</v>
      </c>
      <c r="CR22" s="16">
        <v>0</v>
      </c>
      <c r="CS22" s="16">
        <v>0</v>
      </c>
      <c r="CT22" s="16">
        <v>0</v>
      </c>
      <c r="CU22" s="16">
        <v>0</v>
      </c>
      <c r="CV22" s="16">
        <v>0</v>
      </c>
      <c r="CW22" s="16">
        <v>0</v>
      </c>
      <c r="CX22" s="16">
        <v>0</v>
      </c>
      <c r="CY22" s="16">
        <v>0</v>
      </c>
      <c r="CZ22" s="16">
        <v>0</v>
      </c>
      <c r="DA22" s="16">
        <v>0</v>
      </c>
      <c r="DB22" s="16">
        <v>0</v>
      </c>
      <c r="DC22" s="16">
        <v>0</v>
      </c>
      <c r="DD22" s="16">
        <v>0</v>
      </c>
      <c r="DE22" s="16">
        <v>0</v>
      </c>
      <c r="DF22" s="16">
        <v>0</v>
      </c>
      <c r="DG22" s="16">
        <v>0</v>
      </c>
      <c r="DH22" s="16">
        <v>0</v>
      </c>
      <c r="DI22" s="16">
        <v>0</v>
      </c>
      <c r="DJ22" s="16">
        <v>0</v>
      </c>
      <c r="DK22" s="16">
        <v>0</v>
      </c>
      <c r="DL22" s="16">
        <v>0</v>
      </c>
      <c r="DM22" s="16">
        <v>-2.9132252166164108E-13</v>
      </c>
      <c r="DN22" s="16">
        <v>0</v>
      </c>
      <c r="DO22" s="16">
        <v>0</v>
      </c>
      <c r="DP22" s="16">
        <v>0</v>
      </c>
      <c r="DQ22" s="16">
        <v>38565.67</v>
      </c>
      <c r="DR22" s="16"/>
      <c r="DS22" s="16"/>
      <c r="DT22" s="12"/>
      <c r="DU22" s="12"/>
      <c r="DV22" s="16">
        <v>44036.678825022434</v>
      </c>
      <c r="DW22" s="12"/>
      <c r="EB22" s="16">
        <v>6171.62</v>
      </c>
      <c r="EC22" s="16"/>
      <c r="ED22" s="16"/>
      <c r="EE22" s="16">
        <v>5892.71</v>
      </c>
      <c r="EF22" s="16">
        <v>5134.99</v>
      </c>
      <c r="EG22" s="16"/>
      <c r="EH22" s="16">
        <v>59532.1</v>
      </c>
      <c r="EI22" s="16">
        <v>60455.185593357135</v>
      </c>
      <c r="EJ22" s="16">
        <v>60972.670073513276</v>
      </c>
      <c r="EK22" s="16">
        <v>59497.588926364602</v>
      </c>
      <c r="EL22" s="16">
        <v>58746.152097656937</v>
      </c>
      <c r="EM22" s="16">
        <v>58444.20540353586</v>
      </c>
      <c r="EN22" s="16">
        <v>58502.621888049987</v>
      </c>
      <c r="EO22" s="16"/>
      <c r="EP22" s="16">
        <v>120586.73073933415</v>
      </c>
      <c r="EQ22" s="16">
        <v>59980.512571190178</v>
      </c>
      <c r="ER22" s="16">
        <v>59785.806814625605</v>
      </c>
      <c r="ES22" s="16">
        <v>60070.816825118141</v>
      </c>
      <c r="ET22" s="16">
        <v>60236.847487222658</v>
      </c>
      <c r="EU22" s="16"/>
      <c r="EV22" s="16">
        <v>9073.0199898951196</v>
      </c>
      <c r="EW22" s="16">
        <v>-75072.217282012105</v>
      </c>
      <c r="EX22" s="16">
        <v>28900.830732934701</v>
      </c>
      <c r="EY22" s="16">
        <v>28514.268483726632</v>
      </c>
      <c r="EZ22" s="16">
        <v>27704.755354466048</v>
      </c>
      <c r="FA22" s="16">
        <v>27152.297904056381</v>
      </c>
      <c r="FB22" s="16">
        <v>26715.191303149899</v>
      </c>
      <c r="FC22" s="16">
        <v>26356.032042604202</v>
      </c>
      <c r="FD22" s="16">
        <v>26434.99</v>
      </c>
      <c r="FE22" s="16"/>
      <c r="FF22" s="16">
        <v>26444.2357164151</v>
      </c>
      <c r="FG22" s="16">
        <v>47518.885586988799</v>
      </c>
      <c r="FH22" s="16">
        <v>48394.427478292397</v>
      </c>
      <c r="FI22" s="16">
        <v>48000.367782968999</v>
      </c>
      <c r="FJ22" s="16"/>
      <c r="FK22" s="760"/>
      <c r="FL22" s="16"/>
      <c r="FM22" s="16"/>
      <c r="FN22" s="12"/>
      <c r="FO22" s="16">
        <f t="shared" si="3"/>
        <v>0</v>
      </c>
      <c r="FP22" s="16">
        <f t="shared" si="21"/>
        <v>0</v>
      </c>
      <c r="FQ22" s="16" t="e">
        <f>FL22-#REF!</f>
        <v>#REF!</v>
      </c>
      <c r="FR22" s="16">
        <f t="shared" si="22"/>
        <v>0</v>
      </c>
      <c r="FS22" s="16">
        <f t="shared" si="13"/>
        <v>0</v>
      </c>
      <c r="FT22" s="16">
        <f>SUM($FJ22:FK22)</f>
        <v>0</v>
      </c>
      <c r="FU22" s="16"/>
      <c r="FV22" s="16"/>
    </row>
    <row r="23" spans="3:180" hidden="1" outlineLevel="1" x14ac:dyDescent="0.35">
      <c r="E23" s="14" t="s">
        <v>101</v>
      </c>
      <c r="F23" s="11"/>
      <c r="G23" s="11"/>
      <c r="H23" s="11"/>
      <c r="I23" s="11"/>
      <c r="J23" s="11"/>
      <c r="K23" s="11"/>
      <c r="L23" s="11"/>
      <c r="M23" s="445"/>
      <c r="N23" s="445"/>
      <c r="O23" s="445"/>
      <c r="P23" s="16">
        <f t="shared" si="20"/>
        <v>4000</v>
      </c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>
        <f t="shared" si="25"/>
        <v>0</v>
      </c>
      <c r="BA23" s="16"/>
      <c r="BB23" s="16">
        <f t="shared" si="26"/>
        <v>4000</v>
      </c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  <c r="DO23" s="16"/>
      <c r="DP23" s="16"/>
      <c r="DQ23" s="16"/>
      <c r="DR23" s="16"/>
      <c r="DS23" s="16"/>
      <c r="DT23" s="12"/>
      <c r="DU23" s="12"/>
      <c r="DV23" s="16"/>
      <c r="DW23" s="12"/>
      <c r="EB23" s="16"/>
      <c r="EC23" s="16"/>
      <c r="ED23" s="16"/>
      <c r="EE23" s="16"/>
      <c r="EF23" s="16"/>
      <c r="EG23" s="16"/>
      <c r="EH23" s="16"/>
      <c r="EI23" s="16"/>
      <c r="EJ23" s="16"/>
      <c r="EK23" s="16">
        <v>6456.5587988597799</v>
      </c>
      <c r="EL23" s="16">
        <v>1222.75</v>
      </c>
      <c r="EM23" s="16">
        <v>3385.08</v>
      </c>
      <c r="EN23" s="16">
        <v>9687.5</v>
      </c>
      <c r="EO23" s="16">
        <v>7181.9430009441903</v>
      </c>
      <c r="EP23" s="16">
        <v>2611.1058165196418</v>
      </c>
      <c r="EQ23" s="16">
        <v>3310.9723653329925</v>
      </c>
      <c r="ER23" s="16"/>
      <c r="ES23" s="16"/>
      <c r="ET23" s="16"/>
      <c r="EU23" s="16">
        <v>6461.79</v>
      </c>
      <c r="EV23" s="16"/>
      <c r="EW23" s="16">
        <v>2500</v>
      </c>
      <c r="EX23" s="16">
        <v>4185.57</v>
      </c>
      <c r="EY23" s="16"/>
      <c r="EZ23" s="16">
        <v>300.02</v>
      </c>
      <c r="FB23" s="16">
        <v>144.69816005680599</v>
      </c>
      <c r="FC23" s="16">
        <v>875</v>
      </c>
      <c r="FD23" s="16"/>
      <c r="FE23" s="16"/>
      <c r="FF23" s="16"/>
      <c r="FG23" s="16"/>
      <c r="FH23" s="16">
        <v>2964.7182917749401</v>
      </c>
      <c r="FI23" s="16"/>
      <c r="FJ23" s="16">
        <v>4000</v>
      </c>
      <c r="FK23" s="760"/>
      <c r="FL23" s="16"/>
      <c r="FM23" s="16"/>
      <c r="FN23" s="12"/>
      <c r="FO23" s="16">
        <f t="shared" si="3"/>
        <v>-4000</v>
      </c>
      <c r="FP23" s="16">
        <f t="shared" si="21"/>
        <v>0</v>
      </c>
      <c r="FQ23" s="16" t="e">
        <f>FL23-#REF!</f>
        <v>#REF!</v>
      </c>
      <c r="FR23" s="16">
        <f t="shared" si="22"/>
        <v>4000</v>
      </c>
      <c r="FS23" s="16">
        <f t="shared" si="13"/>
        <v>0</v>
      </c>
      <c r="FT23" s="16">
        <f>SUM($FJ23:FK23)</f>
        <v>4000</v>
      </c>
      <c r="FU23" s="16"/>
      <c r="FV23" s="16"/>
    </row>
    <row r="24" spans="3:180" hidden="1" outlineLevel="1" x14ac:dyDescent="0.35">
      <c r="E24" s="14" t="s">
        <v>102</v>
      </c>
      <c r="F24" s="11"/>
      <c r="G24" s="11"/>
      <c r="H24" s="11"/>
      <c r="I24" s="11"/>
      <c r="J24" s="11"/>
      <c r="K24" s="11"/>
      <c r="L24" s="11"/>
      <c r="M24" s="445"/>
      <c r="N24" s="445"/>
      <c r="O24" s="445"/>
      <c r="P24" s="16">
        <f t="shared" si="20"/>
        <v>7125</v>
      </c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>
        <f t="shared" si="26"/>
        <v>11125</v>
      </c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2"/>
      <c r="DU24" s="12"/>
      <c r="DV24" s="16"/>
      <c r="DW24" s="12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B24" s="16"/>
      <c r="FC24" s="16"/>
      <c r="FD24" s="16"/>
      <c r="FE24" s="16"/>
      <c r="FF24" s="16">
        <v>3125</v>
      </c>
      <c r="FG24" s="16">
        <v>0</v>
      </c>
      <c r="FH24" s="16">
        <v>3125</v>
      </c>
      <c r="FI24" s="16"/>
      <c r="FJ24" s="16">
        <v>7125</v>
      </c>
      <c r="FK24" s="760">
        <v>4000</v>
      </c>
      <c r="FL24" s="16"/>
      <c r="FM24" s="16"/>
      <c r="FN24" s="12"/>
      <c r="FO24" s="16">
        <f t="shared" si="3"/>
        <v>-3125</v>
      </c>
      <c r="FP24" s="16">
        <f t="shared" si="21"/>
        <v>4000</v>
      </c>
      <c r="FQ24" s="16" t="e">
        <f>FL24-#REF!</f>
        <v>#REF!</v>
      </c>
      <c r="FR24" s="16">
        <f t="shared" si="22"/>
        <v>3125</v>
      </c>
      <c r="FS24" s="16">
        <f t="shared" si="13"/>
        <v>4000</v>
      </c>
      <c r="FT24" s="16">
        <f>SUM($FJ24:FK24)</f>
        <v>11125</v>
      </c>
      <c r="FU24" s="16"/>
      <c r="FV24" s="16"/>
      <c r="FX24" s="12"/>
    </row>
    <row r="25" spans="3:180" collapsed="1" x14ac:dyDescent="0.35">
      <c r="C25" s="21" t="s">
        <v>103</v>
      </c>
      <c r="D25" s="22"/>
      <c r="E25" s="22"/>
      <c r="F25" s="23">
        <f t="shared" ref="F25:J25" si="27">SUM(F13:F14,F7)</f>
        <v>8879000</v>
      </c>
      <c r="G25" s="23">
        <f t="shared" si="27"/>
        <v>9335683</v>
      </c>
      <c r="H25" s="23">
        <f t="shared" si="27"/>
        <v>9716714</v>
      </c>
      <c r="I25" s="23">
        <f t="shared" si="27"/>
        <v>12497272</v>
      </c>
      <c r="J25" s="23">
        <f t="shared" si="27"/>
        <v>14813333.950000003</v>
      </c>
      <c r="K25" s="23">
        <f>SUM(K13:K14,K7)</f>
        <v>16668427.719999999</v>
      </c>
      <c r="L25" s="23">
        <f>SUM(L13:L14,L7)</f>
        <v>21796861.603311054</v>
      </c>
      <c r="M25" s="23">
        <f ca="1">SUM(M13:M14,M7)</f>
        <v>23972186.374690823</v>
      </c>
      <c r="N25" s="23">
        <f ca="1">SUM(AT25:AW25)</f>
        <v>24551108.448442321</v>
      </c>
      <c r="O25" s="23">
        <f>SUM(AX25:BA25)</f>
        <v>25616576.816555519</v>
      </c>
      <c r="P25" s="23">
        <f t="shared" si="20"/>
        <v>2119571.0683699152</v>
      </c>
      <c r="Q25" s="24"/>
      <c r="R25" s="24">
        <f t="shared" ref="R25:AO25" si="28">SUM(R13:R14,R7)</f>
        <v>2290498</v>
      </c>
      <c r="S25" s="24">
        <f t="shared" si="28"/>
        <v>2085171</v>
      </c>
      <c r="T25" s="24">
        <f t="shared" si="28"/>
        <v>2222899</v>
      </c>
      <c r="U25" s="24">
        <f t="shared" si="28"/>
        <v>2737115</v>
      </c>
      <c r="V25" s="24">
        <f t="shared" si="28"/>
        <v>2079727</v>
      </c>
      <c r="W25" s="24">
        <f t="shared" si="28"/>
        <v>2216356</v>
      </c>
      <c r="X25" s="24">
        <f t="shared" si="28"/>
        <v>2538926</v>
      </c>
      <c r="Y25" s="24">
        <f t="shared" si="28"/>
        <v>2881705</v>
      </c>
      <c r="Z25" s="24">
        <f t="shared" si="28"/>
        <v>2797183</v>
      </c>
      <c r="AA25" s="24">
        <f t="shared" si="28"/>
        <v>2958804</v>
      </c>
      <c r="AB25" s="24">
        <f t="shared" si="28"/>
        <v>3246985</v>
      </c>
      <c r="AC25" s="24">
        <f t="shared" si="28"/>
        <v>3494300</v>
      </c>
      <c r="AD25" s="24">
        <f t="shared" si="28"/>
        <v>3757169</v>
      </c>
      <c r="AE25" s="24">
        <f t="shared" si="28"/>
        <v>3914162</v>
      </c>
      <c r="AF25" s="24">
        <f t="shared" si="28"/>
        <v>3544066.5100000002</v>
      </c>
      <c r="AG25" s="24">
        <f t="shared" si="28"/>
        <v>3597936.4400000004</v>
      </c>
      <c r="AH25" s="24">
        <f>SUM(AH13:AH14,AH7)</f>
        <v>3620070.6999999993</v>
      </c>
      <c r="AI25" s="24">
        <f t="shared" si="28"/>
        <v>4006644.4800000004</v>
      </c>
      <c r="AJ25" s="24">
        <f t="shared" si="28"/>
        <v>4499385.88</v>
      </c>
      <c r="AK25" s="24">
        <f t="shared" si="28"/>
        <v>4542326.66</v>
      </c>
      <c r="AL25" s="24">
        <f t="shared" si="28"/>
        <v>4656365.6100000003</v>
      </c>
      <c r="AM25" s="24">
        <f t="shared" si="28"/>
        <v>5294242.3199999994</v>
      </c>
      <c r="AN25" s="24">
        <f>SUM(AN13:AN14,AN7)</f>
        <v>5785484.1346397875</v>
      </c>
      <c r="AO25" s="24">
        <f t="shared" si="28"/>
        <v>6060769.5386712654</v>
      </c>
      <c r="AP25" s="24">
        <f>SUM(AP13:AP14,AP7)</f>
        <v>5743125.6200000001</v>
      </c>
      <c r="AQ25" s="24">
        <f t="shared" ref="AQ25:AS25" ca="1" si="29">SUM(AQ13:AQ14,AQ7)</f>
        <v>5863187.4000000004</v>
      </c>
      <c r="AR25" s="24">
        <f t="shared" ca="1" si="29"/>
        <v>6030346.4735170789</v>
      </c>
      <c r="AS25" s="24">
        <f t="shared" ca="1" si="29"/>
        <v>6335526.8811737439</v>
      </c>
      <c r="AT25" s="24">
        <f t="shared" si="11"/>
        <v>6328765.735848397</v>
      </c>
      <c r="AU25" s="24">
        <f ca="1">OFFSET($EL25,0,AU$4)+OFFSET($EM25,0,AU$4)+OFFSET($EN25,0,AU$4)</f>
        <v>6334930.9447650975</v>
      </c>
      <c r="AV25" s="24">
        <f ca="1">OFFSET($EL25,0,AV$4)+OFFSET($EM25,0,AV$4)+OFFSET($EN25,0,AV$4)</f>
        <v>6068776.3128730925</v>
      </c>
      <c r="AW25" s="24">
        <f ca="1">OFFSET($EL25,0,AW$4)+OFFSET($EM25,0,AW$4)+OFFSET($EN25,0,AW$4)</f>
        <v>5818635.4549557352</v>
      </c>
      <c r="AX25" s="24">
        <f>SUM(EX25:EZ25)</f>
        <v>6028427.7855726723</v>
      </c>
      <c r="AY25" s="24">
        <f t="shared" ref="AY25" si="30">SUM(FA25:FC25)</f>
        <v>6044092.3084707549</v>
      </c>
      <c r="AZ25" s="24">
        <f>SUM(FD25:FF25)</f>
        <v>6845234.9188225111</v>
      </c>
      <c r="BA25" s="24">
        <f>SUM(FG25:FI25)</f>
        <v>6698821.8036895804</v>
      </c>
      <c r="BB25" s="24">
        <f>SUM(FJ25:FL25)</f>
        <v>4167313.4458745094</v>
      </c>
      <c r="BC25" s="24"/>
      <c r="BD25" s="24"/>
      <c r="BE25" s="24"/>
      <c r="BF25" s="24">
        <f t="shared" ref="BF25:CK25" si="31">SUM(BF13:BF14,BF7)</f>
        <v>1163191</v>
      </c>
      <c r="BG25" s="24">
        <f t="shared" si="31"/>
        <v>495678</v>
      </c>
      <c r="BH25" s="24">
        <f t="shared" si="31"/>
        <v>631629</v>
      </c>
      <c r="BI25" s="24">
        <f t="shared" si="31"/>
        <v>621618</v>
      </c>
      <c r="BJ25" s="24">
        <f t="shared" si="31"/>
        <v>838345</v>
      </c>
      <c r="BK25" s="24">
        <f t="shared" si="31"/>
        <v>625208</v>
      </c>
      <c r="BL25" s="24">
        <f t="shared" si="31"/>
        <v>637785</v>
      </c>
      <c r="BM25" s="24">
        <f t="shared" si="31"/>
        <v>780253</v>
      </c>
      <c r="BN25" s="24">
        <f t="shared" si="31"/>
        <v>804861</v>
      </c>
      <c r="BO25" s="24">
        <f t="shared" si="31"/>
        <v>1297521</v>
      </c>
      <c r="BP25" s="24">
        <f t="shared" si="31"/>
        <v>758892</v>
      </c>
      <c r="BQ25" s="24">
        <f t="shared" si="31"/>
        <v>680702</v>
      </c>
      <c r="BR25" s="24">
        <f t="shared" si="31"/>
        <v>678590</v>
      </c>
      <c r="BS25" s="24">
        <f t="shared" si="31"/>
        <v>689828</v>
      </c>
      <c r="BT25" s="24">
        <f t="shared" si="31"/>
        <v>711309</v>
      </c>
      <c r="BU25" s="24">
        <f t="shared" si="31"/>
        <v>799474</v>
      </c>
      <c r="BV25" s="24">
        <f t="shared" si="31"/>
        <v>704652</v>
      </c>
      <c r="BW25" s="24">
        <f t="shared" si="31"/>
        <v>712230</v>
      </c>
      <c r="BX25" s="24">
        <f t="shared" si="31"/>
        <v>932608</v>
      </c>
      <c r="BY25" s="24">
        <f t="shared" si="31"/>
        <v>790244</v>
      </c>
      <c r="BZ25" s="24">
        <f t="shared" si="31"/>
        <v>816074</v>
      </c>
      <c r="CA25" s="24">
        <f t="shared" si="31"/>
        <v>930901</v>
      </c>
      <c r="CB25" s="24">
        <f t="shared" si="31"/>
        <v>851311</v>
      </c>
      <c r="CC25" s="24">
        <f t="shared" si="31"/>
        <v>1099493</v>
      </c>
      <c r="CD25" s="24">
        <f t="shared" si="31"/>
        <v>956336</v>
      </c>
      <c r="CE25" s="24">
        <f t="shared" si="31"/>
        <v>856023</v>
      </c>
      <c r="CF25" s="24">
        <f t="shared" si="31"/>
        <v>984824</v>
      </c>
      <c r="CG25" s="24">
        <f t="shared" si="31"/>
        <v>1144387</v>
      </c>
      <c r="CH25" s="24">
        <f t="shared" si="31"/>
        <v>901816</v>
      </c>
      <c r="CI25" s="24">
        <f t="shared" si="31"/>
        <v>912601</v>
      </c>
      <c r="CJ25" s="24">
        <f t="shared" si="31"/>
        <v>1025183</v>
      </c>
      <c r="CK25" s="24">
        <f t="shared" si="31"/>
        <v>1027440</v>
      </c>
      <c r="CL25" s="24">
        <f t="shared" ref="CL25:DN25" si="32">SUM(CL13:CL14,CL7)</f>
        <v>1194362</v>
      </c>
      <c r="CM25" s="24">
        <f t="shared" si="32"/>
        <v>1095889</v>
      </c>
      <c r="CN25" s="24">
        <f t="shared" si="32"/>
        <v>1195252</v>
      </c>
      <c r="CO25" s="24">
        <f t="shared" si="32"/>
        <v>1203159</v>
      </c>
      <c r="CP25" s="24">
        <f t="shared" si="32"/>
        <v>1378118</v>
      </c>
      <c r="CQ25" s="24">
        <f t="shared" si="32"/>
        <v>1157269</v>
      </c>
      <c r="CR25" s="24">
        <f t="shared" si="32"/>
        <v>1221782</v>
      </c>
      <c r="CS25" s="24">
        <f t="shared" si="32"/>
        <v>1208836</v>
      </c>
      <c r="CT25" s="24">
        <f t="shared" si="32"/>
        <v>1391160</v>
      </c>
      <c r="CU25" s="24">
        <f t="shared" si="32"/>
        <v>1314166</v>
      </c>
      <c r="CV25" s="24">
        <f t="shared" si="32"/>
        <v>1125097</v>
      </c>
      <c r="CW25" s="24">
        <f t="shared" si="32"/>
        <v>1088547.99</v>
      </c>
      <c r="CX25" s="24">
        <f t="shared" si="32"/>
        <v>1330421.5200000003</v>
      </c>
      <c r="CY25" s="24">
        <f t="shared" si="32"/>
        <v>1281091.57</v>
      </c>
      <c r="CZ25" s="24">
        <f t="shared" si="32"/>
        <v>1163406.9600000002</v>
      </c>
      <c r="DA25" s="24">
        <f t="shared" si="32"/>
        <v>1153437.9099999999</v>
      </c>
      <c r="DB25" s="24">
        <f t="shared" si="32"/>
        <v>1306304.22</v>
      </c>
      <c r="DC25" s="24">
        <f t="shared" si="32"/>
        <v>1165405.5999999996</v>
      </c>
      <c r="DD25" s="24">
        <f t="shared" si="32"/>
        <v>1148360.8799999999</v>
      </c>
      <c r="DE25" s="24">
        <f t="shared" si="32"/>
        <v>1236281.81</v>
      </c>
      <c r="DF25" s="24">
        <f t="shared" si="32"/>
        <v>1232758.6700000002</v>
      </c>
      <c r="DG25" s="24">
        <f t="shared" si="32"/>
        <v>1537604</v>
      </c>
      <c r="DH25" s="24">
        <f t="shared" si="32"/>
        <v>1529113.33</v>
      </c>
      <c r="DI25" s="24">
        <f t="shared" si="32"/>
        <v>1517957.7399999998</v>
      </c>
      <c r="DJ25" s="24">
        <f t="shared" si="32"/>
        <v>1452314.81</v>
      </c>
      <c r="DK25" s="24">
        <f t="shared" si="32"/>
        <v>1473345.15</v>
      </c>
      <c r="DL25" s="24">
        <f t="shared" si="32"/>
        <v>1491328.7699999998</v>
      </c>
      <c r="DM25" s="24">
        <f t="shared" si="32"/>
        <v>1577652.7400000002</v>
      </c>
      <c r="DN25" s="24">
        <f t="shared" si="32"/>
        <v>1475293.07</v>
      </c>
      <c r="DO25" s="24">
        <f t="shared" ref="DO25:DS25" si="33">SUM(DO13:DO14,DO7)</f>
        <v>1460935.3</v>
      </c>
      <c r="DP25" s="24">
        <f t="shared" si="33"/>
        <v>1720137.24</v>
      </c>
      <c r="DQ25" s="24">
        <f t="shared" si="33"/>
        <v>1763249.27</v>
      </c>
      <c r="DR25" s="24">
        <f t="shared" si="33"/>
        <v>1850249.93</v>
      </c>
      <c r="DS25" s="24">
        <f t="shared" si="33"/>
        <v>1680743.1199999999</v>
      </c>
      <c r="DT25" s="24">
        <f t="shared" ref="DT25:DX25" si="34">SUM(DT13:DT14,DT7)</f>
        <v>1725754.6038278227</v>
      </c>
      <c r="DU25" s="24">
        <f t="shared" si="34"/>
        <v>1862687.9408119649</v>
      </c>
      <c r="DV25" s="24">
        <f t="shared" si="34"/>
        <v>2197041.5900000003</v>
      </c>
      <c r="DW25" s="24">
        <f t="shared" si="34"/>
        <v>1822986.3286712656</v>
      </c>
      <c r="DX25" s="24">
        <f t="shared" si="34"/>
        <v>2021313.66</v>
      </c>
      <c r="DY25" s="548">
        <f t="shared" ref="DY25:EB25" si="35">SUM(DY13:DY14,DY7)</f>
        <v>2216469.5500000003</v>
      </c>
      <c r="DZ25" s="24">
        <f t="shared" si="35"/>
        <v>1831328.22</v>
      </c>
      <c r="EA25" s="24">
        <f t="shared" si="35"/>
        <v>1835207.4900000002</v>
      </c>
      <c r="EB25" s="24">
        <f t="shared" si="35"/>
        <v>2076589.9099999997</v>
      </c>
      <c r="EC25" s="24">
        <f t="shared" ref="EC25:EG25" si="36">SUM(EC13:EC14,EC7)</f>
        <v>1914319.8</v>
      </c>
      <c r="ED25" s="24">
        <f t="shared" si="36"/>
        <v>1918364.8800000004</v>
      </c>
      <c r="EE25" s="24">
        <f t="shared" si="36"/>
        <v>2030502.7200000002</v>
      </c>
      <c r="EF25" s="24">
        <f t="shared" si="36"/>
        <v>2012283.1056106868</v>
      </c>
      <c r="EG25" s="24">
        <f t="shared" si="36"/>
        <v>1979827.2375426479</v>
      </c>
      <c r="EH25" s="24">
        <f t="shared" ref="EH25:EM25" si="37">SUM(EH13:EH14,EH7)</f>
        <v>2038236.130363744</v>
      </c>
      <c r="EI25" s="24">
        <f t="shared" si="37"/>
        <v>2078646.0369077618</v>
      </c>
      <c r="EJ25" s="24">
        <f t="shared" si="37"/>
        <v>2087612.2442916043</v>
      </c>
      <c r="EK25" s="548">
        <f t="shared" si="37"/>
        <v>2169268.5999743775</v>
      </c>
      <c r="EL25" s="548">
        <f t="shared" si="37"/>
        <v>1964329.0337536104</v>
      </c>
      <c r="EM25" s="548">
        <f t="shared" si="37"/>
        <v>2077947.5739813403</v>
      </c>
      <c r="EN25" s="548">
        <f t="shared" ref="EN25:EZ25" si="38">SUM(EN13:EN14,EN7)</f>
        <v>2286489.1281134463</v>
      </c>
      <c r="EO25" s="548">
        <f t="shared" si="38"/>
        <v>2001057.1323808986</v>
      </c>
      <c r="EP25" s="548">
        <f t="shared" si="38"/>
        <v>2189795.7136087879</v>
      </c>
      <c r="EQ25" s="548">
        <f t="shared" si="38"/>
        <v>2144078.098775411</v>
      </c>
      <c r="ER25" s="548">
        <f t="shared" si="38"/>
        <v>2023869.6139062394</v>
      </c>
      <c r="ES25" s="548">
        <f t="shared" si="38"/>
        <v>2078680.8794454192</v>
      </c>
      <c r="ET25" s="548">
        <f t="shared" si="38"/>
        <v>1966225.8195214337</v>
      </c>
      <c r="EU25" s="548">
        <f t="shared" si="38"/>
        <v>1978937.185077098</v>
      </c>
      <c r="EV25" s="548">
        <f t="shared" si="38"/>
        <v>2036014.8998786372</v>
      </c>
      <c r="EW25" s="548">
        <f t="shared" si="38"/>
        <v>1803683.37</v>
      </c>
      <c r="EX25" s="548">
        <f t="shared" si="38"/>
        <v>1952815.8360002679</v>
      </c>
      <c r="EY25" s="548">
        <f t="shared" si="38"/>
        <v>2177412.1173977889</v>
      </c>
      <c r="EZ25" s="548">
        <f t="shared" si="38"/>
        <v>1898199.832174615</v>
      </c>
      <c r="FA25" s="548">
        <f t="shared" ref="FA25:FE25" si="39">SUM(FA13:FA14,FA7)</f>
        <v>1997055.5128785269</v>
      </c>
      <c r="FB25" s="548">
        <f t="shared" si="39"/>
        <v>2054476.5398099069</v>
      </c>
      <c r="FC25" s="548">
        <f t="shared" si="39"/>
        <v>1992560.2557823211</v>
      </c>
      <c r="FD25" s="548">
        <f t="shared" si="39"/>
        <v>2211328.0229019444</v>
      </c>
      <c r="FE25" s="548">
        <f t="shared" si="39"/>
        <v>2221559.2441607066</v>
      </c>
      <c r="FF25" s="548">
        <f>SUM(FF13:FF14,FF7)</f>
        <v>2412347.6517598601</v>
      </c>
      <c r="FG25" s="548">
        <f t="shared" ref="FG25:FK25" si="40">SUM(FG13:FG14,FG7)</f>
        <v>2169538.2936562337</v>
      </c>
      <c r="FH25" s="548">
        <f t="shared" si="40"/>
        <v>2191454.6454517161</v>
      </c>
      <c r="FI25" s="548">
        <f t="shared" si="40"/>
        <v>2337828.864581631</v>
      </c>
      <c r="FJ25" s="548">
        <f t="shared" si="40"/>
        <v>2119571.0683699152</v>
      </c>
      <c r="FK25" s="761">
        <f t="shared" si="40"/>
        <v>2047742.3775045939</v>
      </c>
      <c r="FL25" s="548"/>
      <c r="FM25" s="548"/>
      <c r="FN25" s="24">
        <f>'Financial plan'!EZ21</f>
        <v>2274341.5317488802</v>
      </c>
      <c r="FO25" s="548">
        <f t="shared" si="3"/>
        <v>-71828.690865321318</v>
      </c>
      <c r="FP25" s="548">
        <f t="shared" si="21"/>
        <v>-226599.15424428624</v>
      </c>
      <c r="FQ25" s="548" t="e">
        <f>FL25-#REF!</f>
        <v>#REF!</v>
      </c>
      <c r="FR25" s="548">
        <f t="shared" si="22"/>
        <v>71828.690865321318</v>
      </c>
      <c r="FS25" s="548">
        <f t="shared" si="13"/>
        <v>-226599.15424428624</v>
      </c>
      <c r="FT25" s="548">
        <f>SUM($FJ25:FK25)</f>
        <v>4167313.4458745094</v>
      </c>
      <c r="FU25" s="548">
        <f>SUM('Financial plan'!$EY21:EZ21)</f>
        <v>4548683.0634977603</v>
      </c>
      <c r="FV25" s="548">
        <f t="shared" ref="FV25:FV62" si="41">FT25-FU25</f>
        <v>-381369.61762325093</v>
      </c>
      <c r="FX25" s="16"/>
    </row>
    <row r="26" spans="3:180" s="5" customFormat="1" outlineLevel="1" x14ac:dyDescent="0.35">
      <c r="E26" s="6"/>
      <c r="F26" s="7"/>
      <c r="G26" s="7"/>
      <c r="H26" s="7"/>
      <c r="I26" s="7"/>
      <c r="J26" s="7"/>
      <c r="K26" s="7"/>
      <c r="L26" s="8"/>
      <c r="M26" s="525"/>
      <c r="N26" s="525"/>
      <c r="O26" s="525"/>
      <c r="P26" s="525">
        <f t="shared" si="20"/>
        <v>0</v>
      </c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>
        <f t="shared" si="25"/>
        <v>0</v>
      </c>
      <c r="BA26" s="8"/>
      <c r="BB26" s="8">
        <f t="shared" ref="BB26:BB74" si="42">FJ26</f>
        <v>0</v>
      </c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283"/>
      <c r="DB26" s="8"/>
      <c r="DC26" s="8"/>
      <c r="DD26" s="8"/>
      <c r="DE26" s="8"/>
      <c r="DF26" s="8"/>
      <c r="DG26" s="8"/>
      <c r="DH26" s="8"/>
      <c r="DI26" s="8"/>
      <c r="DJ26" s="12"/>
      <c r="DK26" s="12"/>
      <c r="DL26" s="83"/>
      <c r="DM26" s="283"/>
      <c r="DN26" s="283"/>
      <c r="DO26" s="283"/>
      <c r="DP26" s="283"/>
      <c r="DQ26" s="283"/>
      <c r="DR26" s="283"/>
      <c r="DS26" s="283"/>
      <c r="DT26" s="283"/>
      <c r="DU26" s="283"/>
      <c r="DV26" s="8"/>
      <c r="DW26" s="283"/>
      <c r="DX26"/>
      <c r="DY26" s="487"/>
      <c r="ED26" s="312"/>
      <c r="EF26"/>
      <c r="EG26"/>
      <c r="EI26"/>
      <c r="EJ26"/>
      <c r="EK26" s="581"/>
      <c r="EL26" s="581"/>
      <c r="EM26" s="581"/>
      <c r="EN26" s="582"/>
      <c r="EO26" s="581"/>
      <c r="EP26" s="581"/>
      <c r="EQ26" s="581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 s="384"/>
      <c r="FL26"/>
      <c r="FM26"/>
      <c r="FN26" s="8"/>
      <c r="FO26"/>
      <c r="FP26"/>
      <c r="FQ26"/>
      <c r="FR26"/>
      <c r="FS26"/>
      <c r="FT26"/>
      <c r="FU26"/>
      <c r="FV26"/>
      <c r="FX26" s="16"/>
    </row>
    <row r="27" spans="3:180" x14ac:dyDescent="0.35">
      <c r="D27" s="3" t="s">
        <v>104</v>
      </c>
      <c r="F27" s="19"/>
      <c r="G27" s="19"/>
      <c r="H27" s="19"/>
      <c r="I27" s="19"/>
      <c r="J27" s="19"/>
      <c r="K27" s="19"/>
      <c r="L27" s="20"/>
      <c r="M27" s="526"/>
      <c r="N27" s="526"/>
      <c r="O27" s="526"/>
      <c r="P27" s="526">
        <f t="shared" si="20"/>
        <v>0</v>
      </c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>
        <f t="shared" si="42"/>
        <v>0</v>
      </c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82"/>
      <c r="DB27" s="20"/>
      <c r="DC27" s="20"/>
      <c r="DD27" s="20"/>
      <c r="DE27" s="20"/>
      <c r="DF27" s="20"/>
      <c r="DG27" s="20"/>
      <c r="DH27" s="20"/>
      <c r="DI27" s="20"/>
      <c r="DJ27" s="12"/>
      <c r="DK27" s="12"/>
      <c r="DL27" s="12"/>
      <c r="DM27" s="82"/>
      <c r="DN27" s="82"/>
      <c r="DO27" s="82"/>
      <c r="DP27" s="82"/>
      <c r="DQ27" s="82"/>
      <c r="DR27" s="82"/>
      <c r="DS27" s="82"/>
      <c r="DT27" s="82"/>
      <c r="DU27" s="82"/>
      <c r="DV27" s="20"/>
      <c r="DW27" s="82"/>
      <c r="DX27" s="82"/>
      <c r="DY27" s="596"/>
      <c r="ED27" s="54"/>
      <c r="FK27" s="384"/>
      <c r="FN27" s="20"/>
      <c r="FX27" s="16"/>
    </row>
    <row r="28" spans="3:180" s="10" customFormat="1" x14ac:dyDescent="0.35">
      <c r="D28" s="3"/>
      <c r="E28" s="10" t="s">
        <v>9</v>
      </c>
      <c r="F28" s="11">
        <f>F33-F7</f>
        <v>-2971000</v>
      </c>
      <c r="G28" s="11">
        <f>SUM(R28:U28)</f>
        <v>-3832592</v>
      </c>
      <c r="H28" s="11">
        <f>SUM(V28:Y28)</f>
        <v>-3774353</v>
      </c>
      <c r="I28" s="11">
        <f>SUM(Z28:AC28)</f>
        <v>-6409124</v>
      </c>
      <c r="J28" s="11">
        <f>SUM(AD28:AG28)</f>
        <v>-6501073.5999999996</v>
      </c>
      <c r="K28" s="11">
        <f>SUM(AH28:AK28)</f>
        <v>-7814619.71</v>
      </c>
      <c r="L28" s="11">
        <f>SUM(AL28:AO28)</f>
        <v>-10526450.210000001</v>
      </c>
      <c r="M28" s="11">
        <f ca="1">SUM(AP28:AS28)</f>
        <v>-10765425.086139148</v>
      </c>
      <c r="N28" s="11">
        <f ca="1">SUM(AT28:AW28)</f>
        <v>-11705674.242793512</v>
      </c>
      <c r="O28" s="11">
        <f>SUM(AX28:BA28)</f>
        <v>-12397390.270831745</v>
      </c>
      <c r="P28" s="11">
        <f>SUM($FJ28:FK28)</f>
        <v>-2079882.3297005051</v>
      </c>
      <c r="Q28" s="12"/>
      <c r="R28" s="12">
        <f>SUM(BF28:BH28)</f>
        <v>-903401</v>
      </c>
      <c r="S28" s="12">
        <f>SUM(BI28:BK28)</f>
        <v>-1058983</v>
      </c>
      <c r="T28" s="12">
        <f>SUM(BL28:BN28)</f>
        <v>-1041368</v>
      </c>
      <c r="U28" s="12">
        <f>SUM(BO28:BQ28)</f>
        <v>-828840</v>
      </c>
      <c r="V28" s="12">
        <f>SUM(BR28:BT28)</f>
        <v>-792925</v>
      </c>
      <c r="W28" s="12">
        <f>SUM(BU28:BW28)</f>
        <v>-928848</v>
      </c>
      <c r="X28" s="12">
        <f>SUM(BX28:BZ28)</f>
        <v>-1071997</v>
      </c>
      <c r="Y28" s="12">
        <f>SUM(CA28:CC28)</f>
        <v>-980583</v>
      </c>
      <c r="Z28" s="12">
        <f>SUM(CD28:CG28)</f>
        <v>-1770106</v>
      </c>
      <c r="AA28" s="12">
        <f>SUM(CG28:CI28)</f>
        <v>-1466428</v>
      </c>
      <c r="AB28" s="12">
        <f>SUM(CJ28:CL28)</f>
        <v>-1559480</v>
      </c>
      <c r="AC28" s="12">
        <f>SUM(CM28:CO28)</f>
        <v>-1613110</v>
      </c>
      <c r="AD28" s="12">
        <f>SUM(CP28:CR28)</f>
        <v>-1704857</v>
      </c>
      <c r="AE28" s="12">
        <f>SUM(CS28:CU28)</f>
        <v>-1640594</v>
      </c>
      <c r="AF28" s="12">
        <f>SUM(CV28:CX28)</f>
        <v>-1567939.5</v>
      </c>
      <c r="AG28" s="12">
        <f>SUM(CY28:DA28)</f>
        <v>-1587683.1</v>
      </c>
      <c r="AH28" s="12">
        <f>SUM(DB28:DD28)</f>
        <v>-1601546.62</v>
      </c>
      <c r="AI28" s="12">
        <f>SUM(DE28:DG28)</f>
        <v>-1835851.9700000002</v>
      </c>
      <c r="AJ28" s="12">
        <f>SUM(DH28:DJ28)</f>
        <v>-2135067.5299999998</v>
      </c>
      <c r="AK28" s="12">
        <f>SUM(DK28:DM28)</f>
        <v>-2242153.59</v>
      </c>
      <c r="AL28" s="12">
        <f>SUM(DN28:DP28)</f>
        <v>-2234767.7200000002</v>
      </c>
      <c r="AM28" s="12">
        <f>SUM(DQ28:DS28)</f>
        <v>-2606385.2999999998</v>
      </c>
      <c r="AN28" s="12">
        <f>SUM(DT28:DV28)</f>
        <v>-2888517.08</v>
      </c>
      <c r="AO28" s="12">
        <f>SUM(DW28:DY28)</f>
        <v>-2796780.1100000003</v>
      </c>
      <c r="AP28" s="12">
        <f>SUM(DZ28:EB28)</f>
        <v>-2566593.37</v>
      </c>
      <c r="AQ28" s="12">
        <f ca="1">OFFSET($DZ28,0,AQ$4)+OFFSET($EA28,0,AQ$4)+OFFSET($EB28,0,AQ$4)</f>
        <v>-2670701.7300000004</v>
      </c>
      <c r="AR28" s="12">
        <f t="shared" ref="AR28" ca="1" si="43">OFFSET($DZ28,0,AR$4)+OFFSET($EA28,0,AR$4)+OFFSET($EB28,0,AR$4)</f>
        <v>-2797121.8434788482</v>
      </c>
      <c r="AS28" s="12">
        <f ca="1">OFFSET($DZ28,0,AS$4)+OFFSET($EA28,0,AS$4)+OFFSET($EB28,0,AS$4)</f>
        <v>-2731008.1426602993</v>
      </c>
      <c r="AT28" s="12">
        <f t="shared" si="11"/>
        <v>-2779859.560341591</v>
      </c>
      <c r="AU28" s="12">
        <f t="shared" ref="AU28:AW30" ca="1" si="44">OFFSET($EL28,0,AU$4)+OFFSET($EM28,0,AU$4)+OFFSET($EN28,0,AU$4)</f>
        <v>-2881176.9407040249</v>
      </c>
      <c r="AV28" s="12">
        <f t="shared" ca="1" si="44"/>
        <v>-2951614.6853990611</v>
      </c>
      <c r="AW28" s="12">
        <f t="shared" ca="1" si="44"/>
        <v>-3093023.0563488351</v>
      </c>
      <c r="AX28" s="12">
        <f>SUM(EX28:EZ28)</f>
        <v>-2951668.0425075665</v>
      </c>
      <c r="AY28" s="12">
        <f>SUM(FA28:FC28)</f>
        <v>-3010342.8864761852</v>
      </c>
      <c r="AZ28" s="12">
        <f>SUM(FD28:FF28)</f>
        <v>-3153858.9733994035</v>
      </c>
      <c r="BA28" s="12">
        <f>SUM(FG28:FI28)</f>
        <v>-3281520.3684485899</v>
      </c>
      <c r="BB28" s="12">
        <f>SUM(FJ28:FL28)</f>
        <v>-2079882.3297005051</v>
      </c>
      <c r="BC28" s="12"/>
      <c r="BD28" s="12"/>
      <c r="BE28" s="12"/>
      <c r="BF28" s="12">
        <v>-237878</v>
      </c>
      <c r="BG28" s="12">
        <v>-261878</v>
      </c>
      <c r="BH28" s="12">
        <v>-403645</v>
      </c>
      <c r="BI28" s="12">
        <v>-420236</v>
      </c>
      <c r="BJ28" s="12">
        <v>-330134</v>
      </c>
      <c r="BK28" s="12">
        <v>-308613</v>
      </c>
      <c r="BL28" s="12">
        <v>-272961</v>
      </c>
      <c r="BM28" s="12">
        <v>-318902</v>
      </c>
      <c r="BN28" s="12">
        <v>-449505</v>
      </c>
      <c r="BO28" s="12">
        <v>-313061</v>
      </c>
      <c r="BP28" s="12">
        <v>-243781</v>
      </c>
      <c r="BQ28" s="12">
        <v>-271998</v>
      </c>
      <c r="BR28" s="12">
        <v>-286590</v>
      </c>
      <c r="BS28" s="12">
        <v>-253632</v>
      </c>
      <c r="BT28" s="12">
        <v>-252703</v>
      </c>
      <c r="BU28" s="12">
        <f>-308975</f>
        <v>-308975</v>
      </c>
      <c r="BV28" s="12">
        <v>-316922</v>
      </c>
      <c r="BW28" s="12">
        <v>-302951</v>
      </c>
      <c r="BX28" s="12">
        <f>-388761+26000</f>
        <v>-362761</v>
      </c>
      <c r="BY28" s="12">
        <f>-296101-70000+4000</f>
        <v>-362101</v>
      </c>
      <c r="BZ28" s="12">
        <f>-347135</f>
        <v>-347135</v>
      </c>
      <c r="CA28" s="12">
        <v>-356582</v>
      </c>
      <c r="CB28" s="12">
        <v>-377316</v>
      </c>
      <c r="CC28" s="12">
        <f>-246685</f>
        <v>-246685</v>
      </c>
      <c r="CD28" s="12">
        <f>-403145+20000-17000-5000</f>
        <v>-405145</v>
      </c>
      <c r="CE28" s="12">
        <f>-463242+36000+17000</f>
        <v>-410242</v>
      </c>
      <c r="CF28" s="12">
        <f>-455810-11400-10000+15000</f>
        <v>-462210</v>
      </c>
      <c r="CG28" s="12">
        <f>-505009+12500</f>
        <v>-492509</v>
      </c>
      <c r="CH28" s="12">
        <f>-457032-8024</f>
        <v>-465056</v>
      </c>
      <c r="CI28" s="12">
        <v>-508863</v>
      </c>
      <c r="CJ28" s="12">
        <v>-513448</v>
      </c>
      <c r="CK28" s="12">
        <v>-524734</v>
      </c>
      <c r="CL28" s="12">
        <v>-521298</v>
      </c>
      <c r="CM28" s="12">
        <v>-516344</v>
      </c>
      <c r="CN28" s="12">
        <f>-531978</f>
        <v>-531978</v>
      </c>
      <c r="CO28" s="12">
        <v>-564788</v>
      </c>
      <c r="CP28" s="12">
        <f>-579994+5000</f>
        <v>-574994</v>
      </c>
      <c r="CQ28" s="12">
        <v>-580757</v>
      </c>
      <c r="CR28" s="12">
        <v>-549106</v>
      </c>
      <c r="CS28" s="12">
        <v>-570501</v>
      </c>
      <c r="CT28" s="12">
        <v>-554396</v>
      </c>
      <c r="CU28" s="12">
        <f>-500697-15000</f>
        <v>-515697</v>
      </c>
      <c r="CV28" s="12">
        <v>-527790</v>
      </c>
      <c r="CW28" s="12">
        <v>-520953.54000000004</v>
      </c>
      <c r="CX28" s="12">
        <v>-519195.96</v>
      </c>
      <c r="CY28" s="12">
        <v>-522900.01000000013</v>
      </c>
      <c r="CZ28" s="12">
        <v>-540422.13</v>
      </c>
      <c r="DA28" s="12">
        <v>-524360.95999999996</v>
      </c>
      <c r="DB28" s="12">
        <v>-524908.44999999995</v>
      </c>
      <c r="DC28" s="12">
        <v>-515620.42000000004</v>
      </c>
      <c r="DD28" s="12">
        <v>-561017.75</v>
      </c>
      <c r="DE28" s="12">
        <v>-620663.93000000005</v>
      </c>
      <c r="DF28" s="12">
        <v>-581832.19000000006</v>
      </c>
      <c r="DG28" s="12">
        <v>-633355.85000000009</v>
      </c>
      <c r="DH28" s="12">
        <v>-664764.5</v>
      </c>
      <c r="DI28" s="12">
        <v>-715779.82999999984</v>
      </c>
      <c r="DJ28" s="12">
        <v>-754523.2</v>
      </c>
      <c r="DK28" s="12">
        <v>-766988.74</v>
      </c>
      <c r="DL28" s="12">
        <v>-762525.05999999994</v>
      </c>
      <c r="DM28" s="12">
        <v>-712639.79</v>
      </c>
      <c r="DN28" s="12">
        <v>-729745.52</v>
      </c>
      <c r="DO28" s="12">
        <v>-733012.16</v>
      </c>
      <c r="DP28" s="12">
        <v>-772010.04</v>
      </c>
      <c r="DQ28" s="12">
        <v>-824616.2699999999</v>
      </c>
      <c r="DR28" s="12">
        <v>-874168.12000000011</v>
      </c>
      <c r="DS28" s="12">
        <v>-907600.90999999992</v>
      </c>
      <c r="DT28" s="12">
        <v>-966925.76</v>
      </c>
      <c r="DU28" s="12">
        <v>-930898.62999999989</v>
      </c>
      <c r="DV28" s="12">
        <v>-990692.69000000006</v>
      </c>
      <c r="DW28" s="12">
        <v>-921226.82</v>
      </c>
      <c r="DX28" s="12">
        <v>-995345.49</v>
      </c>
      <c r="DY28" s="511">
        <v>-880207.8</v>
      </c>
      <c r="DZ28" s="12">
        <v>-835565.95000000007</v>
      </c>
      <c r="EA28" s="12">
        <v>-820490.2100000002</v>
      </c>
      <c r="EB28" s="12">
        <v>-910537.21</v>
      </c>
      <c r="EC28" s="12">
        <v>-866271.65000000014</v>
      </c>
      <c r="ED28" s="12">
        <v>-872040.55</v>
      </c>
      <c r="EE28" s="12">
        <v>-932389.53</v>
      </c>
      <c r="EF28" s="12">
        <v>-951566.57001449098</v>
      </c>
      <c r="EG28" s="12">
        <v>-932515.63700502389</v>
      </c>
      <c r="EH28" s="12">
        <v>-913039.63645933347</v>
      </c>
      <c r="EI28" s="12">
        <v>-917874.17485410324</v>
      </c>
      <c r="EJ28" s="12">
        <v>-925203.66956184385</v>
      </c>
      <c r="EK28" s="511">
        <v>-887930.29824435245</v>
      </c>
      <c r="EL28" s="511">
        <v>-868870.45251503005</v>
      </c>
      <c r="EM28" s="511">
        <v>-933826.76726864628</v>
      </c>
      <c r="EN28" s="511">
        <v>-977162.34055791481</v>
      </c>
      <c r="EO28" s="511">
        <v>-953722.03864613944</v>
      </c>
      <c r="EP28" s="511">
        <v>-955237.37663711759</v>
      </c>
      <c r="EQ28" s="511">
        <v>-972217.52542076784</v>
      </c>
      <c r="ER28" s="12">
        <v>-956293.68374513928</v>
      </c>
      <c r="ES28" s="12">
        <v>-991122.6143949515</v>
      </c>
      <c r="ET28" s="12">
        <v>-1004198.3872589702</v>
      </c>
      <c r="EU28" s="12">
        <v>-1046159.6043229855</v>
      </c>
      <c r="EV28" s="12">
        <v>-996988.26202584896</v>
      </c>
      <c r="EW28" s="12">
        <v>-1049875.1900000004</v>
      </c>
      <c r="EX28" s="12">
        <v>-971585.28736081009</v>
      </c>
      <c r="EY28" s="12">
        <v>-1033717.5359091563</v>
      </c>
      <c r="EZ28" s="12">
        <v>-946365.21923759975</v>
      </c>
      <c r="FA28" s="12">
        <v>-1017629.0114301136</v>
      </c>
      <c r="FB28" s="12">
        <v>-983473.01808665053</v>
      </c>
      <c r="FC28" s="12">
        <v>-1009240.8569594212</v>
      </c>
      <c r="FD28" s="12">
        <v>-1001479.1040706312</v>
      </c>
      <c r="FE28" s="12">
        <v>-1062049.1109788662</v>
      </c>
      <c r="FF28" s="12">
        <v>-1090330.7583499064</v>
      </c>
      <c r="FG28" s="12">
        <v>-1119669.7966213911</v>
      </c>
      <c r="FH28" s="12">
        <v>-1042051.4031485625</v>
      </c>
      <c r="FI28" s="12">
        <v>-1119799.168678636</v>
      </c>
      <c r="FJ28" s="12">
        <v>-1089792.3188307227</v>
      </c>
      <c r="FK28" s="451">
        <v>-990090.01086978242</v>
      </c>
      <c r="FL28" s="12"/>
      <c r="FM28" s="12"/>
      <c r="FN28" s="12">
        <f>'Financial plan'!EZ24</f>
        <v>-1103147.6307726328</v>
      </c>
      <c r="FO28" s="12">
        <f>FK28-FJ28</f>
        <v>99702.307960940292</v>
      </c>
      <c r="FP28" s="12">
        <f>FK28-FN28</f>
        <v>113057.61990285036</v>
      </c>
      <c r="FQ28" s="12" t="e">
        <f>FL28-#REF!</f>
        <v>#REF!</v>
      </c>
      <c r="FR28" s="12">
        <f>FM28-FO28</f>
        <v>-99702.307960940292</v>
      </c>
      <c r="FS28" s="12">
        <f t="shared" si="13"/>
        <v>113057.61990285036</v>
      </c>
      <c r="FT28" s="12">
        <f>SUM($FJ28:FK28)</f>
        <v>-2079882.3297005051</v>
      </c>
      <c r="FU28" s="12">
        <f>SUM('Financial plan'!$EY24:EZ24)</f>
        <v>-2206295.2615452656</v>
      </c>
      <c r="FV28" s="12">
        <f t="shared" si="41"/>
        <v>126412.93184476043</v>
      </c>
      <c r="FX28" s="16"/>
    </row>
    <row r="29" spans="3:180" s="10" customFormat="1" x14ac:dyDescent="0.35">
      <c r="D29" s="3"/>
      <c r="E29" s="10" t="s">
        <v>10</v>
      </c>
      <c r="F29" s="11">
        <f>F34-F13</f>
        <v>-2480000</v>
      </c>
      <c r="G29" s="11">
        <f>SUM(R29:U29)</f>
        <v>-1418225</v>
      </c>
      <c r="H29" s="11">
        <f>SUM(V29:Y29)</f>
        <v>-603284</v>
      </c>
      <c r="I29" s="11">
        <f>SUM(Z29:AC29)</f>
        <v>-756405</v>
      </c>
      <c r="J29" s="445">
        <f>SUM(AD29:AG29)</f>
        <v>-1020744.14</v>
      </c>
      <c r="K29" s="11">
        <f>SUM(AH29:AK29)</f>
        <v>-737560.97</v>
      </c>
      <c r="L29" s="11">
        <f t="shared" ref="L29:L35" si="45">SUM(AL29:AO29)</f>
        <v>-965868.16</v>
      </c>
      <c r="M29" s="11">
        <f ca="1">SUM(AP29:AS29)</f>
        <v>-667421.48867654987</v>
      </c>
      <c r="N29" s="11">
        <f t="shared" ref="N29:N30" ca="1" si="46">SUM(AT29:AW29)</f>
        <v>-460103.70045202738</v>
      </c>
      <c r="O29" s="11">
        <f t="shared" ref="O29:O37" si="47">SUM(AX29:BA29)</f>
        <v>-794721.10724485409</v>
      </c>
      <c r="P29" s="11">
        <f t="shared" si="20"/>
        <v>-25934.499944048421</v>
      </c>
      <c r="Q29" s="12"/>
      <c r="R29" s="12">
        <f>SUM(BF29:BH29)</f>
        <v>-389782</v>
      </c>
      <c r="S29" s="12">
        <f>SUM(BI29:BK29)</f>
        <v>-278793</v>
      </c>
      <c r="T29" s="12">
        <f>SUM(BL29:BN29)</f>
        <v>-231837</v>
      </c>
      <c r="U29" s="12">
        <f>SUM(BO29:BQ29)</f>
        <v>-517813</v>
      </c>
      <c r="V29" s="12">
        <f>SUM(BR29:BT29)</f>
        <v>-82614</v>
      </c>
      <c r="W29" s="12">
        <f>SUM(BU29:BW29)</f>
        <v>-145760</v>
      </c>
      <c r="X29" s="12">
        <f>SUM(BX29:BZ29)</f>
        <v>-109823</v>
      </c>
      <c r="Y29" s="12">
        <f>SUM(CA29:CC29)</f>
        <v>-265087</v>
      </c>
      <c r="Z29" s="12">
        <f>SUM(CD29:CF29)</f>
        <v>-173167</v>
      </c>
      <c r="AA29" s="12">
        <f>SUM(CG29:CI29)</f>
        <v>-173421</v>
      </c>
      <c r="AB29" s="12">
        <f>SUM(CJ29:CL29)</f>
        <v>-217472</v>
      </c>
      <c r="AC29" s="12">
        <f>SUM(CM29:CO29)</f>
        <v>-192345</v>
      </c>
      <c r="AD29" s="12">
        <f>SUM(CP29:CR29)</f>
        <v>-282374</v>
      </c>
      <c r="AE29" s="12">
        <f>SUM(CS29:CU29)</f>
        <v>-457874</v>
      </c>
      <c r="AF29" s="12">
        <f>SUM(CV29:CX29)</f>
        <v>-152675.73000000001</v>
      </c>
      <c r="AG29" s="12">
        <f>SUM(CY29:DA29)</f>
        <v>-127820.41</v>
      </c>
      <c r="AH29" s="12">
        <f>SUM(DB29:DD29)</f>
        <v>-139039.73000000001</v>
      </c>
      <c r="AI29" s="12">
        <f>SUM(DE29:DG29)</f>
        <v>-200771.65</v>
      </c>
      <c r="AJ29" s="12">
        <f>SUM(DH29:DJ29)</f>
        <v>-293893.88</v>
      </c>
      <c r="AK29" s="12">
        <f>SUM(DK29:DM29)</f>
        <v>-103855.70999999999</v>
      </c>
      <c r="AL29" s="12">
        <f t="shared" ref="AL29:AL30" si="48">SUM(DN29:DP29)</f>
        <v>-150349.66999999998</v>
      </c>
      <c r="AM29" s="12">
        <f t="shared" ref="AM29:AM35" si="49">SUM(DQ29:DS29)</f>
        <v>-217636.47</v>
      </c>
      <c r="AN29" s="12">
        <f>SUM(DT29:DV29)</f>
        <v>-344147.34</v>
      </c>
      <c r="AO29" s="12">
        <f t="shared" ref="AO29:AO35" si="50">SUM(DW29:DY29)</f>
        <v>-253734.68000000002</v>
      </c>
      <c r="AP29" s="12">
        <f>SUM(DZ29:EB29)</f>
        <v>-139205.18</v>
      </c>
      <c r="AQ29" s="12">
        <f ca="1">OFFSET($DZ29,0,AQ$4)+OFFSET($EA29,0,AQ$4)+OFFSET($EB29,0,AQ$4)</f>
        <v>-145169.28</v>
      </c>
      <c r="AR29" s="12">
        <f ca="1">OFFSET($DZ29,0,AR$4)+OFFSET($EA29,0,AR$4)+OFFSET($EB29,0,AR$4)</f>
        <v>-142828.89418098523</v>
      </c>
      <c r="AS29" s="12">
        <f ca="1">OFFSET($DZ29,0,AS$4)+OFFSET($EA29,0,AS$4)+OFFSET($EB29,0,AS$4)</f>
        <v>-240218.13449556474</v>
      </c>
      <c r="AT29" s="12">
        <f t="shared" si="11"/>
        <v>-146527.57208901204</v>
      </c>
      <c r="AU29" s="12">
        <f t="shared" ca="1" si="44"/>
        <v>-157773.47351051978</v>
      </c>
      <c r="AV29" s="12">
        <f t="shared" ca="1" si="44"/>
        <v>-74240.152284053183</v>
      </c>
      <c r="AW29" s="12">
        <f t="shared" ca="1" si="44"/>
        <v>-81562.502568442404</v>
      </c>
      <c r="AX29" s="12">
        <f>SUM(EX29:EZ29)</f>
        <v>-132996.36061647933</v>
      </c>
      <c r="AY29" s="12">
        <f>SUM(FA29:FC29)</f>
        <v>-171264.45329481419</v>
      </c>
      <c r="AZ29" s="12">
        <f>SUM(FD29:FG29)</f>
        <v>-392144.93279257306</v>
      </c>
      <c r="BA29" s="12">
        <f>SUM(FG29:FI29)</f>
        <v>-98315.360540987487</v>
      </c>
      <c r="BB29" s="12">
        <f>SUM(FJ29:FL29)</f>
        <v>-29919.921236589016</v>
      </c>
      <c r="BC29" s="12"/>
      <c r="BD29" s="12"/>
      <c r="BE29" s="12"/>
      <c r="BF29" s="12">
        <v>-330514</v>
      </c>
      <c r="BG29" s="12">
        <v>-11238</v>
      </c>
      <c r="BH29" s="12">
        <v>-48030</v>
      </c>
      <c r="BI29" s="12">
        <v>-44272</v>
      </c>
      <c r="BJ29" s="12">
        <v>-196271</v>
      </c>
      <c r="BK29" s="12">
        <v>-38250</v>
      </c>
      <c r="BL29" s="12">
        <v>-40199</v>
      </c>
      <c r="BM29" s="12">
        <v>-86066</v>
      </c>
      <c r="BN29" s="12">
        <v>-105572</v>
      </c>
      <c r="BO29" s="12">
        <v>-380838</v>
      </c>
      <c r="BP29" s="12">
        <v>-100670</v>
      </c>
      <c r="BQ29" s="12">
        <v>-36305</v>
      </c>
      <c r="BR29" s="12">
        <v>-7565</v>
      </c>
      <c r="BS29" s="12">
        <v>-27541</v>
      </c>
      <c r="BT29" s="12">
        <v>-47508</v>
      </c>
      <c r="BU29" s="12">
        <v>-89222</v>
      </c>
      <c r="BV29" s="12">
        <v>-29250</v>
      </c>
      <c r="BW29" s="12">
        <v>-27288</v>
      </c>
      <c r="BX29" s="12">
        <f>-102231+30903</f>
        <v>-71328</v>
      </c>
      <c r="BY29" s="12">
        <f>-5456+711</f>
        <v>-4745</v>
      </c>
      <c r="BZ29" s="12">
        <f>-20259-13491</f>
        <v>-33750</v>
      </c>
      <c r="CA29" s="12">
        <f>-82222+1531</f>
        <v>-80691</v>
      </c>
      <c r="CB29" s="12">
        <f>-3615+1092</f>
        <v>-2523</v>
      </c>
      <c r="CC29" s="12">
        <f>-176802-3403-1668</f>
        <v>-181873</v>
      </c>
      <c r="CD29" s="12">
        <f>-81796+581</f>
        <v>-81215</v>
      </c>
      <c r="CE29" s="12">
        <f>-7678+945</f>
        <v>-6733</v>
      </c>
      <c r="CF29" s="12">
        <f>-86154+935</f>
        <v>-85219</v>
      </c>
      <c r="CG29" s="12">
        <f>-155426-511</f>
        <v>-155937</v>
      </c>
      <c r="CH29" s="12">
        <v>-9605</v>
      </c>
      <c r="CI29" s="12">
        <f>-8121+242</f>
        <v>-7879</v>
      </c>
      <c r="CJ29" s="12">
        <f>-43996-1458</f>
        <v>-45454</v>
      </c>
      <c r="CK29" s="12">
        <f>-38470-867</f>
        <v>-39337</v>
      </c>
      <c r="CL29" s="12">
        <f>-132810+129</f>
        <v>-132681</v>
      </c>
      <c r="CM29" s="12">
        <v>-42103</v>
      </c>
      <c r="CN29" s="12">
        <f>-84343+1060</f>
        <v>-83283</v>
      </c>
      <c r="CO29" s="12">
        <f>-76229+9270</f>
        <v>-66959</v>
      </c>
      <c r="CP29" s="12">
        <f>-187864-901</f>
        <v>-188765</v>
      </c>
      <c r="CQ29" s="12">
        <v>-17525</v>
      </c>
      <c r="CR29" s="12">
        <f>-75020-1064</f>
        <v>-76084</v>
      </c>
      <c r="CS29" s="12">
        <f>-72819+722</f>
        <v>-72097</v>
      </c>
      <c r="CT29" s="12">
        <f>-227835-1219</f>
        <v>-229054</v>
      </c>
      <c r="CU29" s="12">
        <f>-156368-355</f>
        <v>-156723</v>
      </c>
      <c r="CV29" s="12">
        <v>-13499</v>
      </c>
      <c r="CW29" s="12">
        <v>-2929.95</v>
      </c>
      <c r="CX29" s="12">
        <v>-136246.78</v>
      </c>
      <c r="CY29" s="12">
        <v>-89796.91</v>
      </c>
      <c r="CZ29" s="12">
        <v>-17831.82</v>
      </c>
      <c r="DA29" s="12">
        <f>-20191.34-0.34</f>
        <v>-20191.68</v>
      </c>
      <c r="DB29" s="12">
        <f>-115573.88+0.05</f>
        <v>-115573.83</v>
      </c>
      <c r="DC29" s="12">
        <f>-16697.83+0.03</f>
        <v>-16697.800000000003</v>
      </c>
      <c r="DD29" s="12">
        <v>-6768.099999999994</v>
      </c>
      <c r="DE29" s="12">
        <v>-5932.5299999999979</v>
      </c>
      <c r="DF29" s="12">
        <v>-18117.309999999998</v>
      </c>
      <c r="DG29" s="12">
        <v>-176721.81</v>
      </c>
      <c r="DH29" s="12">
        <v>-174429.50999999998</v>
      </c>
      <c r="DI29" s="12">
        <v>-97227.839999999997</v>
      </c>
      <c r="DJ29" s="12">
        <v>-22236.530000000002</v>
      </c>
      <c r="DK29" s="12">
        <v>-12199.92</v>
      </c>
      <c r="DL29" s="12">
        <v>-12664.189999999999</v>
      </c>
      <c r="DM29" s="12">
        <v>-78991.599999999991</v>
      </c>
      <c r="DN29" s="12">
        <v>-17397.71</v>
      </c>
      <c r="DO29" s="12">
        <v>-7389.72</v>
      </c>
      <c r="DP29" s="12">
        <v>-125562.23999999999</v>
      </c>
      <c r="DQ29" s="12">
        <v>-112882.03</v>
      </c>
      <c r="DR29" s="12">
        <v>-100742.79</v>
      </c>
      <c r="DS29" s="12">
        <v>-4011.65</v>
      </c>
      <c r="DT29" s="12">
        <v>-10912.92</v>
      </c>
      <c r="DU29" s="12">
        <v>-97178.21</v>
      </c>
      <c r="DV29" s="12">
        <v>-236056.21000000002</v>
      </c>
      <c r="DW29" s="12">
        <v>-4928.3999999999996</v>
      </c>
      <c r="DX29" s="12">
        <v>-31618</v>
      </c>
      <c r="DY29" s="511">
        <v>-217188.28000000003</v>
      </c>
      <c r="DZ29" s="12">
        <v>-10979.72</v>
      </c>
      <c r="EA29" s="12">
        <v>-4689.6699999999983</v>
      </c>
      <c r="EB29" s="12">
        <v>-123535.79</v>
      </c>
      <c r="EC29" s="12">
        <v>-25065.919999999998</v>
      </c>
      <c r="ED29" s="12">
        <v>-27032.33</v>
      </c>
      <c r="EE29" s="12">
        <v>-93071.03</v>
      </c>
      <c r="EF29" s="12">
        <v>-88477.59</v>
      </c>
      <c r="EG29" s="12">
        <v>-49957.24</v>
      </c>
      <c r="EH29" s="12">
        <v>-4394.0641809852386</v>
      </c>
      <c r="EI29" s="12">
        <v>-91032.637876297915</v>
      </c>
      <c r="EJ29" s="12">
        <v>-85760.566619266829</v>
      </c>
      <c r="EK29" s="511">
        <v>-63424.929999999993</v>
      </c>
      <c r="EL29" s="511">
        <v>-14483.481087938973</v>
      </c>
      <c r="EM29" s="511">
        <v>-24607.353999223811</v>
      </c>
      <c r="EN29" s="511">
        <v>-107436.73700184927</v>
      </c>
      <c r="EO29" s="511">
        <v>-12181.082594197467</v>
      </c>
      <c r="EP29" s="511">
        <v>-69511.799477291905</v>
      </c>
      <c r="EQ29" s="511">
        <v>-76080.591439030395</v>
      </c>
      <c r="ER29" s="12">
        <v>-17161.354827322586</v>
      </c>
      <c r="ES29" s="12">
        <v>-43489.927383134083</v>
      </c>
      <c r="ET29" s="12">
        <v>-13588.870073596514</v>
      </c>
      <c r="EU29" s="12">
        <v>-27665.773310263769</v>
      </c>
      <c r="EV29" s="12">
        <v>-63313.309258178881</v>
      </c>
      <c r="EW29" s="12">
        <v>9416.5800000002419</v>
      </c>
      <c r="EX29" s="12">
        <v>-6713.7268723789448</v>
      </c>
      <c r="EY29" s="12">
        <v>-120422.27848055593</v>
      </c>
      <c r="EZ29" s="12">
        <v>-5860.3552635444439</v>
      </c>
      <c r="FA29" s="12">
        <v>-34259.796271052168</v>
      </c>
      <c r="FB29" s="12">
        <v>-128471.98781857791</v>
      </c>
      <c r="FC29" s="12">
        <v>-8532.6692051841328</v>
      </c>
      <c r="FD29" s="12">
        <v>-121085.38629185871</v>
      </c>
      <c r="FE29" s="12">
        <v>-93148.083865747263</v>
      </c>
      <c r="FF29" s="12">
        <v>-165652.23709562275</v>
      </c>
      <c r="FG29" s="12">
        <v>-12259.225539344332</v>
      </c>
      <c r="FH29" s="12">
        <v>-4538.6400783083873</v>
      </c>
      <c r="FI29" s="12">
        <v>-81517.494923334772</v>
      </c>
      <c r="FJ29" s="12">
        <v>-25934.499944048421</v>
      </c>
      <c r="FK29" s="451">
        <v>-3985.4212925405945</v>
      </c>
      <c r="FL29" s="12"/>
      <c r="FM29" s="12"/>
      <c r="FN29" s="12">
        <f>'Financial plan'!EZ25</f>
        <v>-67751.262626262629</v>
      </c>
      <c r="FO29" s="12">
        <f>FK29-FJ29</f>
        <v>21949.078651507825</v>
      </c>
      <c r="FP29" s="12">
        <f>FK29-FN29</f>
        <v>63765.841333722034</v>
      </c>
      <c r="FQ29" s="12" t="e">
        <f>FL29-#REF!</f>
        <v>#REF!</v>
      </c>
      <c r="FR29" s="12">
        <f>FM29-FO29</f>
        <v>-21949.078651507825</v>
      </c>
      <c r="FS29" s="12">
        <f t="shared" si="13"/>
        <v>63765.841333722034</v>
      </c>
      <c r="FT29" s="12">
        <f>SUM($FJ29:FK29)</f>
        <v>-29919.921236589016</v>
      </c>
      <c r="FU29" s="12">
        <f>SUM('Financial plan'!$EY25:EZ25)</f>
        <v>-135502.52525252526</v>
      </c>
      <c r="FV29" s="12">
        <f t="shared" si="41"/>
        <v>105582.60401593625</v>
      </c>
      <c r="FX29" s="16"/>
    </row>
    <row r="30" spans="3:180" s="10" customFormat="1" x14ac:dyDescent="0.35">
      <c r="D30" s="3"/>
      <c r="E30" s="10" t="s">
        <v>11</v>
      </c>
      <c r="F30" s="11">
        <f>F35-F14</f>
        <v>-112000</v>
      </c>
      <c r="G30" s="11">
        <f>SUM(R30:U30)</f>
        <v>-70831</v>
      </c>
      <c r="H30" s="11">
        <f>SUM(V30:Y30)</f>
        <v>-67720</v>
      </c>
      <c r="I30" s="11">
        <f>SUM(Z30:AC30)</f>
        <v>-18893</v>
      </c>
      <c r="J30" s="11">
        <f>SUM(AD30:AG30)</f>
        <v>-21655.22</v>
      </c>
      <c r="K30" s="11">
        <f>SUM(AH30:AK30)</f>
        <v>-11050.369999999995</v>
      </c>
      <c r="L30" s="11">
        <f t="shared" si="45"/>
        <v>-8244.93</v>
      </c>
      <c r="M30" s="11">
        <f ca="1">SUM(AP30:AS30)</f>
        <v>-58251.020949383746</v>
      </c>
      <c r="N30" s="11">
        <f t="shared" ca="1" si="46"/>
        <v>-64937.009448008495</v>
      </c>
      <c r="O30" s="11">
        <f>SUM(AX30:BA30)</f>
        <v>-17798.066160657756</v>
      </c>
      <c r="P30" s="11">
        <f t="shared" si="20"/>
        <v>-3710.37</v>
      </c>
      <c r="Q30" s="12"/>
      <c r="R30" s="12">
        <f>SUM(BF30:BH30)</f>
        <v>-21134</v>
      </c>
      <c r="S30" s="12">
        <f>SUM(BI30:BK30)</f>
        <v>-26097</v>
      </c>
      <c r="T30" s="12">
        <f>SUM(BL30:BN30)</f>
        <v>-24224</v>
      </c>
      <c r="U30" s="12">
        <f>SUM(BO30:BQ30)</f>
        <v>624</v>
      </c>
      <c r="V30" s="12">
        <f>SUM(BR30:BT30)</f>
        <v>-12945</v>
      </c>
      <c r="W30" s="12">
        <f>SUM(BU30:BW30)</f>
        <v>-1500</v>
      </c>
      <c r="X30" s="12">
        <f>SUM(BX30:BZ30)</f>
        <v>-14175</v>
      </c>
      <c r="Y30" s="12">
        <f>SUM(CA30:CC30)</f>
        <v>-39100</v>
      </c>
      <c r="Z30" s="12">
        <f>SUM(CD30:CF30)</f>
        <v>-8000</v>
      </c>
      <c r="AA30" s="12">
        <f>SUM(CG30:CI30)</f>
        <v>-3530</v>
      </c>
      <c r="AB30" s="12">
        <f>SUM(CJ30:CL30)</f>
        <v>-5563</v>
      </c>
      <c r="AC30" s="12">
        <f>SUM(CM30:CO30)</f>
        <v>-1800</v>
      </c>
      <c r="AD30" s="12">
        <f>SUM(CP30:CR30)</f>
        <v>-3850</v>
      </c>
      <c r="AE30" s="12">
        <f>SUM(CS30:CU30)</f>
        <v>-10189</v>
      </c>
      <c r="AF30" s="12">
        <f>SUM(CV30:CX30)</f>
        <v>0</v>
      </c>
      <c r="AG30" s="12">
        <f>SUM(CY30:DA30)</f>
        <v>-7616.22</v>
      </c>
      <c r="AH30" s="12">
        <f>SUM(DB30:DD30)</f>
        <v>0</v>
      </c>
      <c r="AI30" s="12">
        <f>SUM(DE30:DG30)</f>
        <v>-5225</v>
      </c>
      <c r="AJ30" s="12">
        <f>SUM(DH30:DJ30)</f>
        <v>0</v>
      </c>
      <c r="AK30" s="12">
        <f>SUM(DK30:DM30)</f>
        <v>-5825.3699999999953</v>
      </c>
      <c r="AL30" s="12">
        <f t="shared" si="48"/>
        <v>-975.12</v>
      </c>
      <c r="AM30" s="12">
        <f t="shared" si="49"/>
        <v>-3667.29</v>
      </c>
      <c r="AN30" s="12">
        <f>SUM(DT30:DV30)</f>
        <v>-2702.52</v>
      </c>
      <c r="AO30" s="12">
        <f t="shared" si="50"/>
        <v>-900</v>
      </c>
      <c r="AP30" s="12">
        <f t="shared" ref="AP30" si="51">SUM(DZ30:EB30)</f>
        <v>0</v>
      </c>
      <c r="AQ30" s="12">
        <f ca="1">OFFSET($DZ30,0,AQ$4)+OFFSET($EA30,0,AQ$4)+OFFSET($EB30,0,AQ$4)</f>
        <v>0</v>
      </c>
      <c r="AR30" s="12">
        <f ca="1">OFFSET($DZ30,0,AR$4)+OFFSET($EA30,0,AR$4)+OFFSET($EB30,0,AR$4)</f>
        <v>-10450</v>
      </c>
      <c r="AS30" s="12">
        <f ca="1">OFFSET($DZ30,0,AS$4)+OFFSET($EA30,0,AS$4)+OFFSET($EB30,0,AS$4)</f>
        <v>-47801.020949383746</v>
      </c>
      <c r="AT30" s="12">
        <f t="shared" si="11"/>
        <v>-39985.454043860416</v>
      </c>
      <c r="AU30" s="12">
        <f t="shared" ca="1" si="44"/>
        <v>-17632.957278437178</v>
      </c>
      <c r="AV30" s="12">
        <f t="shared" ca="1" si="44"/>
        <v>-7325.6443097304837</v>
      </c>
      <c r="AW30" s="12">
        <f t="shared" ca="1" si="44"/>
        <v>7.0461840195789591</v>
      </c>
      <c r="AX30" s="12">
        <f>SUM(EX30:EZ30)</f>
        <v>0</v>
      </c>
      <c r="AY30" s="12">
        <f>SUM(FA30:FC30)</f>
        <v>0</v>
      </c>
      <c r="AZ30" s="12">
        <f>SUM(FD30:FG30)</f>
        <v>-17798.066160657756</v>
      </c>
      <c r="BA30" s="12">
        <f>SUM(FG30:FI30)</f>
        <v>0</v>
      </c>
      <c r="BB30" s="12">
        <f>SUM(FJ30:FL30)</f>
        <v>-3710.37</v>
      </c>
      <c r="BC30" s="12"/>
      <c r="BD30" s="12"/>
      <c r="BE30" s="12"/>
      <c r="BF30" s="12">
        <v>-3600</v>
      </c>
      <c r="BG30" s="12">
        <v>-6847</v>
      </c>
      <c r="BH30" s="12">
        <v>-10687</v>
      </c>
      <c r="BI30" s="12">
        <v>-10936</v>
      </c>
      <c r="BJ30" s="12">
        <v>-4930</v>
      </c>
      <c r="BK30" s="12">
        <v>-10231</v>
      </c>
      <c r="BL30" s="12">
        <v>-7128</v>
      </c>
      <c r="BM30" s="12">
        <v>-7676</v>
      </c>
      <c r="BN30" s="12">
        <v>-9420</v>
      </c>
      <c r="BO30" s="12">
        <v>-5000</v>
      </c>
      <c r="BP30" s="12">
        <v>624</v>
      </c>
      <c r="BQ30" s="12">
        <v>5000</v>
      </c>
      <c r="BR30" s="12">
        <v>-11000</v>
      </c>
      <c r="BS30" s="12">
        <v>11000</v>
      </c>
      <c r="BT30" s="12">
        <v>-12945</v>
      </c>
      <c r="BU30" s="12">
        <v>0</v>
      </c>
      <c r="BV30" s="12">
        <v>-1500</v>
      </c>
      <c r="BW30" s="12">
        <v>0</v>
      </c>
      <c r="BX30" s="12">
        <v>-7685</v>
      </c>
      <c r="BY30" s="12">
        <f>-3500</f>
        <v>-3500</v>
      </c>
      <c r="BZ30" s="12">
        <v>-2990</v>
      </c>
      <c r="CA30" s="12">
        <v>-20000</v>
      </c>
      <c r="CB30" s="12">
        <v>-19100</v>
      </c>
      <c r="CC30" s="12">
        <v>0</v>
      </c>
      <c r="CD30" s="12">
        <v>0</v>
      </c>
      <c r="CE30" s="12">
        <v>-8000</v>
      </c>
      <c r="CF30" s="12">
        <v>0</v>
      </c>
      <c r="CG30" s="12">
        <v>0</v>
      </c>
      <c r="CH30" s="12">
        <v>0</v>
      </c>
      <c r="CI30" s="12">
        <v>-3530</v>
      </c>
      <c r="CJ30" s="12">
        <v>0</v>
      </c>
      <c r="CK30" s="12">
        <v>-2808</v>
      </c>
      <c r="CL30" s="12">
        <v>-2755</v>
      </c>
      <c r="CM30" s="12">
        <v>0</v>
      </c>
      <c r="CN30" s="12">
        <v>0</v>
      </c>
      <c r="CO30" s="12">
        <v>-1800</v>
      </c>
      <c r="CP30" s="12">
        <v>-3850</v>
      </c>
      <c r="CQ30" s="12">
        <v>0</v>
      </c>
      <c r="CR30" s="12">
        <v>0</v>
      </c>
      <c r="CS30" s="12">
        <v>0</v>
      </c>
      <c r="CT30" s="12">
        <v>0</v>
      </c>
      <c r="CU30" s="12">
        <v>-10189</v>
      </c>
      <c r="CV30" s="12">
        <v>0</v>
      </c>
      <c r="CW30" s="12">
        <v>0</v>
      </c>
      <c r="CX30" s="12">
        <v>0</v>
      </c>
      <c r="CY30" s="12">
        <v>-7616.22</v>
      </c>
      <c r="CZ30" s="12">
        <v>0</v>
      </c>
      <c r="DA30" s="83">
        <v>0</v>
      </c>
      <c r="DB30" s="12">
        <v>0</v>
      </c>
      <c r="DC30" s="12">
        <v>0</v>
      </c>
      <c r="DD30" s="12">
        <v>0</v>
      </c>
      <c r="DE30" s="12">
        <v>0</v>
      </c>
      <c r="DF30" s="12">
        <v>0</v>
      </c>
      <c r="DG30" s="12">
        <v>-5225</v>
      </c>
      <c r="DH30" s="12">
        <v>0</v>
      </c>
      <c r="DI30" s="12">
        <v>0</v>
      </c>
      <c r="DJ30" s="12">
        <v>0</v>
      </c>
      <c r="DK30" s="12">
        <v>-4700.3699999999953</v>
      </c>
      <c r="DL30" s="12">
        <v>-1125</v>
      </c>
      <c r="DM30" s="12">
        <v>0</v>
      </c>
      <c r="DN30" s="12"/>
      <c r="DO30" s="12">
        <v>-975.12</v>
      </c>
      <c r="DP30" s="12"/>
      <c r="DQ30" s="12">
        <v>-990.84</v>
      </c>
      <c r="DR30" s="12">
        <v>141.06</v>
      </c>
      <c r="DS30" s="12">
        <v>-2817.51</v>
      </c>
      <c r="DT30" s="12">
        <v>-2642.52</v>
      </c>
      <c r="DU30" s="12">
        <v>-60</v>
      </c>
      <c r="DV30" s="12">
        <v>0</v>
      </c>
      <c r="DW30" s="12">
        <v>0</v>
      </c>
      <c r="DX30" s="12">
        <v>-900</v>
      </c>
      <c r="DY30" s="511">
        <v>0</v>
      </c>
      <c r="DZ30" s="12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-5500</v>
      </c>
      <c r="EH30" s="12">
        <v>-4950</v>
      </c>
      <c r="EI30" s="12">
        <v>-16386.376906308607</v>
      </c>
      <c r="EJ30" s="12">
        <v>-14538.887669976122</v>
      </c>
      <c r="EK30" s="511">
        <v>-16875.756373099015</v>
      </c>
      <c r="EL30" s="511">
        <v>-11149.827649613735</v>
      </c>
      <c r="EM30" s="511">
        <v>-14500.00987659848</v>
      </c>
      <c r="EN30" s="511">
        <v>-14335.616517648201</v>
      </c>
      <c r="EO30" s="511">
        <v>-12822.040762217901</v>
      </c>
      <c r="EP30" s="511">
        <v>-2411.7148350012762</v>
      </c>
      <c r="EQ30" s="511">
        <v>-2399.2016812180004</v>
      </c>
      <c r="ER30" s="12">
        <v>-2513.3754892699617</v>
      </c>
      <c r="ES30" s="12">
        <v>-2402.8138230380287</v>
      </c>
      <c r="ET30" s="12">
        <v>-2409.4549974224938</v>
      </c>
      <c r="EU30" s="12">
        <v>-2446.0039033390663</v>
      </c>
      <c r="EV30" s="12">
        <v>2453.0500873586452</v>
      </c>
      <c r="EW30" s="12">
        <v>0</v>
      </c>
      <c r="EX30" s="116"/>
      <c r="EY30" s="116"/>
      <c r="EZ30" s="116"/>
      <c r="FA30" s="116"/>
      <c r="FB30" s="116"/>
      <c r="FC30" s="116"/>
      <c r="FD30" s="116"/>
      <c r="FE30" s="116"/>
      <c r="FF30" s="12">
        <v>-17798.066160657756</v>
      </c>
      <c r="FG30" s="12">
        <v>0</v>
      </c>
      <c r="FH30" s="12">
        <v>0</v>
      </c>
      <c r="FI30" s="12">
        <v>0</v>
      </c>
      <c r="FJ30" s="12">
        <v>-3710.37</v>
      </c>
      <c r="FK30" s="451">
        <v>0</v>
      </c>
      <c r="FL30" s="12"/>
      <c r="FM30" s="12"/>
      <c r="FN30" s="12">
        <f>'[1]Financial plan'!EX26</f>
        <v>0</v>
      </c>
      <c r="FO30" s="12">
        <f>FK30-FJ30</f>
        <v>3710.37</v>
      </c>
      <c r="FP30" s="12">
        <f>FK30-FN30</f>
        <v>0</v>
      </c>
      <c r="FQ30" s="12" t="e">
        <f>FL30-#REF!</f>
        <v>#REF!</v>
      </c>
      <c r="FR30" s="12">
        <f>FM30-FO30</f>
        <v>-3710.37</v>
      </c>
      <c r="FS30" s="12">
        <f t="shared" si="13"/>
        <v>0</v>
      </c>
      <c r="FT30" s="12">
        <f>SUM($FJ30:FK30)</f>
        <v>-3710.37</v>
      </c>
      <c r="FU30" s="12">
        <f>SUM('Financial plan'!$EY26:EZ26)</f>
        <v>-1733.3333333333333</v>
      </c>
      <c r="FV30" s="12">
        <f t="shared" si="41"/>
        <v>-1977.0366666666666</v>
      </c>
      <c r="FX30" s="12"/>
    </row>
    <row r="31" spans="3:180" s="10" customFormat="1" x14ac:dyDescent="0.35">
      <c r="D31" s="3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f t="shared" si="20"/>
        <v>0</v>
      </c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83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83"/>
      <c r="DM31" s="83"/>
      <c r="DN31" s="83"/>
      <c r="DO31" s="83"/>
      <c r="DP31" s="83"/>
      <c r="DQ31" s="83"/>
      <c r="DR31" s="83"/>
      <c r="DS31" s="83"/>
      <c r="DT31" s="83"/>
      <c r="DU31" s="83"/>
      <c r="DV31" s="12"/>
      <c r="DW31" s="83"/>
      <c r="DX31" s="83"/>
      <c r="DY31" s="597"/>
      <c r="ED31" s="297"/>
      <c r="EF31"/>
      <c r="EG31"/>
      <c r="EI31"/>
      <c r="EJ31"/>
      <c r="EK31" s="511"/>
      <c r="EL31" s="511"/>
      <c r="EM31" s="511"/>
      <c r="EN31" s="511"/>
      <c r="EO31" s="511"/>
      <c r="EP31" s="511"/>
      <c r="EQ31" s="511"/>
      <c r="ER31" s="12"/>
      <c r="ES31" s="12"/>
      <c r="ET31" s="12"/>
      <c r="EU31" s="12"/>
      <c r="EV31" s="12"/>
      <c r="EW31" s="12"/>
      <c r="EX31" s="116"/>
      <c r="EY31" s="116"/>
      <c r="EZ31" s="116"/>
      <c r="FA31" s="116"/>
      <c r="FC31" s="116"/>
      <c r="FD31" s="116"/>
      <c r="FE31" s="116"/>
      <c r="FF31" s="116"/>
      <c r="FG31" s="116"/>
      <c r="FH31" s="116"/>
      <c r="FI31" s="116"/>
      <c r="FJ31" s="116"/>
      <c r="FK31" s="762"/>
      <c r="FL31" s="116"/>
      <c r="FM31" s="116"/>
      <c r="FN31" s="12"/>
      <c r="FO31" s="116"/>
      <c r="FP31" s="116"/>
      <c r="FQ31" s="116"/>
      <c r="FR31" s="116"/>
      <c r="FS31" s="116"/>
      <c r="FT31" s="116"/>
      <c r="FU31" s="116"/>
      <c r="FV31" s="116"/>
      <c r="FX31" s="12"/>
    </row>
    <row r="32" spans="3:180" s="10" customFormat="1" x14ac:dyDescent="0.35">
      <c r="D32" s="3" t="s">
        <v>13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f t="shared" si="20"/>
        <v>0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83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83"/>
      <c r="DN32" s="83"/>
      <c r="DO32" s="83"/>
      <c r="DP32" s="83"/>
      <c r="DQ32" s="83"/>
      <c r="DR32" s="83"/>
      <c r="DS32" s="83"/>
      <c r="DT32" s="83"/>
      <c r="DU32" s="83"/>
      <c r="DV32" s="12"/>
      <c r="DW32" s="83"/>
      <c r="DX32" s="83"/>
      <c r="DY32" s="597"/>
      <c r="ED32" s="297"/>
      <c r="EF32"/>
      <c r="EG32"/>
      <c r="EI32"/>
      <c r="EJ32"/>
      <c r="EK32" s="583"/>
      <c r="EL32" s="583"/>
      <c r="EM32" s="583"/>
      <c r="EN32" s="583"/>
      <c r="EO32" s="583"/>
      <c r="EP32" s="583"/>
      <c r="EQ32" s="583"/>
      <c r="EX32" s="116"/>
      <c r="EY32" s="116"/>
      <c r="EZ32" s="116"/>
      <c r="FA32" s="116"/>
      <c r="FB32" s="116"/>
      <c r="FC32" s="116"/>
      <c r="FD32" s="116"/>
      <c r="FE32" s="116"/>
      <c r="FF32" s="116"/>
      <c r="FG32" s="116"/>
      <c r="FH32" s="116"/>
      <c r="FI32" s="116"/>
      <c r="FJ32" s="116"/>
      <c r="FK32" s="762"/>
      <c r="FL32" s="116"/>
      <c r="FM32" s="116"/>
      <c r="FN32" s="12"/>
      <c r="FO32" s="116"/>
      <c r="FP32" s="116"/>
      <c r="FQ32" s="116"/>
      <c r="FR32" s="116"/>
      <c r="FS32" s="116"/>
      <c r="FT32" s="116"/>
      <c r="FU32" s="116"/>
      <c r="FV32" s="116"/>
      <c r="FX32" s="16"/>
    </row>
    <row r="33" spans="3:180" s="10" customFormat="1" x14ac:dyDescent="0.35">
      <c r="E33" s="287" t="s">
        <v>9</v>
      </c>
      <c r="F33" s="288">
        <v>2272000</v>
      </c>
      <c r="G33" s="288">
        <f>G7+G28</f>
        <v>2984902</v>
      </c>
      <c r="H33" s="288">
        <f>H7+H28</f>
        <v>4788089</v>
      </c>
      <c r="I33" s="288">
        <f>SUM(Z33:AC33)</f>
        <v>5221152</v>
      </c>
      <c r="J33" s="11">
        <f>SUM(AD33:AG33)</f>
        <v>6161981.2300000004</v>
      </c>
      <c r="K33" s="11">
        <f>SUM(AH33:AK33)</f>
        <v>7422104.0500000007</v>
      </c>
      <c r="L33" s="11">
        <f t="shared" si="45"/>
        <v>9315500.6988807768</v>
      </c>
      <c r="M33" s="11">
        <f ca="1">SUM(AP33:AS33)</f>
        <v>11356855.232084379</v>
      </c>
      <c r="N33" s="11">
        <f ca="1">SUM(AT33:AW33)</f>
        <v>11204353.211650461</v>
      </c>
      <c r="O33" s="11">
        <f t="shared" si="47"/>
        <v>11211653.176157705</v>
      </c>
      <c r="P33" s="11">
        <f>SUM($FJ33:FK33)</f>
        <v>2018202.3653751197</v>
      </c>
      <c r="Q33" s="289"/>
      <c r="R33" s="289">
        <f>R7+R28</f>
        <v>600641</v>
      </c>
      <c r="S33" s="289">
        <f>S7+S28</f>
        <v>602093</v>
      </c>
      <c r="T33" s="289">
        <f>SUM(BL33:BN33)</f>
        <v>761901</v>
      </c>
      <c r="U33" s="289">
        <f>U7+U28</f>
        <v>1020267</v>
      </c>
      <c r="V33" s="289">
        <f>V7+V28</f>
        <v>1132164</v>
      </c>
      <c r="W33" s="289">
        <f>W7+W28</f>
        <v>1044324</v>
      </c>
      <c r="X33" s="289">
        <f>X7+X28</f>
        <v>1198131</v>
      </c>
      <c r="Y33" s="289">
        <f>Y7+Y28</f>
        <v>1413470</v>
      </c>
      <c r="Z33" s="289">
        <f>SUM(CD33:CF33)</f>
        <v>1225416</v>
      </c>
      <c r="AA33" s="289">
        <f>SUM(CG33:CI33)</f>
        <v>1186212</v>
      </c>
      <c r="AB33" s="289">
        <f>SUM(CJ33:CL33)</f>
        <v>1303080</v>
      </c>
      <c r="AC33" s="289">
        <f>SUM(CM33:CO33)</f>
        <v>1506444</v>
      </c>
      <c r="AD33" s="12">
        <f>SUM(CP33:CR33)</f>
        <v>1522479</v>
      </c>
      <c r="AE33" s="12">
        <f>SUM(CS33:CU33)</f>
        <v>1485950</v>
      </c>
      <c r="AF33" s="12">
        <f>SUM(CV33:CX33)</f>
        <v>1561725.4700000002</v>
      </c>
      <c r="AG33" s="12">
        <f>SUM(CY33:DA33)</f>
        <v>1591826.76</v>
      </c>
      <c r="AH33" s="12">
        <f>SUM(DB33:DD33)</f>
        <v>1683917.6199999999</v>
      </c>
      <c r="AI33" s="12">
        <f>SUM(DE33:DG33)</f>
        <v>1762623.41</v>
      </c>
      <c r="AJ33" s="12">
        <f>SUM(DH33:DJ33)</f>
        <v>1904924.7000000002</v>
      </c>
      <c r="AK33" s="12">
        <f>SUM(DK33:DM33)</f>
        <v>2070638.3199999998</v>
      </c>
      <c r="AL33" s="12">
        <f>SUM(DN33:DP33)</f>
        <v>2089282.2799999998</v>
      </c>
      <c r="AM33" s="12">
        <f t="shared" si="49"/>
        <v>2229753.38</v>
      </c>
      <c r="AN33" s="12">
        <f>SUM(DT33:DV33)</f>
        <v>2251717.1602095114</v>
      </c>
      <c r="AO33" s="12">
        <f t="shared" si="50"/>
        <v>2744747.8786712661</v>
      </c>
      <c r="AP33" s="12">
        <f>SUM(DZ33:EB33)</f>
        <v>2863141.13</v>
      </c>
      <c r="AQ33" s="12">
        <f t="shared" ref="AQ33:AS35" ca="1" si="52">OFFSET($DZ33,0,AQ$4)+OFFSET($EA33,0,AQ$4)+OFFSET($EB33,0,AQ$4)</f>
        <v>2775600.46</v>
      </c>
      <c r="AR33" s="12">
        <f t="shared" ca="1" si="52"/>
        <v>2787000.5841849442</v>
      </c>
      <c r="AS33" s="12">
        <f t="shared" ca="1" si="52"/>
        <v>2931113.0578994346</v>
      </c>
      <c r="AT33" s="12">
        <f t="shared" si="11"/>
        <v>3027694.1112754829</v>
      </c>
      <c r="AU33" s="12">
        <f t="shared" ref="AU33:AW35" ca="1" si="53">OFFSET($EL33,0,AU$4)+OFFSET($EM33,0,AU$4)+OFFSET($EN33,0,AU$4)</f>
        <v>2896434.7650107127</v>
      </c>
      <c r="AV33" s="12">
        <f t="shared" ca="1" si="53"/>
        <v>2708353.4928134866</v>
      </c>
      <c r="AW33" s="12">
        <f t="shared" ca="1" si="53"/>
        <v>2571870.8425507778</v>
      </c>
      <c r="AX33" s="12">
        <f>SUM(EX33:EZ33)</f>
        <v>2669300.5510093998</v>
      </c>
      <c r="AY33" s="12">
        <f>SUM(FA33:FC33)</f>
        <v>2616448.0824969532</v>
      </c>
      <c r="AZ33" s="12">
        <f>SUM(FD33:FF33)</f>
        <v>2886805.9842514927</v>
      </c>
      <c r="BA33" s="12">
        <f>SUM(FG33:FI33)</f>
        <v>3039098.5583998589</v>
      </c>
      <c r="BB33" s="12">
        <f>SUM(FJ33:FL33)</f>
        <v>2018202.3653751197</v>
      </c>
      <c r="BC33" s="12"/>
      <c r="BD33" s="12"/>
      <c r="BE33" s="12"/>
      <c r="BF33" s="289">
        <f t="shared" ref="BF33:CK33" si="54">BF7+BF28</f>
        <v>261187</v>
      </c>
      <c r="BG33" s="289">
        <f t="shared" si="54"/>
        <v>209283</v>
      </c>
      <c r="BH33" s="289">
        <f t="shared" si="54"/>
        <v>130171</v>
      </c>
      <c r="BI33" s="289">
        <f t="shared" si="54"/>
        <v>123772</v>
      </c>
      <c r="BJ33" s="289">
        <f t="shared" si="54"/>
        <v>243091</v>
      </c>
      <c r="BK33" s="289">
        <f t="shared" si="54"/>
        <v>235230</v>
      </c>
      <c r="BL33" s="289">
        <f t="shared" si="54"/>
        <v>296744</v>
      </c>
      <c r="BM33" s="289">
        <f t="shared" si="54"/>
        <v>308143</v>
      </c>
      <c r="BN33" s="289">
        <f t="shared" si="54"/>
        <v>157014</v>
      </c>
      <c r="BO33" s="289">
        <f t="shared" si="54"/>
        <v>310197</v>
      </c>
      <c r="BP33" s="289">
        <f t="shared" si="54"/>
        <v>367435</v>
      </c>
      <c r="BQ33" s="289">
        <f t="shared" si="54"/>
        <v>342635</v>
      </c>
      <c r="BR33" s="289">
        <f t="shared" si="54"/>
        <v>365206</v>
      </c>
      <c r="BS33" s="289">
        <f t="shared" si="54"/>
        <v>388091</v>
      </c>
      <c r="BT33" s="289">
        <f t="shared" si="54"/>
        <v>378867</v>
      </c>
      <c r="BU33" s="289">
        <f t="shared" si="54"/>
        <v>333427</v>
      </c>
      <c r="BV33" s="289">
        <f t="shared" si="54"/>
        <v>335672</v>
      </c>
      <c r="BW33" s="289">
        <f t="shared" si="54"/>
        <v>375225</v>
      </c>
      <c r="BX33" s="289">
        <f t="shared" si="54"/>
        <v>386317</v>
      </c>
      <c r="BY33" s="289">
        <f t="shared" si="54"/>
        <v>399301</v>
      </c>
      <c r="BZ33" s="289">
        <f t="shared" si="54"/>
        <v>412513</v>
      </c>
      <c r="CA33" s="289">
        <f t="shared" si="54"/>
        <v>418355</v>
      </c>
      <c r="CB33" s="289">
        <f t="shared" si="54"/>
        <v>419771</v>
      </c>
      <c r="CC33" s="289">
        <f t="shared" si="54"/>
        <v>575344</v>
      </c>
      <c r="CD33" s="289">
        <f t="shared" si="54"/>
        <v>420183</v>
      </c>
      <c r="CE33" s="289">
        <f t="shared" si="54"/>
        <v>416604</v>
      </c>
      <c r="CF33" s="289">
        <f t="shared" si="54"/>
        <v>388629</v>
      </c>
      <c r="CG33" s="289">
        <f t="shared" si="54"/>
        <v>387092</v>
      </c>
      <c r="CH33" s="289">
        <f t="shared" si="54"/>
        <v>418236</v>
      </c>
      <c r="CI33" s="289">
        <f t="shared" si="54"/>
        <v>380884</v>
      </c>
      <c r="CJ33" s="289">
        <f t="shared" si="54"/>
        <v>418676</v>
      </c>
      <c r="CK33" s="289">
        <f t="shared" si="54"/>
        <v>423511</v>
      </c>
      <c r="CL33" s="289">
        <f t="shared" ref="CL33:DN33" si="55">CL7+CL28</f>
        <v>460893</v>
      </c>
      <c r="CM33" s="289">
        <f t="shared" si="55"/>
        <v>487231</v>
      </c>
      <c r="CN33" s="289">
        <f t="shared" si="55"/>
        <v>518544</v>
      </c>
      <c r="CO33" s="289">
        <f t="shared" si="55"/>
        <v>500669</v>
      </c>
      <c r="CP33" s="289">
        <f t="shared" si="55"/>
        <v>492093</v>
      </c>
      <c r="CQ33" s="289">
        <f t="shared" si="55"/>
        <v>497480</v>
      </c>
      <c r="CR33" s="289">
        <f t="shared" si="55"/>
        <v>532906</v>
      </c>
      <c r="CS33" s="289">
        <f t="shared" si="55"/>
        <v>492840</v>
      </c>
      <c r="CT33" s="289">
        <f t="shared" si="55"/>
        <v>478591</v>
      </c>
      <c r="CU33" s="289">
        <f t="shared" si="55"/>
        <v>514519</v>
      </c>
      <c r="CV33" s="289">
        <f t="shared" si="55"/>
        <v>516481</v>
      </c>
      <c r="CW33" s="289">
        <f t="shared" si="55"/>
        <v>513547.68999999994</v>
      </c>
      <c r="CX33" s="289">
        <f t="shared" si="55"/>
        <v>531696.78000000026</v>
      </c>
      <c r="CY33" s="289">
        <f t="shared" si="55"/>
        <v>532368.55999999994</v>
      </c>
      <c r="CZ33" s="289">
        <f t="shared" si="55"/>
        <v>525603.00000000012</v>
      </c>
      <c r="DA33" s="289">
        <f t="shared" si="55"/>
        <v>533855.19999999995</v>
      </c>
      <c r="DB33" s="289">
        <f t="shared" si="55"/>
        <v>557918.06000000006</v>
      </c>
      <c r="DC33" s="289">
        <f t="shared" si="55"/>
        <v>574188.7999999997</v>
      </c>
      <c r="DD33" s="289">
        <f t="shared" si="55"/>
        <v>551810.76</v>
      </c>
      <c r="DE33" s="289">
        <f t="shared" si="55"/>
        <v>573263.14</v>
      </c>
      <c r="DF33" s="289">
        <f t="shared" si="55"/>
        <v>592389.72000000009</v>
      </c>
      <c r="DG33" s="289">
        <f t="shared" si="55"/>
        <v>596970.54999999981</v>
      </c>
      <c r="DH33" s="289">
        <f t="shared" si="55"/>
        <v>607401.74</v>
      </c>
      <c r="DI33" s="289">
        <f t="shared" si="55"/>
        <v>669917.52</v>
      </c>
      <c r="DJ33" s="289">
        <f t="shared" si="55"/>
        <v>627605.44000000018</v>
      </c>
      <c r="DK33" s="289">
        <f t="shared" si="55"/>
        <v>671650.73</v>
      </c>
      <c r="DL33" s="289">
        <f t="shared" si="55"/>
        <v>690634.42999999982</v>
      </c>
      <c r="DM33" s="289">
        <f t="shared" si="55"/>
        <v>708353.16000000015</v>
      </c>
      <c r="DN33" s="289">
        <f t="shared" si="55"/>
        <v>700338.72</v>
      </c>
      <c r="DO33" s="289">
        <f t="shared" ref="DO33:DP33" si="56">DO7+DO28</f>
        <v>702925.93</v>
      </c>
      <c r="DP33" s="289">
        <f t="shared" si="56"/>
        <v>686017.62999999989</v>
      </c>
      <c r="DQ33" s="289">
        <f t="shared" ref="DQ33:DR33" si="57">DQ7+DQ28</f>
        <v>750169.60000000021</v>
      </c>
      <c r="DR33" s="289">
        <f t="shared" si="57"/>
        <v>733982.33999999985</v>
      </c>
      <c r="DS33" s="289">
        <f t="shared" ref="DS33:DT33" si="58">DS7+DS28</f>
        <v>745601.44</v>
      </c>
      <c r="DT33" s="289">
        <f t="shared" si="58"/>
        <v>719331.13382782275</v>
      </c>
      <c r="DU33" s="289">
        <f t="shared" ref="DU33" si="59">DU7+DU28</f>
        <v>739480.52638168866</v>
      </c>
      <c r="DV33" s="289">
        <f t="shared" ref="DV33:EA33" si="60">DV7+DV28</f>
        <v>792905.50000000012</v>
      </c>
      <c r="DW33" s="289">
        <f t="shared" si="60"/>
        <v>861380.01867126569</v>
      </c>
      <c r="DX33" s="289">
        <f t="shared" si="60"/>
        <v>902686.69</v>
      </c>
      <c r="DY33" s="584">
        <f t="shared" si="60"/>
        <v>980681.17000000016</v>
      </c>
      <c r="DZ33" s="289">
        <f t="shared" si="60"/>
        <v>944349.2699999999</v>
      </c>
      <c r="EA33" s="289">
        <f t="shared" si="60"/>
        <v>985619.77</v>
      </c>
      <c r="EB33" s="289">
        <f t="shared" ref="EB33:EC33" si="61">EB7+EB28</f>
        <v>933172.08999999985</v>
      </c>
      <c r="EC33" s="289">
        <f t="shared" si="61"/>
        <v>961694.0299999998</v>
      </c>
      <c r="ED33" s="289">
        <f t="shared" ref="ED33:EF33" si="62">ED7+ED28</f>
        <v>904704.29000000027</v>
      </c>
      <c r="EE33" s="289">
        <f t="shared" si="62"/>
        <v>909202.14000000013</v>
      </c>
      <c r="EF33" s="289">
        <f t="shared" si="62"/>
        <v>900014.37286762893</v>
      </c>
      <c r="EG33" s="289">
        <f t="shared" ref="EG33:EH33" si="63">EG7+EG28</f>
        <v>909107.45566005656</v>
      </c>
      <c r="EH33" s="289">
        <f t="shared" si="63"/>
        <v>977878.75565725879</v>
      </c>
      <c r="EI33" s="289">
        <f t="shared" ref="EI33:EJ33" si="64">EI7+EI28</f>
        <v>927827.65781411249</v>
      </c>
      <c r="EJ33" s="289">
        <f t="shared" si="64"/>
        <v>959618.83620183775</v>
      </c>
      <c r="EK33" s="584">
        <f t="shared" ref="EK33:EL33" si="65">EK7+EK28</f>
        <v>1043666.5638834843</v>
      </c>
      <c r="EL33" s="584">
        <f t="shared" si="65"/>
        <v>999798.07929239096</v>
      </c>
      <c r="EM33" s="584">
        <f t="shared" ref="EM33:EN33" si="66">EM7+EM28</f>
        <v>1008699.3083458734</v>
      </c>
      <c r="EN33" s="584">
        <f t="shared" si="66"/>
        <v>1019196.7236372185</v>
      </c>
      <c r="EO33" s="584">
        <f t="shared" ref="EO33:EP33" si="67">EO7+EO28</f>
        <v>1002156.2666755798</v>
      </c>
      <c r="EP33" s="584">
        <f t="shared" si="67"/>
        <v>969941.15702210122</v>
      </c>
      <c r="EQ33" s="584">
        <f t="shared" ref="EQ33:ER33" si="68">EQ7+EQ28</f>
        <v>924337.34131303162</v>
      </c>
      <c r="ER33" s="584">
        <f t="shared" si="68"/>
        <v>936033.91874681693</v>
      </c>
      <c r="ES33" s="584">
        <f t="shared" ref="ES33:EX33" si="69">ES7+ES28</f>
        <v>906547.05258993234</v>
      </c>
      <c r="ET33" s="584">
        <f t="shared" si="69"/>
        <v>865772.52147673722</v>
      </c>
      <c r="EU33" s="584">
        <f t="shared" si="69"/>
        <v>857372.12210179563</v>
      </c>
      <c r="EV33" s="584">
        <f t="shared" si="69"/>
        <v>912350.44044898218</v>
      </c>
      <c r="EW33" s="584">
        <f t="shared" si="69"/>
        <v>802148.2799999998</v>
      </c>
      <c r="EX33" s="584">
        <f t="shared" si="69"/>
        <v>909962.56108765409</v>
      </c>
      <c r="EY33" s="584">
        <f t="shared" ref="EY33" si="70">EY7+EY28</f>
        <v>879631.76159820054</v>
      </c>
      <c r="EZ33" s="584">
        <f t="shared" ref="EZ33:FE33" si="71">EZ7+EZ28</f>
        <v>879706.22832354554</v>
      </c>
      <c r="FA33" s="584">
        <f t="shared" si="71"/>
        <v>873358.3315171788</v>
      </c>
      <c r="FB33" s="584">
        <f t="shared" si="71"/>
        <v>851738.25775894558</v>
      </c>
      <c r="FC33" s="584">
        <f t="shared" si="71"/>
        <v>891351.49322082894</v>
      </c>
      <c r="FD33" s="584">
        <f t="shared" si="71"/>
        <v>936000.879138647</v>
      </c>
      <c r="FE33" s="584">
        <f t="shared" si="71"/>
        <v>934638.36008764361</v>
      </c>
      <c r="FF33" s="584">
        <f t="shared" ref="FF33:FG33" si="72">FF7+FF28</f>
        <v>1016166.7450252019</v>
      </c>
      <c r="FG33" s="584">
        <f t="shared" si="72"/>
        <v>961339.01802538126</v>
      </c>
      <c r="FH33" s="584">
        <f t="shared" ref="FH33:FI33" si="73">FH7+FH28</f>
        <v>1060460.3775534066</v>
      </c>
      <c r="FI33" s="584">
        <f t="shared" si="73"/>
        <v>1017299.162821071</v>
      </c>
      <c r="FJ33" s="584">
        <f t="shared" ref="FJ33:FK33" si="74">FJ7+FJ28</f>
        <v>976586.22356514679</v>
      </c>
      <c r="FK33" s="763">
        <f t="shared" si="74"/>
        <v>1041616.1418099729</v>
      </c>
      <c r="FL33" s="584"/>
      <c r="FM33" s="584"/>
      <c r="FN33" s="289">
        <f>'Financial plan'!EZ29</f>
        <v>1031661.0726934191</v>
      </c>
      <c r="FO33" s="584">
        <f>FK33-FJ33</f>
        <v>65029.918244826142</v>
      </c>
      <c r="FP33" s="584">
        <f>FK33-FN33</f>
        <v>9955.0691165538738</v>
      </c>
      <c r="FQ33" s="584" t="e">
        <f>FL33-#REF!</f>
        <v>#REF!</v>
      </c>
      <c r="FR33" s="584">
        <f>FM33-FO33</f>
        <v>-65029.918244826142</v>
      </c>
      <c r="FS33" s="584">
        <f t="shared" si="13"/>
        <v>9955.0691165538738</v>
      </c>
      <c r="FT33" s="584">
        <f>SUM($FJ33:FK33)</f>
        <v>2018202.3653751197</v>
      </c>
      <c r="FU33" s="584">
        <f>SUM('Financial plan'!$EY29:EZ29)</f>
        <v>2063322.1453868381</v>
      </c>
      <c r="FV33" s="584">
        <f t="shared" si="41"/>
        <v>-45119.780011718394</v>
      </c>
      <c r="FX33" s="16"/>
    </row>
    <row r="34" spans="3:180" s="10" customFormat="1" x14ac:dyDescent="0.35">
      <c r="E34" s="10" t="s">
        <v>10</v>
      </c>
      <c r="F34" s="11">
        <v>983000</v>
      </c>
      <c r="G34" s="11">
        <f>SUM(R34:U34)</f>
        <v>948652</v>
      </c>
      <c r="H34" s="11">
        <f>SUM(V34:Y34)</f>
        <v>384807</v>
      </c>
      <c r="I34" s="11">
        <f>SUM(Z34:AC34)</f>
        <v>486034</v>
      </c>
      <c r="J34" s="11">
        <f>SUM(AD34:AG34)</f>
        <v>596948.72</v>
      </c>
      <c r="K34" s="11">
        <f>SUM(AH34:AK34)</f>
        <v>374625.58000000007</v>
      </c>
      <c r="L34" s="11">
        <f t="shared" si="45"/>
        <v>451245.35034288396</v>
      </c>
      <c r="M34" s="11">
        <f t="shared" ref="M34:M35" ca="1" si="75">SUM(AP34:AS34)</f>
        <v>432664.11069646874</v>
      </c>
      <c r="N34" s="11">
        <f ca="1">SUM(AT34:AW34)</f>
        <v>302626.6917809241</v>
      </c>
      <c r="O34" s="11">
        <f t="shared" si="47"/>
        <v>372189.62268774258</v>
      </c>
      <c r="P34" s="11">
        <f>SUM($FJ34:FK34)</f>
        <v>11540.032911182017</v>
      </c>
      <c r="Q34" s="12"/>
      <c r="R34" s="12">
        <f>R13+R29</f>
        <v>353873</v>
      </c>
      <c r="S34" s="12">
        <f>S13+S29</f>
        <v>92779</v>
      </c>
      <c r="T34" s="12">
        <f>SUM(BL34:BN34)</f>
        <v>141804</v>
      </c>
      <c r="U34" s="12">
        <f t="shared" ref="U34:Y35" si="76">U13+U29</f>
        <v>360196</v>
      </c>
      <c r="V34" s="12">
        <f t="shared" si="76"/>
        <v>46134</v>
      </c>
      <c r="W34" s="12">
        <f t="shared" si="76"/>
        <v>94324</v>
      </c>
      <c r="X34" s="12">
        <f t="shared" si="76"/>
        <v>90155</v>
      </c>
      <c r="Y34" s="12">
        <f t="shared" si="76"/>
        <v>154194</v>
      </c>
      <c r="Z34" s="12">
        <f>SUM(CD34:CF34)</f>
        <v>103478</v>
      </c>
      <c r="AA34" s="12">
        <f>SUM(CG34:CI34)</f>
        <v>124147</v>
      </c>
      <c r="AB34" s="12">
        <f>SUM(CJ34:CL34)</f>
        <v>149513</v>
      </c>
      <c r="AC34" s="12">
        <f>SUM(CM34:CO34)</f>
        <v>108896</v>
      </c>
      <c r="AD34" s="12">
        <f>SUM(CP34:CR34)</f>
        <v>175179</v>
      </c>
      <c r="AE34" s="12">
        <f>SUM(CS34:CU34)</f>
        <v>232557</v>
      </c>
      <c r="AF34" s="12">
        <f>SUM(CV34:CX34)</f>
        <v>106836.54999999997</v>
      </c>
      <c r="AG34" s="12">
        <f>SUM(CY34:DA34)</f>
        <v>82376.169999999984</v>
      </c>
      <c r="AH34" s="12">
        <f>SUM(DB34:DD34)</f>
        <v>93622.38</v>
      </c>
      <c r="AI34" s="12">
        <f>SUM(DE34:DG34)</f>
        <v>108450.98000000004</v>
      </c>
      <c r="AJ34" s="12">
        <f>SUM(DH34:DJ34)</f>
        <v>119210.16000000002</v>
      </c>
      <c r="AK34" s="12">
        <f>SUM(DK34:DM34)</f>
        <v>53342.060000000019</v>
      </c>
      <c r="AL34" s="12">
        <f>SUM(DN34:DP34)</f>
        <v>90795.85</v>
      </c>
      <c r="AM34" s="12">
        <f t="shared" si="49"/>
        <v>96019.540000000008</v>
      </c>
      <c r="AN34" s="12">
        <f>SUM(DT34:DV34)</f>
        <v>134113.56034288392</v>
      </c>
      <c r="AO34" s="12">
        <f t="shared" si="50"/>
        <v>130316.4</v>
      </c>
      <c r="AP34" s="12">
        <f t="shared" ref="AP34:AP35" si="77">SUM(DZ34:EB34)</f>
        <v>69276.53</v>
      </c>
      <c r="AQ34" s="12">
        <f t="shared" ca="1" si="52"/>
        <v>139914.06</v>
      </c>
      <c r="AR34" s="12">
        <f t="shared" ca="1" si="52"/>
        <v>83441.795220379863</v>
      </c>
      <c r="AS34" s="12">
        <f t="shared" ca="1" si="52"/>
        <v>140031.7254760889</v>
      </c>
      <c r="AT34" s="12">
        <f t="shared" si="11"/>
        <v>95241.999904135722</v>
      </c>
      <c r="AU34" s="12">
        <f t="shared" ca="1" si="53"/>
        <v>112521.46581347592</v>
      </c>
      <c r="AV34" s="12">
        <f t="shared" ca="1" si="53"/>
        <v>37427.24166091939</v>
      </c>
      <c r="AW34" s="12">
        <f t="shared" ca="1" si="53"/>
        <v>57435.984402393035</v>
      </c>
      <c r="AX34" s="12">
        <f>SUM(EX34:EZ34)</f>
        <v>52600.129740910175</v>
      </c>
      <c r="AY34" s="12">
        <f t="shared" ref="AY34:AY35" si="78">SUM(FA34:FC34)</f>
        <v>70354.398935218487</v>
      </c>
      <c r="AZ34" s="12">
        <f>SUM(FD34:FF34)</f>
        <v>200100.99178140162</v>
      </c>
      <c r="BA34" s="12">
        <f>SUM(FG34:FI34)</f>
        <v>49134.102230212273</v>
      </c>
      <c r="BB34" s="12">
        <f t="shared" ref="BB34:BB35" si="79">SUM(FJ34:FL34)</f>
        <v>11540.032911182017</v>
      </c>
      <c r="BC34" s="12"/>
      <c r="BD34" s="12"/>
      <c r="BE34" s="12"/>
      <c r="BF34" s="12">
        <f t="shared" ref="BF34:CK34" si="80">BF13+BF29</f>
        <v>323612</v>
      </c>
      <c r="BG34" s="12">
        <f t="shared" si="80"/>
        <v>342</v>
      </c>
      <c r="BH34" s="12">
        <f t="shared" si="80"/>
        <v>29919</v>
      </c>
      <c r="BI34" s="12">
        <f t="shared" si="80"/>
        <v>13179</v>
      </c>
      <c r="BJ34" s="12">
        <f t="shared" si="80"/>
        <v>59274</v>
      </c>
      <c r="BK34" s="12">
        <f t="shared" si="80"/>
        <v>20326</v>
      </c>
      <c r="BL34" s="12">
        <f t="shared" si="80"/>
        <v>16921</v>
      </c>
      <c r="BM34" s="12">
        <f t="shared" si="80"/>
        <v>52113</v>
      </c>
      <c r="BN34" s="12">
        <f t="shared" si="80"/>
        <v>72770</v>
      </c>
      <c r="BO34" s="12">
        <f t="shared" si="80"/>
        <v>285092</v>
      </c>
      <c r="BP34" s="12">
        <f t="shared" si="80"/>
        <v>46173</v>
      </c>
      <c r="BQ34" s="12">
        <f t="shared" si="80"/>
        <v>28931</v>
      </c>
      <c r="BR34" s="12">
        <f t="shared" si="80"/>
        <v>1865</v>
      </c>
      <c r="BS34" s="12">
        <f t="shared" si="80"/>
        <v>20564</v>
      </c>
      <c r="BT34" s="12">
        <f t="shared" si="80"/>
        <v>23705</v>
      </c>
      <c r="BU34" s="12">
        <f t="shared" si="80"/>
        <v>67850</v>
      </c>
      <c r="BV34" s="12">
        <f t="shared" si="80"/>
        <v>19708</v>
      </c>
      <c r="BW34" s="12">
        <f t="shared" si="80"/>
        <v>6766</v>
      </c>
      <c r="BX34" s="12">
        <f t="shared" si="80"/>
        <v>68971</v>
      </c>
      <c r="BY34" s="12">
        <f t="shared" si="80"/>
        <v>15597</v>
      </c>
      <c r="BZ34" s="12">
        <f t="shared" si="80"/>
        <v>5587</v>
      </c>
      <c r="CA34" s="12">
        <f t="shared" si="80"/>
        <v>47780</v>
      </c>
      <c r="CB34" s="12">
        <f t="shared" si="80"/>
        <v>13823</v>
      </c>
      <c r="CC34" s="12">
        <f t="shared" si="80"/>
        <v>92591</v>
      </c>
      <c r="CD34" s="12">
        <f t="shared" si="80"/>
        <v>48293</v>
      </c>
      <c r="CE34" s="12">
        <f t="shared" si="80"/>
        <v>6419</v>
      </c>
      <c r="CF34" s="12">
        <f t="shared" si="80"/>
        <v>48766</v>
      </c>
      <c r="CG34" s="12">
        <f t="shared" si="80"/>
        <v>108849</v>
      </c>
      <c r="CH34" s="12">
        <f t="shared" si="80"/>
        <v>8631</v>
      </c>
      <c r="CI34" s="12">
        <f t="shared" si="80"/>
        <v>6667</v>
      </c>
      <c r="CJ34" s="12">
        <f t="shared" si="80"/>
        <v>47605</v>
      </c>
      <c r="CK34" s="12">
        <f t="shared" si="80"/>
        <v>29276</v>
      </c>
      <c r="CL34" s="12">
        <f t="shared" ref="CL34:DN34" si="81">CL13+CL29</f>
        <v>72632</v>
      </c>
      <c r="CM34" s="12">
        <f t="shared" si="81"/>
        <v>20111</v>
      </c>
      <c r="CN34" s="12">
        <f t="shared" si="81"/>
        <v>50447</v>
      </c>
      <c r="CO34" s="12">
        <f t="shared" si="81"/>
        <v>38338</v>
      </c>
      <c r="CP34" s="12">
        <f t="shared" si="81"/>
        <v>114685</v>
      </c>
      <c r="CQ34" s="12">
        <f t="shared" si="81"/>
        <v>14960</v>
      </c>
      <c r="CR34" s="12">
        <f t="shared" si="81"/>
        <v>45534</v>
      </c>
      <c r="CS34" s="12">
        <f t="shared" si="81"/>
        <v>44071</v>
      </c>
      <c r="CT34" s="12">
        <f t="shared" si="81"/>
        <v>101908</v>
      </c>
      <c r="CU34" s="12">
        <f t="shared" si="81"/>
        <v>86578</v>
      </c>
      <c r="CV34" s="12">
        <f t="shared" si="81"/>
        <v>13694</v>
      </c>
      <c r="CW34" s="12">
        <f t="shared" si="81"/>
        <v>-139.44999999999982</v>
      </c>
      <c r="CX34" s="12">
        <f t="shared" si="81"/>
        <v>93281.999999999971</v>
      </c>
      <c r="CY34" s="12">
        <f t="shared" si="81"/>
        <v>60318.25999999998</v>
      </c>
      <c r="CZ34" s="12">
        <f t="shared" si="81"/>
        <v>12525.009999999998</v>
      </c>
      <c r="DA34" s="12">
        <f t="shared" si="81"/>
        <v>9532.9000000000015</v>
      </c>
      <c r="DB34" s="12">
        <f t="shared" si="81"/>
        <v>67903.599999999991</v>
      </c>
      <c r="DC34" s="12">
        <f t="shared" si="81"/>
        <v>18898.580000000002</v>
      </c>
      <c r="DD34" s="12">
        <f t="shared" si="81"/>
        <v>6820.2000000000053</v>
      </c>
      <c r="DE34" s="12">
        <f t="shared" si="81"/>
        <v>6239.6100000000033</v>
      </c>
      <c r="DF34" s="12">
        <f t="shared" si="81"/>
        <v>9004.0200000000041</v>
      </c>
      <c r="DG34" s="12">
        <f t="shared" si="81"/>
        <v>93207.350000000035</v>
      </c>
      <c r="DH34" s="12">
        <f t="shared" si="81"/>
        <v>69705.690000000031</v>
      </c>
      <c r="DI34" s="12">
        <f t="shared" si="81"/>
        <v>31046.009999999995</v>
      </c>
      <c r="DJ34" s="12">
        <f t="shared" si="81"/>
        <v>18458.459999999988</v>
      </c>
      <c r="DK34" s="12">
        <f t="shared" si="81"/>
        <v>14995.979999999998</v>
      </c>
      <c r="DL34" s="12">
        <f t="shared" si="81"/>
        <v>11465.369999999999</v>
      </c>
      <c r="DM34" s="12">
        <f t="shared" si="81"/>
        <v>26880.710000000021</v>
      </c>
      <c r="DN34" s="12">
        <f t="shared" si="81"/>
        <v>18176.650000000009</v>
      </c>
      <c r="DO34" s="12">
        <f t="shared" ref="DO34:DP34" si="82">DO13+DO29</f>
        <v>6742.579999999999</v>
      </c>
      <c r="DP34" s="12">
        <f t="shared" si="82"/>
        <v>65876.62</v>
      </c>
      <c r="DQ34" s="12">
        <f t="shared" ref="DQ34:DR34" si="83">DQ13+DQ29</f>
        <v>25968.600000000006</v>
      </c>
      <c r="DR34" s="12">
        <f t="shared" si="83"/>
        <v>62201.740000000005</v>
      </c>
      <c r="DS34" s="12">
        <f t="shared" ref="DS34:DT34" si="84">DS13+DS29</f>
        <v>7849.2000000000025</v>
      </c>
      <c r="DT34" s="12">
        <f t="shared" si="84"/>
        <v>14927.6</v>
      </c>
      <c r="DU34" s="12">
        <f t="shared" ref="DU34" si="85">DU13+DU29</f>
        <v>50239.190342883972</v>
      </c>
      <c r="DV34" s="12">
        <f t="shared" ref="DV34:DX35" si="86">DV13+DV29</f>
        <v>68946.76999999996</v>
      </c>
      <c r="DW34" s="12">
        <f t="shared" si="86"/>
        <v>9573.7200000000012</v>
      </c>
      <c r="DX34" s="12">
        <f t="shared" si="86"/>
        <v>18881</v>
      </c>
      <c r="DY34" s="511">
        <f t="shared" ref="DY34" si="87">DY13+DY29</f>
        <v>101861.68</v>
      </c>
      <c r="DZ34" s="12">
        <f t="shared" ref="DZ34:EB35" si="88">DZ13+DZ29</f>
        <v>12708.840000000002</v>
      </c>
      <c r="EA34" s="12">
        <f t="shared" si="88"/>
        <v>1143.8900000000021</v>
      </c>
      <c r="EB34" s="12">
        <f t="shared" si="88"/>
        <v>55423.8</v>
      </c>
      <c r="EC34" s="12">
        <f t="shared" ref="EC34:ED34" si="89">EC13+EC29</f>
        <v>38127.420000000006</v>
      </c>
      <c r="ED34" s="12">
        <f t="shared" si="89"/>
        <v>37933.51</v>
      </c>
      <c r="EE34" s="12">
        <f t="shared" ref="EE34" si="90">EE13+EE29</f>
        <v>63853.130000000005</v>
      </c>
      <c r="EF34" s="12">
        <f t="shared" ref="EF34:EH35" si="91">EF13+EF29</f>
        <v>43968.496329468995</v>
      </c>
      <c r="EG34" s="12">
        <f t="shared" si="91"/>
        <v>31116.648383301297</v>
      </c>
      <c r="EH34" s="12">
        <f t="shared" si="91"/>
        <v>8356.6505076095709</v>
      </c>
      <c r="EI34" s="12">
        <f t="shared" ref="EI34:EJ34" si="92">EI13+EI29</f>
        <v>61496.592922539698</v>
      </c>
      <c r="EJ34" s="12">
        <f t="shared" si="92"/>
        <v>41114.243380733169</v>
      </c>
      <c r="EK34" s="511">
        <f t="shared" ref="EK34:EL34" si="93">EK13+EK29</f>
        <v>37420.889172816038</v>
      </c>
      <c r="EL34" s="511">
        <f t="shared" si="93"/>
        <v>4189.5523805883167</v>
      </c>
      <c r="EM34" s="511">
        <f t="shared" ref="EM34:EN34" si="94">EM13+EM29</f>
        <v>20080.164271552636</v>
      </c>
      <c r="EN34" s="511">
        <f t="shared" si="94"/>
        <v>70972.28325199477</v>
      </c>
      <c r="EO34" s="511">
        <f t="shared" ref="EO34:EP34" si="95">EO13+EO29</f>
        <v>3991.1810438968168</v>
      </c>
      <c r="EP34" s="511">
        <f t="shared" si="95"/>
        <v>46823.071699943845</v>
      </c>
      <c r="EQ34" s="511">
        <f t="shared" ref="EQ34:ER34" si="96">EQ13+EQ29</f>
        <v>61707.213069635269</v>
      </c>
      <c r="ER34" s="511">
        <f t="shared" si="96"/>
        <v>9474.6250719423442</v>
      </c>
      <c r="ES34" s="511">
        <f t="shared" ref="ES34:ET34" si="97">ES13+ES29</f>
        <v>23124.856860806831</v>
      </c>
      <c r="ET34" s="511">
        <f t="shared" si="97"/>
        <v>4827.7597281702147</v>
      </c>
      <c r="EU34" s="511">
        <f t="shared" ref="EU34:EV34" si="98">EU13+EU29</f>
        <v>5848.9732007570892</v>
      </c>
      <c r="EV34" s="511">
        <f t="shared" si="98"/>
        <v>34766.05120163571</v>
      </c>
      <c r="EW34" s="511">
        <f t="shared" ref="EW34:EX34" si="99">EW13+EW29</f>
        <v>16820.960000000243</v>
      </c>
      <c r="EX34" s="511">
        <f t="shared" si="99"/>
        <v>-1013.8764018210613</v>
      </c>
      <c r="EY34" s="511">
        <f t="shared" ref="EY34" si="100">EY13+EY29</f>
        <v>51387.601215662711</v>
      </c>
      <c r="EZ34" s="511">
        <f t="shared" ref="EZ34:FB35" si="101">EZ13+EZ29</f>
        <v>2226.4049270685264</v>
      </c>
      <c r="FA34" s="511">
        <f t="shared" si="101"/>
        <v>20252.696068194236</v>
      </c>
      <c r="FB34" s="511">
        <f t="shared" si="101"/>
        <v>47912.029557872243</v>
      </c>
      <c r="FC34" s="511">
        <f t="shared" ref="FC34:FD34" si="102">FC13+FC29</f>
        <v>2189.6733091520109</v>
      </c>
      <c r="FD34" s="511">
        <f t="shared" si="102"/>
        <v>73277.512338241679</v>
      </c>
      <c r="FE34" s="511">
        <f t="shared" ref="FE34:FF34" si="103">FE13+FE29</f>
        <v>47363.741208669962</v>
      </c>
      <c r="FF34" s="511">
        <f t="shared" si="103"/>
        <v>79459.738234489982</v>
      </c>
      <c r="FG34" s="511">
        <f t="shared" ref="FG34:FH34" si="104">FG13+FG29</f>
        <v>10427.769299757123</v>
      </c>
      <c r="FH34" s="511">
        <f t="shared" si="104"/>
        <v>557.72558177424798</v>
      </c>
      <c r="FI34" s="511">
        <f t="shared" ref="FI34:FJ34" si="105">FI13+FI29</f>
        <v>38148.607348680904</v>
      </c>
      <c r="FJ34" s="511">
        <f t="shared" si="105"/>
        <v>9557.5314103077799</v>
      </c>
      <c r="FK34" s="764">
        <f t="shared" ref="FK34" si="106">FK13+FK29</f>
        <v>1982.5015008742375</v>
      </c>
      <c r="FL34" s="511"/>
      <c r="FM34" s="511"/>
      <c r="FN34" s="289">
        <f>'Financial plan'!EZ30</f>
        <v>26781.565656565654</v>
      </c>
      <c r="FO34" s="511">
        <f>FK34-FJ34</f>
        <v>-7575.0299094335423</v>
      </c>
      <c r="FP34" s="511">
        <f>FK34-FN34</f>
        <v>-24799.064155691416</v>
      </c>
      <c r="FQ34" s="511" t="e">
        <f>FL34-#REF!</f>
        <v>#REF!</v>
      </c>
      <c r="FR34" s="511">
        <f>FM34-FO34</f>
        <v>7575.0299094335423</v>
      </c>
      <c r="FS34" s="511">
        <f t="shared" si="13"/>
        <v>-24799.064155691416</v>
      </c>
      <c r="FT34" s="511">
        <f>SUM($FJ34:FK34)</f>
        <v>11540.032911182017</v>
      </c>
      <c r="FU34" s="511">
        <f>SUM('Financial plan'!$EY30:EZ30)</f>
        <v>53563.131313131307</v>
      </c>
      <c r="FV34" s="511">
        <f t="shared" si="41"/>
        <v>-42023.09840194929</v>
      </c>
      <c r="FX34" s="16"/>
    </row>
    <row r="35" spans="3:180" s="10" customFormat="1" x14ac:dyDescent="0.35">
      <c r="E35" s="10" t="s">
        <v>11</v>
      </c>
      <c r="F35" s="11">
        <v>61000</v>
      </c>
      <c r="G35" s="11">
        <f>SUM(R35:U35)</f>
        <v>80481</v>
      </c>
      <c r="H35" s="11">
        <f>SUM(V35:Y35)</f>
        <v>98461</v>
      </c>
      <c r="I35" s="11">
        <f>SUM(Z35:AC35)</f>
        <v>98173</v>
      </c>
      <c r="J35" s="11">
        <f>SUM(AD35:AG35)</f>
        <v>510931.04</v>
      </c>
      <c r="K35" s="11">
        <f>SUM(AH35:AK35)</f>
        <v>308467.03999999998</v>
      </c>
      <c r="L35" s="11">
        <f t="shared" si="45"/>
        <v>529552.25408739247</v>
      </c>
      <c r="M35" s="11">
        <f t="shared" ca="1" si="75"/>
        <v>691569.43614489306</v>
      </c>
      <c r="N35" s="11">
        <f ca="1">SUM(AT35:AW35)</f>
        <v>813413.59231739026</v>
      </c>
      <c r="O35" s="11">
        <f t="shared" si="47"/>
        <v>835083.79901215842</v>
      </c>
      <c r="P35" s="11">
        <f>SUM($FJ35:FK35)</f>
        <v>24058.426651113179</v>
      </c>
      <c r="Q35" s="12"/>
      <c r="R35" s="12">
        <f>R14+R30</f>
        <v>21667</v>
      </c>
      <c r="S35" s="12">
        <f>S14+S30</f>
        <v>26426</v>
      </c>
      <c r="T35" s="12">
        <f>SUM(BL35:BN35)</f>
        <v>21765</v>
      </c>
      <c r="U35" s="12">
        <f t="shared" si="76"/>
        <v>10623</v>
      </c>
      <c r="V35" s="12">
        <f t="shared" si="76"/>
        <v>12945</v>
      </c>
      <c r="W35" s="12">
        <f t="shared" si="76"/>
        <v>1600</v>
      </c>
      <c r="X35" s="12">
        <f t="shared" si="76"/>
        <v>54645</v>
      </c>
      <c r="Y35" s="12">
        <f t="shared" si="76"/>
        <v>29271</v>
      </c>
      <c r="Z35" s="12">
        <f>SUM(CD35:CF35)</f>
        <v>9525</v>
      </c>
      <c r="AA35" s="12">
        <f>SUM(CG35:CI35)</f>
        <v>5066</v>
      </c>
      <c r="AB35" s="12">
        <f>SUM(CJ35:CL35)</f>
        <v>11877</v>
      </c>
      <c r="AC35" s="12">
        <f>SUM(CM35:CO35)</f>
        <v>71705</v>
      </c>
      <c r="AD35" s="12">
        <f>SUM(CP35:CR35)</f>
        <v>68430</v>
      </c>
      <c r="AE35" s="12">
        <f>SUM(CS35:CU35)</f>
        <v>86998</v>
      </c>
      <c r="AF35" s="12">
        <f>SUM(CV35:CX35)</f>
        <v>154889.26</v>
      </c>
      <c r="AG35" s="12">
        <f>SUM(CY35:DA35)</f>
        <v>200613.77999999997</v>
      </c>
      <c r="AH35" s="12">
        <f>SUM(DB35:DD35)</f>
        <v>101944.35</v>
      </c>
      <c r="AI35" s="12">
        <f>SUM(DE35:DG35)</f>
        <v>93721.47</v>
      </c>
      <c r="AJ35" s="12">
        <f>SUM(DH35:DJ35)</f>
        <v>46289.61</v>
      </c>
      <c r="AK35" s="12">
        <f>SUM(DK35:DM35)</f>
        <v>66511.61</v>
      </c>
      <c r="AL35" s="12">
        <f>SUM(DN35:DP35)</f>
        <v>90194.97</v>
      </c>
      <c r="AM35" s="12">
        <f t="shared" si="49"/>
        <v>140780.34</v>
      </c>
      <c r="AN35" s="12">
        <f>SUM(DT35:DV35)</f>
        <v>164286.47408739233</v>
      </c>
      <c r="AO35" s="12">
        <f t="shared" si="50"/>
        <v>134290.47000000009</v>
      </c>
      <c r="AP35" s="12">
        <f t="shared" si="77"/>
        <v>104909.41</v>
      </c>
      <c r="AQ35" s="12">
        <f t="shared" ca="1" si="52"/>
        <v>131801.87</v>
      </c>
      <c r="AR35" s="12">
        <f t="shared" ca="1" si="52"/>
        <v>209503.35645192111</v>
      </c>
      <c r="AS35" s="12">
        <f t="shared" ca="1" si="52"/>
        <v>245354.79969297201</v>
      </c>
      <c r="AT35" s="12">
        <f t="shared" si="11"/>
        <v>239457.03819431493</v>
      </c>
      <c r="AU35" s="12">
        <f t="shared" ca="1" si="53"/>
        <v>269391.34244792664</v>
      </c>
      <c r="AV35" s="12">
        <f t="shared" ca="1" si="53"/>
        <v>289815.09640584164</v>
      </c>
      <c r="AW35" s="12">
        <f t="shared" ca="1" si="53"/>
        <v>14750.115269307003</v>
      </c>
      <c r="AX35" s="12">
        <f>SUM(EX35:EZ35)</f>
        <v>221862.70169831603</v>
      </c>
      <c r="AY35" s="12">
        <f t="shared" si="78"/>
        <v>175682.48726758361</v>
      </c>
      <c r="AZ35" s="12">
        <f>SUM(FD35:FF35)</f>
        <v>206785.1959763265</v>
      </c>
      <c r="BA35" s="12">
        <f>SUM(FG35:FI35)</f>
        <v>230753.41406993227</v>
      </c>
      <c r="BB35" s="12">
        <f t="shared" si="79"/>
        <v>24058.426651113179</v>
      </c>
      <c r="BC35" s="12"/>
      <c r="BD35" s="12"/>
      <c r="BE35" s="12"/>
      <c r="BF35" s="12">
        <f t="shared" ref="BF35:CK35" si="107">BF14+BF30</f>
        <v>6400</v>
      </c>
      <c r="BG35" s="12">
        <f t="shared" si="107"/>
        <v>6090</v>
      </c>
      <c r="BH35" s="12">
        <f t="shared" si="107"/>
        <v>9177</v>
      </c>
      <c r="BI35" s="12">
        <f t="shared" si="107"/>
        <v>9223</v>
      </c>
      <c r="BJ35" s="12">
        <f t="shared" si="107"/>
        <v>4645</v>
      </c>
      <c r="BK35" s="12">
        <f t="shared" si="107"/>
        <v>12558</v>
      </c>
      <c r="BL35" s="12">
        <f t="shared" si="107"/>
        <v>3832</v>
      </c>
      <c r="BM35" s="12">
        <f t="shared" si="107"/>
        <v>7353</v>
      </c>
      <c r="BN35" s="12">
        <f t="shared" si="107"/>
        <v>10580</v>
      </c>
      <c r="BO35" s="12">
        <f t="shared" si="107"/>
        <v>3333</v>
      </c>
      <c r="BP35" s="12">
        <f t="shared" si="107"/>
        <v>1457</v>
      </c>
      <c r="BQ35" s="12">
        <f t="shared" si="107"/>
        <v>5833</v>
      </c>
      <c r="BR35" s="12">
        <f t="shared" si="107"/>
        <v>6364</v>
      </c>
      <c r="BS35" s="12">
        <f t="shared" si="107"/>
        <v>11000</v>
      </c>
      <c r="BT35" s="12">
        <f t="shared" si="107"/>
        <v>-4419</v>
      </c>
      <c r="BU35" s="12">
        <f t="shared" si="107"/>
        <v>0</v>
      </c>
      <c r="BV35" s="12">
        <f t="shared" si="107"/>
        <v>1600</v>
      </c>
      <c r="BW35" s="12">
        <f t="shared" si="107"/>
        <v>0</v>
      </c>
      <c r="BX35" s="12">
        <f t="shared" si="107"/>
        <v>35546</v>
      </c>
      <c r="BY35" s="12">
        <f t="shared" si="107"/>
        <v>5000</v>
      </c>
      <c r="BZ35" s="12">
        <f t="shared" si="107"/>
        <v>14099</v>
      </c>
      <c r="CA35" s="12">
        <f t="shared" si="107"/>
        <v>7493</v>
      </c>
      <c r="CB35" s="12">
        <f t="shared" si="107"/>
        <v>18778</v>
      </c>
      <c r="CC35" s="12">
        <f t="shared" si="107"/>
        <v>3000</v>
      </c>
      <c r="CD35" s="12">
        <f t="shared" si="107"/>
        <v>1500</v>
      </c>
      <c r="CE35" s="12">
        <f t="shared" si="107"/>
        <v>8025</v>
      </c>
      <c r="CF35" s="12">
        <f t="shared" si="107"/>
        <v>0</v>
      </c>
      <c r="CG35" s="12">
        <f t="shared" si="107"/>
        <v>0</v>
      </c>
      <c r="CH35" s="12">
        <f t="shared" si="107"/>
        <v>288</v>
      </c>
      <c r="CI35" s="12">
        <f t="shared" si="107"/>
        <v>4778</v>
      </c>
      <c r="CJ35" s="12">
        <f t="shared" si="107"/>
        <v>0</v>
      </c>
      <c r="CK35" s="12">
        <f t="shared" si="107"/>
        <v>7774</v>
      </c>
      <c r="CL35" s="12">
        <f t="shared" ref="CL35:DN35" si="108">CL14+CL30</f>
        <v>4103</v>
      </c>
      <c r="CM35" s="12">
        <f t="shared" si="108"/>
        <v>30100</v>
      </c>
      <c r="CN35" s="12">
        <f t="shared" si="108"/>
        <v>11000</v>
      </c>
      <c r="CO35" s="12">
        <f t="shared" si="108"/>
        <v>30605</v>
      </c>
      <c r="CP35" s="12">
        <f t="shared" si="108"/>
        <v>3731</v>
      </c>
      <c r="CQ35" s="12">
        <f t="shared" si="108"/>
        <v>46547</v>
      </c>
      <c r="CR35" s="12">
        <f t="shared" si="108"/>
        <v>18152</v>
      </c>
      <c r="CS35" s="12">
        <f t="shared" si="108"/>
        <v>29327</v>
      </c>
      <c r="CT35" s="12">
        <f t="shared" si="108"/>
        <v>27211</v>
      </c>
      <c r="CU35" s="12">
        <f t="shared" si="108"/>
        <v>30460</v>
      </c>
      <c r="CV35" s="12">
        <f t="shared" si="108"/>
        <v>53633</v>
      </c>
      <c r="CW35" s="12">
        <f t="shared" si="108"/>
        <v>51256.26</v>
      </c>
      <c r="CX35" s="12">
        <f t="shared" si="108"/>
        <v>50000</v>
      </c>
      <c r="CY35" s="12">
        <f t="shared" si="108"/>
        <v>68091.61</v>
      </c>
      <c r="CZ35" s="12">
        <f t="shared" si="108"/>
        <v>67025</v>
      </c>
      <c r="DA35" s="12">
        <f t="shared" si="108"/>
        <v>65497.17</v>
      </c>
      <c r="DB35" s="12">
        <f t="shared" si="108"/>
        <v>40000.28</v>
      </c>
      <c r="DC35" s="12">
        <f t="shared" si="108"/>
        <v>40000</v>
      </c>
      <c r="DD35" s="12">
        <f t="shared" si="108"/>
        <v>21944.07</v>
      </c>
      <c r="DE35" s="12">
        <f t="shared" si="108"/>
        <v>30182.6</v>
      </c>
      <c r="DF35" s="12">
        <f t="shared" si="108"/>
        <v>31415.429999999993</v>
      </c>
      <c r="DG35" s="12">
        <f t="shared" si="108"/>
        <v>32123.440000000002</v>
      </c>
      <c r="DH35" s="12">
        <f t="shared" si="108"/>
        <v>12811.89</v>
      </c>
      <c r="DI35" s="12">
        <f t="shared" si="108"/>
        <v>3986.54</v>
      </c>
      <c r="DJ35" s="12">
        <f t="shared" si="108"/>
        <v>29491.18</v>
      </c>
      <c r="DK35" s="12">
        <f t="shared" si="108"/>
        <v>2809.4100000000053</v>
      </c>
      <c r="DL35" s="12">
        <f t="shared" si="108"/>
        <v>12914.72</v>
      </c>
      <c r="DM35" s="12">
        <f t="shared" si="108"/>
        <v>50787.479999999996</v>
      </c>
      <c r="DN35" s="12">
        <f t="shared" si="108"/>
        <v>9634.4699999999993</v>
      </c>
      <c r="DO35" s="12">
        <f t="shared" ref="DO35:DP35" si="109">DO14+DO30</f>
        <v>9889.7899999999991</v>
      </c>
      <c r="DP35" s="12">
        <f t="shared" si="109"/>
        <v>70670.710000000006</v>
      </c>
      <c r="DQ35" s="12">
        <f t="shared" ref="DQ35:DR35" si="110">DQ14+DQ30</f>
        <v>48621.930000000008</v>
      </c>
      <c r="DR35" s="12">
        <f t="shared" si="110"/>
        <v>79296</v>
      </c>
      <c r="DS35" s="12">
        <f t="shared" ref="DS35:DT35" si="111">DS14+DS30</f>
        <v>12862.41</v>
      </c>
      <c r="DT35" s="12">
        <f t="shared" si="111"/>
        <v>11014.67</v>
      </c>
      <c r="DU35" s="12">
        <f t="shared" ref="DU35" si="112">DU14+DU30</f>
        <v>44831.384087392333</v>
      </c>
      <c r="DV35" s="12">
        <f t="shared" si="86"/>
        <v>108440.42</v>
      </c>
      <c r="DW35" s="12">
        <f t="shared" si="86"/>
        <v>25877.37</v>
      </c>
      <c r="DX35" s="12">
        <f t="shared" si="86"/>
        <v>71882.480000000025</v>
      </c>
      <c r="DY35" s="511">
        <f t="shared" ref="DY35" si="113">DY14+DY30</f>
        <v>36530.620000000068</v>
      </c>
      <c r="DZ35" s="12">
        <f t="shared" si="88"/>
        <v>27724.44</v>
      </c>
      <c r="EA35" s="12">
        <f t="shared" si="88"/>
        <v>23263.949999999997</v>
      </c>
      <c r="EB35" s="12">
        <f t="shared" si="88"/>
        <v>53921.020000000004</v>
      </c>
      <c r="EC35" s="12">
        <f t="shared" ref="EC35:ED35" si="114">EC14+EC30</f>
        <v>23160.780000000002</v>
      </c>
      <c r="ED35" s="12">
        <f t="shared" si="114"/>
        <v>76654.2</v>
      </c>
      <c r="EE35" s="12">
        <f t="shared" ref="EE35" si="115">EE14+EE30</f>
        <v>31986.89</v>
      </c>
      <c r="EF35" s="12">
        <f t="shared" si="91"/>
        <v>28256.076399097899</v>
      </c>
      <c r="EG35" s="12">
        <f t="shared" si="91"/>
        <v>51630.256494266199</v>
      </c>
      <c r="EH35" s="12">
        <f t="shared" si="91"/>
        <v>129617.023558557</v>
      </c>
      <c r="EI35" s="12">
        <f t="shared" ref="EI35:EJ35" si="116">EI14+EI30</f>
        <v>64028.596534399898</v>
      </c>
      <c r="EJ35" s="12">
        <f t="shared" si="116"/>
        <v>61376.040857946493</v>
      </c>
      <c r="EK35" s="511">
        <f t="shared" ref="EK35:EL35" si="117">EK14+EK30</f>
        <v>119950.16230062561</v>
      </c>
      <c r="EL35" s="511">
        <f t="shared" si="117"/>
        <v>65837.640828048461</v>
      </c>
      <c r="EM35" s="511">
        <f t="shared" ref="EM35" si="118">EM14+EM30</f>
        <v>76233.970219445619</v>
      </c>
      <c r="EN35" s="511">
        <f t="shared" ref="EN35:ES35" si="119">EN14+EN30</f>
        <v>97385.427146820861</v>
      </c>
      <c r="EO35" s="511">
        <f t="shared" si="119"/>
        <v>16184.522658867008</v>
      </c>
      <c r="EP35" s="511">
        <f t="shared" si="119"/>
        <v>145870.59393733187</v>
      </c>
      <c r="EQ35" s="511">
        <f t="shared" si="119"/>
        <v>107336.22585172774</v>
      </c>
      <c r="ER35" s="511">
        <f t="shared" si="119"/>
        <v>102392.65602574825</v>
      </c>
      <c r="ES35" s="511">
        <f t="shared" si="119"/>
        <v>111993.61439355627</v>
      </c>
      <c r="ET35" s="511">
        <f t="shared" ref="ET35:EU35" si="120">ET14+ET30</f>
        <v>75428.825986537136</v>
      </c>
      <c r="EU35" s="511">
        <f t="shared" si="120"/>
        <v>39444.708237957006</v>
      </c>
      <c r="EV35" s="511">
        <f t="shared" ref="EV35:EW35" si="121">EV14+EV30</f>
        <v>31049.88703134999</v>
      </c>
      <c r="EW35" s="511">
        <f t="shared" si="121"/>
        <v>-55744.479999999996</v>
      </c>
      <c r="EX35" s="511">
        <f t="shared" ref="EX35:EY35" si="122">EX14+EX30</f>
        <v>65568.137081245877</v>
      </c>
      <c r="EY35" s="511">
        <f t="shared" si="122"/>
        <v>92252.940194213326</v>
      </c>
      <c r="EZ35" s="511">
        <f t="shared" si="101"/>
        <v>64041.624422856839</v>
      </c>
      <c r="FA35" s="511">
        <f t="shared" si="101"/>
        <v>51555.677591988191</v>
      </c>
      <c r="FB35" s="511">
        <f t="shared" si="101"/>
        <v>42881.246587860594</v>
      </c>
      <c r="FC35" s="511">
        <f t="shared" ref="FC35:FD35" si="123">FC14+FC30</f>
        <v>81245.56308773483</v>
      </c>
      <c r="FD35" s="511">
        <f t="shared" si="123"/>
        <v>79485.141062565628</v>
      </c>
      <c r="FE35" s="511">
        <f t="shared" ref="FE35:FF35" si="124">FE14+FE30</f>
        <v>84359.948019779462</v>
      </c>
      <c r="FF35" s="511">
        <f t="shared" si="124"/>
        <v>42940.106893981429</v>
      </c>
      <c r="FG35" s="511">
        <f t="shared" ref="FG35:FH35" si="125">FG14+FG30</f>
        <v>65842.484170359734</v>
      </c>
      <c r="FH35" s="511">
        <f t="shared" si="125"/>
        <v>83846.499089664168</v>
      </c>
      <c r="FI35" s="511">
        <f t="shared" ref="FI35:FJ35" si="126">FI14+FI30</f>
        <v>81064.430809908372</v>
      </c>
      <c r="FJ35" s="511">
        <f t="shared" si="126"/>
        <v>13990.124619689403</v>
      </c>
      <c r="FK35" s="764">
        <f t="shared" ref="FK35" si="127">FK14+FK30</f>
        <v>10068.302031423775</v>
      </c>
      <c r="FL35"/>
      <c r="FM35"/>
      <c r="FN35" s="289">
        <f>'Financial plan'!EZ31</f>
        <v>44133.333333333336</v>
      </c>
      <c r="FO35" s="511">
        <f>FK35-FJ35</f>
        <v>-3921.8225882656279</v>
      </c>
      <c r="FP35" s="511">
        <f>FK35-FN35</f>
        <v>-34065.031301909563</v>
      </c>
      <c r="FQ35" s="511" t="e">
        <f>FL35-#REF!</f>
        <v>#REF!</v>
      </c>
      <c r="FR35" s="511">
        <f>FM35-FO35</f>
        <v>3921.8225882656279</v>
      </c>
      <c r="FS35" s="511">
        <f t="shared" si="13"/>
        <v>-34065.031301909563</v>
      </c>
      <c r="FT35" s="511">
        <f>SUM($FJ35:FK35)</f>
        <v>24058.426651113179</v>
      </c>
      <c r="FU35" s="511">
        <f>SUM('Financial plan'!$EY31:EZ31)</f>
        <v>88266.666666666672</v>
      </c>
      <c r="FV35" s="511">
        <f t="shared" si="41"/>
        <v>-64208.240015553492</v>
      </c>
      <c r="FX35" s="16"/>
    </row>
    <row r="36" spans="3:180" ht="7.5" customHeight="1" x14ac:dyDescent="0.35">
      <c r="F36" s="20"/>
      <c r="G36" s="20"/>
      <c r="H36" s="20"/>
      <c r="I36" s="20"/>
      <c r="J36" s="19"/>
      <c r="K36" s="20"/>
      <c r="L36" s="20"/>
      <c r="M36" s="20"/>
      <c r="N36" s="20"/>
      <c r="O36" s="20">
        <f t="shared" si="47"/>
        <v>0</v>
      </c>
      <c r="P36" s="20">
        <f>SUM($FJ36:FK36)</f>
        <v>0</v>
      </c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82"/>
      <c r="DB36" s="82"/>
      <c r="DC36" s="82"/>
      <c r="DD36" s="82"/>
      <c r="DE36" s="82"/>
      <c r="DF36" s="20"/>
      <c r="DG36" s="20"/>
      <c r="DH36" s="20"/>
      <c r="DI36" s="20"/>
      <c r="DJ36" s="20"/>
      <c r="DK36" s="12"/>
      <c r="DL36" s="12"/>
      <c r="DM36" s="12"/>
      <c r="DN36" s="12"/>
      <c r="DO36" s="12"/>
      <c r="DP36" s="12"/>
      <c r="DQ36" s="12"/>
      <c r="DR36" s="12"/>
      <c r="DS36" s="12"/>
      <c r="DT36" s="12"/>
      <c r="DU36" s="12"/>
      <c r="DV36" s="12"/>
      <c r="DW36" s="12"/>
      <c r="DX36" s="12"/>
      <c r="DY36" s="511"/>
      <c r="DZ36" s="12"/>
      <c r="EA36" s="12"/>
      <c r="EB36" s="12"/>
      <c r="EC36" s="12"/>
      <c r="ED36" s="12"/>
      <c r="EE36" s="12"/>
      <c r="EF36" s="12"/>
      <c r="EG36" s="12"/>
      <c r="ER36" s="487"/>
      <c r="ES36" s="487"/>
      <c r="ET36" s="487"/>
      <c r="EU36" s="487"/>
      <c r="EV36" s="487"/>
      <c r="EW36" s="487"/>
      <c r="EX36" s="487"/>
      <c r="EY36" s="487"/>
      <c r="EZ36" s="487"/>
      <c r="FA36" s="487"/>
      <c r="FB36" s="487"/>
      <c r="FC36" s="487"/>
      <c r="FD36" s="487"/>
      <c r="FE36" s="487"/>
      <c r="FF36" s="487"/>
      <c r="FG36" s="487"/>
      <c r="FH36" s="487"/>
      <c r="FI36" s="487"/>
      <c r="FJ36" s="487"/>
      <c r="FK36" s="778"/>
      <c r="FN36" s="12"/>
      <c r="FO36" s="487"/>
      <c r="FP36" s="487"/>
      <c r="FQ36" s="487"/>
      <c r="FR36" s="487"/>
      <c r="FS36" s="487"/>
      <c r="FT36" s="12">
        <f>SUM($FJ36:FK36)</f>
        <v>0</v>
      </c>
      <c r="FU36" s="12">
        <f>SUM('Financial plan'!$EY32:EZ32)</f>
        <v>0</v>
      </c>
      <c r="FV36" s="12">
        <f t="shared" si="41"/>
        <v>0</v>
      </c>
      <c r="FX36" s="16"/>
    </row>
    <row r="37" spans="3:180" s="9" customFormat="1" x14ac:dyDescent="0.35">
      <c r="D37" s="25" t="s">
        <v>105</v>
      </c>
      <c r="F37" s="26"/>
      <c r="G37" s="26"/>
      <c r="H37" s="26"/>
      <c r="I37" s="26"/>
      <c r="J37" s="26"/>
      <c r="K37" s="26"/>
      <c r="L37" s="27"/>
      <c r="M37" s="27"/>
      <c r="N37" s="27"/>
      <c r="O37" s="27">
        <f t="shared" si="47"/>
        <v>0</v>
      </c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320"/>
      <c r="DB37" s="320"/>
      <c r="DC37" s="320"/>
      <c r="DD37" s="320"/>
      <c r="DE37" s="320"/>
      <c r="DF37" s="27"/>
      <c r="DG37" s="27"/>
      <c r="DH37" s="27"/>
      <c r="DI37" s="27"/>
      <c r="DJ37" s="27"/>
      <c r="DK37" s="12"/>
      <c r="DL37" s="12"/>
      <c r="DM37" s="12"/>
      <c r="DN37" s="12"/>
      <c r="DO37" s="12"/>
      <c r="DP37" s="12"/>
      <c r="DQ37" s="12"/>
      <c r="DR37" s="12"/>
      <c r="DS37" s="12"/>
      <c r="DT37" s="12"/>
      <c r="DU37" s="12"/>
      <c r="DV37" s="12"/>
      <c r="DW37" s="12"/>
      <c r="DX37" s="12"/>
      <c r="DY37" s="511"/>
      <c r="DZ37" s="12"/>
      <c r="EA37" s="12"/>
      <c r="EB37" s="12"/>
      <c r="EC37" s="12"/>
      <c r="ED37" s="12"/>
      <c r="EE37" s="12"/>
      <c r="EF37" s="12"/>
      <c r="EG37" s="12"/>
      <c r="EK37" s="585"/>
      <c r="EL37" s="585"/>
      <c r="EM37" s="585"/>
      <c r="EN37" s="585"/>
      <c r="EO37" s="585"/>
      <c r="EP37" s="585"/>
      <c r="EQ37" s="585"/>
      <c r="ER37" s="585"/>
      <c r="ES37" s="585"/>
      <c r="ET37" s="585"/>
      <c r="EU37" s="585"/>
      <c r="EV37" s="585"/>
      <c r="FK37" s="744"/>
      <c r="FL37"/>
      <c r="FM37"/>
      <c r="FN37" s="12"/>
      <c r="FT37" s="12"/>
      <c r="FX37" s="16"/>
    </row>
    <row r="38" spans="3:180" s="9" customFormat="1" x14ac:dyDescent="0.35">
      <c r="E38" s="9" t="s">
        <v>106</v>
      </c>
      <c r="F38" s="28">
        <f t="shared" ref="F38:L38" si="128">F33/F7</f>
        <v>0.43333969101659353</v>
      </c>
      <c r="G38" s="28">
        <f t="shared" si="128"/>
        <v>0.43782979493637986</v>
      </c>
      <c r="H38" s="28">
        <f t="shared" si="128"/>
        <v>0.55919666375550336</v>
      </c>
      <c r="I38" s="28">
        <f t="shared" si="128"/>
        <v>0.46877906495978949</v>
      </c>
      <c r="J38" s="28">
        <f t="shared" si="128"/>
        <v>0.48661095704976898</v>
      </c>
      <c r="K38" s="28">
        <f>K33/K7</f>
        <v>0.48711942061224328</v>
      </c>
      <c r="L38" s="28">
        <f t="shared" si="128"/>
        <v>0.46948511976770307</v>
      </c>
      <c r="M38" s="28">
        <f t="shared" ref="M38" ca="1" si="129">M33/M7</f>
        <v>0.51336729617014276</v>
      </c>
      <c r="N38" s="28">
        <f ca="1">N33/N7</f>
        <v>0.48905891684023689</v>
      </c>
      <c r="O38" s="28">
        <f t="shared" ref="O38:P38" si="130">O33/O7</f>
        <v>0.47488807419630463</v>
      </c>
      <c r="P38" s="28">
        <f t="shared" si="130"/>
        <v>0.49247453762979793</v>
      </c>
      <c r="Q38" s="27"/>
      <c r="R38" s="29">
        <f t="shared" ref="R38:AO38" si="131">IFERROR(R33/R7,"")</f>
        <v>0.39935121492617892</v>
      </c>
      <c r="S38" s="29">
        <f t="shared" si="131"/>
        <v>0.36247167498657495</v>
      </c>
      <c r="T38" s="29">
        <f t="shared" si="131"/>
        <v>0.42251100640004347</v>
      </c>
      <c r="U38" s="29">
        <f t="shared" si="131"/>
        <v>0.55176201269045</v>
      </c>
      <c r="V38" s="50">
        <f t="shared" si="131"/>
        <v>0.58810995231908758</v>
      </c>
      <c r="W38" s="50">
        <f t="shared" si="131"/>
        <v>0.52926151394809984</v>
      </c>
      <c r="X38" s="50">
        <f t="shared" si="131"/>
        <v>0.52778125286327471</v>
      </c>
      <c r="Y38" s="50">
        <f t="shared" si="131"/>
        <v>0.59040881718157456</v>
      </c>
      <c r="Z38" s="50">
        <f t="shared" si="131"/>
        <v>0.48957636256783327</v>
      </c>
      <c r="AA38" s="50">
        <f t="shared" si="131"/>
        <v>0.44718167561372824</v>
      </c>
      <c r="AB38" s="50">
        <f t="shared" si="131"/>
        <v>0.455214912525851</v>
      </c>
      <c r="AC38" s="50">
        <f t="shared" si="131"/>
        <v>0.48290364584168122</v>
      </c>
      <c r="AD38" s="50">
        <f t="shared" si="131"/>
        <v>0.47174480748208431</v>
      </c>
      <c r="AE38" s="50">
        <f t="shared" si="131"/>
        <v>0.4752691790040377</v>
      </c>
      <c r="AF38" s="50">
        <f t="shared" si="131"/>
        <v>0.49900723718679707</v>
      </c>
      <c r="AG38" s="50">
        <f t="shared" si="131"/>
        <v>0.50065161930336011</v>
      </c>
      <c r="AH38" s="50">
        <f t="shared" si="131"/>
        <v>0.51253567136679601</v>
      </c>
      <c r="AI38" s="50">
        <f t="shared" si="131"/>
        <v>0.48982505752199973</v>
      </c>
      <c r="AJ38" s="50">
        <f t="shared" si="131"/>
        <v>0.47151692170457471</v>
      </c>
      <c r="AK38" s="50">
        <f t="shared" si="131"/>
        <v>0.48011551756041015</v>
      </c>
      <c r="AL38" s="50">
        <f t="shared" si="131"/>
        <v>0.48317717880228023</v>
      </c>
      <c r="AM38" s="50">
        <f t="shared" si="131"/>
        <v>0.46106067826822533</v>
      </c>
      <c r="AN38" s="50">
        <f t="shared" si="131"/>
        <v>0.43805730536469351</v>
      </c>
      <c r="AO38" s="50">
        <f t="shared" si="131"/>
        <v>0.49530524510251461</v>
      </c>
      <c r="AP38" s="50">
        <f t="shared" ref="AP38:AQ38" si="132">IFERROR(AP33/AP7,"")</f>
        <v>0.52730775878636427</v>
      </c>
      <c r="AQ38" s="50">
        <f t="shared" ca="1" si="132"/>
        <v>0.50963027080948653</v>
      </c>
      <c r="AR38" s="50">
        <f t="shared" ref="AR38:AS38" ca="1" si="133">IFERROR(AR33/AR7,"")</f>
        <v>0.49909374665177791</v>
      </c>
      <c r="AS38" s="50">
        <f t="shared" ca="1" si="133"/>
        <v>0.51767049027662582</v>
      </c>
      <c r="AT38" s="50">
        <f t="shared" ref="AT38:AW38" si="134">IFERROR(AT33/AT7,"")</f>
        <v>0.52133725876224957</v>
      </c>
      <c r="AU38" s="50">
        <f t="shared" ca="1" si="134"/>
        <v>0.50132042659526566</v>
      </c>
      <c r="AV38" s="50">
        <f t="shared" ca="1" si="134"/>
        <v>0.47851037453514467</v>
      </c>
      <c r="AW38" s="50">
        <f t="shared" ca="1" si="134"/>
        <v>0.4540015909301241</v>
      </c>
      <c r="AX38" s="50">
        <f>IFERROR(AX33/AX7,"")</f>
        <v>0.47488266596758433</v>
      </c>
      <c r="AY38" s="50">
        <f>IFERROR(AY33/AY7,"")</f>
        <v>0.46499827289202494</v>
      </c>
      <c r="AZ38" s="50">
        <f>IFERROR(AZ33/AZ7,"")</f>
        <v>0.47789539802156461</v>
      </c>
      <c r="BA38" s="50">
        <f>IFERROR(BA33/BA7,"")</f>
        <v>0.48082293736939413</v>
      </c>
      <c r="BB38" s="50">
        <f>IFERROR(BB33/BB7,"")</f>
        <v>0.49247453762979793</v>
      </c>
      <c r="BC38" s="50"/>
      <c r="BD38" s="50"/>
      <c r="BE38" s="50"/>
      <c r="BF38" s="50">
        <f t="shared" ref="BF38:CK38" si="135">IFERROR(BF33/BF7,"")</f>
        <v>0.52335266949194992</v>
      </c>
      <c r="BG38" s="50">
        <f t="shared" si="135"/>
        <v>0.4441857454246001</v>
      </c>
      <c r="BH38" s="50">
        <f t="shared" si="135"/>
        <v>0.24384994080357278</v>
      </c>
      <c r="BI38" s="50">
        <f t="shared" si="135"/>
        <v>0.22751871296010354</v>
      </c>
      <c r="BJ38" s="50">
        <f t="shared" si="135"/>
        <v>0.42407606088359717</v>
      </c>
      <c r="BK38" s="50">
        <f t="shared" si="135"/>
        <v>0.43253291850773107</v>
      </c>
      <c r="BL38" s="50">
        <f t="shared" si="135"/>
        <v>0.5208730834379196</v>
      </c>
      <c r="BM38" s="50">
        <f t="shared" si="135"/>
        <v>0.49142087091038122</v>
      </c>
      <c r="BN38" s="50">
        <f t="shared" si="135"/>
        <v>0.25887729815554006</v>
      </c>
      <c r="BO38" s="29">
        <f t="shared" si="135"/>
        <v>0.4977023961184614</v>
      </c>
      <c r="BP38" s="29">
        <f t="shared" si="135"/>
        <v>0.60115409282479515</v>
      </c>
      <c r="BQ38" s="29">
        <f t="shared" si="135"/>
        <v>0.55746274606147084</v>
      </c>
      <c r="BR38" s="50">
        <f t="shared" si="135"/>
        <v>0.56030721268617789</v>
      </c>
      <c r="BS38" s="50">
        <f t="shared" si="135"/>
        <v>0.60476404928606264</v>
      </c>
      <c r="BT38" s="50">
        <f t="shared" si="135"/>
        <v>0.59988124831768452</v>
      </c>
      <c r="BU38" s="50">
        <f t="shared" si="135"/>
        <v>0.51903169666345994</v>
      </c>
      <c r="BV38" s="50">
        <f t="shared" si="135"/>
        <v>0.51436574654379297</v>
      </c>
      <c r="BW38" s="50">
        <f t="shared" si="135"/>
        <v>0.55328557778511778</v>
      </c>
      <c r="BX38" s="50">
        <f t="shared" si="135"/>
        <v>0.51572332921271213</v>
      </c>
      <c r="BY38" s="50">
        <f t="shared" si="135"/>
        <v>0.52442861983551392</v>
      </c>
      <c r="BZ38" s="50">
        <f t="shared" si="135"/>
        <v>0.5430317726104722</v>
      </c>
      <c r="CA38" s="50">
        <f t="shared" si="135"/>
        <v>0.53985678835827944</v>
      </c>
      <c r="CB38" s="50">
        <f t="shared" si="135"/>
        <v>0.52663134639004272</v>
      </c>
      <c r="CC38" s="50">
        <f t="shared" si="135"/>
        <v>0.69990718089021187</v>
      </c>
      <c r="CD38" s="50">
        <f t="shared" si="135"/>
        <v>0.50911031735261614</v>
      </c>
      <c r="CE38" s="50">
        <f t="shared" si="135"/>
        <v>0.50384714928777552</v>
      </c>
      <c r="CF38" s="50">
        <f t="shared" si="135"/>
        <v>0.45675973950418353</v>
      </c>
      <c r="CG38" s="50">
        <f t="shared" si="135"/>
        <v>0.44007680755251527</v>
      </c>
      <c r="CH38" s="50">
        <f t="shared" si="135"/>
        <v>0.47349687306123006</v>
      </c>
      <c r="CI38" s="50">
        <f t="shared" si="135"/>
        <v>0.42808124107190021</v>
      </c>
      <c r="CJ38" s="50">
        <f t="shared" si="135"/>
        <v>0.44916341602619392</v>
      </c>
      <c r="CK38" s="50">
        <f t="shared" si="135"/>
        <v>0.44662613565059661</v>
      </c>
      <c r="CL38" s="50">
        <f t="shared" ref="CL38:DM38" si="136">IFERROR(CL33/CL7,"")</f>
        <v>0.46924987095178028</v>
      </c>
      <c r="CM38" s="50">
        <f t="shared" si="136"/>
        <v>0.48549535410906008</v>
      </c>
      <c r="CN38" s="50">
        <f t="shared" si="136"/>
        <v>0.49360603585645996</v>
      </c>
      <c r="CO38" s="50">
        <f t="shared" si="136"/>
        <v>0.46991009491701685</v>
      </c>
      <c r="CP38" s="50">
        <f t="shared" si="136"/>
        <v>0.46115546342519403</v>
      </c>
      <c r="CQ38" s="50">
        <f t="shared" si="136"/>
        <v>0.46138279432072909</v>
      </c>
      <c r="CR38" s="50">
        <f t="shared" si="136"/>
        <v>0.49251394624089195</v>
      </c>
      <c r="CS38" s="50">
        <f t="shared" si="136"/>
        <v>0.46348255169320096</v>
      </c>
      <c r="CT38" s="50">
        <f t="shared" si="136"/>
        <v>0.46330786350651071</v>
      </c>
      <c r="CU38" s="50">
        <f t="shared" si="136"/>
        <v>0.49942827523548461</v>
      </c>
      <c r="CV38" s="50">
        <f t="shared" si="136"/>
        <v>0.49458521782181064</v>
      </c>
      <c r="CW38" s="50">
        <f t="shared" si="136"/>
        <v>0.49642056974644677</v>
      </c>
      <c r="CX38" s="50">
        <f t="shared" si="136"/>
        <v>0.50594771451175902</v>
      </c>
      <c r="CY38" s="50">
        <f t="shared" si="136"/>
        <v>0.50448632237762936</v>
      </c>
      <c r="CZ38" s="50">
        <f t="shared" si="136"/>
        <v>0.49304935241066977</v>
      </c>
      <c r="DA38" s="50">
        <f t="shared" si="136"/>
        <v>0.50448596437990512</v>
      </c>
      <c r="DB38" s="50">
        <f t="shared" si="136"/>
        <v>0.51524233554274546</v>
      </c>
      <c r="DC38" s="50">
        <f t="shared" si="136"/>
        <v>0.52687093251055428</v>
      </c>
      <c r="DD38" s="50">
        <f t="shared" si="136"/>
        <v>0.49586324850717567</v>
      </c>
      <c r="DE38" s="50">
        <f t="shared" si="136"/>
        <v>0.48014921045386799</v>
      </c>
      <c r="DF38" s="50">
        <f t="shared" si="136"/>
        <v>0.50449554292510179</v>
      </c>
      <c r="DG38" s="50">
        <f t="shared" si="136"/>
        <v>0.48521315156693368</v>
      </c>
      <c r="DH38" s="50">
        <f t="shared" si="136"/>
        <v>0.47745469177047173</v>
      </c>
      <c r="DI38" s="50">
        <f t="shared" si="136"/>
        <v>0.48345154156497455</v>
      </c>
      <c r="DJ38" s="50">
        <f t="shared" si="136"/>
        <v>0.45408612616550664</v>
      </c>
      <c r="DK38" s="50">
        <f t="shared" si="136"/>
        <v>0.4668652181494784</v>
      </c>
      <c r="DL38" s="50">
        <f t="shared" si="136"/>
        <v>0.47526402624945174</v>
      </c>
      <c r="DM38" s="50">
        <f t="shared" si="136"/>
        <v>0.49849167794956339</v>
      </c>
      <c r="DN38" s="50">
        <f>IFERROR(DN33/DN7,"")</f>
        <v>0.48971850777126247</v>
      </c>
      <c r="DO38" s="50">
        <f t="shared" ref="DO38" si="137">IFERROR(DO33/DO7,"")</f>
        <v>0.48952384151882206</v>
      </c>
      <c r="DP38" s="50">
        <f t="shared" ref="DP38:DQ38" si="138">IFERROR(DP33/DP7,"")</f>
        <v>0.47051070711161463</v>
      </c>
      <c r="DQ38" s="50">
        <f t="shared" si="138"/>
        <v>0.47636292291598992</v>
      </c>
      <c r="DR38" s="50">
        <f t="shared" ref="DR38:DS38" si="139">IFERROR(DR33/DR7,"")</f>
        <v>0.45641397260801075</v>
      </c>
      <c r="DS38" s="50">
        <f t="shared" si="139"/>
        <v>0.4510043431767442</v>
      </c>
      <c r="DT38" s="50">
        <f t="shared" ref="DT38:DU38" si="140">IFERROR(DT33/DT7,"")</f>
        <v>0.42658454738467083</v>
      </c>
      <c r="DU38" s="50">
        <f t="shared" si="140"/>
        <v>0.442702199411733</v>
      </c>
      <c r="DV38" s="50">
        <f t="shared" ref="DV38:EA38" si="141">IFERROR(DV33/DV7,"")</f>
        <v>0.44455388239657279</v>
      </c>
      <c r="DW38" s="50">
        <f t="shared" si="141"/>
        <v>0.4832136845796734</v>
      </c>
      <c r="DX38" s="50">
        <f t="shared" si="141"/>
        <v>0.47559082480888176</v>
      </c>
      <c r="DY38" s="549">
        <f t="shared" si="141"/>
        <v>0.52699606790619002</v>
      </c>
      <c r="DZ38" s="50">
        <f t="shared" si="141"/>
        <v>0.53055856784010191</v>
      </c>
      <c r="EA38" s="50">
        <f t="shared" si="141"/>
        <v>0.54571414859243506</v>
      </c>
      <c r="EB38" s="50">
        <f t="shared" ref="EB38:EC38" si="142">IFERROR(EB33/EB7,"")</f>
        <v>0.50613840804512944</v>
      </c>
      <c r="EC38" s="50">
        <f t="shared" si="142"/>
        <v>0.52610070337863224</v>
      </c>
      <c r="ED38" s="50">
        <f t="shared" ref="ED38:EE38" si="143">IFERROR(ED33/ED7,"")</f>
        <v>0.50919201769005851</v>
      </c>
      <c r="EE38" s="50">
        <f t="shared" si="143"/>
        <v>0.49370452463004466</v>
      </c>
      <c r="EF38" s="50">
        <f t="shared" ref="EF38:EK38" si="144">IFERROR(EF33/EF7,"")</f>
        <v>0.48607887023652951</v>
      </c>
      <c r="EG38" s="50">
        <f t="shared" si="144"/>
        <v>0.49364468727662064</v>
      </c>
      <c r="EH38" s="50">
        <f t="shared" si="144"/>
        <v>0.51714487506923768</v>
      </c>
      <c r="EI38" s="50">
        <f t="shared" si="144"/>
        <v>0.50269639515544617</v>
      </c>
      <c r="EJ38" s="50">
        <f t="shared" si="144"/>
        <v>0.50912955106774094</v>
      </c>
      <c r="EK38" s="549">
        <f t="shared" si="144"/>
        <v>0.54031282838893557</v>
      </c>
      <c r="EL38" s="549">
        <f t="shared" ref="EL38:EM38" si="145">IFERROR(EL33/EL7,"")</f>
        <v>0.53503233038625753</v>
      </c>
      <c r="EM38" s="549">
        <f t="shared" si="145"/>
        <v>0.51927195264381232</v>
      </c>
      <c r="EN38" s="549">
        <f t="shared" ref="EN38:EO38" si="146">IFERROR(EN33/EN7,"")</f>
        <v>0.51052776122121357</v>
      </c>
      <c r="EO38" s="549">
        <f t="shared" si="146"/>
        <v>0.51238170797683491</v>
      </c>
      <c r="EP38" s="549">
        <f t="shared" ref="EP38:EQ38" si="147">IFERROR(EP33/EP7,"")</f>
        <v>0.50381880956179059</v>
      </c>
      <c r="EQ38" s="549">
        <f t="shared" si="147"/>
        <v>0.48737706328786723</v>
      </c>
      <c r="ER38" s="549">
        <f t="shared" ref="ER38:ES38" si="148">IFERROR(ER33/ER7,"")</f>
        <v>0.49464686638517485</v>
      </c>
      <c r="ES38" s="549">
        <f t="shared" si="148"/>
        <v>0.4777159420112887</v>
      </c>
      <c r="ET38" s="549">
        <f t="shared" ref="ET38:EU38" si="149">IFERROR(ET33/ET7,"")</f>
        <v>0.4629871606195673</v>
      </c>
      <c r="EU38" s="549">
        <f t="shared" si="149"/>
        <v>0.45041125934481507</v>
      </c>
      <c r="EV38" s="549">
        <f t="shared" ref="EV38:EW38" si="150">IFERROR(EV33/EV7,"")</f>
        <v>0.4778358283244451</v>
      </c>
      <c r="EW38" s="549">
        <f t="shared" si="150"/>
        <v>0.43311993233001506</v>
      </c>
      <c r="EX38" s="549">
        <f t="shared" ref="EX38" si="151">IFERROR(EX33/EX7,"")</f>
        <v>0.48362445942473098</v>
      </c>
      <c r="EY38" s="549">
        <f t="shared" ref="EY38" si="152">IFERROR(EY33/EY7,"")</f>
        <v>0.45973401863640551</v>
      </c>
      <c r="EZ38" s="549">
        <f t="shared" ref="EZ38:FD38" si="153">IFERROR(EZ33/EZ7,"")</f>
        <v>0.48174797842573952</v>
      </c>
      <c r="FA38" s="549">
        <f t="shared" si="153"/>
        <v>0.46185308155260452</v>
      </c>
      <c r="FB38" s="549">
        <f t="shared" si="153"/>
        <v>0.46410910229749802</v>
      </c>
      <c r="FC38" s="549">
        <f t="shared" si="153"/>
        <v>0.46898615220475559</v>
      </c>
      <c r="FD38" s="549">
        <f t="shared" si="153"/>
        <v>0.4831022189907932</v>
      </c>
      <c r="FE38" s="549">
        <f t="shared" ref="FE38:FH38" si="154">IFERROR(FE33/FE7,"")</f>
        <v>0.46809446827871176</v>
      </c>
      <c r="FF38" s="549">
        <f t="shared" si="154"/>
        <v>0.48239636809303688</v>
      </c>
      <c r="FG38" s="549">
        <f t="shared" si="154"/>
        <v>0.46195816724041971</v>
      </c>
      <c r="FH38" s="549">
        <f t="shared" si="154"/>
        <v>0.50437785285528758</v>
      </c>
      <c r="FI38" s="549">
        <f>IFERROR(FI33/FI7,"")</f>
        <v>0.47601888402916032</v>
      </c>
      <c r="FJ38" s="549">
        <f>IFERROR(FJ33/FJ7,"")</f>
        <v>0.47260760965550902</v>
      </c>
      <c r="FK38" s="779">
        <f>IFERROR(FK33/FK7,"")</f>
        <v>0.51268050767878737</v>
      </c>
      <c r="FL38"/>
      <c r="FM38"/>
      <c r="FN38" s="549">
        <f t="shared" ref="FN38" si="155">IFERROR(FN33/FN7,"")</f>
        <v>0.48325691712724683</v>
      </c>
      <c r="FO38" s="549">
        <f>FK38-FJ38</f>
        <v>4.0072898023278347E-2</v>
      </c>
      <c r="FP38" s="549">
        <f>FK38-FN38</f>
        <v>2.9423590551540535E-2</v>
      </c>
      <c r="FQ38" s="549" t="e">
        <f>FL38-#REF!</f>
        <v>#REF!</v>
      </c>
      <c r="FR38" s="549">
        <f>FM38-FO38</f>
        <v>-4.0072898023278347E-2</v>
      </c>
      <c r="FS38" s="549">
        <f t="shared" si="13"/>
        <v>2.9423590551540535E-2</v>
      </c>
      <c r="FT38" s="549">
        <f t="shared" ref="FT38:FU38" si="156">IFERROR(FT33/FT7,"")</f>
        <v>0.49247453762979793</v>
      </c>
      <c r="FU38" s="549">
        <f t="shared" si="156"/>
        <v>0.48325691712724683</v>
      </c>
      <c r="FV38" s="549">
        <f t="shared" si="41"/>
        <v>9.2176205025510938E-3</v>
      </c>
      <c r="FX38" s="16"/>
    </row>
    <row r="39" spans="3:180" s="9" customFormat="1" ht="15.75" customHeight="1" x14ac:dyDescent="0.35">
      <c r="E39" s="9" t="s">
        <v>107</v>
      </c>
      <c r="F39" s="424"/>
      <c r="G39" s="424"/>
      <c r="H39" s="424">
        <f>SUM(KPIs!C38:N38)/SUM(KPIs!C36:N36)</f>
        <v>0.59953919630979835</v>
      </c>
      <c r="I39" s="424">
        <f>SUM(KPIs!O38:Z38)/SUM(KPIs!O36:Z36)</f>
        <v>0.49112521847401613</v>
      </c>
      <c r="J39" s="424">
        <f>SUM(KPIs!AA38:AL38)/SUM(KPIs!AA36:AL36)</f>
        <v>0.50687842036839503</v>
      </c>
      <c r="K39" s="424">
        <f>SUM(KPIs!AM38:AX38)/SUM(KPIs!AM36:AX36)</f>
        <v>0.54123882756071184</v>
      </c>
      <c r="L39" s="424">
        <f>SUM(KPIs!AY38:BJ38)/SUM(KPIs!AY36:BJ36)</f>
        <v>0.50809103966921354</v>
      </c>
      <c r="M39" s="424">
        <f>SUM(KPIs!BK38:BV38)/SUM(KPIs!BK36:BV36)</f>
        <v>0.54166470683221513</v>
      </c>
      <c r="N39" s="424">
        <f>SUM(KPIs!BW38:CH38)/SUM(KPIs!BW36:CH36)</f>
        <v>0.52056896772545802</v>
      </c>
      <c r="O39" s="424">
        <f>SUM(KPIs!BX38:CI38)/SUM(KPIs!BX36:CI36)</f>
        <v>0.51652237202024431</v>
      </c>
      <c r="P39" s="424">
        <f>SUM(KPIs!BY38:CJ38)/SUM(KPIs!BY36:CJ36)</f>
        <v>0.51159025951350645</v>
      </c>
      <c r="Q39" s="27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>
        <f>SUM(KPIs!BK38:BM38)/SUM(KPIs!BK36:BM36)</f>
        <v>0.55850297384964953</v>
      </c>
      <c r="AQ39" s="50">
        <f>SUM(KPIs!BN38:BP38)/SUM(KPIs!BN36:BP36)</f>
        <v>0.53516906854302837</v>
      </c>
      <c r="AR39" s="50">
        <f>SUM(KPIs!BQ38:BS38)/SUM(KPIs!BQ36:BS36)</f>
        <v>0.53248743231148676</v>
      </c>
      <c r="AS39" s="50">
        <f>SUM(KPIs!BR38:BT38)/SUM(KPIs!BR36:BT36)</f>
        <v>0.53458797438644001</v>
      </c>
      <c r="AT39" s="50">
        <f>SUM(KPIs!BW38:BY38)/SUM(KPIs!BW36:BY36)</f>
        <v>0.54954201250248669</v>
      </c>
      <c r="AU39" s="50">
        <f>SUM(KPIs!BZ38:CB38)/SUM(KPIs!BZ36:CB36)</f>
        <v>0.5263906835192832</v>
      </c>
      <c r="AV39" s="50">
        <f>SUM(KPIs!CC38:CE38)/SUM(KPIs!CC36:CE36)</f>
        <v>0.50434244392406113</v>
      </c>
      <c r="AW39" s="50">
        <f>SUM(KPIs!CF38:CH38)/SUM(KPIs!CF36:CH36)</f>
        <v>0.50100054229605273</v>
      </c>
      <c r="AX39" s="50">
        <f>SUM(KPIs!CG38:CI38)/SUM(KPIs!CG36:CI36)</f>
        <v>0.50519515973037799</v>
      </c>
      <c r="AY39" s="50">
        <f>SUM(KPIs!CH38:CJ38)/SUM(KPIs!CH36:CJ36)</f>
        <v>0.50402819691918566</v>
      </c>
      <c r="AZ39" s="50">
        <f>SUM(KPIs!CI38:CK38)/SUM(KPIs!CI36:CK36)</f>
        <v>0.50166813414550038</v>
      </c>
      <c r="BA39" s="50">
        <f>SUM(KPIs!CJ38:CL38)/SUM(KPIs!CJ36:CL36)</f>
        <v>0.49742894706982982</v>
      </c>
      <c r="BB39" s="50">
        <f>SUM(KPIs!CK38:CM38)/SUM(KPIs!CK36:CM36)</f>
        <v>0.4963601671937255</v>
      </c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50"/>
      <c r="BQ39" s="50"/>
      <c r="BR39" s="50">
        <f>KPIs!C39</f>
        <v>0.60293200683839743</v>
      </c>
      <c r="BS39" s="50">
        <f>KPIs!D39</f>
        <v>0.64124921309303806</v>
      </c>
      <c r="BT39" s="50">
        <f>KPIs!E39</f>
        <v>0.63423040333149761</v>
      </c>
      <c r="BU39" s="50">
        <f>KPIs!F39</f>
        <v>0.5689866175777839</v>
      </c>
      <c r="BV39" s="50">
        <f>KPIs!G39</f>
        <v>0.57156845969220282</v>
      </c>
      <c r="BW39" s="50">
        <f>KPIs!H39</f>
        <v>0.58771453364782134</v>
      </c>
      <c r="BX39" s="50">
        <f>KPIs!I39</f>
        <v>0.60246895876002116</v>
      </c>
      <c r="BY39" s="50">
        <f>KPIs!J39</f>
        <v>0.55599547428627316</v>
      </c>
      <c r="BZ39" s="50">
        <f>KPIs!K39</f>
        <v>0.57335142497991676</v>
      </c>
      <c r="CA39" s="50">
        <f>KPIs!L39</f>
        <v>0.60075095672948597</v>
      </c>
      <c r="CB39" s="50">
        <f>KPIs!M39</f>
        <v>0.57175266393914115</v>
      </c>
      <c r="CC39" s="50">
        <f>KPIs!N39</f>
        <v>0.68123710482731115</v>
      </c>
      <c r="CD39" s="50">
        <f>KPIs!O39</f>
        <v>0.55324056609887384</v>
      </c>
      <c r="CE39" s="50">
        <f>KPIs!P39</f>
        <v>0.53170230546241115</v>
      </c>
      <c r="CF39" s="50">
        <f>KPIs!Q39</f>
        <v>0.48399125779746915</v>
      </c>
      <c r="CG39" s="50">
        <f>KPIs!R39</f>
        <v>0.46150949744094694</v>
      </c>
      <c r="CH39" s="50">
        <f>KPIs!S39</f>
        <v>0.49272034577065388</v>
      </c>
      <c r="CI39" s="50">
        <f>KPIs!T39</f>
        <v>0.44296853944306291</v>
      </c>
      <c r="CJ39" s="50">
        <f>KPIs!U39</f>
        <v>0.47264378331810636</v>
      </c>
      <c r="CK39" s="50">
        <f>KPIs!V39</f>
        <v>0.4753393812609874</v>
      </c>
      <c r="CL39" s="50">
        <f>KPIs!W39</f>
        <v>0.47375396001049014</v>
      </c>
      <c r="CM39" s="50">
        <f>KPIs!X39</f>
        <v>0.50172060643266092</v>
      </c>
      <c r="CN39" s="50">
        <f>KPIs!Y39</f>
        <v>0.51340898837704285</v>
      </c>
      <c r="CO39" s="50">
        <f>KPIs!Z39</f>
        <v>0.49458042377130973</v>
      </c>
      <c r="CP39" s="50">
        <f>KPIs!AA39</f>
        <v>0.48529181163250068</v>
      </c>
      <c r="CQ39" s="50">
        <f>KPIs!AB39</f>
        <v>0.48021751653196182</v>
      </c>
      <c r="CR39" s="50">
        <f>KPIs!AC39</f>
        <v>0.51125018274959388</v>
      </c>
      <c r="CS39" s="50">
        <f>KPIs!AD39</f>
        <v>0.50940375102509361</v>
      </c>
      <c r="CT39" s="50">
        <f>KPIs!AE39</f>
        <v>0.48387889270438872</v>
      </c>
      <c r="CU39" s="50">
        <f>KPIs!AF39</f>
        <v>0.51643082858937273</v>
      </c>
      <c r="CV39" s="50">
        <f>KPIs!AG39</f>
        <v>0.48959551664476109</v>
      </c>
      <c r="CW39" s="50">
        <f>KPIs!AH39</f>
        <v>0.51426674465839184</v>
      </c>
      <c r="CX39" s="50">
        <f>KPIs!AI39</f>
        <v>0.52505962798295835</v>
      </c>
      <c r="CY39" s="50">
        <f>KPIs!AJ39</f>
        <v>0.52366867825582497</v>
      </c>
      <c r="CZ39" s="50">
        <f>KPIs!AK39</f>
        <v>0.51877353519466074</v>
      </c>
      <c r="DA39" s="50">
        <f>KPIs!AL39</f>
        <v>0.52598814603286859</v>
      </c>
      <c r="DB39" s="50">
        <f>KPIs!AM39</f>
        <v>0.54579536111066562</v>
      </c>
      <c r="DC39" s="50">
        <f>KPIs!AN39</f>
        <v>0.55062000354765828</v>
      </c>
      <c r="DD39" s="50">
        <f>KPIs!AO39</f>
        <v>0.54033229745701994</v>
      </c>
      <c r="DE39" s="50">
        <f>KPIs!AP39</f>
        <v>0.54718968819294955</v>
      </c>
      <c r="DF39" s="50">
        <f>KPIs!AQ39</f>
        <v>0.55130017064189651</v>
      </c>
      <c r="DG39" s="50">
        <f>KPIs!AR39</f>
        <v>0.55343003293513637</v>
      </c>
      <c r="DH39" s="50">
        <f>KPIs!AS39</f>
        <v>0.52939401311889722</v>
      </c>
      <c r="DI39" s="50">
        <f>KPIs!AT39</f>
        <v>0.53058131944679665</v>
      </c>
      <c r="DJ39" s="50">
        <f>KPIs!AU39</f>
        <v>0.53406440419494416</v>
      </c>
      <c r="DK39" s="50">
        <f>KPIs!AV39</f>
        <v>0.52433875486031201</v>
      </c>
      <c r="DL39" s="50">
        <f>KPIs!AW39</f>
        <v>0.53281051136702373</v>
      </c>
      <c r="DM39" s="50">
        <f>KPIs!AX39</f>
        <v>0.55903756017494843</v>
      </c>
      <c r="DN39" s="50">
        <f>KPIs!AY39</f>
        <v>0.53010803574030918</v>
      </c>
      <c r="DO39" s="50">
        <f>KPIs!AZ39</f>
        <v>0.52860352420486589</v>
      </c>
      <c r="DP39" s="50">
        <f>KPIs!BA39</f>
        <v>0.50694235820886702</v>
      </c>
      <c r="DQ39" s="50">
        <f>KPIs!BB39</f>
        <v>0.50043410580201353</v>
      </c>
      <c r="DR39" s="50">
        <f>KPIs!BC39</f>
        <v>0.49532423815261467</v>
      </c>
      <c r="DS39" s="50">
        <f>KPIs!BD39</f>
        <v>0.49789017787397483</v>
      </c>
      <c r="DT39" s="50">
        <f>KPIs!BE39</f>
        <v>0.46437394431257806</v>
      </c>
      <c r="DU39" s="50">
        <f>KPIs!BF39</f>
        <v>0.47745655133638931</v>
      </c>
      <c r="DV39" s="50">
        <f>KPIs!BG39</f>
        <v>0.47723404545775544</v>
      </c>
      <c r="DW39" s="50">
        <f>KPIs!BH39</f>
        <v>0.51390799676690191</v>
      </c>
      <c r="DX39" s="50">
        <f>KPIs!BI39</f>
        <v>0.52850313212363909</v>
      </c>
      <c r="DY39" s="549">
        <f>KPIs!BJ39</f>
        <v>0.57170329036119871</v>
      </c>
      <c r="DZ39" s="50">
        <f>KPIs!BK39</f>
        <v>0.56166194104754152</v>
      </c>
      <c r="EA39" s="50">
        <f>KPIs!BL39</f>
        <v>0.56872656412666933</v>
      </c>
      <c r="EB39" s="50">
        <f>KPIs!BM39</f>
        <v>0.54502863566092741</v>
      </c>
      <c r="EC39" s="50">
        <f>KPIs!BN39</f>
        <v>0.54853723713221458</v>
      </c>
      <c r="ED39" s="50">
        <f>KPIs!BO39</f>
        <v>0.53372062293511957</v>
      </c>
      <c r="EE39" s="50">
        <f>KPIs!BP39</f>
        <v>0.52318846431875987</v>
      </c>
      <c r="EF39" s="50">
        <f>KPIs!BQ39</f>
        <v>0.52410248209516519</v>
      </c>
      <c r="EG39" s="50">
        <f>KPIs!BR39</f>
        <v>0.52850900728202488</v>
      </c>
      <c r="EH39" s="50">
        <f>KPIs!BS39</f>
        <v>0.54436325994546064</v>
      </c>
      <c r="EI39" s="50">
        <f>KPIs!BT39</f>
        <v>0.53060873993224911</v>
      </c>
      <c r="EJ39" s="50">
        <f>KPIs!BU39</f>
        <v>0.53307647371964795</v>
      </c>
      <c r="EK39" s="549">
        <f>KPIs!BV39</f>
        <v>0.55747910463949468</v>
      </c>
      <c r="EL39" s="549">
        <f>KPIs!BW39</f>
        <v>0.55436910677226137</v>
      </c>
      <c r="EM39" s="549">
        <f>KPIs!BX39</f>
        <v>0.55813475053956141</v>
      </c>
      <c r="EN39" s="549">
        <f>KPIs!BY39</f>
        <v>0.53633531902699172</v>
      </c>
      <c r="EO39" s="549">
        <f>KPIs!BZ39</f>
        <v>0.53598938191499867</v>
      </c>
      <c r="EP39" s="549">
        <f>KPIs!CA39</f>
        <v>0.5288592124194339</v>
      </c>
      <c r="EQ39" s="549">
        <f>KPIs!CB39</f>
        <v>0.51390691631964214</v>
      </c>
      <c r="ER39" s="549">
        <f>KPIs!CC39</f>
        <v>0.51258686182922042</v>
      </c>
      <c r="ES39" s="549">
        <f>KPIs!CD39</f>
        <v>0.50386708526775392</v>
      </c>
      <c r="ET39" s="549">
        <f>KPIs!CE39</f>
        <v>0.49643999473262707</v>
      </c>
      <c r="EU39" s="549">
        <f>KPIs!CF39</f>
        <v>0.49293480426605174</v>
      </c>
      <c r="EV39" s="549">
        <f>KPIs!CG39</f>
        <v>0.5030909188088365</v>
      </c>
      <c r="EW39" s="549">
        <f>KPIs!CH39</f>
        <v>0.50677907393180366</v>
      </c>
      <c r="EX39" s="549">
        <f>KPIs!CI39</f>
        <v>0.50576296278786981</v>
      </c>
      <c r="EY39" s="549">
        <f>KPIs!CJ39</f>
        <v>0.49954873611540951</v>
      </c>
      <c r="EZ39" s="549">
        <f>KPIs!CK39</f>
        <v>0.49964151505847076</v>
      </c>
      <c r="FA39" s="549">
        <f>KPIs!CL39</f>
        <v>0.4930619356181396</v>
      </c>
      <c r="FB39" s="549">
        <f>KPIs!CM39</f>
        <v>0.49637247540450324</v>
      </c>
      <c r="FC39" s="549">
        <f>KPIs!CN39</f>
        <v>0.50162157035056087</v>
      </c>
      <c r="FD39" s="549">
        <f>KPIs!CO39</f>
        <v>0.49118138462674721</v>
      </c>
      <c r="FE39" s="549">
        <f>KPIs!CP39</f>
        <v>0.49410748011236466</v>
      </c>
      <c r="FF39" s="549">
        <f>KPIs!CQ39</f>
        <v>0.50181511767135567</v>
      </c>
      <c r="FG39" s="549">
        <f>KPIs!CR39</f>
        <v>0.50585118434974596</v>
      </c>
      <c r="FH39" s="549">
        <f>KPIs!CS39</f>
        <v>0.5199826463863777</v>
      </c>
      <c r="FI39" s="549">
        <f>KPIs!CT39</f>
        <v>0.52303141522733743</v>
      </c>
      <c r="FJ39" s="549">
        <f>KPIs!CU39</f>
        <v>0.51354150422342404</v>
      </c>
      <c r="FK39" s="779">
        <f>KPIs!CV39</f>
        <v>0.51874336939123478</v>
      </c>
      <c r="FL39"/>
      <c r="FM39"/>
      <c r="FN39" s="549" t="e">
        <f>KPIs!#REF!</f>
        <v>#REF!</v>
      </c>
      <c r="FO39" s="549">
        <f>FK39-FJ39</f>
        <v>5.2018651678107375E-3</v>
      </c>
      <c r="FP39" s="549"/>
      <c r="FQ39" s="549"/>
      <c r="FR39" s="549"/>
      <c r="FS39" s="549" t="e">
        <f t="shared" si="13"/>
        <v>#REF!</v>
      </c>
      <c r="FT39" s="549">
        <f>KPIs!DD39</f>
        <v>0</v>
      </c>
      <c r="FU39" s="549">
        <f>KPIs!DE39</f>
        <v>0</v>
      </c>
      <c r="FV39" s="549">
        <f t="shared" si="41"/>
        <v>0</v>
      </c>
      <c r="FX39" s="16"/>
    </row>
    <row r="40" spans="3:180" s="9" customFormat="1" ht="16.149999999999999" customHeight="1" x14ac:dyDescent="0.35">
      <c r="E40" s="9" t="s">
        <v>10</v>
      </c>
      <c r="F40" s="28">
        <f t="shared" ref="F40:L41" si="157">F34/F13</f>
        <v>0.28385792665319087</v>
      </c>
      <c r="G40" s="28">
        <f t="shared" si="157"/>
        <v>0.40080325255600524</v>
      </c>
      <c r="H40" s="28">
        <f t="shared" si="157"/>
        <v>0.38944489930583315</v>
      </c>
      <c r="I40" s="28">
        <f t="shared" si="157"/>
        <v>0.39119345094608265</v>
      </c>
      <c r="J40" s="28">
        <f t="shared" si="157"/>
        <v>0.3690123970751778</v>
      </c>
      <c r="K40" s="28">
        <f t="shared" si="157"/>
        <v>0.33683699915270515</v>
      </c>
      <c r="L40" s="28">
        <f t="shared" si="157"/>
        <v>0.31842569211954014</v>
      </c>
      <c r="M40" s="28">
        <f t="shared" ref="M40:N40" ca="1" si="158">M34/M13</f>
        <v>0.39330040402588734</v>
      </c>
      <c r="N40" s="28">
        <f t="shared" ca="1" si="158"/>
        <v>0.39676757981933997</v>
      </c>
      <c r="O40" s="28">
        <f t="shared" ref="O40:P40" si="159">O34/O13</f>
        <v>0.32233935630934912</v>
      </c>
      <c r="P40" s="28">
        <f t="shared" si="159"/>
        <v>0.32514433439904034</v>
      </c>
      <c r="Q40" s="27"/>
      <c r="R40" s="29">
        <f t="shared" ref="R40:AO40" si="160">IFERROR(R34/R13,"")</f>
        <v>0.4758564119114374</v>
      </c>
      <c r="S40" s="29">
        <f t="shared" si="160"/>
        <v>0.24969319539685444</v>
      </c>
      <c r="T40" s="29">
        <f t="shared" si="160"/>
        <v>0.37951937822669352</v>
      </c>
      <c r="U40" s="29">
        <f t="shared" si="160"/>
        <v>0.41024180845526642</v>
      </c>
      <c r="V40" s="50">
        <f t="shared" si="160"/>
        <v>0.35832789635567153</v>
      </c>
      <c r="W40" s="50">
        <f t="shared" si="160"/>
        <v>0.39287915896103032</v>
      </c>
      <c r="X40" s="50">
        <f t="shared" si="160"/>
        <v>0.45082459070497755</v>
      </c>
      <c r="Y40" s="50">
        <f t="shared" si="160"/>
        <v>0.36775813833681947</v>
      </c>
      <c r="Z40" s="50">
        <f t="shared" si="160"/>
        <v>0.3740461602414647</v>
      </c>
      <c r="AA40" s="50">
        <f t="shared" si="160"/>
        <v>0.41720547908377242</v>
      </c>
      <c r="AB40" s="50">
        <f t="shared" si="160"/>
        <v>0.40740902216711855</v>
      </c>
      <c r="AC40" s="50">
        <f t="shared" si="160"/>
        <v>0.36149129766532445</v>
      </c>
      <c r="AD40" s="50">
        <f t="shared" si="160"/>
        <v>0.38286056478703012</v>
      </c>
      <c r="AE40" s="50">
        <f t="shared" si="160"/>
        <v>0.33682873451510725</v>
      </c>
      <c r="AF40" s="50">
        <f t="shared" si="160"/>
        <v>0.41168205990098033</v>
      </c>
      <c r="AG40" s="50">
        <f t="shared" si="160"/>
        <v>0.39190061988639396</v>
      </c>
      <c r="AH40" s="50">
        <f t="shared" si="160"/>
        <v>0.40239633346400927</v>
      </c>
      <c r="AI40" s="50">
        <f t="shared" si="160"/>
        <v>0.35072135567826984</v>
      </c>
      <c r="AJ40" s="50">
        <f t="shared" si="160"/>
        <v>0.28857176027617648</v>
      </c>
      <c r="AK40" s="50">
        <f t="shared" si="160"/>
        <v>0.33933089508839731</v>
      </c>
      <c r="AL40" s="50">
        <f t="shared" si="160"/>
        <v>0.37651891687641559</v>
      </c>
      <c r="AM40" s="50">
        <f t="shared" si="160"/>
        <v>0.3061300818052235</v>
      </c>
      <c r="AN40" s="50">
        <f t="shared" si="160"/>
        <v>0.2804192444892164</v>
      </c>
      <c r="AO40" s="50">
        <f t="shared" si="160"/>
        <v>0.33932048830587846</v>
      </c>
      <c r="AP40" s="50">
        <f t="shared" ref="AP40:AQ40" si="161">IFERROR(AP34/AP13,"")</f>
        <v>0.33229068391658911</v>
      </c>
      <c r="AQ40" s="50">
        <f t="shared" ca="1" si="161"/>
        <v>0.49078301103109001</v>
      </c>
      <c r="AR40" s="50">
        <f t="shared" ref="AR40:AS40" ca="1" si="162">IFERROR(AR34/AR13,"")</f>
        <v>0.36876979268122767</v>
      </c>
      <c r="AS40" s="50">
        <f t="shared" ca="1" si="162"/>
        <v>0.3682623985358674</v>
      </c>
      <c r="AT40" s="50">
        <f t="shared" ref="AT40:AW40" si="163">IFERROR(AT34/AT13,"")</f>
        <v>0.39393708281385825</v>
      </c>
      <c r="AU40" s="50">
        <f t="shared" ca="1" si="163"/>
        <v>0.41629142630228561</v>
      </c>
      <c r="AV40" s="50">
        <f t="shared" ca="1" si="163"/>
        <v>0.33516714538321524</v>
      </c>
      <c r="AW40" s="50">
        <f t="shared" ca="1" si="163"/>
        <v>0.4132130187463422</v>
      </c>
      <c r="AX40" s="50">
        <f t="shared" ref="AX40:AY40" si="164">IFERROR(AX34/AX13,"")</f>
        <v>0.28341123067371576</v>
      </c>
      <c r="AY40" s="50">
        <f t="shared" si="164"/>
        <v>0.29117926141060274</v>
      </c>
      <c r="AZ40" s="50">
        <f t="shared" ref="AZ40:BB41" si="165">IFERROR(AZ34/AZ13,"")</f>
        <v>0.34500962196971663</v>
      </c>
      <c r="BA40" s="50">
        <f t="shared" si="165"/>
        <v>0.33322672939442738</v>
      </c>
      <c r="BB40" s="50">
        <f t="shared" si="165"/>
        <v>0.27834167085788813</v>
      </c>
      <c r="BC40" s="50"/>
      <c r="BD40" s="50"/>
      <c r="BE40" s="50"/>
      <c r="BF40" s="50">
        <f t="shared" ref="BF40:CK40" si="166">IFERROR(BF34/BF13,"")</f>
        <v>0.49472425801756847</v>
      </c>
      <c r="BG40" s="50">
        <f t="shared" si="166"/>
        <v>2.9533678756476684E-2</v>
      </c>
      <c r="BH40" s="50">
        <f t="shared" si="166"/>
        <v>0.38382788746488089</v>
      </c>
      <c r="BI40" s="50">
        <f t="shared" si="166"/>
        <v>0.22939548484795738</v>
      </c>
      <c r="BJ40" s="50">
        <f t="shared" si="166"/>
        <v>0.23195131972842356</v>
      </c>
      <c r="BK40" s="50">
        <f t="shared" si="166"/>
        <v>0.34700218519530185</v>
      </c>
      <c r="BL40" s="50">
        <f t="shared" si="166"/>
        <v>0.29623599439775911</v>
      </c>
      <c r="BM40" s="50">
        <f t="shared" si="166"/>
        <v>0.37714124432800933</v>
      </c>
      <c r="BN40" s="50">
        <f t="shared" si="166"/>
        <v>0.40803624496753427</v>
      </c>
      <c r="BO40" s="29">
        <f t="shared" si="166"/>
        <v>0.42811106272431038</v>
      </c>
      <c r="BP40" s="29">
        <f t="shared" si="166"/>
        <v>0.31443786901656873</v>
      </c>
      <c r="BQ40" s="29">
        <f t="shared" si="166"/>
        <v>0.44348212643325768</v>
      </c>
      <c r="BR40" s="50">
        <f t="shared" si="166"/>
        <v>0.1977730646871686</v>
      </c>
      <c r="BS40" s="50">
        <f t="shared" si="166"/>
        <v>0.4274815507743478</v>
      </c>
      <c r="BT40" s="50">
        <f t="shared" si="166"/>
        <v>0.33287461558985015</v>
      </c>
      <c r="BU40" s="50">
        <f t="shared" si="166"/>
        <v>0.43196750534786593</v>
      </c>
      <c r="BV40" s="50">
        <f t="shared" si="166"/>
        <v>0.40254912373871482</v>
      </c>
      <c r="BW40" s="50">
        <f t="shared" si="166"/>
        <v>0.19868444235625771</v>
      </c>
      <c r="BX40" s="50">
        <f t="shared" si="166"/>
        <v>0.49160008268056082</v>
      </c>
      <c r="BY40" s="50">
        <f t="shared" si="166"/>
        <v>0.76673876708288269</v>
      </c>
      <c r="BZ40" s="50">
        <f t="shared" si="166"/>
        <v>0.14202913287744362</v>
      </c>
      <c r="CA40" s="50">
        <f t="shared" si="166"/>
        <v>0.37191272738594705</v>
      </c>
      <c r="CB40" s="50">
        <f t="shared" si="166"/>
        <v>0.8456503120029365</v>
      </c>
      <c r="CC40" s="50">
        <f t="shared" si="166"/>
        <v>0.33735207531771016</v>
      </c>
      <c r="CD40" s="50">
        <f t="shared" si="166"/>
        <v>0.37289588287982212</v>
      </c>
      <c r="CE40" s="50">
        <f t="shared" si="166"/>
        <v>0.48806265206812655</v>
      </c>
      <c r="CF40" s="50">
        <f t="shared" si="166"/>
        <v>0.36396611560995634</v>
      </c>
      <c r="CG40" s="50">
        <f t="shared" si="166"/>
        <v>0.41108291223856247</v>
      </c>
      <c r="CH40" s="50">
        <f t="shared" si="166"/>
        <v>0.47329458214520731</v>
      </c>
      <c r="CI40" s="50">
        <f t="shared" si="166"/>
        <v>0.4583390622851643</v>
      </c>
      <c r="CJ40" s="50">
        <f t="shared" si="166"/>
        <v>0.51155718415198959</v>
      </c>
      <c r="CK40" s="50">
        <f t="shared" si="166"/>
        <v>0.42668299010391619</v>
      </c>
      <c r="CL40" s="50">
        <f t="shared" ref="CL40:DM40" si="167">IFERROR(CL34/CL13,"")</f>
        <v>0.35376230438403805</v>
      </c>
      <c r="CM40" s="50">
        <f t="shared" si="167"/>
        <v>0.32325521586781109</v>
      </c>
      <c r="CN40" s="50">
        <f t="shared" si="167"/>
        <v>0.37723024003589323</v>
      </c>
      <c r="CO40" s="50">
        <f t="shared" si="167"/>
        <v>0.36409394379706922</v>
      </c>
      <c r="CP40" s="50">
        <f t="shared" si="167"/>
        <v>0.3779370571758115</v>
      </c>
      <c r="CQ40" s="50">
        <f t="shared" si="167"/>
        <v>0.46052024011082038</v>
      </c>
      <c r="CR40" s="50">
        <f t="shared" si="167"/>
        <v>0.37440181552072882</v>
      </c>
      <c r="CS40" s="50">
        <f t="shared" si="167"/>
        <v>0.37937297706769507</v>
      </c>
      <c r="CT40" s="50">
        <f t="shared" si="167"/>
        <v>0.30791450377989016</v>
      </c>
      <c r="CU40" s="50">
        <f t="shared" si="167"/>
        <v>0.35584728381716474</v>
      </c>
      <c r="CV40" s="50">
        <f t="shared" si="167"/>
        <v>0.50358548155775384</v>
      </c>
      <c r="CW40" s="50">
        <f t="shared" si="167"/>
        <v>-4.9973123096219249E-2</v>
      </c>
      <c r="CX40" s="50">
        <f t="shared" si="167"/>
        <v>0.40640655171869944</v>
      </c>
      <c r="CY40" s="50">
        <f t="shared" si="167"/>
        <v>0.4018132211421403</v>
      </c>
      <c r="CZ40" s="50">
        <f t="shared" si="167"/>
        <v>0.41259281683891236</v>
      </c>
      <c r="DA40" s="50">
        <f t="shared" si="167"/>
        <v>0.32070764330395923</v>
      </c>
      <c r="DB40" s="50">
        <f t="shared" si="167"/>
        <v>0.37009238684016882</v>
      </c>
      <c r="DC40" s="50">
        <f t="shared" si="167"/>
        <v>0.53091297485867939</v>
      </c>
      <c r="DD40" s="50">
        <f t="shared" si="167"/>
        <v>0.50191709043809785</v>
      </c>
      <c r="DE40" s="50">
        <f t="shared" si="167"/>
        <v>0.51261405143220529</v>
      </c>
      <c r="DF40" s="50">
        <f t="shared" si="167"/>
        <v>0.33199035593018494</v>
      </c>
      <c r="DG40" s="50">
        <f t="shared" si="167"/>
        <v>0.34530300468463659</v>
      </c>
      <c r="DH40" s="50">
        <f t="shared" si="167"/>
        <v>0.28552085074172029</v>
      </c>
      <c r="DI40" s="50">
        <f t="shared" si="167"/>
        <v>0.24202914311841423</v>
      </c>
      <c r="DJ40" s="50">
        <f t="shared" si="167"/>
        <v>0.45358064960821942</v>
      </c>
      <c r="DK40" s="50">
        <f t="shared" si="167"/>
        <v>0.55140591044973686</v>
      </c>
      <c r="DL40" s="50">
        <f t="shared" si="167"/>
        <v>0.47515868503196906</v>
      </c>
      <c r="DM40" s="50">
        <f t="shared" si="167"/>
        <v>0.25389745439577183</v>
      </c>
      <c r="DN40" s="50">
        <f>IFERROR(DN34/DN13,"")</f>
        <v>0.51094805359815343</v>
      </c>
      <c r="DO40" s="50">
        <f t="shared" ref="DO40" si="168">IFERROR(DO34/DO13,"")</f>
        <v>0.47710422224266391</v>
      </c>
      <c r="DP40" s="50">
        <f t="shared" ref="DP40:DQ40" si="169">IFERROR(DP34/DP13,"")</f>
        <v>0.34411310221968516</v>
      </c>
      <c r="DQ40" s="50">
        <f t="shared" si="169"/>
        <v>0.18702543877546687</v>
      </c>
      <c r="DR40" s="50">
        <f t="shared" ref="DR40:DS40" si="170">IFERROR(DR34/DR13,"")</f>
        <v>0.38173567409719128</v>
      </c>
      <c r="DS40" s="50">
        <f t="shared" si="170"/>
        <v>0.66177381890842568</v>
      </c>
      <c r="DT40" s="50">
        <f t="shared" ref="DT40:DU40" si="171">IFERROR(DT34/DT13,"")</f>
        <v>0.57768187327499598</v>
      </c>
      <c r="DU40" s="50">
        <f t="shared" si="171"/>
        <v>0.34079552499250865</v>
      </c>
      <c r="DV40" s="50">
        <f t="shared" ref="DV40:DW40" si="172">IFERROR(DV34/DV13,"")</f>
        <v>0.22605277495977241</v>
      </c>
      <c r="DW40" s="50">
        <f t="shared" si="172"/>
        <v>0.66016003177466476</v>
      </c>
      <c r="DX40" s="50">
        <f t="shared" ref="DX40:DY40" si="173">IFERROR(DX34/DX13,"")</f>
        <v>0.37388859185330403</v>
      </c>
      <c r="DY40" s="549">
        <f t="shared" si="173"/>
        <v>0.31926560968695933</v>
      </c>
      <c r="DZ40" s="50">
        <f t="shared" ref="DZ40:EB41" si="174">IFERROR(DZ34/DZ13,"")</f>
        <v>0.53649694198380993</v>
      </c>
      <c r="EA40" s="50">
        <f t="shared" si="174"/>
        <v>0.19608780915941587</v>
      </c>
      <c r="EB40" s="50">
        <f t="shared" si="174"/>
        <v>0.30970008368928431</v>
      </c>
      <c r="EC40" s="50">
        <f t="shared" ref="EC40" si="175">IFERROR(EC34/EC13,"")</f>
        <v>0.6033455424258316</v>
      </c>
      <c r="ED40" s="50">
        <f t="shared" ref="ED40:EI40" si="176">IFERROR(ED34/ED13,"")</f>
        <v>0.58389932309041181</v>
      </c>
      <c r="EE40" s="50">
        <f t="shared" si="176"/>
        <v>0.40690439254223187</v>
      </c>
      <c r="EF40" s="50">
        <f t="shared" si="176"/>
        <v>0.33197278642189743</v>
      </c>
      <c r="EG40" s="50">
        <f t="shared" si="176"/>
        <v>0.38380604413825503</v>
      </c>
      <c r="EH40" s="50">
        <f t="shared" si="176"/>
        <v>0.65538683216591631</v>
      </c>
      <c r="EI40" s="50">
        <f t="shared" si="176"/>
        <v>0.40317906673012832</v>
      </c>
      <c r="EJ40" s="50">
        <f t="shared" ref="EJ40:EK40" si="177">IFERROR(EJ34/EJ13,"")</f>
        <v>0.32405363508117307</v>
      </c>
      <c r="EK40" s="549">
        <f t="shared" si="177"/>
        <v>0.37107030791915269</v>
      </c>
      <c r="EL40" s="549">
        <f t="shared" ref="EL40:EM40" si="178">IFERROR(EL34/EL13,"")</f>
        <v>0.22436378040288166</v>
      </c>
      <c r="EM40" s="549">
        <f t="shared" si="178"/>
        <v>0.44934614963131947</v>
      </c>
      <c r="EN40" s="549">
        <f t="shared" ref="EN40:EO40" si="179">IFERROR(EN34/EN13,"")</f>
        <v>0.39780658596193141</v>
      </c>
      <c r="EO40" s="549">
        <f t="shared" si="179"/>
        <v>0.24679173758307169</v>
      </c>
      <c r="EP40" s="549">
        <f t="shared" ref="EP40:EQ40" si="180">IFERROR(EP34/EP13,"")</f>
        <v>0.40248526710971355</v>
      </c>
      <c r="EQ40" s="549">
        <f t="shared" si="180"/>
        <v>0.44784234199590878</v>
      </c>
      <c r="ER40" s="549">
        <f t="shared" ref="ER40:ES40" si="181">IFERROR(ER34/ER13,"")</f>
        <v>0.3557077722604759</v>
      </c>
      <c r="ES40" s="549">
        <f t="shared" si="181"/>
        <v>0.34714301221969657</v>
      </c>
      <c r="ET40" s="549">
        <f t="shared" ref="ET40:EU40" si="182">IFERROR(ET34/ET13,"")</f>
        <v>0.26214132445161503</v>
      </c>
      <c r="EU40" s="549">
        <f t="shared" si="182"/>
        <v>0.17451939249588941</v>
      </c>
      <c r="EV40" s="549">
        <f t="shared" ref="EV40:EW40" si="183">IFERROR(EV34/EV13,"")</f>
        <v>0.35446857563758455</v>
      </c>
      <c r="EW40" s="549">
        <f t="shared" si="183"/>
        <v>2.2717580675222293</v>
      </c>
      <c r="EX40" s="549">
        <f t="shared" ref="EX40" si="184">IFERROR(EX34/EX13,"")</f>
        <v>-0.17787771925915563</v>
      </c>
      <c r="EY40" s="549">
        <f t="shared" ref="EY40" si="185">IFERROR(EY34/EY13,"")</f>
        <v>0.2990957289913852</v>
      </c>
      <c r="EZ40" s="549">
        <f t="shared" ref="EZ40:FB41" si="186">IFERROR(EZ34/EZ13,"")</f>
        <v>0.27531482009976194</v>
      </c>
      <c r="FA40" s="549">
        <f t="shared" si="186"/>
        <v>0.37152394247828691</v>
      </c>
      <c r="FB40" s="549">
        <f t="shared" si="186"/>
        <v>0.27163475620138133</v>
      </c>
      <c r="FC40" s="549">
        <f t="shared" ref="FC40:FD40" si="187">IFERROR(FC34/FC13,"")</f>
        <v>0.20421594499749862</v>
      </c>
      <c r="FD40" s="549">
        <f t="shared" si="187"/>
        <v>0.37701388924899176</v>
      </c>
      <c r="FE40" s="549">
        <f t="shared" ref="FE40:FI40" si="188">IFERROR(FE34/FE13,"")</f>
        <v>0.33708010826551715</v>
      </c>
      <c r="FF40" s="549">
        <f t="shared" si="188"/>
        <v>0.32417729948720347</v>
      </c>
      <c r="FG40" s="549">
        <f t="shared" si="188"/>
        <v>0.45963642931608861</v>
      </c>
      <c r="FH40" s="549">
        <f t="shared" si="188"/>
        <v>0.10943594297847237</v>
      </c>
      <c r="FI40" s="549">
        <f t="shared" si="188"/>
        <v>0.31879209420529514</v>
      </c>
      <c r="FJ40" s="549">
        <f t="shared" ref="FJ40" si="189">IFERROR(FJ34/FJ13,"")</f>
        <v>0.26928668339336159</v>
      </c>
      <c r="FK40" s="779">
        <f t="shared" ref="FK40" si="190">IFERROR(FK34/FK13,"")</f>
        <v>0.3321928867883116</v>
      </c>
      <c r="FL40"/>
      <c r="FM40"/>
      <c r="FN40" s="549">
        <f t="shared" ref="FN40" si="191">IFERROR(FN34/FN13,"")</f>
        <v>0.28330439428342458</v>
      </c>
      <c r="FO40" s="549">
        <f>FK40-FJ40</f>
        <v>6.2906203394950011E-2</v>
      </c>
      <c r="FP40" s="549">
        <f>FK40-FN40</f>
        <v>4.8888492504887027E-2</v>
      </c>
      <c r="FQ40" s="549" t="e">
        <f>FL40-#REF!</f>
        <v>#REF!</v>
      </c>
      <c r="FR40" s="549">
        <f>FM40-FO40</f>
        <v>-6.2906203394950011E-2</v>
      </c>
      <c r="FS40" s="549">
        <f t="shared" si="13"/>
        <v>4.8888492504887027E-2</v>
      </c>
      <c r="FT40" s="549">
        <f t="shared" ref="FT40:FU41" si="192">IFERROR(FT34/FT13,"")</f>
        <v>0.27834167085788813</v>
      </c>
      <c r="FU40" s="549">
        <f t="shared" si="192"/>
        <v>0.28330439428342458</v>
      </c>
      <c r="FV40" s="549">
        <f t="shared" si="41"/>
        <v>-4.9627234255364416E-3</v>
      </c>
      <c r="FX40" s="16"/>
    </row>
    <row r="41" spans="3:180" s="9" customFormat="1" ht="15.75" customHeight="1" x14ac:dyDescent="0.35">
      <c r="E41" s="9" t="s">
        <v>11</v>
      </c>
      <c r="F41" s="28">
        <f t="shared" si="157"/>
        <v>0.35260115606936415</v>
      </c>
      <c r="G41" s="28">
        <f t="shared" si="157"/>
        <v>0.53188775510204078</v>
      </c>
      <c r="H41" s="28">
        <f t="shared" si="157"/>
        <v>0.59249252321264168</v>
      </c>
      <c r="I41" s="28">
        <f t="shared" si="157"/>
        <v>0.83861240667657566</v>
      </c>
      <c r="J41" s="28">
        <f t="shared" si="157"/>
        <v>0.95933950680590219</v>
      </c>
      <c r="K41" s="28">
        <f t="shared" si="157"/>
        <v>0.96541543698667309</v>
      </c>
      <c r="L41" s="28">
        <f t="shared" si="157"/>
        <v>0.9846690718286466</v>
      </c>
      <c r="M41" s="28">
        <f t="shared" ref="M41:N41" ca="1" si="193">M35/M14</f>
        <v>0.92231337462421392</v>
      </c>
      <c r="N41" s="28">
        <f t="shared" ca="1" si="193"/>
        <v>0.92606937444171911</v>
      </c>
      <c r="O41" s="28">
        <f t="shared" ref="O41:P41" si="194">O35/O14</f>
        <v>0.97913185062616914</v>
      </c>
      <c r="P41" s="28">
        <f t="shared" si="194"/>
        <v>1.3591951619448781</v>
      </c>
      <c r="Q41" s="27"/>
      <c r="R41" s="29">
        <f t="shared" ref="R41:AO41" si="195">IFERROR(R35/R14,"")</f>
        <v>0.50622649003527953</v>
      </c>
      <c r="S41" s="29">
        <f t="shared" si="195"/>
        <v>0.50313196123602988</v>
      </c>
      <c r="T41" s="29">
        <f t="shared" si="195"/>
        <v>0.47326534606101461</v>
      </c>
      <c r="U41" s="29">
        <f t="shared" si="195"/>
        <v>1.0624062406240624</v>
      </c>
      <c r="V41" s="50">
        <f t="shared" si="195"/>
        <v>0.5</v>
      </c>
      <c r="W41" s="50">
        <f t="shared" si="195"/>
        <v>0.5161290322580645</v>
      </c>
      <c r="X41" s="50">
        <f t="shared" si="195"/>
        <v>0.79402789886660852</v>
      </c>
      <c r="Y41" s="50">
        <f t="shared" si="195"/>
        <v>0.42812010940310952</v>
      </c>
      <c r="Z41" s="50">
        <f t="shared" si="195"/>
        <v>0.54350927246790304</v>
      </c>
      <c r="AA41" s="50">
        <f t="shared" si="195"/>
        <v>0.58934388087482548</v>
      </c>
      <c r="AB41" s="50">
        <f t="shared" si="195"/>
        <v>0.68102064220183489</v>
      </c>
      <c r="AC41" s="50">
        <f t="shared" si="195"/>
        <v>0.9755118699408204</v>
      </c>
      <c r="AD41" s="50">
        <f t="shared" si="195"/>
        <v>0.94673491975650248</v>
      </c>
      <c r="AE41" s="50">
        <f t="shared" si="195"/>
        <v>0.89516087542572564</v>
      </c>
      <c r="AF41" s="50">
        <f t="shared" si="195"/>
        <v>1</v>
      </c>
      <c r="AG41" s="50">
        <f t="shared" si="195"/>
        <v>0.96342400230514325</v>
      </c>
      <c r="AH41" s="50">
        <f t="shared" si="195"/>
        <v>1</v>
      </c>
      <c r="AI41" s="50">
        <f t="shared" si="195"/>
        <v>0.94719366946592431</v>
      </c>
      <c r="AJ41" s="50">
        <f t="shared" si="195"/>
        <v>1</v>
      </c>
      <c r="AK41" s="50">
        <f t="shared" si="195"/>
        <v>0.91946899082599254</v>
      </c>
      <c r="AL41" s="50">
        <f t="shared" si="195"/>
        <v>0.98930438699797274</v>
      </c>
      <c r="AM41" s="50">
        <f t="shared" si="195"/>
        <v>0.97461162914199417</v>
      </c>
      <c r="AN41" s="50">
        <f t="shared" si="195"/>
        <v>0.98381617893580653</v>
      </c>
      <c r="AO41" s="50">
        <f t="shared" si="195"/>
        <v>0.99334272600724005</v>
      </c>
      <c r="AP41" s="50">
        <f t="shared" ref="AP41:AQ41" si="196">IFERROR(AP35/AP14,"")</f>
        <v>1</v>
      </c>
      <c r="AQ41" s="50">
        <f t="shared" ca="1" si="196"/>
        <v>1</v>
      </c>
      <c r="AR41" s="50">
        <f t="shared" ref="AR41:AS41" ca="1" si="197">IFERROR(AR35/AR14,"")</f>
        <v>0.95248992709831992</v>
      </c>
      <c r="AS41" s="50">
        <f t="shared" ca="1" si="197"/>
        <v>0.83694329914840737</v>
      </c>
      <c r="AT41" s="50">
        <f t="shared" ref="AT41:AW41" si="198">IFERROR(AT35/AT14,"")</f>
        <v>0.85690990041063653</v>
      </c>
      <c r="AU41" s="50">
        <f t="shared" ca="1" si="198"/>
        <v>0.93856632593391021</v>
      </c>
      <c r="AV41" s="50">
        <f t="shared" ca="1" si="198"/>
        <v>0.97534621374339669</v>
      </c>
      <c r="AW41" s="50">
        <f t="shared" ca="1" si="198"/>
        <v>1.000477931967817</v>
      </c>
      <c r="AX41" s="50">
        <f t="shared" ref="AX41:AY41" si="199">IFERROR(AX35/AX14,"")</f>
        <v>1</v>
      </c>
      <c r="AY41" s="50">
        <f t="shared" si="199"/>
        <v>1</v>
      </c>
      <c r="AZ41" s="50">
        <f t="shared" si="165"/>
        <v>0.92075070069201392</v>
      </c>
      <c r="BA41" s="50">
        <f t="shared" si="165"/>
        <v>1</v>
      </c>
      <c r="BB41" s="50">
        <f t="shared" si="165"/>
        <v>0.86638347903162538</v>
      </c>
      <c r="BC41" s="50"/>
      <c r="BD41" s="50"/>
      <c r="BE41" s="50"/>
      <c r="BF41" s="50">
        <f t="shared" ref="BF41:CK41" si="200">IFERROR(BF35/BF14,"")</f>
        <v>0.64</v>
      </c>
      <c r="BG41" s="50">
        <f t="shared" si="200"/>
        <v>0.47074283064079769</v>
      </c>
      <c r="BH41" s="50">
        <f t="shared" si="200"/>
        <v>0.46199154248892471</v>
      </c>
      <c r="BI41" s="50">
        <f t="shared" si="200"/>
        <v>0.45751277345106406</v>
      </c>
      <c r="BJ41" s="50">
        <f t="shared" si="200"/>
        <v>0.48511749347258487</v>
      </c>
      <c r="BK41" s="50">
        <f t="shared" si="200"/>
        <v>0.5510553337136338</v>
      </c>
      <c r="BL41" s="50">
        <f t="shared" si="200"/>
        <v>0.34963503649635036</v>
      </c>
      <c r="BM41" s="50">
        <f t="shared" si="200"/>
        <v>0.48925410872313529</v>
      </c>
      <c r="BN41" s="50">
        <f t="shared" si="200"/>
        <v>0.52900000000000003</v>
      </c>
      <c r="BO41" s="29">
        <f t="shared" si="200"/>
        <v>0.39997599903996162</v>
      </c>
      <c r="BP41" s="29">
        <f t="shared" si="200"/>
        <v>1.7490996398559424</v>
      </c>
      <c r="BQ41" s="29">
        <f t="shared" si="200"/>
        <v>7.0024009603841533</v>
      </c>
      <c r="BR41" s="50">
        <f t="shared" si="200"/>
        <v>0.36650541349919374</v>
      </c>
      <c r="BS41" s="50" t="str">
        <f t="shared" si="200"/>
        <v/>
      </c>
      <c r="BT41" s="50">
        <f t="shared" si="200"/>
        <v>-0.51829697396199859</v>
      </c>
      <c r="BU41" s="50" t="str">
        <f t="shared" si="200"/>
        <v/>
      </c>
      <c r="BV41" s="50">
        <f t="shared" si="200"/>
        <v>0.5161290322580645</v>
      </c>
      <c r="BW41" s="50" t="str">
        <f t="shared" si="200"/>
        <v/>
      </c>
      <c r="BX41" s="50">
        <f t="shared" si="200"/>
        <v>0.82223404501399455</v>
      </c>
      <c r="BY41" s="50">
        <f t="shared" si="200"/>
        <v>0.58823529411764708</v>
      </c>
      <c r="BZ41" s="50">
        <f t="shared" si="200"/>
        <v>0.82503364737550466</v>
      </c>
      <c r="CA41" s="50">
        <f t="shared" si="200"/>
        <v>0.27254210162586839</v>
      </c>
      <c r="CB41" s="50">
        <f t="shared" si="200"/>
        <v>0.49574951158984104</v>
      </c>
      <c r="CC41" s="50">
        <f t="shared" si="200"/>
        <v>1</v>
      </c>
      <c r="CD41" s="50">
        <f t="shared" si="200"/>
        <v>1</v>
      </c>
      <c r="CE41" s="50">
        <f t="shared" si="200"/>
        <v>0.50078003120124803</v>
      </c>
      <c r="CF41" s="50" t="str">
        <f t="shared" si="200"/>
        <v/>
      </c>
      <c r="CG41" s="50" t="str">
        <f t="shared" si="200"/>
        <v/>
      </c>
      <c r="CH41" s="50">
        <f t="shared" si="200"/>
        <v>1</v>
      </c>
      <c r="CI41" s="50">
        <f t="shared" si="200"/>
        <v>0.5751083293211362</v>
      </c>
      <c r="CJ41" s="50" t="str">
        <f t="shared" si="200"/>
        <v/>
      </c>
      <c r="CK41" s="50">
        <f t="shared" si="200"/>
        <v>0.73464373464373467</v>
      </c>
      <c r="CL41" s="50">
        <f t="shared" ref="CL41:DM41" si="201">IFERROR(CL35/CL14,"")</f>
        <v>0.59827938174394868</v>
      </c>
      <c r="CM41" s="50">
        <f t="shared" si="201"/>
        <v>1</v>
      </c>
      <c r="CN41" s="50">
        <f t="shared" si="201"/>
        <v>1</v>
      </c>
      <c r="CO41" s="50">
        <f t="shared" si="201"/>
        <v>0.94445301650979785</v>
      </c>
      <c r="CP41" s="50">
        <f t="shared" si="201"/>
        <v>0.49215143120960297</v>
      </c>
      <c r="CQ41" s="50">
        <f t="shared" si="201"/>
        <v>1</v>
      </c>
      <c r="CR41" s="50">
        <f t="shared" si="201"/>
        <v>1</v>
      </c>
      <c r="CS41" s="50">
        <f t="shared" si="201"/>
        <v>1</v>
      </c>
      <c r="CT41" s="50">
        <f t="shared" si="201"/>
        <v>1</v>
      </c>
      <c r="CU41" s="50">
        <f t="shared" si="201"/>
        <v>0.74934192723068216</v>
      </c>
      <c r="CV41" s="50">
        <f t="shared" si="201"/>
        <v>1</v>
      </c>
      <c r="CW41" s="50">
        <f t="shared" si="201"/>
        <v>1</v>
      </c>
      <c r="CX41" s="50">
        <f t="shared" si="201"/>
        <v>1</v>
      </c>
      <c r="CY41" s="50">
        <f t="shared" si="201"/>
        <v>0.89939983750689989</v>
      </c>
      <c r="CZ41" s="50">
        <f t="shared" si="201"/>
        <v>1</v>
      </c>
      <c r="DA41" s="50">
        <f t="shared" si="201"/>
        <v>1</v>
      </c>
      <c r="DB41" s="50">
        <f t="shared" si="201"/>
        <v>1</v>
      </c>
      <c r="DC41" s="50">
        <f t="shared" si="201"/>
        <v>1</v>
      </c>
      <c r="DD41" s="50">
        <f t="shared" si="201"/>
        <v>1</v>
      </c>
      <c r="DE41" s="50">
        <f t="shared" si="201"/>
        <v>1</v>
      </c>
      <c r="DF41" s="50">
        <f t="shared" si="201"/>
        <v>1</v>
      </c>
      <c r="DG41" s="50">
        <f t="shared" si="201"/>
        <v>0.86010125188629027</v>
      </c>
      <c r="DH41" s="50">
        <f t="shared" si="201"/>
        <v>1</v>
      </c>
      <c r="DI41" s="50">
        <f t="shared" si="201"/>
        <v>1</v>
      </c>
      <c r="DJ41" s="50">
        <f t="shared" si="201"/>
        <v>1</v>
      </c>
      <c r="DK41" s="50">
        <f t="shared" si="201"/>
        <v>0.3741001733739211</v>
      </c>
      <c r="DL41" s="50">
        <f t="shared" si="201"/>
        <v>0.91987019684153248</v>
      </c>
      <c r="DM41" s="50">
        <f t="shared" si="201"/>
        <v>1</v>
      </c>
      <c r="DN41" s="50">
        <f>IFERROR(DN35/DN14,"")</f>
        <v>1</v>
      </c>
      <c r="DO41" s="50">
        <f t="shared" ref="DO41" si="202">IFERROR(DO35/DO14,"")</f>
        <v>0.91025052209360213</v>
      </c>
      <c r="DP41" s="50">
        <f t="shared" ref="DP41:DQ41" si="203">IFERROR(DP35/DP14,"")</f>
        <v>1</v>
      </c>
      <c r="DQ41" s="50">
        <f t="shared" si="203"/>
        <v>0.98002852894526959</v>
      </c>
      <c r="DR41" s="50">
        <f t="shared" ref="DR41:DS41" si="204">IFERROR(DR35/DR14,"")</f>
        <v>1.0017820744984456</v>
      </c>
      <c r="DS41" s="50">
        <f t="shared" si="204"/>
        <v>0.8203109454640074</v>
      </c>
      <c r="DT41" s="50">
        <f t="shared" ref="DT41:DU41" si="205">IFERROR(DT35/DT14,"")</f>
        <v>0.80651070974336592</v>
      </c>
      <c r="DU41" s="50">
        <f t="shared" si="205"/>
        <v>0.99866344063076351</v>
      </c>
      <c r="DV41" s="50">
        <f t="shared" ref="DV41:DW41" si="206">IFERROR(DV35/DV14,"")</f>
        <v>1</v>
      </c>
      <c r="DW41" s="50">
        <f t="shared" si="206"/>
        <v>1</v>
      </c>
      <c r="DX41" s="50">
        <f t="shared" ref="DX41:DY41" si="207">IFERROR(DX35/DX14,"")</f>
        <v>0.98763438673702797</v>
      </c>
      <c r="DY41" s="549">
        <f t="shared" si="207"/>
        <v>1</v>
      </c>
      <c r="DZ41" s="50">
        <f t="shared" si="174"/>
        <v>1</v>
      </c>
      <c r="EA41" s="50">
        <f t="shared" si="174"/>
        <v>1</v>
      </c>
      <c r="EB41" s="50">
        <f t="shared" si="174"/>
        <v>1</v>
      </c>
      <c r="EC41" s="50">
        <f t="shared" ref="EC41" si="208">IFERROR(EC35/EC14,"")</f>
        <v>1</v>
      </c>
      <c r="ED41" s="50">
        <f t="shared" ref="ED41:EE41" si="209">IFERROR(ED35/ED14,"")</f>
        <v>1</v>
      </c>
      <c r="EE41" s="50">
        <f t="shared" si="209"/>
        <v>1</v>
      </c>
      <c r="EF41" s="50">
        <f t="shared" ref="EF41:EG41" si="210">IFERROR(EF35/EF14,"")</f>
        <v>1</v>
      </c>
      <c r="EG41" s="50">
        <f t="shared" si="210"/>
        <v>0.90372877110131655</v>
      </c>
      <c r="EH41" s="50">
        <f t="shared" ref="EH41:EI41" si="211">IFERROR(EH35/EH14,"")</f>
        <v>0.96321535641422584</v>
      </c>
      <c r="EI41" s="50">
        <f t="shared" si="211"/>
        <v>0.79622729194345132</v>
      </c>
      <c r="EJ41" s="50">
        <f t="shared" ref="EJ41:EK41" si="212">IFERROR(EJ35/EJ14,"")</f>
        <v>0.80848447134309676</v>
      </c>
      <c r="EK41" s="549">
        <f t="shared" si="212"/>
        <v>0.87666257579939233</v>
      </c>
      <c r="EL41" s="549">
        <f t="shared" ref="EL41:EM41" si="213">IFERROR(EL35/EL14,"")</f>
        <v>0.85517347342251104</v>
      </c>
      <c r="EM41" s="549">
        <f t="shared" si="213"/>
        <v>0.840192066288177</v>
      </c>
      <c r="EN41" s="549">
        <f t="shared" ref="EN41:ES41" si="214">IFERROR(EN35/EN14,"")</f>
        <v>0.8716838292282495</v>
      </c>
      <c r="EO41" s="549">
        <f t="shared" si="214"/>
        <v>0.55796070785491458</v>
      </c>
      <c r="EP41" s="549">
        <f t="shared" si="214"/>
        <v>0.98373565359908088</v>
      </c>
      <c r="EQ41" s="549">
        <f t="shared" si="214"/>
        <v>0.97813648941680498</v>
      </c>
      <c r="ER41" s="549">
        <f t="shared" si="214"/>
        <v>0.97604164934110438</v>
      </c>
      <c r="ES41" s="549">
        <f t="shared" si="214"/>
        <v>0.97899572687279512</v>
      </c>
      <c r="ET41" s="549">
        <f t="shared" ref="ET41:EU41" si="215">IFERROR(ET35/ET14,"")</f>
        <v>0.96904537244445288</v>
      </c>
      <c r="EU41" s="549">
        <f t="shared" si="215"/>
        <v>0.94160987535640905</v>
      </c>
      <c r="EV41" s="549">
        <f t="shared" ref="EV41:EW41" si="216">IFERROR(EV35/EV14,"")</f>
        <v>1.0857804690834547</v>
      </c>
      <c r="EW41" s="549">
        <f t="shared" si="216"/>
        <v>1</v>
      </c>
      <c r="EX41" s="549">
        <f t="shared" ref="EX41" si="217">IFERROR(EX35/EX14,"")</f>
        <v>1</v>
      </c>
      <c r="EY41" s="549">
        <f t="shared" ref="EY41" si="218">IFERROR(EY35/EY14,"")</f>
        <v>1</v>
      </c>
      <c r="EZ41" s="549">
        <f t="shared" si="186"/>
        <v>1</v>
      </c>
      <c r="FA41" s="549">
        <f t="shared" si="186"/>
        <v>1</v>
      </c>
      <c r="FB41" s="549">
        <f t="shared" si="186"/>
        <v>1</v>
      </c>
      <c r="FC41" s="549">
        <f t="shared" ref="FC41:FD41" si="219">IFERROR(FC35/FC14,"")</f>
        <v>1</v>
      </c>
      <c r="FD41" s="549">
        <f t="shared" si="219"/>
        <v>1</v>
      </c>
      <c r="FE41" s="549">
        <f t="shared" ref="FE41:FI41" si="220">IFERROR(FE35/FE14,"")</f>
        <v>1</v>
      </c>
      <c r="FF41" s="549">
        <f t="shared" si="220"/>
        <v>0.70697066991713975</v>
      </c>
      <c r="FG41" s="549">
        <f t="shared" si="220"/>
        <v>1</v>
      </c>
      <c r="FH41" s="549">
        <f t="shared" si="220"/>
        <v>1</v>
      </c>
      <c r="FI41" s="549">
        <f t="shared" si="220"/>
        <v>1</v>
      </c>
      <c r="FJ41" s="549">
        <f t="shared" ref="FJ41" si="221">IFERROR(FJ35/FJ14,"")</f>
        <v>0.7903804340093008</v>
      </c>
      <c r="FK41" s="779">
        <f t="shared" ref="FK41" si="222">IFERROR(FK35/FK14,"")</f>
        <v>1</v>
      </c>
      <c r="FL41"/>
      <c r="FM41"/>
      <c r="FN41" s="549">
        <f t="shared" ref="FN41" si="223">IFERROR(FN35/FN14,"")</f>
        <v>0.9807407407407408</v>
      </c>
      <c r="FO41" s="549">
        <f>FK41-FJ41</f>
        <v>0.2096195659906992</v>
      </c>
      <c r="FP41" s="549">
        <f>FK41-FN41</f>
        <v>1.9259259259259198E-2</v>
      </c>
      <c r="FQ41" s="549" t="e">
        <f>FL41-#REF!</f>
        <v>#REF!</v>
      </c>
      <c r="FR41" s="549">
        <f>FM41-FO41</f>
        <v>-0.2096195659906992</v>
      </c>
      <c r="FS41" s="549">
        <f t="shared" si="13"/>
        <v>1.9259259259259198E-2</v>
      </c>
      <c r="FT41" s="549">
        <f t="shared" si="192"/>
        <v>0.86638347903162538</v>
      </c>
      <c r="FU41" s="549">
        <f t="shared" si="192"/>
        <v>0.9807407407407408</v>
      </c>
      <c r="FV41" s="549">
        <f t="shared" si="41"/>
        <v>-0.11435726170911542</v>
      </c>
      <c r="FX41" s="16"/>
    </row>
    <row r="42" spans="3:180" s="107" customFormat="1" ht="16.149999999999999" customHeight="1" x14ac:dyDescent="0.35">
      <c r="E42" s="107" t="s">
        <v>108</v>
      </c>
      <c r="F42" s="108">
        <f t="shared" ref="F42:L42" si="224">IFERROR((F33+F34+F35)/F25,"")</f>
        <v>0.37346548034688593</v>
      </c>
      <c r="G42" s="108">
        <f t="shared" si="224"/>
        <v>0.42996693439569444</v>
      </c>
      <c r="H42" s="108">
        <f t="shared" si="224"/>
        <v>0.54250408111219495</v>
      </c>
      <c r="I42" s="108">
        <f t="shared" si="224"/>
        <v>0.46453009904881643</v>
      </c>
      <c r="J42" s="108">
        <f t="shared" si="224"/>
        <v>0.49076467286420683</v>
      </c>
      <c r="K42" s="108">
        <f t="shared" si="224"/>
        <v>0.48626042036795064</v>
      </c>
      <c r="L42" s="108">
        <f t="shared" si="224"/>
        <v>0.47237526625149528</v>
      </c>
      <c r="M42" s="108">
        <f t="shared" ref="M42:O42" ca="1" si="225">IFERROR((M33+M34+M35)/M25,"")</f>
        <v>0.52064874616955803</v>
      </c>
      <c r="N42" s="108">
        <f t="shared" ca="1" si="225"/>
        <v>0.50182636444386119</v>
      </c>
      <c r="O42" s="108">
        <f t="shared" si="225"/>
        <v>0.48480039650854068</v>
      </c>
      <c r="P42" s="108">
        <f t="shared" ref="P42" si="226">IFERROR((P33+P34+P35)/P25,"")</f>
        <v>0.9689700220889117</v>
      </c>
      <c r="Q42" s="109"/>
      <c r="R42" s="110"/>
      <c r="S42" s="110"/>
      <c r="T42" s="110"/>
      <c r="U42" s="110"/>
      <c r="V42" s="108">
        <f t="shared" ref="V42:AD42" si="227">IFERROR((V33+V34+V35)/V25,"")</f>
        <v>0.57278815921512771</v>
      </c>
      <c r="W42" s="108">
        <f t="shared" si="227"/>
        <v>0.51446969710642154</v>
      </c>
      <c r="X42" s="108">
        <f t="shared" si="227"/>
        <v>0.52893664486479719</v>
      </c>
      <c r="Y42" s="108">
        <f t="shared" si="227"/>
        <v>0.55416324710544629</v>
      </c>
      <c r="Z42" s="108">
        <f t="shared" si="227"/>
        <v>0.47848817900008689</v>
      </c>
      <c r="AA42" s="108">
        <f t="shared" si="227"/>
        <v>0.44457997217794759</v>
      </c>
      <c r="AB42" s="108">
        <f t="shared" si="227"/>
        <v>0.45102456586648842</v>
      </c>
      <c r="AC42" s="108">
        <f t="shared" si="227"/>
        <v>0.48279913001173341</v>
      </c>
      <c r="AD42" s="108">
        <f t="shared" si="227"/>
        <v>0.47005817411992912</v>
      </c>
      <c r="AE42" s="108">
        <f t="shared" ref="AE42:AK42" si="228">IFERROR((AE33+AE34+AE35)/AE25,"")</f>
        <v>0.46127498044281251</v>
      </c>
      <c r="AF42" s="108">
        <f t="shared" si="228"/>
        <v>0.51450819979109252</v>
      </c>
      <c r="AG42" s="108">
        <f t="shared" si="228"/>
        <v>0.52108110892587078</v>
      </c>
      <c r="AH42" s="108">
        <f t="shared" si="228"/>
        <v>0.51918443195045905</v>
      </c>
      <c r="AI42" s="108">
        <f t="shared" si="228"/>
        <v>0.4903843777025107</v>
      </c>
      <c r="AJ42" s="108">
        <f t="shared" si="228"/>
        <v>0.4601571248207767</v>
      </c>
      <c r="AK42" s="108">
        <f t="shared" si="228"/>
        <v>0.48224008398374407</v>
      </c>
      <c r="AL42" s="108">
        <f t="shared" ref="AL42:AQ42" si="229">IFERROR((AL33+AL34+AL35)/AL25,"")</f>
        <v>0.48756332516595491</v>
      </c>
      <c r="AM42" s="108">
        <f t="shared" si="229"/>
        <v>0.4658935331845559</v>
      </c>
      <c r="AN42" s="108">
        <f t="shared" si="229"/>
        <v>0.44077853042087056</v>
      </c>
      <c r="AO42" s="108">
        <f t="shared" si="229"/>
        <v>0.49653014018596442</v>
      </c>
      <c r="AP42" s="108">
        <f t="shared" si="229"/>
        <v>0.52886307404155297</v>
      </c>
      <c r="AQ42" s="108">
        <f t="shared" ca="1" si="229"/>
        <v>0.51973716378227997</v>
      </c>
      <c r="AR42" s="108">
        <f t="shared" ref="AR42:AS42" ca="1" si="230">IFERROR((AR33+AR34+AR35)/AR25,"")</f>
        <v>0.51074109081180674</v>
      </c>
      <c r="AS42" s="108">
        <f t="shared" ca="1" si="230"/>
        <v>0.52347652299031333</v>
      </c>
      <c r="AT42" s="108">
        <f t="shared" ref="AT42:AW42" si="231">IFERROR((AT33+AT34+AT35)/AT25,"")</f>
        <v>0.53128734570283331</v>
      </c>
      <c r="AU42" s="108">
        <f t="shared" ca="1" si="231"/>
        <v>0.51750328485919717</v>
      </c>
      <c r="AV42" s="108">
        <f t="shared" ca="1" si="231"/>
        <v>0.50019899801565271</v>
      </c>
      <c r="AW42" s="108">
        <f t="shared" ca="1" si="231"/>
        <v>0.4544118569879701</v>
      </c>
      <c r="AX42" s="108">
        <f t="shared" ref="AX42:AY42" si="232">IFERROR((AX33+AX34+AX35)/AX25,"")</f>
        <v>0.48831361793761324</v>
      </c>
      <c r="AY42" s="108">
        <f t="shared" si="232"/>
        <v>0.4736004717677792</v>
      </c>
      <c r="AZ42" s="108">
        <f>IFERROR((AZ33+AZ34+AZ35)/AZ25,"")</f>
        <v>0.48116568840500629</v>
      </c>
      <c r="BA42" s="108">
        <f>IFERROR((BA33+BA34+BA35)/BA25,"")</f>
        <v>0.49545818234364297</v>
      </c>
      <c r="BB42" s="108">
        <f t="shared" si="42"/>
        <v>0.47185673295885777</v>
      </c>
      <c r="BC42" s="108"/>
      <c r="BD42" s="108"/>
      <c r="BE42" s="108"/>
      <c r="BF42" s="108"/>
      <c r="BG42" s="108"/>
      <c r="BH42" s="108"/>
      <c r="BI42" s="108"/>
      <c r="BJ42" s="108"/>
      <c r="BK42" s="108"/>
      <c r="BL42" s="108"/>
      <c r="BM42" s="108"/>
      <c r="BN42" s="108"/>
      <c r="BO42" s="110"/>
      <c r="BP42" s="110"/>
      <c r="BQ42" s="110"/>
      <c r="BR42" s="108">
        <f t="shared" ref="BR42:BW42" si="233">IFERROR((BR33+BR34+BR35)/BR25,"")</f>
        <v>0.55031020203657588</v>
      </c>
      <c r="BS42" s="108">
        <f t="shared" si="233"/>
        <v>0.60834729816707933</v>
      </c>
      <c r="BT42" s="108">
        <f t="shared" si="233"/>
        <v>0.55974688918599369</v>
      </c>
      <c r="BU42" s="108">
        <f t="shared" si="233"/>
        <v>0.50192626652023709</v>
      </c>
      <c r="BV42" s="108">
        <f t="shared" si="233"/>
        <v>0.50660467862150393</v>
      </c>
      <c r="BW42" s="108">
        <f t="shared" si="233"/>
        <v>0.53633096050433149</v>
      </c>
      <c r="BX42" s="108">
        <f t="shared" ref="BX42:CC42" si="234">IFERROR((BX33+BX34+BX35)/BX25,"")</f>
        <v>0.52630258372220695</v>
      </c>
      <c r="BY42" s="108">
        <f t="shared" si="234"/>
        <v>0.53135234180835289</v>
      </c>
      <c r="BZ42" s="108">
        <f t="shared" si="234"/>
        <v>0.52960760911387939</v>
      </c>
      <c r="CA42" s="108">
        <f t="shared" si="234"/>
        <v>0.50878450017778476</v>
      </c>
      <c r="CB42" s="108">
        <f t="shared" si="234"/>
        <v>0.53138277315810556</v>
      </c>
      <c r="CC42" s="108">
        <f t="shared" si="234"/>
        <v>0.61022216603470869</v>
      </c>
      <c r="CD42" s="108">
        <f t="shared" ref="CD42:CV42" si="235">IFERROR((CD33+CD34+CD35)/CD25,"")</f>
        <v>0.49143397299693831</v>
      </c>
      <c r="CE42" s="108">
        <f t="shared" si="235"/>
        <v>0.50354721777335421</v>
      </c>
      <c r="CF42" s="108">
        <f t="shared" si="235"/>
        <v>0.44413519573040461</v>
      </c>
      <c r="CG42" s="108">
        <f t="shared" si="235"/>
        <v>0.43336825741641594</v>
      </c>
      <c r="CH42" s="108">
        <f t="shared" si="235"/>
        <v>0.47366092417965527</v>
      </c>
      <c r="CI42" s="108">
        <f t="shared" si="235"/>
        <v>0.42990200536707718</v>
      </c>
      <c r="CJ42" s="108">
        <f t="shared" si="235"/>
        <v>0.45482708940745215</v>
      </c>
      <c r="CK42" s="108">
        <f t="shared" si="235"/>
        <v>0.44826072568714476</v>
      </c>
      <c r="CL42" s="108">
        <f t="shared" si="235"/>
        <v>0.45013823279709164</v>
      </c>
      <c r="CM42" s="108">
        <f t="shared" si="235"/>
        <v>0.49041645641118764</v>
      </c>
      <c r="CN42" s="108">
        <f t="shared" si="235"/>
        <v>0.4852457891724925</v>
      </c>
      <c r="CO42" s="108">
        <f t="shared" si="235"/>
        <v>0.47343036124070054</v>
      </c>
      <c r="CP42" s="108">
        <f t="shared" si="235"/>
        <v>0.44300197805993391</v>
      </c>
      <c r="CQ42" s="108">
        <f t="shared" si="235"/>
        <v>0.48302252976619958</v>
      </c>
      <c r="CR42" s="108">
        <f t="shared" si="235"/>
        <v>0.48829660283094695</v>
      </c>
      <c r="CS42" s="108">
        <f t="shared" si="235"/>
        <v>0.46841589760728503</v>
      </c>
      <c r="CT42" s="108">
        <f t="shared" si="235"/>
        <v>0.43683688432674889</v>
      </c>
      <c r="CU42" s="108">
        <f t="shared" si="235"/>
        <v>0.48057627423019617</v>
      </c>
      <c r="CV42" s="108">
        <f t="shared" si="235"/>
        <v>0.51889570410373509</v>
      </c>
      <c r="CW42" s="108">
        <f t="shared" ref="CW42:DB42" si="236">IFERROR((CW33+CW34+CW35)/CW25,"")</f>
        <v>0.51873183836387393</v>
      </c>
      <c r="CX42" s="108">
        <f t="shared" si="236"/>
        <v>0.50734204900714486</v>
      </c>
      <c r="CY42" s="108">
        <f t="shared" si="236"/>
        <v>0.5157932855650591</v>
      </c>
      <c r="CZ42" s="108">
        <f t="shared" si="236"/>
        <v>0.52015591345611345</v>
      </c>
      <c r="DA42" s="108">
        <f t="shared" si="236"/>
        <v>0.52788733985689795</v>
      </c>
      <c r="DB42" s="108">
        <f t="shared" si="236"/>
        <v>0.50969898880063336</v>
      </c>
      <c r="DC42" s="108">
        <f t="shared" ref="DC42:DH42" si="237">IFERROR((DC33+DC34+DC35)/DC25,"")</f>
        <v>0.54323351458067459</v>
      </c>
      <c r="DD42" s="108">
        <f t="shared" si="237"/>
        <v>0.50556844987613991</v>
      </c>
      <c r="DE42" s="108">
        <f t="shared" si="237"/>
        <v>0.49316049550223501</v>
      </c>
      <c r="DF42" s="108">
        <f t="shared" si="237"/>
        <v>0.51332769778857046</v>
      </c>
      <c r="DG42" s="108">
        <f t="shared" si="237"/>
        <v>0.46975771394975552</v>
      </c>
      <c r="DH42" s="108">
        <f t="shared" si="237"/>
        <v>0.45118913455551396</v>
      </c>
      <c r="DI42" s="108">
        <f t="shared" ref="DI42:DN42" si="238">IFERROR((DI33+DI34+DI35)/DI25,"")</f>
        <v>0.46440691425309388</v>
      </c>
      <c r="DJ42" s="108">
        <f t="shared" si="238"/>
        <v>0.46515746816628561</v>
      </c>
      <c r="DK42" s="108">
        <f t="shared" si="238"/>
        <v>0.46795288938236912</v>
      </c>
      <c r="DL42" s="108">
        <f t="shared" si="238"/>
        <v>0.47944794895896758</v>
      </c>
      <c r="DM42" s="108">
        <f t="shared" si="238"/>
        <v>0.49822202951962674</v>
      </c>
      <c r="DN42" s="108">
        <f t="shared" si="238"/>
        <v>0.49356284172066228</v>
      </c>
      <c r="DO42" s="108">
        <f t="shared" ref="DO42" si="239">IFERROR((DO33+DO34+DO35)/DO25,"")</f>
        <v>0.49253262618816868</v>
      </c>
      <c r="DP42" s="108">
        <f t="shared" ref="DP42:DQ42" si="240">IFERROR((DP33+DP34+DP35)/DP25,"")</f>
        <v>0.47819728616537588</v>
      </c>
      <c r="DQ42" s="108">
        <f t="shared" si="240"/>
        <v>0.46775016104217654</v>
      </c>
      <c r="DR42" s="108">
        <f t="shared" ref="DR42:DS42" si="241">IFERROR((DR33+DR34+DR35)/DR25,"")</f>
        <v>0.4731685518831501</v>
      </c>
      <c r="DS42" s="108">
        <f t="shared" si="241"/>
        <v>0.45593704408559471</v>
      </c>
      <c r="DT42" s="108">
        <f t="shared" ref="DT42:DU42" si="242">IFERROR((DT33+DT34+DT35)/DT25,"")</f>
        <v>0.43185363792439757</v>
      </c>
      <c r="DU42" s="108">
        <f t="shared" si="242"/>
        <v>0.44803591762567352</v>
      </c>
      <c r="DV42" s="108">
        <f t="shared" ref="DV42:DW42" si="243">IFERROR((DV33+DV34+DV35)/DV25,"")</f>
        <v>0.44163601381801787</v>
      </c>
      <c r="DW42" s="108">
        <f t="shared" si="243"/>
        <v>0.49195712253363194</v>
      </c>
      <c r="DX42" s="108">
        <f t="shared" ref="DX42:DY42" si="244">IFERROR((DX33+DX34+DX35)/DX25,"")</f>
        <v>0.49148738746464515</v>
      </c>
      <c r="DY42" s="550">
        <f t="shared" si="244"/>
        <v>0.50489007169081124</v>
      </c>
      <c r="DZ42" s="108">
        <f t="shared" ref="DZ42:EA42" si="245">IFERROR((DZ33+DZ34+DZ35)/DZ25,"")</f>
        <v>0.53774224589844399</v>
      </c>
      <c r="EA42" s="108">
        <f t="shared" si="245"/>
        <v>0.55036153432438306</v>
      </c>
      <c r="EB42" s="108">
        <f t="shared" ref="EB42:EC42" si="246">IFERROR((EB33+EB34+EB35)/EB25,"")</f>
        <v>0.50203311928834327</v>
      </c>
      <c r="EC42" s="108">
        <f t="shared" si="246"/>
        <v>0.53438418700992374</v>
      </c>
      <c r="ED42" s="108">
        <f t="shared" ref="ED42:EE42" si="247">IFERROR((ED33+ED34+ED35)/ED25,"")</f>
        <v>0.53133374710237613</v>
      </c>
      <c r="EE42" s="108">
        <f t="shared" si="247"/>
        <v>0.49497208257864339</v>
      </c>
      <c r="EF42" s="108">
        <f t="shared" ref="EF42:EG42" si="248">IFERROR((EF33+EF34+EF35)/EF25,"")</f>
        <v>0.48315216824381241</v>
      </c>
      <c r="EG42" s="108">
        <f t="shared" si="248"/>
        <v>0.50098025814045721</v>
      </c>
      <c r="EH42" s="108">
        <f t="shared" ref="EH42:EI42" si="249">IFERROR((EH33+EH34+EH35)/EH25,"")</f>
        <v>0.54745984191943942</v>
      </c>
      <c r="EI42" s="108">
        <f t="shared" si="249"/>
        <v>0.50674950355570991</v>
      </c>
      <c r="EJ42" s="108">
        <f t="shared" ref="EJ42:EK42" si="250">IFERROR((EJ33+EJ34+EJ35)/EJ25,"")</f>
        <v>0.50876743195234808</v>
      </c>
      <c r="EK42" s="550">
        <f t="shared" si="250"/>
        <v>0.55366016701256449</v>
      </c>
      <c r="EL42" s="550">
        <f t="shared" ref="EL42:EM42" si="251">IFERROR((EL33+EL34+EL35)/EL25,"")</f>
        <v>0.54462630960390213</v>
      </c>
      <c r="EM42" s="550">
        <f t="shared" si="251"/>
        <v>0.53178119442141158</v>
      </c>
      <c r="EN42" s="550">
        <f t="shared" ref="EN42:EO42" si="252">IFERROR((EN33+EN34+EN35)/EN25,"")</f>
        <v>0.51937899876037041</v>
      </c>
      <c r="EO42" s="550">
        <f t="shared" si="252"/>
        <v>0.51089594286693474</v>
      </c>
      <c r="EP42" s="550">
        <f t="shared" ref="EP42:EQ42" si="253">IFERROR((EP33+EP34+EP35)/EP25,"")</f>
        <v>0.53093300687092515</v>
      </c>
      <c r="EQ42" s="550">
        <f t="shared" si="253"/>
        <v>0.50995380292298043</v>
      </c>
      <c r="ER42" s="550">
        <f t="shared" ref="ER42:ES42" si="254">IFERROR((ER33+ER34+ER35)/ER25,"")</f>
        <v>0.51777110177664543</v>
      </c>
      <c r="ES42" s="550">
        <f t="shared" si="254"/>
        <v>0.50111853827327557</v>
      </c>
      <c r="ET42" s="550">
        <f t="shared" ref="ET42:EU42" si="255">IFERROR((ET33+ET34+ET35)/ET25,"")</f>
        <v>0.48113960146332624</v>
      </c>
      <c r="EU42" s="550">
        <f t="shared" si="255"/>
        <v>0.45613666282456683</v>
      </c>
      <c r="EV42" s="550">
        <f t="shared" ref="EV42:EW42" si="256">IFERROR((EV33+EV34+EV35)/EV25,"")</f>
        <v>0.48043183708541348</v>
      </c>
      <c r="EW42" s="550">
        <f t="shared" si="256"/>
        <v>0.42314786103505514</v>
      </c>
      <c r="EX42" s="550">
        <f t="shared" ref="EX42" si="257">IFERROR((EX33+EX34+EX35)/EX25,"")</f>
        <v>0.49903160543959518</v>
      </c>
      <c r="EY42" s="550">
        <f t="shared" ref="EY42" si="258">IFERROR((EY33+EY34+EY35)/EY25,"")</f>
        <v>0.46994884194498859</v>
      </c>
      <c r="EZ42" s="550">
        <f t="shared" ref="EZ42:FD42" si="259">IFERROR((EZ33+EZ34+EZ35)/EZ25,"")</f>
        <v>0.49835335650079804</v>
      </c>
      <c r="FA42" s="550">
        <f t="shared" si="259"/>
        <v>0.47328013622165749</v>
      </c>
      <c r="FB42" s="550">
        <f t="shared" si="259"/>
        <v>0.45876967472789315</v>
      </c>
      <c r="FC42" s="550">
        <f t="shared" si="259"/>
        <v>0.48921317525476488</v>
      </c>
      <c r="FD42" s="550">
        <f t="shared" si="259"/>
        <v>0.49235731707983366</v>
      </c>
      <c r="FE42" s="550">
        <f t="shared" ref="FE42:FH42" si="260">IFERROR((FE33+FE34+FE35)/FE25,"")</f>
        <v>0.48000612728154324</v>
      </c>
      <c r="FF42" s="550">
        <f t="shared" si="260"/>
        <v>0.47197450554983816</v>
      </c>
      <c r="FG42" s="550">
        <f t="shared" si="260"/>
        <v>0.47826271355960154</v>
      </c>
      <c r="FH42" s="550">
        <f t="shared" si="260"/>
        <v>0.52242222060172205</v>
      </c>
      <c r="FI42" s="550">
        <f t="shared" ref="FI42:FJ42" si="261">IFERROR((FI33+FI34+FI35)/FI25,"")</f>
        <v>0.48614003283043822</v>
      </c>
      <c r="FJ42" s="550">
        <f t="shared" si="261"/>
        <v>0.47185673295885777</v>
      </c>
      <c r="FK42" s="780">
        <f t="shared" ref="FK42" si="262">IFERROR((FK33+FK34+FK35)/FK25,"")</f>
        <v>0.51455053961733377</v>
      </c>
      <c r="FL42"/>
      <c r="FM42"/>
      <c r="FN42" s="550">
        <f t="shared" ref="FN42" si="263">IFERROR((FN33+FN34+FN35)/FN25,"")</f>
        <v>0.48478909446615964</v>
      </c>
      <c r="FO42" s="549">
        <f>FK42-FJ42</f>
        <v>4.2693806658475997E-2</v>
      </c>
      <c r="FP42" s="549">
        <f>FK42-FN42</f>
        <v>2.9761445151174126E-2</v>
      </c>
      <c r="FQ42" s="549" t="e">
        <f>FL42-#REF!</f>
        <v>#REF!</v>
      </c>
      <c r="FR42" s="549">
        <f>FM42-FO42</f>
        <v>-4.2693806658475997E-2</v>
      </c>
      <c r="FS42" s="549">
        <f t="shared" si="13"/>
        <v>2.9761445151174126E-2</v>
      </c>
      <c r="FT42" s="550">
        <f t="shared" ref="FT42:FU42" si="264">IFERROR((FT33+FT34+FT35)/FT25,"")</f>
        <v>0.49283569657343723</v>
      </c>
      <c r="FU42" s="550">
        <f t="shared" si="264"/>
        <v>0.48478909446615964</v>
      </c>
      <c r="FV42" s="550">
        <f t="shared" si="41"/>
        <v>8.0466021072775895E-3</v>
      </c>
      <c r="FX42" s="511"/>
    </row>
    <row r="43" spans="3:180" s="5" customFormat="1" ht="24.75" customHeight="1" x14ac:dyDescent="0.35">
      <c r="E43" s="6"/>
      <c r="F43" s="7"/>
      <c r="G43" s="7"/>
      <c r="H43" s="7"/>
      <c r="I43" s="7"/>
      <c r="J43" s="7"/>
      <c r="K43" s="7"/>
      <c r="L43" s="7"/>
      <c r="M43" s="7"/>
      <c r="N43" s="7">
        <f t="shared" ref="N43:N52" ca="1" si="265">SUM(AT43:BA43)</f>
        <v>0</v>
      </c>
      <c r="O43" s="7"/>
      <c r="P43" s="7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>
        <f t="shared" si="11"/>
        <v>0</v>
      </c>
      <c r="AU43" s="8">
        <f t="shared" ref="AU43:AW44" ca="1" si="266">OFFSET($EL43,0,AU$4)+OFFSET($EM43,0,AU$4)+OFFSET($EN43,0,AU$4)</f>
        <v>0</v>
      </c>
      <c r="AV43" s="8">
        <f t="shared" ca="1" si="266"/>
        <v>0</v>
      </c>
      <c r="AW43" s="8">
        <f t="shared" ca="1" si="266"/>
        <v>0</v>
      </c>
      <c r="AX43" s="8"/>
      <c r="AY43" s="8"/>
      <c r="AZ43" s="8">
        <f t="shared" ref="AZ43:AZ52" si="267">FD43</f>
        <v>0</v>
      </c>
      <c r="BA43" s="8"/>
      <c r="BB43" s="8">
        <f t="shared" si="42"/>
        <v>0</v>
      </c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283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283"/>
      <c r="DB43" s="283"/>
      <c r="DC43" s="283"/>
      <c r="DD43" s="283"/>
      <c r="DE43" s="283"/>
      <c r="DF43" s="8"/>
      <c r="DG43" s="8"/>
      <c r="DH43" s="8"/>
      <c r="DI43" s="8"/>
      <c r="DJ43" s="8"/>
      <c r="DK43" s="8"/>
      <c r="DL43" s="8"/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586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586"/>
      <c r="EL43" s="586"/>
      <c r="EM43" s="586"/>
      <c r="EN43" s="586"/>
      <c r="EO43" s="586"/>
      <c r="EP43" s="586"/>
      <c r="EQ43" s="586"/>
      <c r="ER43" s="586"/>
      <c r="ES43" s="586"/>
      <c r="ET43" s="586"/>
      <c r="EU43" s="586"/>
      <c r="EV43" s="586"/>
      <c r="EW43" s="586"/>
      <c r="EX43" s="586"/>
      <c r="EY43" s="586"/>
      <c r="EZ43" s="586"/>
      <c r="FA43" s="586"/>
      <c r="FB43" s="586"/>
      <c r="FC43" s="586"/>
      <c r="FD43" s="586"/>
      <c r="FE43" s="586"/>
      <c r="FF43" s="586"/>
      <c r="FG43" s="586"/>
      <c r="FH43" s="586"/>
      <c r="FI43" s="586"/>
      <c r="FJ43" s="586"/>
      <c r="FK43" s="781"/>
      <c r="FL43"/>
      <c r="FM43"/>
      <c r="FN43" s="8"/>
      <c r="FO43" s="586"/>
      <c r="FP43" s="586"/>
      <c r="FQ43" s="586"/>
      <c r="FR43" s="586"/>
      <c r="FS43" s="586">
        <f t="shared" si="13"/>
        <v>0</v>
      </c>
      <c r="FT43" s="12">
        <f>SUM($FJ43:FK43)</f>
        <v>0</v>
      </c>
      <c r="FX43"/>
    </row>
    <row r="44" spans="3:180" x14ac:dyDescent="0.35">
      <c r="C44" s="21" t="s">
        <v>109</v>
      </c>
      <c r="D44" s="22"/>
      <c r="E44" s="22"/>
      <c r="F44" s="23">
        <f t="shared" ref="F44:K44" si="268">SUM(F33:F36)</f>
        <v>3316000</v>
      </c>
      <c r="G44" s="23">
        <f t="shared" si="268"/>
        <v>4014035</v>
      </c>
      <c r="H44" s="23">
        <f t="shared" si="268"/>
        <v>5271357</v>
      </c>
      <c r="I44" s="23">
        <f t="shared" si="268"/>
        <v>5805359</v>
      </c>
      <c r="J44" s="23">
        <f t="shared" si="268"/>
        <v>7269860.9900000002</v>
      </c>
      <c r="K44" s="23">
        <f t="shared" si="268"/>
        <v>8105196.6700000009</v>
      </c>
      <c r="L44" s="23">
        <f>SUM(L33:L36)</f>
        <v>10296298.303311054</v>
      </c>
      <c r="M44" s="23">
        <f ca="1">SUM(M33:M36)</f>
        <v>12481088.778925739</v>
      </c>
      <c r="N44" s="23">
        <f ca="1">SUM(AT44:AW44)</f>
        <v>12320393.495748775</v>
      </c>
      <c r="O44" s="23">
        <f>SUM(AX44:BA44)</f>
        <v>12418926.597857606</v>
      </c>
      <c r="P44" s="23">
        <f t="shared" ref="P44" si="269">FJ44</f>
        <v>1000133.879595144</v>
      </c>
      <c r="Q44" s="24"/>
      <c r="R44" s="24">
        <f t="shared" ref="R44:AA44" si="270">SUM(R33:R36)</f>
        <v>976181</v>
      </c>
      <c r="S44" s="24">
        <f t="shared" si="270"/>
        <v>721298</v>
      </c>
      <c r="T44" s="24">
        <f t="shared" si="270"/>
        <v>925470</v>
      </c>
      <c r="U44" s="24">
        <f t="shared" si="270"/>
        <v>1391086</v>
      </c>
      <c r="V44" s="24">
        <f t="shared" si="270"/>
        <v>1191243</v>
      </c>
      <c r="W44" s="24">
        <f t="shared" si="270"/>
        <v>1140248</v>
      </c>
      <c r="X44" s="24">
        <f t="shared" si="270"/>
        <v>1342931</v>
      </c>
      <c r="Y44" s="24">
        <f t="shared" si="270"/>
        <v>1596935</v>
      </c>
      <c r="Z44" s="24">
        <f t="shared" si="270"/>
        <v>1338419</v>
      </c>
      <c r="AA44" s="24">
        <f t="shared" si="270"/>
        <v>1315425</v>
      </c>
      <c r="AB44" s="24">
        <f t="shared" ref="AB44:AG44" si="271">SUM(AB33:AB36)</f>
        <v>1464470</v>
      </c>
      <c r="AC44" s="24">
        <f t="shared" si="271"/>
        <v>1687045</v>
      </c>
      <c r="AD44" s="24">
        <f t="shared" si="271"/>
        <v>1766088</v>
      </c>
      <c r="AE44" s="24">
        <f t="shared" si="271"/>
        <v>1805505</v>
      </c>
      <c r="AF44" s="24">
        <f t="shared" si="271"/>
        <v>1823451.2800000003</v>
      </c>
      <c r="AG44" s="24">
        <f t="shared" si="271"/>
        <v>1874816.71</v>
      </c>
      <c r="AH44" s="24">
        <f t="shared" ref="AH44:AO44" si="272">SUM(AH33:AH36)</f>
        <v>1879484.35</v>
      </c>
      <c r="AI44" s="24">
        <f t="shared" si="272"/>
        <v>1964795.8599999999</v>
      </c>
      <c r="AJ44" s="24">
        <f t="shared" si="272"/>
        <v>2070424.4700000002</v>
      </c>
      <c r="AK44" s="24">
        <f>SUM(AK33:AK36)</f>
        <v>2190491.9899999998</v>
      </c>
      <c r="AL44" s="24">
        <f>SUM(AL33:AL36)</f>
        <v>2270273.1</v>
      </c>
      <c r="AM44" s="24">
        <f>SUM(AM33:AM36)</f>
        <v>2466553.2599999998</v>
      </c>
      <c r="AN44" s="24">
        <f>SUM(AN33:AN36)</f>
        <v>2550117.1946397875</v>
      </c>
      <c r="AO44" s="24">
        <f t="shared" si="272"/>
        <v>3009354.7486712663</v>
      </c>
      <c r="AP44" s="24">
        <f>SUM(AP33:AP36)</f>
        <v>3037327.07</v>
      </c>
      <c r="AQ44" s="24">
        <f ca="1">SUM(AQ33:AQ36)</f>
        <v>3047316.39</v>
      </c>
      <c r="AR44" s="24">
        <f t="shared" ref="AR44:AS44" ca="1" si="273">SUM(AR33:AR36)</f>
        <v>3079945.735857245</v>
      </c>
      <c r="AS44" s="24">
        <f t="shared" ca="1" si="273"/>
        <v>3316499.5830684956</v>
      </c>
      <c r="AT44" s="24">
        <f t="shared" si="11"/>
        <v>3362393.1493739337</v>
      </c>
      <c r="AU44" s="24">
        <f t="shared" ca="1" si="266"/>
        <v>3278347.5732721156</v>
      </c>
      <c r="AV44" s="24">
        <f t="shared" ca="1" si="266"/>
        <v>3035595.8308802475</v>
      </c>
      <c r="AW44" s="24">
        <f t="shared" ca="1" si="266"/>
        <v>2644056.9422224779</v>
      </c>
      <c r="AX44" s="24">
        <f>SUM(EX44:EZ44)</f>
        <v>2943763.3824486262</v>
      </c>
      <c r="AY44" s="24">
        <f>SUM(FA44:FC44)</f>
        <v>2862484.9686997556</v>
      </c>
      <c r="AZ44" s="24">
        <f>SUM(FD44:FF44)</f>
        <v>3293692.1720092208</v>
      </c>
      <c r="BA44" s="24">
        <f>SUM(FG44:FI44)</f>
        <v>3318986.0747000035</v>
      </c>
      <c r="BB44" s="24">
        <f>SUM(FJ44:FL44)</f>
        <v>2053800.8249374148</v>
      </c>
      <c r="BC44" s="24"/>
      <c r="BD44" s="24"/>
      <c r="BE44" s="24"/>
      <c r="BF44" s="24">
        <f t="shared" ref="BF44:BQ44" si="274">SUM(BF33:BF36)</f>
        <v>591199</v>
      </c>
      <c r="BG44" s="24">
        <f t="shared" si="274"/>
        <v>215715</v>
      </c>
      <c r="BH44" s="24">
        <f t="shared" si="274"/>
        <v>169267</v>
      </c>
      <c r="BI44" s="24">
        <f t="shared" si="274"/>
        <v>146174</v>
      </c>
      <c r="BJ44" s="24">
        <f t="shared" si="274"/>
        <v>307010</v>
      </c>
      <c r="BK44" s="24">
        <f t="shared" si="274"/>
        <v>268114</v>
      </c>
      <c r="BL44" s="24">
        <f t="shared" si="274"/>
        <v>317497</v>
      </c>
      <c r="BM44" s="24">
        <f t="shared" si="274"/>
        <v>367609</v>
      </c>
      <c r="BN44" s="24">
        <f t="shared" si="274"/>
        <v>240364</v>
      </c>
      <c r="BO44" s="24">
        <f t="shared" si="274"/>
        <v>598622</v>
      </c>
      <c r="BP44" s="24">
        <f t="shared" si="274"/>
        <v>415065</v>
      </c>
      <c r="BQ44" s="24">
        <f t="shared" si="274"/>
        <v>377399</v>
      </c>
      <c r="BR44" s="24">
        <f t="shared" ref="BR44:CW44" si="275">SUM(BR33:BR36)</f>
        <v>373435</v>
      </c>
      <c r="BS44" s="24">
        <f t="shared" si="275"/>
        <v>419655</v>
      </c>
      <c r="BT44" s="24">
        <f t="shared" si="275"/>
        <v>398153</v>
      </c>
      <c r="BU44" s="24">
        <f t="shared" si="275"/>
        <v>401277</v>
      </c>
      <c r="BV44" s="24">
        <f t="shared" si="275"/>
        <v>356980</v>
      </c>
      <c r="BW44" s="24">
        <f t="shared" si="275"/>
        <v>381991</v>
      </c>
      <c r="BX44" s="24">
        <f t="shared" si="275"/>
        <v>490834</v>
      </c>
      <c r="BY44" s="24">
        <f t="shared" si="275"/>
        <v>419898</v>
      </c>
      <c r="BZ44" s="24">
        <f t="shared" si="275"/>
        <v>432199</v>
      </c>
      <c r="CA44" s="24">
        <f t="shared" si="275"/>
        <v>473628</v>
      </c>
      <c r="CB44" s="24">
        <f t="shared" si="275"/>
        <v>452372</v>
      </c>
      <c r="CC44" s="284">
        <f t="shared" si="275"/>
        <v>670935</v>
      </c>
      <c r="CD44" s="24">
        <f t="shared" si="275"/>
        <v>469976</v>
      </c>
      <c r="CE44" s="24">
        <f t="shared" si="275"/>
        <v>431048</v>
      </c>
      <c r="CF44" s="24">
        <f t="shared" si="275"/>
        <v>437395</v>
      </c>
      <c r="CG44" s="24">
        <f t="shared" si="275"/>
        <v>495941</v>
      </c>
      <c r="CH44" s="24">
        <f t="shared" si="275"/>
        <v>427155</v>
      </c>
      <c r="CI44" s="24">
        <f t="shared" si="275"/>
        <v>392329</v>
      </c>
      <c r="CJ44" s="24">
        <f t="shared" si="275"/>
        <v>466281</v>
      </c>
      <c r="CK44" s="24">
        <f t="shared" si="275"/>
        <v>460561</v>
      </c>
      <c r="CL44" s="24">
        <f t="shared" si="275"/>
        <v>537628</v>
      </c>
      <c r="CM44" s="24">
        <f t="shared" si="275"/>
        <v>537442</v>
      </c>
      <c r="CN44" s="24">
        <f t="shared" si="275"/>
        <v>579991</v>
      </c>
      <c r="CO44" s="284">
        <f t="shared" si="275"/>
        <v>569612</v>
      </c>
      <c r="CP44" s="24">
        <f t="shared" si="275"/>
        <v>610509</v>
      </c>
      <c r="CQ44" s="24">
        <f t="shared" si="275"/>
        <v>558987</v>
      </c>
      <c r="CR44" s="24">
        <f t="shared" si="275"/>
        <v>596592</v>
      </c>
      <c r="CS44" s="24">
        <f t="shared" si="275"/>
        <v>566238</v>
      </c>
      <c r="CT44" s="24">
        <f t="shared" si="275"/>
        <v>607710</v>
      </c>
      <c r="CU44" s="24">
        <f t="shared" si="275"/>
        <v>631557</v>
      </c>
      <c r="CV44" s="24">
        <f t="shared" si="275"/>
        <v>583808</v>
      </c>
      <c r="CW44" s="24">
        <f t="shared" si="275"/>
        <v>564664.49999999988</v>
      </c>
      <c r="CX44" s="24">
        <f t="shared" ref="CX44:DC44" si="276">SUM(CX33:CX36)</f>
        <v>674978.78000000026</v>
      </c>
      <c r="CY44" s="24">
        <f t="shared" si="276"/>
        <v>660778.42999999993</v>
      </c>
      <c r="CZ44" s="24">
        <f t="shared" si="276"/>
        <v>605153.01000000013</v>
      </c>
      <c r="DA44" s="24">
        <f t="shared" si="276"/>
        <v>608885.27</v>
      </c>
      <c r="DB44" s="24">
        <f t="shared" si="276"/>
        <v>665821.94000000006</v>
      </c>
      <c r="DC44" s="24">
        <f t="shared" si="276"/>
        <v>633087.37999999966</v>
      </c>
      <c r="DD44" s="24">
        <f t="shared" ref="DD44:DN44" si="277">SUM(DD33:DD36)</f>
        <v>580575.02999999991</v>
      </c>
      <c r="DE44" s="24">
        <f t="shared" si="277"/>
        <v>609685.35</v>
      </c>
      <c r="DF44" s="24">
        <f t="shared" si="277"/>
        <v>632809.17000000016</v>
      </c>
      <c r="DG44" s="24">
        <f t="shared" si="277"/>
        <v>722301.33999999985</v>
      </c>
      <c r="DH44" s="24">
        <f t="shared" si="277"/>
        <v>689919.32000000007</v>
      </c>
      <c r="DI44" s="24">
        <f t="shared" si="277"/>
        <v>704950.07000000007</v>
      </c>
      <c r="DJ44" s="24">
        <f t="shared" si="277"/>
        <v>675555.08000000019</v>
      </c>
      <c r="DK44" s="24">
        <f t="shared" si="277"/>
        <v>689456.12</v>
      </c>
      <c r="DL44" s="24">
        <f t="shared" si="277"/>
        <v>715014.51999999979</v>
      </c>
      <c r="DM44" s="24">
        <f t="shared" si="277"/>
        <v>786021.35000000009</v>
      </c>
      <c r="DN44" s="24">
        <f t="shared" si="277"/>
        <v>728149.84</v>
      </c>
      <c r="DO44" s="24">
        <f>SUM(DO33:DO36)</f>
        <v>719558.3</v>
      </c>
      <c r="DP44" s="24">
        <f t="shared" ref="DP44" si="278">SUM(DP33:DP36)</f>
        <v>822564.95999999985</v>
      </c>
      <c r="DQ44" s="24">
        <f t="shared" ref="DQ44:DR44" si="279">SUM(DQ33:DQ36)</f>
        <v>824760.13000000024</v>
      </c>
      <c r="DR44" s="24">
        <f t="shared" si="279"/>
        <v>875480.07999999984</v>
      </c>
      <c r="DS44" s="24">
        <f t="shared" ref="DS44:DT44" si="280">SUM(DS33:DS36)</f>
        <v>766313.04999999993</v>
      </c>
      <c r="DT44" s="24">
        <f t="shared" si="280"/>
        <v>745273.40382782277</v>
      </c>
      <c r="DU44" s="24">
        <f t="shared" ref="DU44" si="281">SUM(DU33:DU36)</f>
        <v>834551.10081196495</v>
      </c>
      <c r="DV44" s="24">
        <f t="shared" ref="DV44:EA44" si="282">SUM(DV33:DV36)</f>
        <v>970292.69000000006</v>
      </c>
      <c r="DW44" s="24">
        <f t="shared" si="282"/>
        <v>896831.10867126565</v>
      </c>
      <c r="DX44" s="24">
        <f t="shared" si="282"/>
        <v>993450.16999999993</v>
      </c>
      <c r="DY44" s="548">
        <f t="shared" si="282"/>
        <v>1119073.4700000002</v>
      </c>
      <c r="DZ44" s="24">
        <f t="shared" si="282"/>
        <v>984782.54999999981</v>
      </c>
      <c r="EA44" s="24">
        <f t="shared" si="282"/>
        <v>1010027.61</v>
      </c>
      <c r="EB44" s="24">
        <f t="shared" ref="EB44:EC44" si="283">SUM(EB33:EB36)</f>
        <v>1042516.9099999999</v>
      </c>
      <c r="EC44" s="24">
        <f t="shared" si="283"/>
        <v>1022982.2299999999</v>
      </c>
      <c r="ED44" s="24">
        <f t="shared" ref="ED44:EE44" si="284">SUM(ED33:ED36)</f>
        <v>1019292.0000000002</v>
      </c>
      <c r="EE44" s="24">
        <f t="shared" si="284"/>
        <v>1005042.1600000001</v>
      </c>
      <c r="EF44" s="24">
        <f t="shared" ref="EF44" si="285">SUM(EF33:EF36)</f>
        <v>972238.94559619587</v>
      </c>
      <c r="EG44" s="24">
        <f t="shared" ref="EG44:EL44" si="286">SUM(EG33:EG36)</f>
        <v>991854.3605376241</v>
      </c>
      <c r="EH44" s="24">
        <f t="shared" si="286"/>
        <v>1115852.4297234253</v>
      </c>
      <c r="EI44" s="24">
        <f t="shared" si="286"/>
        <v>1053352.8472710522</v>
      </c>
      <c r="EJ44" s="24">
        <f t="shared" si="286"/>
        <v>1062109.1204405173</v>
      </c>
      <c r="EK44" s="548">
        <f t="shared" si="286"/>
        <v>1201037.6153569259</v>
      </c>
      <c r="EL44" s="548">
        <f t="shared" si="286"/>
        <v>1069825.2725010277</v>
      </c>
      <c r="EM44" s="548">
        <f t="shared" ref="EM44:EN44" si="287">SUM(EM33:EM36)</f>
        <v>1105013.4428368716</v>
      </c>
      <c r="EN44" s="548">
        <f t="shared" si="287"/>
        <v>1187554.4340360342</v>
      </c>
      <c r="EO44" s="548">
        <f t="shared" ref="EO44:EP44" si="288">SUM(EO33:EO36)</f>
        <v>1022331.9703783437</v>
      </c>
      <c r="EP44" s="548">
        <f t="shared" si="288"/>
        <v>1162634.822659377</v>
      </c>
      <c r="EQ44" s="548">
        <f t="shared" ref="EQ44:ER44" si="289">SUM(EQ33:EQ36)</f>
        <v>1093380.7802343946</v>
      </c>
      <c r="ER44" s="548">
        <f t="shared" si="289"/>
        <v>1047901.1998445075</v>
      </c>
      <c r="ES44" s="548">
        <f t="shared" ref="ES44:ET44" si="290">SUM(ES33:ES36)</f>
        <v>1041665.5238442954</v>
      </c>
      <c r="ET44" s="548">
        <f t="shared" si="290"/>
        <v>946029.10719144461</v>
      </c>
      <c r="EU44" s="548">
        <f t="shared" ref="EU44:EV44" si="291">SUM(EU33:EU36)</f>
        <v>902665.80354050966</v>
      </c>
      <c r="EV44" s="548">
        <f t="shared" si="291"/>
        <v>978166.37868196785</v>
      </c>
      <c r="EW44" s="548">
        <f t="shared" ref="EW44:EX44" si="292">SUM(EW33:EW36)</f>
        <v>763224.76</v>
      </c>
      <c r="EX44" s="548">
        <f t="shared" si="292"/>
        <v>974516.82176707895</v>
      </c>
      <c r="EY44" s="548">
        <f t="shared" ref="EY44" si="293">SUM(EY33:EY36)</f>
        <v>1023272.3030080765</v>
      </c>
      <c r="EZ44" s="548">
        <f t="shared" ref="EZ44:FE44" si="294">SUM(EZ33:EZ36)</f>
        <v>945974.25767347089</v>
      </c>
      <c r="FA44" s="548">
        <f t="shared" si="294"/>
        <v>945166.70517736126</v>
      </c>
      <c r="FB44" s="548">
        <f t="shared" si="294"/>
        <v>942531.53390467842</v>
      </c>
      <c r="FC44" s="548">
        <f t="shared" si="294"/>
        <v>974786.72961771581</v>
      </c>
      <c r="FD44" s="548">
        <f t="shared" si="294"/>
        <v>1088763.5325394543</v>
      </c>
      <c r="FE44" s="548">
        <f t="shared" si="294"/>
        <v>1066362.0493160931</v>
      </c>
      <c r="FF44" s="548">
        <f>SUM(FF33:FF36)</f>
        <v>1138566.5901536732</v>
      </c>
      <c r="FG44" s="548">
        <f t="shared" ref="FG44:FH44" si="295">SUM(FG33:FG36)</f>
        <v>1037609.271495498</v>
      </c>
      <c r="FH44" s="548">
        <f t="shared" si="295"/>
        <v>1144864.602224845</v>
      </c>
      <c r="FI44" s="548">
        <f t="shared" ref="FI44:FJ44" si="296">SUM(FI33:FI36)</f>
        <v>1136512.2009796603</v>
      </c>
      <c r="FJ44" s="548">
        <f t="shared" si="296"/>
        <v>1000133.879595144</v>
      </c>
      <c r="FK44" s="761">
        <f t="shared" ref="FK44" si="297">SUM(FK33:FK36)</f>
        <v>1053666.9453422709</v>
      </c>
      <c r="FL44" s="548"/>
      <c r="FM44" s="548"/>
      <c r="FN44" s="24">
        <f>SUM(FN33:FN36)</f>
        <v>1102575.971683318</v>
      </c>
      <c r="FO44" s="548">
        <f>FK44-FJ44</f>
        <v>53533.065747126937</v>
      </c>
      <c r="FP44" s="548">
        <f>FK44-FN44</f>
        <v>-48909.026341047138</v>
      </c>
      <c r="FQ44" s="548" t="e">
        <f>FL44-#REF!</f>
        <v>#REF!</v>
      </c>
      <c r="FR44" s="548">
        <f>FM44-FO44</f>
        <v>-53533.065747126937</v>
      </c>
      <c r="FS44" s="548">
        <f t="shared" si="13"/>
        <v>-48909.026341047138</v>
      </c>
      <c r="FT44" s="548">
        <f>SUM($FJ44:FK44)</f>
        <v>2053800.8249374148</v>
      </c>
      <c r="FU44" s="548">
        <f>SUM('Financial plan'!$EY39:EZ39)</f>
        <v>2205151.9433666361</v>
      </c>
      <c r="FV44" s="548">
        <f t="shared" si="41"/>
        <v>-151351.11842922121</v>
      </c>
    </row>
    <row r="45" spans="3:180" x14ac:dyDescent="0.35">
      <c r="D45" s="10" t="s">
        <v>110</v>
      </c>
      <c r="F45" s="19"/>
      <c r="G45" s="19"/>
      <c r="H45" s="19"/>
      <c r="I45" s="19"/>
      <c r="J45" s="19"/>
      <c r="K45" s="19"/>
      <c r="L45" s="20"/>
      <c r="M45" s="526"/>
      <c r="N45" s="526"/>
      <c r="O45" s="526"/>
      <c r="P45" s="526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>
        <f t="shared" si="267"/>
        <v>0</v>
      </c>
      <c r="BA45" s="20"/>
      <c r="BB45" s="20">
        <f t="shared" si="42"/>
        <v>0</v>
      </c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82"/>
      <c r="DB45" s="82"/>
      <c r="DC45" s="82"/>
      <c r="DD45" s="82"/>
      <c r="DE45" s="82"/>
      <c r="DF45" s="20"/>
      <c r="DG45" s="82"/>
      <c r="DH45" s="82"/>
      <c r="DI45" s="50"/>
      <c r="DJ45" s="12"/>
      <c r="DK45" s="12"/>
      <c r="DL45" s="83"/>
      <c r="DM45" s="82"/>
      <c r="DN45" s="82"/>
      <c r="DO45" s="82"/>
      <c r="DP45" s="82"/>
      <c r="DQ45" s="82"/>
      <c r="DR45" s="82"/>
      <c r="DS45" s="82"/>
      <c r="DT45" s="82"/>
      <c r="DU45" s="82"/>
      <c r="DV45" s="82"/>
      <c r="DW45" s="82"/>
      <c r="DX45" s="82"/>
      <c r="DY45" s="596"/>
      <c r="ED45" s="54"/>
      <c r="EM45" s="587"/>
      <c r="EX45" s="116"/>
      <c r="EY45" s="116"/>
      <c r="EZ45" s="116"/>
      <c r="FA45" s="116"/>
      <c r="FB45" s="116"/>
      <c r="FC45" s="116"/>
      <c r="FD45" s="116"/>
      <c r="FE45" s="116"/>
      <c r="FF45" s="116"/>
      <c r="FG45" s="116"/>
      <c r="FH45" s="116"/>
      <c r="FI45" s="116"/>
      <c r="FJ45" s="116"/>
      <c r="FK45" s="762"/>
      <c r="FL45" s="116"/>
      <c r="FM45" s="116"/>
      <c r="FN45" s="82"/>
      <c r="FO45" s="116"/>
      <c r="FP45" s="116"/>
      <c r="FQ45" s="116"/>
      <c r="FR45" s="116"/>
      <c r="FS45" s="116"/>
      <c r="FT45" s="12">
        <f>SUM($FJ45:FK45)</f>
        <v>0</v>
      </c>
      <c r="FX45" s="12"/>
    </row>
    <row r="46" spans="3:180" x14ac:dyDescent="0.35">
      <c r="E46" t="s">
        <v>111</v>
      </c>
      <c r="F46" s="19">
        <f>SUM(F47:F51)</f>
        <v>-3791000</v>
      </c>
      <c r="G46" s="19">
        <f>SUM(R46:U46)</f>
        <v>-4037339</v>
      </c>
      <c r="H46" s="19">
        <f t="shared" ref="H46:H51" si="298">SUM(V46:Y46)</f>
        <v>-4229555</v>
      </c>
      <c r="I46" s="19">
        <f>SUM(Z46:AC46)</f>
        <v>-5391425</v>
      </c>
      <c r="J46" s="19">
        <f>SUM(AD46:AG46)</f>
        <v>-5518861.6199999992</v>
      </c>
      <c r="K46" s="19">
        <f>SUM(AH46:AK46)</f>
        <v>-8214488.3099999987</v>
      </c>
      <c r="L46" s="19">
        <f>SUM(AL46:AO46)</f>
        <v>-9822865.4200000018</v>
      </c>
      <c r="M46" s="19">
        <f ca="1">SUM(AP46:AS46)</f>
        <v>-9000305.557660263</v>
      </c>
      <c r="N46" s="19">
        <f ca="1">SUM(AT46:AW46)</f>
        <v>-8639670.5097251572</v>
      </c>
      <c r="O46" s="19">
        <f>SUM(AX46:BA46)</f>
        <v>-7142699.5749381632</v>
      </c>
      <c r="P46" s="19">
        <f>SUM($FJ46:FK46)</f>
        <v>-1139603.9215280421</v>
      </c>
      <c r="Q46" s="20"/>
      <c r="R46" s="20">
        <f>SUM(BF46:BH46)</f>
        <v>-1068554</v>
      </c>
      <c r="S46" s="20">
        <f>SUM(BI46:BK46)</f>
        <v>-1009108</v>
      </c>
      <c r="T46" s="20">
        <f>SUM(BL46:BN46)</f>
        <v>-969751</v>
      </c>
      <c r="U46" s="20">
        <f>SUM(BO46:BQ46)</f>
        <v>-989926</v>
      </c>
      <c r="V46" s="20">
        <f>SUM(BR46:BT46)</f>
        <v>-990788</v>
      </c>
      <c r="W46" s="20">
        <f>SUM(BU46:BW46)</f>
        <v>-1088158</v>
      </c>
      <c r="X46" s="20">
        <f>SUM(BX46:BZ46)</f>
        <v>-1112226</v>
      </c>
      <c r="Y46" s="20">
        <f>SUM(CA46:CC46)</f>
        <v>-1038383</v>
      </c>
      <c r="Z46" s="20">
        <f>SUM(CD46:CF46)</f>
        <v>-1180444</v>
      </c>
      <c r="AA46" s="20">
        <f>SUM(CG46:CI46)</f>
        <v>-1325407</v>
      </c>
      <c r="AB46" s="20">
        <f>SUM(CJ46:CL46)</f>
        <v>-1410042</v>
      </c>
      <c r="AC46" s="20">
        <f>SUM(CM46:CO46)</f>
        <v>-1475532</v>
      </c>
      <c r="AD46" s="20">
        <f>SUM(CP46:CR46)</f>
        <v>-1490263</v>
      </c>
      <c r="AE46" s="20">
        <f>SUM(CS46:CU46)</f>
        <v>-1248141</v>
      </c>
      <c r="AF46" s="20">
        <f>SUM(CV46:CX46)</f>
        <v>-1255160.74</v>
      </c>
      <c r="AG46" s="20">
        <f>SUM(CY46:DA46)</f>
        <v>-1525296.8799999994</v>
      </c>
      <c r="AH46" s="20">
        <f>SUM(DB46:DD46)</f>
        <v>-1819180.4699999997</v>
      </c>
      <c r="AI46" s="20">
        <f>SUM(DE46:DG46)</f>
        <v>-1974437.09</v>
      </c>
      <c r="AJ46" s="20">
        <f>SUM(DH46:DJ46)</f>
        <v>-2140752.1599999997</v>
      </c>
      <c r="AK46" s="20">
        <f>SUM(DK46:DM46)</f>
        <v>-2280118.59</v>
      </c>
      <c r="AL46" s="20">
        <f>SUM(DN46:DP46)</f>
        <v>-2485099.2000000002</v>
      </c>
      <c r="AM46" s="20">
        <f>SUM(DQ46:DS46)</f>
        <v>-2570037.1000000006</v>
      </c>
      <c r="AN46" s="20">
        <f>SUM(DT46:DV46)</f>
        <v>-2420398.9300000002</v>
      </c>
      <c r="AO46" s="20">
        <f>SUM(DW46:DY46)</f>
        <v>-2347330.1900000004</v>
      </c>
      <c r="AP46" s="20">
        <f>SUM(DZ46:EB46)</f>
        <v>-2278482.9659304563</v>
      </c>
      <c r="AQ46" s="20">
        <f t="shared" ref="AQ46:AS58" ca="1" si="299">OFFSET($DZ46,0,AQ$4)+OFFSET($EA46,0,AQ$4)+OFFSET($EB46,0,AQ$4)</f>
        <v>-2235904.6341022272</v>
      </c>
      <c r="AR46" s="20">
        <f t="shared" ca="1" si="299"/>
        <v>-2261961.8155739224</v>
      </c>
      <c r="AS46" s="20">
        <f t="shared" ca="1" si="299"/>
        <v>-2223956.1420536572</v>
      </c>
      <c r="AT46" s="20">
        <f>SUM(EL46:EN46)</f>
        <v>-2228341.4639900718</v>
      </c>
      <c r="AU46" s="20">
        <f t="shared" ref="AU46:AW70" ca="1" si="300">OFFSET($EL46,0,AU$4)+OFFSET($EM46,0,AU$4)+OFFSET($EN46,0,AU$4)</f>
        <v>-2168518.99573053</v>
      </c>
      <c r="AV46" s="20">
        <f t="shared" ca="1" si="300"/>
        <v>-2196954.2659867546</v>
      </c>
      <c r="AW46" s="20">
        <f t="shared" ca="1" si="300"/>
        <v>-2045855.7840177999</v>
      </c>
      <c r="AX46" s="20">
        <f>SUM(EX46:EZ46)</f>
        <v>-1863497.9179868062</v>
      </c>
      <c r="AY46" s="20">
        <f>SUM(FA46:FC46)</f>
        <v>-1826491.2131844996</v>
      </c>
      <c r="AZ46" s="20">
        <f>SUM(FD46:FF46)</f>
        <v>-1846611.8692340681</v>
      </c>
      <c r="BA46" s="20">
        <f>SUM(FG46:FI46)</f>
        <v>-1606098.5745327894</v>
      </c>
      <c r="BB46" s="20">
        <f t="shared" ref="BB46:BB70" si="301">SUM(FJ46:FL46)</f>
        <v>-1139603.9215280421</v>
      </c>
      <c r="BC46" s="20"/>
      <c r="BD46" s="20"/>
      <c r="BE46" s="20"/>
      <c r="BF46" s="20">
        <v>-380676</v>
      </c>
      <c r="BG46" s="20">
        <v>-348519</v>
      </c>
      <c r="BH46" s="20">
        <v>-339359</v>
      </c>
      <c r="BI46" s="20">
        <v>-352216</v>
      </c>
      <c r="BJ46" s="20">
        <v>-339486</v>
      </c>
      <c r="BK46" s="20">
        <v>-317406</v>
      </c>
      <c r="BL46" s="20">
        <v>-331155</v>
      </c>
      <c r="BM46" s="20">
        <v>-316603</v>
      </c>
      <c r="BN46" s="20">
        <v>-321993</v>
      </c>
      <c r="BO46" s="20">
        <v>-315049</v>
      </c>
      <c r="BP46" s="20">
        <v>-336989</v>
      </c>
      <c r="BQ46" s="20">
        <v>-337888</v>
      </c>
      <c r="BR46" s="20">
        <f>-315594+1873</f>
        <v>-313721</v>
      </c>
      <c r="BS46" s="20">
        <f>-320231+1929</f>
        <v>-318302</v>
      </c>
      <c r="BT46" s="20">
        <f>-365243+30000-(15000*0.758)-12152</f>
        <v>-358765</v>
      </c>
      <c r="BU46" s="20">
        <v>-354502</v>
      </c>
      <c r="BV46" s="20">
        <v>-350092</v>
      </c>
      <c r="BW46" s="20">
        <v>-383564</v>
      </c>
      <c r="BX46" s="20">
        <v>-373728</v>
      </c>
      <c r="BY46" s="20">
        <v>-369381</v>
      </c>
      <c r="BZ46" s="20">
        <v>-369117</v>
      </c>
      <c r="CA46" s="20">
        <v>-350661</v>
      </c>
      <c r="CB46" s="20">
        <v>-378163</v>
      </c>
      <c r="CC46" s="20">
        <v>-309559</v>
      </c>
      <c r="CD46" s="20">
        <f>-362919-9000</f>
        <v>-371919</v>
      </c>
      <c r="CE46" s="20">
        <v>-388029</v>
      </c>
      <c r="CF46" s="20">
        <v>-420496</v>
      </c>
      <c r="CG46" s="20">
        <f>-527562+41000+32500</f>
        <v>-454062</v>
      </c>
      <c r="CH46" s="20">
        <v>-452228</v>
      </c>
      <c r="CI46" s="20">
        <v>-419117</v>
      </c>
      <c r="CJ46" s="20">
        <f>-529247+15000</f>
        <v>-514247</v>
      </c>
      <c r="CK46" s="20">
        <f>-488943+40000</f>
        <v>-448943</v>
      </c>
      <c r="CL46" s="20">
        <f>-475852+17000+12000</f>
        <v>-446852</v>
      </c>
      <c r="CM46" s="20">
        <v>-474875</v>
      </c>
      <c r="CN46" s="20">
        <v>-530495</v>
      </c>
      <c r="CO46" s="20">
        <f>-553162+83000</f>
        <v>-470162</v>
      </c>
      <c r="CP46" s="20">
        <v>-496546</v>
      </c>
      <c r="CQ46" s="20">
        <v>-509283</v>
      </c>
      <c r="CR46" s="20">
        <v>-484434</v>
      </c>
      <c r="CS46" s="20">
        <v>-431544</v>
      </c>
      <c r="CT46" s="20">
        <v>-408463</v>
      </c>
      <c r="CU46" s="20">
        <v>-408134</v>
      </c>
      <c r="CV46" s="20">
        <f>-426924+13000</f>
        <v>-413924</v>
      </c>
      <c r="CW46" s="20">
        <v>-415308.43000000005</v>
      </c>
      <c r="CX46" s="20">
        <v>-425928.30999999994</v>
      </c>
      <c r="CY46" s="20">
        <v>-508756.24999999994</v>
      </c>
      <c r="CZ46" s="20">
        <v>-498380.54999999993</v>
      </c>
      <c r="DA46" s="20">
        <v>-518160.07999999961</v>
      </c>
      <c r="DB46" s="20">
        <v>-602704.73</v>
      </c>
      <c r="DC46" s="20">
        <v>-624710.52000000014</v>
      </c>
      <c r="DD46" s="20">
        <v>-591765.21999999986</v>
      </c>
      <c r="DE46" s="20">
        <v>-598310.46</v>
      </c>
      <c r="DF46" s="20">
        <v>-663932.32000000007</v>
      </c>
      <c r="DG46" s="20">
        <v>-712194.31</v>
      </c>
      <c r="DH46" s="20">
        <v>-691829.62999999989</v>
      </c>
      <c r="DI46" s="20">
        <v>-723990.90999999992</v>
      </c>
      <c r="DJ46" s="20">
        <v>-724931.61999999988</v>
      </c>
      <c r="DK46" s="20">
        <v>-761328.92999999993</v>
      </c>
      <c r="DL46" s="20">
        <v>-766775.65999999992</v>
      </c>
      <c r="DM46" s="20">
        <v>-752014.00000000023</v>
      </c>
      <c r="DN46" s="20">
        <v>-821819.66</v>
      </c>
      <c r="DO46" s="20">
        <v>-859035.74000000011</v>
      </c>
      <c r="DP46" s="20">
        <v>-804243.79999999993</v>
      </c>
      <c r="DQ46" s="20">
        <v>-888975.64000000013</v>
      </c>
      <c r="DR46" s="20">
        <v>-870782.07000000018</v>
      </c>
      <c r="DS46" s="20">
        <v>-810279.39000000013</v>
      </c>
      <c r="DT46" s="20">
        <v>-805402.25</v>
      </c>
      <c r="DU46" s="20">
        <v>-792365.09000000032</v>
      </c>
      <c r="DV46" s="20">
        <v>-822631.59</v>
      </c>
      <c r="DW46" s="20">
        <v>-767826.02000000014</v>
      </c>
      <c r="DX46" s="20">
        <v>-766623.99</v>
      </c>
      <c r="DY46" s="469">
        <v>-812880.17999999993</v>
      </c>
      <c r="DZ46" s="20">
        <v>-799644.89489598619</v>
      </c>
      <c r="EA46" s="20">
        <v>-751062.50290515146</v>
      </c>
      <c r="EB46" s="20">
        <v>-727775.56812931853</v>
      </c>
      <c r="EC46" s="20">
        <v>-750417.22293928883</v>
      </c>
      <c r="ED46" s="20">
        <v>-726261.9717143263</v>
      </c>
      <c r="EE46" s="20">
        <v>-759225.43944861181</v>
      </c>
      <c r="EF46" s="20">
        <v>-764461.3958665583</v>
      </c>
      <c r="EG46" s="20">
        <v>-750540.46029685729</v>
      </c>
      <c r="EH46" s="20">
        <v>-746959.95941050688</v>
      </c>
      <c r="EI46" s="20">
        <v>-753544.64793434669</v>
      </c>
      <c r="EJ46" s="20">
        <v>-774611.74662502296</v>
      </c>
      <c r="EK46" s="469">
        <v>-695799.74749428732</v>
      </c>
      <c r="EL46" s="469">
        <v>-740090.75889931805</v>
      </c>
      <c r="EM46" s="469">
        <v>-738522.21122914704</v>
      </c>
      <c r="EN46" s="469">
        <v>-749728.49386160681</v>
      </c>
      <c r="EO46" s="469">
        <v>-727697.61965516768</v>
      </c>
      <c r="EP46" s="469">
        <v>-712734.19440554129</v>
      </c>
      <c r="EQ46" s="469">
        <v>-728087.18166982103</v>
      </c>
      <c r="ER46" s="469">
        <v>-739815.68960755167</v>
      </c>
      <c r="ES46" s="469">
        <v>-745189.49078228651</v>
      </c>
      <c r="ET46" s="469">
        <v>-711949.08559691638</v>
      </c>
      <c r="EU46" s="469">
        <v>-744854.8265855175</v>
      </c>
      <c r="EV46" s="469">
        <v>-693079.93458140432</v>
      </c>
      <c r="EW46" s="469">
        <v>-607921.02285087807</v>
      </c>
      <c r="EX46" s="469">
        <f>SUM(EX47:EX49)</f>
        <v>-621235.73593883298</v>
      </c>
      <c r="EY46" s="469">
        <f>-689802.971350273-EY61</f>
        <v>-629092.23383494769</v>
      </c>
      <c r="EZ46" s="469">
        <f>-674091.435311964-EZ61</f>
        <v>-613169.94821302569</v>
      </c>
      <c r="FA46" s="469">
        <f>-665278.23794974-FA61</f>
        <v>-607112.72273301729</v>
      </c>
      <c r="FB46" s="469">
        <f>-669815.761926187+30192-FB61</f>
        <v>-614513.22873327183</v>
      </c>
      <c r="FC46" s="469">
        <f>-606153.839223977-FC61</f>
        <v>-604865.26171821053</v>
      </c>
      <c r="FD46" s="469">
        <f>-616660.727199158-FD61</f>
        <v>-616590.74273303989</v>
      </c>
      <c r="FE46" s="469">
        <f>-617980.241435366+384</f>
        <v>-617596.24143536598</v>
      </c>
      <c r="FF46" s="469">
        <f>-621250.171716019-FF61</f>
        <v>-612424.88506566221</v>
      </c>
      <c r="FG46" s="469">
        <v>-564632.65487621841</v>
      </c>
      <c r="FH46" s="469">
        <f>-591688.155446946-FH61</f>
        <v>-539420.15544694604</v>
      </c>
      <c r="FI46" s="469">
        <f>-587685.342120415-FI61</f>
        <v>-502045.76420962508</v>
      </c>
      <c r="FJ46" s="469">
        <f>-626657.781435291-FJ61</f>
        <v>-569245.78143529105</v>
      </c>
      <c r="FK46" s="767">
        <f>-628251.140092751-FK61</f>
        <v>-570358.14009275101</v>
      </c>
      <c r="FL46" s="469"/>
      <c r="FM46" s="469"/>
      <c r="FN46" s="20">
        <f>'Financial plan'!EZ41</f>
        <v>-573474.34202317335</v>
      </c>
      <c r="FO46" s="469">
        <f>FK46-FJ46</f>
        <v>-1112.3586574599613</v>
      </c>
      <c r="FP46" s="469">
        <f>FK46-FN46</f>
        <v>3116.2019304223359</v>
      </c>
      <c r="FQ46" s="469" t="e">
        <f>FL46-#REF!</f>
        <v>#REF!</v>
      </c>
      <c r="FR46" s="469">
        <f>FM46-FO46</f>
        <v>1112.3586574599613</v>
      </c>
      <c r="FS46" s="469">
        <f t="shared" si="13"/>
        <v>3116.2019304223359</v>
      </c>
      <c r="FT46" s="469">
        <f>SUM($FJ46:FK46)</f>
        <v>-1139603.9215280421</v>
      </c>
      <c r="FU46" s="469">
        <f>SUM('Financial plan'!$EY41:EZ41)</f>
        <v>-1146948.6840463467</v>
      </c>
      <c r="FV46" s="469">
        <f t="shared" si="41"/>
        <v>7344.762518304633</v>
      </c>
      <c r="FX46" s="12"/>
    </row>
    <row r="47" spans="3:180" s="9" customFormat="1" hidden="1" outlineLevel="1" x14ac:dyDescent="0.35">
      <c r="E47" s="30" t="s">
        <v>112</v>
      </c>
      <c r="F47" s="31">
        <v>-3791000</v>
      </c>
      <c r="G47" s="31">
        <f>SUM(R47:U47)</f>
        <v>-4008000</v>
      </c>
      <c r="H47" s="31">
        <f t="shared" si="298"/>
        <v>0</v>
      </c>
      <c r="I47" s="31"/>
      <c r="J47" s="31"/>
      <c r="K47" s="31">
        <f>SUM(AH47:AK47)</f>
        <v>-7897373.207665178</v>
      </c>
      <c r="L47" s="461">
        <f>SUM(AL47:AO47)</f>
        <v>-9447679.5476002432</v>
      </c>
      <c r="M47" s="461">
        <f ca="1">SUM(AP47:AS47)</f>
        <v>-8773379.0948289894</v>
      </c>
      <c r="N47" s="461">
        <f ca="1">SUM(AT47:AW47)</f>
        <v>-8282140.677257739</v>
      </c>
      <c r="O47" s="461">
        <f>SUM(AX47:BA47)</f>
        <v>-4926265.6915428685</v>
      </c>
      <c r="P47" s="461">
        <f>SUM($FJ47:FK47)</f>
        <v>-1110650.6233597579</v>
      </c>
      <c r="Q47" s="32"/>
      <c r="R47" s="32">
        <v>-1062000</v>
      </c>
      <c r="S47" s="32">
        <v>-1002000</v>
      </c>
      <c r="T47" s="32">
        <v>-969000</v>
      </c>
      <c r="U47" s="32">
        <v>-975000</v>
      </c>
      <c r="V47" s="32"/>
      <c r="W47" s="46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>
        <f>SUM(DB47:DD47)</f>
        <v>-1727722.8945262055</v>
      </c>
      <c r="AI47" s="32">
        <f>SUM(DE47:DG47)</f>
        <v>-1889024.0518788868</v>
      </c>
      <c r="AJ47" s="32">
        <f t="shared" ref="AJ47:AJ58" si="302">SUM(DH47:DJ47)</f>
        <v>-2109192.4413260985</v>
      </c>
      <c r="AK47" s="32">
        <f t="shared" ref="AK47:AK58" si="303">SUM(DK47:DM47)</f>
        <v>-2171433.8199339872</v>
      </c>
      <c r="AL47" s="32">
        <f t="shared" ref="AL47:AL58" si="304">SUM(DN47:DP47)</f>
        <v>-2428490.4300000002</v>
      </c>
      <c r="AM47" s="32">
        <f t="shared" ref="AM47:AM58" si="305">SUM(DQ47:DS47)</f>
        <v>-2496986.0083886678</v>
      </c>
      <c r="AN47" s="32">
        <f t="shared" ref="AN47:AN56" si="306">SUM(DT47:DV47)</f>
        <v>-2330180.4231689479</v>
      </c>
      <c r="AO47" s="32">
        <f t="shared" ref="AO47:AO58" si="307">SUM(DW47:DY47)</f>
        <v>-2192022.6860426278</v>
      </c>
      <c r="AP47" s="32">
        <f t="shared" ref="AP47:AP58" si="308">SUM(DZ47:EB47)</f>
        <v>-2217680.088894601</v>
      </c>
      <c r="AQ47" s="32">
        <f t="shared" ca="1" si="299"/>
        <v>-2180446.7886014115</v>
      </c>
      <c r="AR47" s="32">
        <f t="shared" ca="1" si="299"/>
        <v>-2203733.1939936648</v>
      </c>
      <c r="AS47" s="32">
        <f t="shared" ca="1" si="299"/>
        <v>-2171519.0233393121</v>
      </c>
      <c r="AT47" s="32">
        <f t="shared" si="11"/>
        <v>-2177881.8360158531</v>
      </c>
      <c r="AU47" s="32">
        <f t="shared" ca="1" si="300"/>
        <v>-2230371.2211940149</v>
      </c>
      <c r="AV47" s="32">
        <f t="shared" ca="1" si="300"/>
        <v>-2165808.5168492538</v>
      </c>
      <c r="AW47" s="32">
        <f t="shared" ca="1" si="300"/>
        <v>-1708079.1031986182</v>
      </c>
      <c r="AX47" s="32">
        <f t="shared" ref="AX47:AX58" si="309">SUM(EX47:EZ47)</f>
        <v>-1836942.3064041613</v>
      </c>
      <c r="AY47" s="32">
        <f t="shared" ref="AY47:AY58" si="310">SUM(FA47:FC47)</f>
        <v>-1935104.6328255925</v>
      </c>
      <c r="AZ47" s="32">
        <f t="shared" si="267"/>
        <v>-606197.97360756784</v>
      </c>
      <c r="BA47" s="32">
        <f t="shared" ref="BA47:BA52" si="311">FG47</f>
        <v>-548020.77870554628</v>
      </c>
      <c r="BB47" s="32">
        <f t="shared" si="301"/>
        <v>-1110650.6233597579</v>
      </c>
      <c r="BC47" s="32"/>
      <c r="BD47" s="32"/>
      <c r="BE47" s="32"/>
      <c r="BF47" s="32">
        <v>380676</v>
      </c>
      <c r="BG47" s="32"/>
      <c r="BH47" s="32"/>
      <c r="BI47" s="32"/>
      <c r="BJ47" s="32"/>
      <c r="BK47" s="32"/>
      <c r="BL47" s="32"/>
      <c r="BM47" s="32"/>
      <c r="BN47" s="32"/>
      <c r="BO47" s="32"/>
      <c r="BP47" s="32"/>
      <c r="BQ47" s="32"/>
      <c r="BR47" s="32"/>
      <c r="BS47" s="32"/>
      <c r="BT47" s="32"/>
      <c r="BU47" s="32"/>
      <c r="BV47" s="32"/>
      <c r="BW47" s="32"/>
      <c r="BX47" s="32"/>
      <c r="BY47" s="32"/>
      <c r="BZ47" s="32"/>
      <c r="CA47" s="32"/>
      <c r="CB47" s="32"/>
      <c r="CC47" s="32"/>
      <c r="CD47" s="32"/>
      <c r="CE47" s="32"/>
      <c r="CF47" s="32"/>
      <c r="CG47" s="32"/>
      <c r="CH47" s="32"/>
      <c r="CI47" s="32"/>
      <c r="CJ47" s="32"/>
      <c r="CK47" s="32"/>
      <c r="CL47" s="32"/>
      <c r="CM47" s="32"/>
      <c r="CN47" s="32"/>
      <c r="CO47" s="32"/>
      <c r="CP47" s="32"/>
      <c r="CQ47" s="32"/>
      <c r="CR47" s="32"/>
      <c r="CS47" s="32"/>
      <c r="CT47" s="20">
        <f t="shared" ref="CT47:CT52" si="312">CS47-CR47</f>
        <v>0</v>
      </c>
      <c r="CU47" s="32"/>
      <c r="CV47" s="32"/>
      <c r="CW47" s="32"/>
      <c r="CX47" s="32"/>
      <c r="CY47" s="32"/>
      <c r="CZ47" s="32"/>
      <c r="DA47" s="32"/>
      <c r="DB47" s="32">
        <v>-561651.75783422031</v>
      </c>
      <c r="DC47" s="32">
        <v>-583824.10791072412</v>
      </c>
      <c r="DD47" s="32">
        <v>-582247.02878126106</v>
      </c>
      <c r="DE47" s="32">
        <f t="shared" ref="DE47:DO47" si="313">DE46-DE48-DE49</f>
        <v>-570788.46998665854</v>
      </c>
      <c r="DF47" s="32">
        <f t="shared" si="313"/>
        <v>-643163.50933435292</v>
      </c>
      <c r="DG47" s="32">
        <f t="shared" si="313"/>
        <v>-675072.07255787554</v>
      </c>
      <c r="DH47" s="32">
        <f t="shared" si="313"/>
        <v>-679410.42663163715</v>
      </c>
      <c r="DI47" s="32">
        <f t="shared" si="313"/>
        <v>-713271.08900977788</v>
      </c>
      <c r="DJ47" s="32">
        <f t="shared" si="313"/>
        <v>-716510.92568468349</v>
      </c>
      <c r="DK47" s="32">
        <f t="shared" si="313"/>
        <v>-729235.66179498204</v>
      </c>
      <c r="DL47" s="32">
        <f t="shared" si="313"/>
        <v>-747863.44313900475</v>
      </c>
      <c r="DM47" s="32">
        <f t="shared" si="313"/>
        <v>-694334.7150000002</v>
      </c>
      <c r="DN47" s="32">
        <f t="shared" si="313"/>
        <v>-803346.94000000006</v>
      </c>
      <c r="DO47" s="32">
        <f t="shared" si="313"/>
        <v>-843463.74000000011</v>
      </c>
      <c r="DP47" s="32">
        <f>DP46-DP48-DP49</f>
        <v>-781679.74999999988</v>
      </c>
      <c r="DQ47" s="32">
        <f t="shared" ref="DQ47:EB47" si="314">DQ46-DQ48-DQ49</f>
        <v>-864291.62486483145</v>
      </c>
      <c r="DR47" s="32">
        <f t="shared" si="314"/>
        <v>-843803.25870479294</v>
      </c>
      <c r="DS47" s="32">
        <f t="shared" si="314"/>
        <v>-788891.12481904367</v>
      </c>
      <c r="DT47" s="32">
        <f t="shared" si="314"/>
        <v>-781121.21563220036</v>
      </c>
      <c r="DU47" s="32">
        <f t="shared" si="314"/>
        <v>-781305.48270731512</v>
      </c>
      <c r="DV47" s="32">
        <f t="shared" si="314"/>
        <v>-767753.72482943244</v>
      </c>
      <c r="DW47" s="32">
        <f t="shared" si="314"/>
        <v>-737491.29770311329</v>
      </c>
      <c r="DX47" s="32">
        <f t="shared" si="314"/>
        <v>-734014.32689597388</v>
      </c>
      <c r="DY47" s="588">
        <f t="shared" si="314"/>
        <v>-720517.06144354062</v>
      </c>
      <c r="DZ47" s="32">
        <f t="shared" si="314"/>
        <v>-773055.13691596698</v>
      </c>
      <c r="EA47" s="32">
        <f t="shared" si="314"/>
        <v>-737374.45533107861</v>
      </c>
      <c r="EB47" s="32">
        <f t="shared" si="314"/>
        <v>-707250.49664755515</v>
      </c>
      <c r="EC47" s="32">
        <f t="shared" ref="EC47:ED47" si="315">EC46-EC48-EC49</f>
        <v>-729892.15145752544</v>
      </c>
      <c r="ED47" s="32">
        <f t="shared" si="315"/>
        <v>-705736.90023256291</v>
      </c>
      <c r="EE47" s="32">
        <v>-744817.73691132304</v>
      </c>
      <c r="EF47" s="32">
        <v>-738412.1802034874</v>
      </c>
      <c r="EG47" s="32">
        <v>-733804.02108196926</v>
      </c>
      <c r="EH47" s="32">
        <v>-731516.99270820804</v>
      </c>
      <c r="EI47" s="32">
        <v>-741805.32775101671</v>
      </c>
      <c r="EJ47" s="32">
        <v>-748716.61143423908</v>
      </c>
      <c r="EK47" s="588">
        <v>-680997.08415405627</v>
      </c>
      <c r="EL47" s="588">
        <f>EL46-EL48-EL49</f>
        <v>-725284.22963291977</v>
      </c>
      <c r="EM47" s="588">
        <f>EM46-EM48-EM49</f>
        <v>-723696.95896149694</v>
      </c>
      <c r="EN47" s="588">
        <f>EN46-EN48-EN49</f>
        <v>-728900.6474214365</v>
      </c>
      <c r="EO47" s="588">
        <f>EO46-EO48-EO49</f>
        <v>-710146.27553087275</v>
      </c>
      <c r="EP47" s="588">
        <v>-752407.26187019586</v>
      </c>
      <c r="EQ47" s="588">
        <v>-767817.68379294663</v>
      </c>
      <c r="ER47" s="588">
        <v>-767278.67481436615</v>
      </c>
      <c r="ES47" s="32">
        <v>-718278.57093805773</v>
      </c>
      <c r="ET47" s="32">
        <v>-680251.27109682979</v>
      </c>
      <c r="EU47" s="32">
        <v>-702180.7732207597</v>
      </c>
      <c r="EV47" s="625">
        <v>-602204.67252605641</v>
      </c>
      <c r="EW47" s="625">
        <v>-403693.65745180205</v>
      </c>
      <c r="EX47" s="625">
        <f>-673223.086246999-EX61</f>
        <v>-612128.35852442682</v>
      </c>
      <c r="EY47" s="625">
        <f t="shared" ref="EY47:FC47" si="316">-673223.086246999-EY61</f>
        <v>-612512.34873167367</v>
      </c>
      <c r="EZ47" s="625">
        <f t="shared" si="316"/>
        <v>-612301.59914806066</v>
      </c>
      <c r="FA47" s="625">
        <f t="shared" si="316"/>
        <v>-615057.57103027613</v>
      </c>
      <c r="FB47" s="625">
        <f t="shared" si="316"/>
        <v>-648112.55305408384</v>
      </c>
      <c r="FC47" s="625">
        <f t="shared" si="316"/>
        <v>-671934.50874123257</v>
      </c>
      <c r="FD47" s="32">
        <f>-606267.958073686-FD61</f>
        <v>-606197.97360756784</v>
      </c>
      <c r="FE47" s="32">
        <v>-606210.21047913667</v>
      </c>
      <c r="FF47" s="32">
        <f>-608026.653100257-FF61</f>
        <v>-599201.3664499002</v>
      </c>
      <c r="FG47" s="32">
        <v>-548020.77870554628</v>
      </c>
      <c r="FH47" s="32">
        <f>-579696.033020572-FH61</f>
        <v>-527428.03302057204</v>
      </c>
      <c r="FI47" s="32">
        <f>-574809.41297516-FI61</f>
        <v>-489169.83506437019</v>
      </c>
      <c r="FJ47" s="32">
        <f>-617602.556969026-FJ61</f>
        <v>-560190.55696902599</v>
      </c>
      <c r="FK47" s="768">
        <f>-608353.066390732-FK61</f>
        <v>-550460.06639073195</v>
      </c>
      <c r="FL47" s="32"/>
      <c r="FM47" s="32"/>
      <c r="FN47" s="32">
        <f>'[1]Financial plan'!EW42</f>
        <v>0</v>
      </c>
      <c r="FO47" s="32">
        <f>FK47-FJ47</f>
        <v>9730.4905782940332</v>
      </c>
      <c r="FP47" s="32">
        <f>FK47-FN47</f>
        <v>-550460.06639073195</v>
      </c>
      <c r="FQ47" s="32" t="e">
        <f>FL47-#REF!</f>
        <v>#REF!</v>
      </c>
      <c r="FR47" s="32">
        <f>FM47-FO47</f>
        <v>-9730.4905782940332</v>
      </c>
      <c r="FS47" s="32">
        <f t="shared" si="13"/>
        <v>-550460.06639073195</v>
      </c>
      <c r="FT47" s="32">
        <f>SUM($FJ47:FK47)</f>
        <v>-1110650.6233597579</v>
      </c>
      <c r="FU47" s="32"/>
      <c r="FV47" s="32">
        <f t="shared" si="41"/>
        <v>-1110650.6233597579</v>
      </c>
      <c r="FX47" s="12"/>
    </row>
    <row r="48" spans="3:180" s="9" customFormat="1" hidden="1" outlineLevel="1" x14ac:dyDescent="0.35">
      <c r="E48" s="33" t="s">
        <v>113</v>
      </c>
      <c r="F48" s="26">
        <v>0</v>
      </c>
      <c r="G48" s="26">
        <f>SUM(R48:U48)</f>
        <v>0</v>
      </c>
      <c r="H48" s="26">
        <f t="shared" si="298"/>
        <v>0</v>
      </c>
      <c r="I48" s="26"/>
      <c r="J48" s="26"/>
      <c r="K48" s="26">
        <f>SUM(AH48:AK48)</f>
        <v>-184126.84096478199</v>
      </c>
      <c r="L48" s="19">
        <f t="shared" ref="L48:L57" si="317">SUM(AL48:AO48)</f>
        <v>-53708.65</v>
      </c>
      <c r="M48" s="19">
        <f t="shared" ref="M48:M55" ca="1" si="318">SUM(AP48:AS48)</f>
        <v>-22995.171485385094</v>
      </c>
      <c r="N48" s="19">
        <f ca="1">SUM(AT48:AW48)</f>
        <v>-31651.133416244516</v>
      </c>
      <c r="O48" s="19">
        <f t="shared" ref="O48:O49" si="319">SUM(AX48:BA48)</f>
        <v>-13095.913262055463</v>
      </c>
      <c r="P48" s="19">
        <f>SUM($FJ48:FK48)</f>
        <v>-12713.02</v>
      </c>
      <c r="Q48" s="27"/>
      <c r="R48" s="27">
        <v>0</v>
      </c>
      <c r="S48" s="27">
        <v>0</v>
      </c>
      <c r="T48" s="27">
        <v>0</v>
      </c>
      <c r="U48" s="27">
        <v>0</v>
      </c>
      <c r="V48" s="27"/>
      <c r="W48" s="20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>
        <f>SUM(DB48:DD48)</f>
        <v>-74915.978019612579</v>
      </c>
      <c r="AI48" s="27">
        <f>SUM(DE48:DG48)</f>
        <v>-64864.437898465003</v>
      </c>
      <c r="AJ48" s="27">
        <f t="shared" si="302"/>
        <v>-13043.26</v>
      </c>
      <c r="AK48" s="27">
        <f t="shared" si="303"/>
        <v>-31303.165046704402</v>
      </c>
      <c r="AL48" s="27">
        <f t="shared" si="304"/>
        <v>-18668.25</v>
      </c>
      <c r="AM48" s="27">
        <f t="shared" si="305"/>
        <v>-18039.71</v>
      </c>
      <c r="AN48" s="27">
        <f t="shared" si="306"/>
        <v>-8525.15</v>
      </c>
      <c r="AO48" s="27">
        <f t="shared" si="307"/>
        <v>-8475.5400000000009</v>
      </c>
      <c r="AP48" s="27">
        <f t="shared" si="308"/>
        <v>-5607.53</v>
      </c>
      <c r="AQ48" s="27">
        <f t="shared" ca="1" si="299"/>
        <v>-6506.86</v>
      </c>
      <c r="AR48" s="27">
        <f t="shared" ca="1" si="299"/>
        <v>-7250.26</v>
      </c>
      <c r="AS48" s="27">
        <f t="shared" ca="1" si="299"/>
        <v>-3630.5214853850925</v>
      </c>
      <c r="AT48" s="27">
        <f t="shared" si="11"/>
        <v>-7395.0042345794855</v>
      </c>
      <c r="AU48" s="27">
        <f t="shared" ca="1" si="300"/>
        <v>-11847.454543908309</v>
      </c>
      <c r="AV48" s="27">
        <f t="shared" ca="1" si="300"/>
        <v>-8652.0546377567243</v>
      </c>
      <c r="AW48" s="27">
        <f t="shared" ca="1" si="300"/>
        <v>-3756.62</v>
      </c>
      <c r="AX48" s="27">
        <f t="shared" si="309"/>
        <v>-2964.14</v>
      </c>
      <c r="AY48" s="27">
        <f t="shared" si="310"/>
        <v>-4160.6132620554636</v>
      </c>
      <c r="AZ48" s="27">
        <f t="shared" si="267"/>
        <v>-942.42</v>
      </c>
      <c r="BA48" s="27">
        <f t="shared" si="311"/>
        <v>-5028.74</v>
      </c>
      <c r="BB48" s="27">
        <f t="shared" si="301"/>
        <v>-12713.02</v>
      </c>
      <c r="BC48" s="27"/>
      <c r="BD48" s="27"/>
      <c r="BE48" s="27"/>
      <c r="BF48" s="27">
        <v>380676</v>
      </c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0">
        <f t="shared" si="312"/>
        <v>0</v>
      </c>
      <c r="CU48" s="27"/>
      <c r="CV48" s="27"/>
      <c r="CW48" s="27"/>
      <c r="CX48" s="27"/>
      <c r="CY48" s="27"/>
      <c r="CZ48" s="27"/>
      <c r="DA48" s="27"/>
      <c r="DB48" s="27">
        <v>-32407.05</v>
      </c>
      <c r="DC48" s="27">
        <v>-37793.548019612579</v>
      </c>
      <c r="DD48" s="27">
        <v>-4715.38</v>
      </c>
      <c r="DE48" s="27">
        <v>-22393.327898464999</v>
      </c>
      <c r="DF48" s="27">
        <v>-14010.53</v>
      </c>
      <c r="DG48" s="27">
        <v>-28460.58</v>
      </c>
      <c r="DH48" s="27">
        <v>-6854.63</v>
      </c>
      <c r="DI48" s="27">
        <v>-3754.39</v>
      </c>
      <c r="DJ48" s="27">
        <v>-2434.2399999999998</v>
      </c>
      <c r="DK48" s="27">
        <v>-17571.720046704399</v>
      </c>
      <c r="DL48" s="27">
        <v>-1875.42</v>
      </c>
      <c r="DM48" s="27">
        <v>-11856.025</v>
      </c>
      <c r="DN48" s="27">
        <v>-8671.9699999999993</v>
      </c>
      <c r="DO48" s="27">
        <v>-6647</v>
      </c>
      <c r="DP48" s="27">
        <v>-3349.28</v>
      </c>
      <c r="DQ48" s="27">
        <v>-13045.5</v>
      </c>
      <c r="DR48" s="27">
        <v>-3249.83</v>
      </c>
      <c r="DS48" s="27">
        <v>-1744.38</v>
      </c>
      <c r="DT48" s="27">
        <v>-2374.7600000000002</v>
      </c>
      <c r="DU48" s="27">
        <v>-2767.79</v>
      </c>
      <c r="DV48" s="27">
        <v>-3382.6</v>
      </c>
      <c r="DW48" s="27">
        <v>-3260.28</v>
      </c>
      <c r="DX48" s="27">
        <v>-2933.08</v>
      </c>
      <c r="DY48" s="547">
        <v>-2282.1799999999998</v>
      </c>
      <c r="DZ48" s="27">
        <v>-1624.75</v>
      </c>
      <c r="EA48" s="27">
        <v>-1353.53</v>
      </c>
      <c r="EB48" s="27">
        <v>-2629.25</v>
      </c>
      <c r="EC48" s="27">
        <v>-2629.25</v>
      </c>
      <c r="ED48" s="27">
        <v>-2629.25</v>
      </c>
      <c r="EE48" s="27">
        <v>-1248.3599999999999</v>
      </c>
      <c r="EF48" s="27">
        <v>-2550.86</v>
      </c>
      <c r="EG48" s="27">
        <v>-2397.16</v>
      </c>
      <c r="EH48" s="27">
        <v>-2302.2399999999998</v>
      </c>
      <c r="EI48" s="27">
        <v>-1327.1</v>
      </c>
      <c r="EJ48" s="27">
        <v>-1400.49</v>
      </c>
      <c r="EK48" s="547">
        <v>-902.93148538509229</v>
      </c>
      <c r="EL48" s="547">
        <v>-1407.43</v>
      </c>
      <c r="EM48" s="547">
        <v>-1205.9100000000001</v>
      </c>
      <c r="EN48" s="547">
        <v>-4781.6642345794853</v>
      </c>
      <c r="EO48" s="547">
        <v>-7263.4745439083099</v>
      </c>
      <c r="EP48" s="547">
        <v>-3703.0899999999997</v>
      </c>
      <c r="EQ48" s="547">
        <v>-880.89</v>
      </c>
      <c r="ER48" s="27">
        <v>-5301.5846377567241</v>
      </c>
      <c r="ES48" s="27">
        <v>-3651.75</v>
      </c>
      <c r="ET48" s="27">
        <v>301.27999999999997</v>
      </c>
      <c r="EU48" s="27">
        <v>-1560.88</v>
      </c>
      <c r="EV48" s="27">
        <v>-1199.81</v>
      </c>
      <c r="EW48" s="27">
        <v>-995.93</v>
      </c>
      <c r="EX48" s="27">
        <v>-979.75</v>
      </c>
      <c r="EY48" s="27">
        <v>-735.41</v>
      </c>
      <c r="EZ48" s="27">
        <v>-1248.98</v>
      </c>
      <c r="FA48" s="27">
        <v>-1344.0359705070762</v>
      </c>
      <c r="FB48" s="27">
        <v>-1241.6172915483876</v>
      </c>
      <c r="FC48" s="27">
        <v>-1574.96</v>
      </c>
      <c r="FD48" s="27">
        <v>-942.42</v>
      </c>
      <c r="FE48" s="27">
        <v>-883.19</v>
      </c>
      <c r="FF48" s="27">
        <v>-979.91</v>
      </c>
      <c r="FG48" s="27">
        <v>-5028.74</v>
      </c>
      <c r="FH48" s="27">
        <v>-1297.46</v>
      </c>
      <c r="FI48" s="27">
        <v>-1290.52</v>
      </c>
      <c r="FJ48" s="27">
        <v>-1176.1099999999999</v>
      </c>
      <c r="FK48" s="769">
        <v>-11536.91</v>
      </c>
      <c r="FL48" s="27"/>
      <c r="FM48" s="27"/>
      <c r="FN48" s="20">
        <f>'[1]Financial plan'!EW43</f>
        <v>0</v>
      </c>
      <c r="FO48" s="27">
        <f>FK48-FJ48</f>
        <v>-10360.799999999999</v>
      </c>
      <c r="FP48" s="27">
        <f>FK48-FN48</f>
        <v>-11536.91</v>
      </c>
      <c r="FQ48" s="27" t="e">
        <f>FL48-#REF!</f>
        <v>#REF!</v>
      </c>
      <c r="FR48" s="27">
        <f>FM48-FO48</f>
        <v>10360.799999999999</v>
      </c>
      <c r="FS48" s="27">
        <f t="shared" si="13"/>
        <v>-11536.91</v>
      </c>
      <c r="FT48" s="27">
        <f>SUM($FJ48:FK48)</f>
        <v>-12713.02</v>
      </c>
      <c r="FU48" s="27"/>
      <c r="FV48" s="27">
        <f t="shared" si="41"/>
        <v>-12713.02</v>
      </c>
      <c r="FX48" s="469"/>
    </row>
    <row r="49" spans="3:180" s="9" customFormat="1" hidden="1" outlineLevel="1" x14ac:dyDescent="0.35">
      <c r="E49" s="33" t="s">
        <v>114</v>
      </c>
      <c r="F49" s="26">
        <v>0</v>
      </c>
      <c r="G49" s="26">
        <f>SUM(R49:U49)</f>
        <v>0</v>
      </c>
      <c r="H49" s="26">
        <f t="shared" si="298"/>
        <v>0</v>
      </c>
      <c r="I49" s="26"/>
      <c r="J49" s="26"/>
      <c r="K49" s="26">
        <f>SUM(AH49:AK49)</f>
        <v>-132988.2664593753</v>
      </c>
      <c r="L49" s="19">
        <f t="shared" si="317"/>
        <v>-321477.22239975695</v>
      </c>
      <c r="M49" s="19">
        <f t="shared" ca="1" si="318"/>
        <v>-203931.29134588849</v>
      </c>
      <c r="N49" s="19">
        <f ca="1">SUM(AT49:AW49)</f>
        <v>-163945.79900553392</v>
      </c>
      <c r="O49" s="19">
        <f t="shared" si="319"/>
        <v>-81593.005607676765</v>
      </c>
      <c r="P49" s="19">
        <f>SUM($FJ49:FK49)</f>
        <v>-16240.27816828375</v>
      </c>
      <c r="Q49" s="27"/>
      <c r="R49" s="27"/>
      <c r="S49" s="27">
        <v>0</v>
      </c>
      <c r="T49" s="27">
        <v>0</v>
      </c>
      <c r="U49" s="27">
        <v>0</v>
      </c>
      <c r="V49" s="27"/>
      <c r="W49" s="20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>
        <f>SUM(DB49:DD49)</f>
        <v>-16541.602543517365</v>
      </c>
      <c r="AI49" s="27">
        <f>SUM(DE49:DG49)</f>
        <v>-20548.60022264822</v>
      </c>
      <c r="AJ49" s="27">
        <f t="shared" si="302"/>
        <v>-18516.45867390111</v>
      </c>
      <c r="AK49" s="27">
        <f t="shared" si="303"/>
        <v>-77381.605019308598</v>
      </c>
      <c r="AL49" s="27">
        <f t="shared" si="304"/>
        <v>-37940.520000000004</v>
      </c>
      <c r="AM49" s="27">
        <f t="shared" si="305"/>
        <v>-55011.381611332501</v>
      </c>
      <c r="AN49" s="27">
        <f t="shared" si="306"/>
        <v>-81693.356831052268</v>
      </c>
      <c r="AO49" s="27">
        <f t="shared" si="307"/>
        <v>-146831.96395737218</v>
      </c>
      <c r="AP49" s="27">
        <f t="shared" si="308"/>
        <v>-55195.347035855397</v>
      </c>
      <c r="AQ49" s="27">
        <f t="shared" ca="1" si="299"/>
        <v>-48950.985500815572</v>
      </c>
      <c r="AR49" s="27">
        <f t="shared" ca="1" si="299"/>
        <v>-50978.361580257901</v>
      </c>
      <c r="AS49" s="27">
        <f t="shared" ca="1" si="299"/>
        <v>-48806.597228959639</v>
      </c>
      <c r="AT49" s="27">
        <f t="shared" si="11"/>
        <v>-43064.623739639123</v>
      </c>
      <c r="AU49" s="27">
        <f t="shared" ca="1" si="300"/>
        <v>-31407.651322555073</v>
      </c>
      <c r="AV49" s="27">
        <f t="shared" ca="1" si="300"/>
        <v>-36626.068752541738</v>
      </c>
      <c r="AW49" s="27">
        <f t="shared" ca="1" si="300"/>
        <v>-52847.455190797977</v>
      </c>
      <c r="AX49" s="27">
        <f t="shared" si="309"/>
        <v>-33395.301817099964</v>
      </c>
      <c r="AY49" s="27">
        <f t="shared" si="310"/>
        <v>-27164.218494432298</v>
      </c>
      <c r="AZ49" s="27">
        <f t="shared" si="267"/>
        <v>-9450.349125472394</v>
      </c>
      <c r="BA49" s="27">
        <f t="shared" si="311"/>
        <v>-11583.136170672111</v>
      </c>
      <c r="BB49" s="27">
        <f t="shared" si="301"/>
        <v>-16240.27816828375</v>
      </c>
      <c r="BC49" s="27"/>
      <c r="BD49" s="27"/>
      <c r="BE49" s="27"/>
      <c r="BF49" s="27">
        <v>380676</v>
      </c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0">
        <f t="shared" si="312"/>
        <v>0</v>
      </c>
      <c r="CU49" s="27"/>
      <c r="CV49" s="27"/>
      <c r="CW49" s="27"/>
      <c r="CX49" s="27"/>
      <c r="CY49" s="27"/>
      <c r="CZ49" s="27"/>
      <c r="DA49" s="27"/>
      <c r="DB49" s="27">
        <v>-8645.9263783824426</v>
      </c>
      <c r="DC49" s="27">
        <v>-3092.8677054559389</v>
      </c>
      <c r="DD49" s="27">
        <v>-4802.8084596789831</v>
      </c>
      <c r="DE49" s="27">
        <v>-5128.6621148764898</v>
      </c>
      <c r="DF49" s="27">
        <v>-6758.2806656471203</v>
      </c>
      <c r="DG49" s="27">
        <v>-8661.6574421246096</v>
      </c>
      <c r="DH49" s="27">
        <v>-5564.5733683627504</v>
      </c>
      <c r="DI49" s="27">
        <v>-6965.4309902219702</v>
      </c>
      <c r="DJ49" s="27">
        <v>-5986.4543153163904</v>
      </c>
      <c r="DK49" s="27">
        <v>-14521.548158313501</v>
      </c>
      <c r="DL49" s="27">
        <v>-17036.796860995099</v>
      </c>
      <c r="DM49" s="27">
        <v>-45823.26</v>
      </c>
      <c r="DN49" s="27">
        <v>-9800.75</v>
      </c>
      <c r="DO49" s="27">
        <v>-8925</v>
      </c>
      <c r="DP49" s="27">
        <f>5785.23-25000</f>
        <v>-19214.77</v>
      </c>
      <c r="DQ49" s="27">
        <v>-11638.5151351687</v>
      </c>
      <c r="DR49" s="27">
        <v>-23728.981295207301</v>
      </c>
      <c r="DS49" s="27">
        <v>-19643.885180956499</v>
      </c>
      <c r="DT49" s="27">
        <v>-21906.2743677996</v>
      </c>
      <c r="DU49" s="27">
        <v>-8291.8172926851694</v>
      </c>
      <c r="DV49" s="27">
        <v>-51495.265170567502</v>
      </c>
      <c r="DW49" s="27">
        <v>-27074.442296886798</v>
      </c>
      <c r="DX49" s="27">
        <v>-29676.5831040261</v>
      </c>
      <c r="DY49" s="547">
        <v>-90080.938556459296</v>
      </c>
      <c r="DZ49" s="27">
        <v>-24965.0079800192</v>
      </c>
      <c r="EA49" s="27">
        <v>-12334.517574072799</v>
      </c>
      <c r="EB49" s="27">
        <v>-17895.8214817634</v>
      </c>
      <c r="EC49" s="27">
        <v>-17895.8214817634</v>
      </c>
      <c r="ED49" s="27">
        <v>-17895.8214817634</v>
      </c>
      <c r="EE49" s="27">
        <f>EE46-EE47-EE48</f>
        <v>-13159.342537288772</v>
      </c>
      <c r="EF49" s="27">
        <v>-23498.35566307103</v>
      </c>
      <c r="EG49" s="27">
        <v>-14339.279214888071</v>
      </c>
      <c r="EH49" s="27">
        <v>-13140.726702298798</v>
      </c>
      <c r="EI49" s="27">
        <v>-10412.220183329882</v>
      </c>
      <c r="EJ49" s="27">
        <v>-24494.645190783685</v>
      </c>
      <c r="EK49" s="547">
        <v>-13899.731854846079</v>
      </c>
      <c r="EL49" s="547">
        <v>-13399.099266398238</v>
      </c>
      <c r="EM49" s="547">
        <v>-13619.3422676501</v>
      </c>
      <c r="EN49" s="547">
        <v>-16046.182205590783</v>
      </c>
      <c r="EO49" s="547">
        <v>-10287.869580386699</v>
      </c>
      <c r="EP49" s="547">
        <v>-9076.504169046606</v>
      </c>
      <c r="EQ49" s="547">
        <v>-12043.277573121768</v>
      </c>
      <c r="ER49" s="27">
        <v>-11520.11891471277</v>
      </c>
      <c r="ES49" s="27">
        <v>-14516.117505698265</v>
      </c>
      <c r="ET49" s="27">
        <v>-10589.832332130705</v>
      </c>
      <c r="EU49" s="27">
        <v>-12701.220125362119</v>
      </c>
      <c r="EV49" s="27">
        <v>-11201.566141980597</v>
      </c>
      <c r="EW49" s="27">
        <v>-28944.668923455258</v>
      </c>
      <c r="EX49" s="27">
        <v>-8127.6274144061954</v>
      </c>
      <c r="EY49" s="27">
        <v>-15352.54798356792</v>
      </c>
      <c r="EZ49" s="27">
        <v>-9915.126419125847</v>
      </c>
      <c r="FA49" s="27">
        <v>-7558.8517675445601</v>
      </c>
      <c r="FB49" s="27">
        <v>-9714.2679531911108</v>
      </c>
      <c r="FC49" s="27">
        <v>-9891.0987736966272</v>
      </c>
      <c r="FD49" s="27">
        <v>-9450.349125472394</v>
      </c>
      <c r="FE49" s="27">
        <v>-10886.840956228923</v>
      </c>
      <c r="FF49" s="27">
        <v>-12243.608615761834</v>
      </c>
      <c r="FG49" s="27">
        <v>-11583.136170672111</v>
      </c>
      <c r="FH49" s="27">
        <v>-10694.662426374172</v>
      </c>
      <c r="FI49" s="27">
        <v>-11585.409145254949</v>
      </c>
      <c r="FJ49" s="27">
        <v>-7879.1144662650731</v>
      </c>
      <c r="FK49" s="769">
        <v>-8361.1637020186772</v>
      </c>
      <c r="FL49" s="27"/>
      <c r="FM49" s="27"/>
      <c r="FN49" s="20">
        <f>'[1]Financial plan'!EW44</f>
        <v>0</v>
      </c>
      <c r="FO49" s="27">
        <f>FK49-FJ49</f>
        <v>-482.04923575360408</v>
      </c>
      <c r="FP49" s="27">
        <f>FK49-FN49</f>
        <v>-8361.1637020186772</v>
      </c>
      <c r="FQ49" s="27" t="e">
        <f>FL49-#REF!</f>
        <v>#REF!</v>
      </c>
      <c r="FR49" s="27">
        <f>FM49-FO49</f>
        <v>482.04923575360408</v>
      </c>
      <c r="FS49" s="27">
        <f t="shared" si="13"/>
        <v>-8361.1637020186772</v>
      </c>
      <c r="FT49" s="27">
        <f>SUM($FJ49:FK49)</f>
        <v>-16240.27816828375</v>
      </c>
      <c r="FU49" s="27"/>
      <c r="FV49" s="27">
        <f t="shared" si="41"/>
        <v>-16240.27816828375</v>
      </c>
      <c r="FX49" s="27"/>
    </row>
    <row r="50" spans="3:180" s="9" customFormat="1" ht="8.5" hidden="1" customHeight="1" outlineLevel="1" x14ac:dyDescent="0.35">
      <c r="E50" s="33"/>
      <c r="F50" s="26">
        <v>0</v>
      </c>
      <c r="G50" s="26">
        <f>SUM(R50:U50)</f>
        <v>0</v>
      </c>
      <c r="H50" s="26">
        <f t="shared" si="298"/>
        <v>0</v>
      </c>
      <c r="I50" s="26"/>
      <c r="J50" s="26"/>
      <c r="K50" s="26"/>
      <c r="L50" s="19">
        <f t="shared" si="317"/>
        <v>0</v>
      </c>
      <c r="M50" s="19">
        <f t="shared" ca="1" si="318"/>
        <v>0</v>
      </c>
      <c r="N50" s="19">
        <f t="shared" ca="1" si="265"/>
        <v>0</v>
      </c>
      <c r="O50" s="19"/>
      <c r="P50" s="19">
        <f>SUM($FJ50:FK50)</f>
        <v>0</v>
      </c>
      <c r="Q50" s="27"/>
      <c r="R50" s="27">
        <v>0</v>
      </c>
      <c r="S50" s="27">
        <v>0</v>
      </c>
      <c r="T50" s="27">
        <v>0</v>
      </c>
      <c r="U50" s="27">
        <v>0</v>
      </c>
      <c r="V50" s="27"/>
      <c r="W50" s="20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0">
        <f t="shared" si="302"/>
        <v>0</v>
      </c>
      <c r="AK50" s="20">
        <f t="shared" si="303"/>
        <v>0</v>
      </c>
      <c r="AL50" s="20">
        <f t="shared" si="304"/>
        <v>0</v>
      </c>
      <c r="AM50" s="20">
        <f t="shared" si="305"/>
        <v>0</v>
      </c>
      <c r="AN50" s="20">
        <f t="shared" si="306"/>
        <v>0</v>
      </c>
      <c r="AO50" s="20">
        <f t="shared" si="307"/>
        <v>0</v>
      </c>
      <c r="AP50" s="20">
        <f t="shared" si="308"/>
        <v>0</v>
      </c>
      <c r="AQ50" s="20">
        <f t="shared" ca="1" si="299"/>
        <v>0</v>
      </c>
      <c r="AR50" s="20">
        <f t="shared" ca="1" si="299"/>
        <v>0</v>
      </c>
      <c r="AS50" s="20">
        <f t="shared" ca="1" si="299"/>
        <v>0</v>
      </c>
      <c r="AT50" s="20">
        <f t="shared" si="11"/>
        <v>0</v>
      </c>
      <c r="AU50" s="20">
        <f t="shared" ca="1" si="300"/>
        <v>0</v>
      </c>
      <c r="AV50" s="20">
        <f t="shared" ca="1" si="300"/>
        <v>0</v>
      </c>
      <c r="AW50" s="20">
        <f t="shared" ca="1" si="300"/>
        <v>0</v>
      </c>
      <c r="AX50" s="20">
        <f t="shared" si="309"/>
        <v>0</v>
      </c>
      <c r="AY50" s="20">
        <f t="shared" si="310"/>
        <v>0</v>
      </c>
      <c r="AZ50" s="20">
        <f t="shared" si="267"/>
        <v>0</v>
      </c>
      <c r="BA50" s="20">
        <f t="shared" si="311"/>
        <v>0</v>
      </c>
      <c r="BB50" s="20">
        <f t="shared" si="301"/>
        <v>0</v>
      </c>
      <c r="BC50" s="20"/>
      <c r="BD50" s="20"/>
      <c r="BE50" s="20"/>
      <c r="BF50" s="27">
        <v>380676</v>
      </c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0">
        <f t="shared" si="312"/>
        <v>0</v>
      </c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469"/>
      <c r="DZ50" s="20"/>
      <c r="EA50" s="20"/>
      <c r="EB50" s="20"/>
      <c r="EC50" s="20"/>
      <c r="ED50" s="20"/>
      <c r="EE50" s="20"/>
      <c r="EF50"/>
      <c r="EG50"/>
      <c r="EH50"/>
      <c r="EI50"/>
      <c r="EJ50"/>
      <c r="EK50" s="547"/>
      <c r="EL50" s="547"/>
      <c r="EM50" s="547"/>
      <c r="EN50" s="547"/>
      <c r="EO50" s="547"/>
      <c r="EP50" s="547"/>
      <c r="EQ50" s="547"/>
      <c r="ER50" s="27"/>
      <c r="ES50" s="27"/>
      <c r="ET50" s="27"/>
      <c r="EU50" s="27"/>
      <c r="EV50" s="27"/>
      <c r="EW50" s="27"/>
      <c r="EX50" s="116"/>
      <c r="EY50" s="116"/>
      <c r="EZ50" s="116"/>
      <c r="FA50" s="116"/>
      <c r="FB50" s="116"/>
      <c r="FC50" s="116"/>
      <c r="FD50" s="116"/>
      <c r="FE50" s="116"/>
      <c r="FF50" s="116"/>
      <c r="FG50" s="116"/>
      <c r="FH50" s="116"/>
      <c r="FI50" s="116"/>
      <c r="FJ50" s="116"/>
      <c r="FK50" s="762"/>
      <c r="FL50" s="116"/>
      <c r="FM50" s="116"/>
      <c r="FN50" s="20"/>
      <c r="FO50" s="116"/>
      <c r="FP50" s="116"/>
      <c r="FQ50" s="116"/>
      <c r="FR50" s="116"/>
      <c r="FS50" s="116"/>
      <c r="FT50" s="116"/>
      <c r="FU50" s="116"/>
      <c r="FV50" s="116"/>
      <c r="FX50" s="27"/>
    </row>
    <row r="51" spans="3:180" s="9" customFormat="1" ht="12" hidden="1" customHeight="1" outlineLevel="1" x14ac:dyDescent="0.35">
      <c r="E51" s="33"/>
      <c r="F51" s="26"/>
      <c r="G51" s="26"/>
      <c r="H51" s="26">
        <f t="shared" si="298"/>
        <v>0</v>
      </c>
      <c r="I51" s="26"/>
      <c r="J51" s="26"/>
      <c r="K51" s="26"/>
      <c r="L51" s="19">
        <f t="shared" si="317"/>
        <v>0</v>
      </c>
      <c r="M51" s="19">
        <f t="shared" ca="1" si="318"/>
        <v>0</v>
      </c>
      <c r="N51" s="19">
        <f t="shared" ca="1" si="265"/>
        <v>0</v>
      </c>
      <c r="O51" s="19"/>
      <c r="P51" s="19">
        <f>SUM($FJ51:FK51)</f>
        <v>0</v>
      </c>
      <c r="Q51" s="27"/>
      <c r="R51" s="27">
        <v>0</v>
      </c>
      <c r="S51" s="27">
        <v>0</v>
      </c>
      <c r="T51" s="27">
        <v>0</v>
      </c>
      <c r="U51" s="27">
        <v>0</v>
      </c>
      <c r="V51" s="27"/>
      <c r="W51" s="20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0">
        <f t="shared" si="302"/>
        <v>0</v>
      </c>
      <c r="AK51" s="20">
        <f t="shared" si="303"/>
        <v>0</v>
      </c>
      <c r="AL51" s="20">
        <f t="shared" si="304"/>
        <v>0</v>
      </c>
      <c r="AM51" s="20">
        <f t="shared" si="305"/>
        <v>0</v>
      </c>
      <c r="AN51" s="20">
        <f t="shared" si="306"/>
        <v>0</v>
      </c>
      <c r="AO51" s="20">
        <f t="shared" si="307"/>
        <v>0</v>
      </c>
      <c r="AP51" s="20">
        <f t="shared" si="308"/>
        <v>0</v>
      </c>
      <c r="AQ51" s="20">
        <f t="shared" ca="1" si="299"/>
        <v>0</v>
      </c>
      <c r="AR51" s="20">
        <f t="shared" ca="1" si="299"/>
        <v>0</v>
      </c>
      <c r="AS51" s="20">
        <f t="shared" ca="1" si="299"/>
        <v>0</v>
      </c>
      <c r="AT51" s="20">
        <f t="shared" si="11"/>
        <v>0</v>
      </c>
      <c r="AU51" s="20">
        <f t="shared" ca="1" si="300"/>
        <v>0</v>
      </c>
      <c r="AV51" s="20">
        <f t="shared" ca="1" si="300"/>
        <v>0</v>
      </c>
      <c r="AW51" s="20">
        <f t="shared" ca="1" si="300"/>
        <v>0</v>
      </c>
      <c r="AX51" s="20">
        <f t="shared" si="309"/>
        <v>0</v>
      </c>
      <c r="AY51" s="20">
        <f t="shared" si="310"/>
        <v>0</v>
      </c>
      <c r="AZ51" s="20">
        <f t="shared" si="267"/>
        <v>0</v>
      </c>
      <c r="BA51" s="20">
        <f t="shared" si="311"/>
        <v>0</v>
      </c>
      <c r="BB51" s="20">
        <f t="shared" si="301"/>
        <v>0</v>
      </c>
      <c r="BC51" s="20"/>
      <c r="BD51" s="20"/>
      <c r="BE51" s="20"/>
      <c r="BF51" s="27">
        <v>380676</v>
      </c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0">
        <f t="shared" si="312"/>
        <v>0</v>
      </c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469"/>
      <c r="DZ51" s="20"/>
      <c r="EA51" s="20"/>
      <c r="EB51" s="20"/>
      <c r="EC51" s="20"/>
      <c r="ED51" s="20"/>
      <c r="EE51" s="20"/>
      <c r="EF51"/>
      <c r="EG51"/>
      <c r="EH51"/>
      <c r="EI51"/>
      <c r="EJ51"/>
      <c r="EK51" s="585"/>
      <c r="EL51" s="585"/>
      <c r="EM51" s="585"/>
      <c r="EN51" s="585"/>
      <c r="EO51" s="585"/>
      <c r="EP51" s="585"/>
      <c r="EQ51" s="585"/>
      <c r="EX51" s="116"/>
      <c r="EY51" s="116"/>
      <c r="EZ51" s="116"/>
      <c r="FA51" s="116"/>
      <c r="FB51" s="116"/>
      <c r="FC51" s="116"/>
      <c r="FD51" s="116"/>
      <c r="FE51" s="116"/>
      <c r="FF51" s="116"/>
      <c r="FG51" s="116"/>
      <c r="FH51" s="116"/>
      <c r="FI51" s="116"/>
      <c r="FJ51" s="116"/>
      <c r="FK51" s="762"/>
      <c r="FL51" s="116"/>
      <c r="FM51" s="116"/>
      <c r="FN51" s="20"/>
      <c r="FO51" s="116"/>
      <c r="FP51" s="116"/>
      <c r="FQ51" s="116"/>
      <c r="FR51" s="116"/>
      <c r="FS51" s="116"/>
      <c r="FT51" s="116"/>
      <c r="FU51" s="116"/>
      <c r="FV51" s="116"/>
      <c r="FX51" s="27"/>
    </row>
    <row r="52" spans="3:180" s="5" customFormat="1" ht="10" hidden="1" customHeight="1" outlineLevel="1" x14ac:dyDescent="0.35">
      <c r="E52" s="6"/>
      <c r="F52" s="7"/>
      <c r="G52" s="7"/>
      <c r="H52" s="7"/>
      <c r="I52" s="7"/>
      <c r="J52" s="7"/>
      <c r="K52" s="7"/>
      <c r="L52" s="19">
        <f t="shared" si="317"/>
        <v>0</v>
      </c>
      <c r="M52" s="19">
        <f t="shared" ca="1" si="318"/>
        <v>0</v>
      </c>
      <c r="N52" s="19">
        <f t="shared" ca="1" si="265"/>
        <v>0</v>
      </c>
      <c r="O52" s="19">
        <f t="shared" ref="O52:O70" si="320">SUM(AX52:BA52)</f>
        <v>0</v>
      </c>
      <c r="P52" s="19">
        <f>SUM($FJ52:FK52)</f>
        <v>0</v>
      </c>
      <c r="Q52" s="8"/>
      <c r="R52" s="8"/>
      <c r="S52" s="8"/>
      <c r="T52" s="8"/>
      <c r="U52" s="8"/>
      <c r="V52" s="8"/>
      <c r="W52" s="20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20">
        <f t="shared" si="302"/>
        <v>0</v>
      </c>
      <c r="AK52" s="20">
        <f t="shared" si="303"/>
        <v>0</v>
      </c>
      <c r="AL52" s="20">
        <f t="shared" si="304"/>
        <v>0</v>
      </c>
      <c r="AM52" s="20">
        <f t="shared" si="305"/>
        <v>0</v>
      </c>
      <c r="AN52" s="20">
        <f t="shared" si="306"/>
        <v>0</v>
      </c>
      <c r="AO52" s="20">
        <f t="shared" si="307"/>
        <v>0</v>
      </c>
      <c r="AP52" s="20">
        <f t="shared" si="308"/>
        <v>0</v>
      </c>
      <c r="AQ52" s="20">
        <f t="shared" ca="1" si="299"/>
        <v>0</v>
      </c>
      <c r="AR52" s="20">
        <f t="shared" ca="1" si="299"/>
        <v>0</v>
      </c>
      <c r="AS52" s="20">
        <f t="shared" ca="1" si="299"/>
        <v>0</v>
      </c>
      <c r="AT52" s="20">
        <f t="shared" si="11"/>
        <v>0</v>
      </c>
      <c r="AU52" s="20">
        <f t="shared" ca="1" si="300"/>
        <v>0</v>
      </c>
      <c r="AV52" s="20">
        <f t="shared" ca="1" si="300"/>
        <v>0</v>
      </c>
      <c r="AW52" s="20">
        <f t="shared" ca="1" si="300"/>
        <v>0</v>
      </c>
      <c r="AX52" s="20">
        <f t="shared" si="309"/>
        <v>0</v>
      </c>
      <c r="AY52" s="20">
        <f t="shared" si="310"/>
        <v>0</v>
      </c>
      <c r="AZ52" s="20">
        <f t="shared" si="267"/>
        <v>0</v>
      </c>
      <c r="BA52" s="20">
        <f t="shared" si="311"/>
        <v>0</v>
      </c>
      <c r="BB52" s="20">
        <f t="shared" si="301"/>
        <v>0</v>
      </c>
      <c r="BC52" s="20"/>
      <c r="BD52" s="20"/>
      <c r="BE52" s="20"/>
      <c r="BF52" s="20">
        <v>380676</v>
      </c>
      <c r="BG52" s="20"/>
      <c r="BH52" s="20"/>
      <c r="BI52" s="20">
        <f>$W52/3</f>
        <v>0</v>
      </c>
      <c r="BJ52" s="20">
        <f>$W52/3</f>
        <v>0</v>
      </c>
      <c r="BK52" s="20">
        <f>$W52/3</f>
        <v>0</v>
      </c>
      <c r="BL52" s="20">
        <f>$X52/3</f>
        <v>0</v>
      </c>
      <c r="BM52" s="20">
        <f>$X52/3</f>
        <v>0</v>
      </c>
      <c r="BN52" s="20">
        <f>$X52/3</f>
        <v>0</v>
      </c>
      <c r="BO52" s="20">
        <f>$Y52/3</f>
        <v>0</v>
      </c>
      <c r="BP52" s="20">
        <f>$Y52/3</f>
        <v>0</v>
      </c>
      <c r="BQ52" s="20">
        <f>$Y52/3</f>
        <v>0</v>
      </c>
      <c r="BR52" s="20">
        <f>$V52/3</f>
        <v>0</v>
      </c>
      <c r="BS52" s="20">
        <f>$V52/3</f>
        <v>0</v>
      </c>
      <c r="BT52" s="20">
        <f>$V52/3</f>
        <v>0</v>
      </c>
      <c r="BU52" s="20">
        <f>$W52/3</f>
        <v>0</v>
      </c>
      <c r="BV52" s="20">
        <f>$W52/3</f>
        <v>0</v>
      </c>
      <c r="BW52" s="20">
        <f>$W52/3</f>
        <v>0</v>
      </c>
      <c r="BX52" s="20">
        <f>$X52/3</f>
        <v>0</v>
      </c>
      <c r="BY52" s="20">
        <f>$X52/3</f>
        <v>0</v>
      </c>
      <c r="BZ52" s="20">
        <f>$X52/3</f>
        <v>0</v>
      </c>
      <c r="CA52" s="20">
        <f>$Y52/3</f>
        <v>0</v>
      </c>
      <c r="CB52" s="20">
        <f>$Y52/3</f>
        <v>0</v>
      </c>
      <c r="CC52" s="20">
        <f>$Y52/3</f>
        <v>0</v>
      </c>
      <c r="CD52" s="20">
        <f>$Y52/3</f>
        <v>0</v>
      </c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>
        <f t="shared" si="312"/>
        <v>0</v>
      </c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469"/>
      <c r="DZ52" s="20"/>
      <c r="EA52" s="20"/>
      <c r="EB52" s="20"/>
      <c r="EC52" s="20"/>
      <c r="ED52" s="20"/>
      <c r="EE52" s="20"/>
      <c r="EF52"/>
      <c r="EG52"/>
      <c r="EH52"/>
      <c r="EI52"/>
      <c r="EJ52"/>
      <c r="EK52" s="581"/>
      <c r="EL52" s="581"/>
      <c r="EM52" s="581"/>
      <c r="EN52" s="581"/>
      <c r="EO52" s="581"/>
      <c r="EP52" s="581"/>
      <c r="EQ52" s="581"/>
      <c r="EX52" s="116"/>
      <c r="EY52" s="116"/>
      <c r="EZ52" s="116"/>
      <c r="FA52" s="116"/>
      <c r="FB52" s="116"/>
      <c r="FC52" s="116"/>
      <c r="FD52" s="116"/>
      <c r="FE52" s="116"/>
      <c r="FF52" s="116"/>
      <c r="FG52" s="116"/>
      <c r="FH52" s="116"/>
      <c r="FI52" s="116"/>
      <c r="FJ52" s="116"/>
      <c r="FK52" s="762"/>
      <c r="FL52" s="116"/>
      <c r="FM52" s="116"/>
      <c r="FN52" s="20"/>
      <c r="FO52" s="116"/>
      <c r="FP52" s="116"/>
      <c r="FQ52" s="116"/>
      <c r="FR52" s="116"/>
      <c r="FS52" s="116"/>
      <c r="FT52" s="116"/>
      <c r="FU52" s="116"/>
      <c r="FV52" s="116"/>
      <c r="FX52" s="116"/>
    </row>
    <row r="53" spans="3:180" collapsed="1" x14ac:dyDescent="0.35">
      <c r="E53" t="s">
        <v>115</v>
      </c>
      <c r="F53" s="19">
        <v>-171000</v>
      </c>
      <c r="G53" s="19">
        <f>SUM(R53:U53)</f>
        <v>-257104</v>
      </c>
      <c r="H53" s="19">
        <f t="shared" ref="H53:H58" si="321">SUM(V53:Y53)</f>
        <v>-385909</v>
      </c>
      <c r="I53" s="19">
        <f t="shared" ref="I53:I58" si="322">SUM(Z53:AC53)</f>
        <v>-534421</v>
      </c>
      <c r="J53" s="19">
        <f t="shared" ref="J53:J58" si="323">SUM(AD53:AG53)</f>
        <v>-872341.57000000007</v>
      </c>
      <c r="K53" s="19">
        <f t="shared" ref="K53:K58" si="324">SUM(AH53:AK53)</f>
        <v>-1146244.8700000001</v>
      </c>
      <c r="L53" s="19">
        <f t="shared" si="317"/>
        <v>-1642108.84</v>
      </c>
      <c r="M53" s="19">
        <f ca="1">SUM(AP53:AS53)</f>
        <v>-1764563.9734662324</v>
      </c>
      <c r="N53" s="19">
        <f ca="1">SUM(AT53:AW53)</f>
        <v>-1905862.0000254903</v>
      </c>
      <c r="O53" s="19">
        <f t="shared" si="320"/>
        <v>-2393615.5530054597</v>
      </c>
      <c r="P53" s="19">
        <f>SUM($FJ53:FK53)</f>
        <v>-387501.02174796438</v>
      </c>
      <c r="Q53" s="20"/>
      <c r="R53" s="20">
        <f t="shared" ref="R53:R58" si="325">SUM(BF53:BH53)</f>
        <v>-56182</v>
      </c>
      <c r="S53" s="20">
        <f t="shared" ref="S53:S58" si="326">SUM(BI53:BK53)</f>
        <v>-58549</v>
      </c>
      <c r="T53" s="20">
        <f t="shared" ref="T53:T58" si="327">SUM(BL53:BN53)</f>
        <v>-68850</v>
      </c>
      <c r="U53" s="20">
        <f t="shared" ref="U53:U58" si="328">SUM(BO53:BQ53)</f>
        <v>-73523</v>
      </c>
      <c r="V53" s="20">
        <f t="shared" ref="V53:V58" si="329">SUM(BR53:BT53)</f>
        <v>-93756</v>
      </c>
      <c r="W53" s="20">
        <f t="shared" ref="W53:W58" si="330">SUM(BU53:BW53)</f>
        <v>-73436</v>
      </c>
      <c r="X53" s="20">
        <f t="shared" ref="X53:X58" si="331">SUM(BX53:BZ53)</f>
        <v>-93891</v>
      </c>
      <c r="Y53" s="20">
        <f t="shared" ref="Y53:Y58" si="332">SUM(CA53:CC53)</f>
        <v>-124826</v>
      </c>
      <c r="Z53" s="20">
        <f t="shared" ref="Z53:Z58" si="333">SUM(CD53:CF53)</f>
        <v>-145309</v>
      </c>
      <c r="AA53" s="20">
        <f t="shared" ref="AA53:AA58" si="334">SUM(CG53:CI53)</f>
        <v>-134503</v>
      </c>
      <c r="AB53" s="20">
        <f t="shared" ref="AB53:AB58" si="335">SUM(CJ53:CL53)</f>
        <v>-119646</v>
      </c>
      <c r="AC53" s="20">
        <f t="shared" ref="AC53:AC58" si="336">SUM(CM53:CO53)</f>
        <v>-134963</v>
      </c>
      <c r="AD53" s="20">
        <f t="shared" ref="AD53:AD58" si="337">SUM(CP53:CR53)</f>
        <v>-151827</v>
      </c>
      <c r="AE53" s="20">
        <f t="shared" ref="AE53:AE58" si="338">SUM(CS53:CU53)</f>
        <v>-229115</v>
      </c>
      <c r="AF53" s="20">
        <f t="shared" ref="AF53:AF58" si="339">SUM(CV53:CX53)</f>
        <v>-264283.91000000003</v>
      </c>
      <c r="AG53" s="20">
        <f t="shared" ref="AG53:AG58" si="340">SUM(CY53:DA53)</f>
        <v>-227115.65999999997</v>
      </c>
      <c r="AH53" s="20">
        <f t="shared" ref="AH53:AH58" si="341">SUM(DB53:DD53)</f>
        <v>-253185.52000000002</v>
      </c>
      <c r="AI53" s="20">
        <f t="shared" ref="AI53:AI58" si="342">SUM(DE53:DG53)</f>
        <v>-259953.32</v>
      </c>
      <c r="AJ53" s="20">
        <f t="shared" si="302"/>
        <v>-282228.56000000006</v>
      </c>
      <c r="AK53" s="20">
        <f>SUM(DK53:DM53)</f>
        <v>-350877.47</v>
      </c>
      <c r="AL53" s="20">
        <f t="shared" si="304"/>
        <v>-406322.64</v>
      </c>
      <c r="AM53" s="20">
        <f t="shared" si="305"/>
        <v>-391701.45</v>
      </c>
      <c r="AN53" s="20">
        <f>SUM(DT53:DV53)</f>
        <v>-444530.28</v>
      </c>
      <c r="AO53" s="20">
        <f t="shared" si="307"/>
        <v>-399554.47</v>
      </c>
      <c r="AP53" s="20">
        <f t="shared" si="308"/>
        <v>-414863.42049821396</v>
      </c>
      <c r="AQ53" s="20">
        <f t="shared" ca="1" si="299"/>
        <v>-454507.34072720574</v>
      </c>
      <c r="AR53" s="20">
        <f t="shared" ca="1" si="299"/>
        <v>-437878.80403774779</v>
      </c>
      <c r="AS53" s="20">
        <f t="shared" ca="1" si="299"/>
        <v>-457314.40820306505</v>
      </c>
      <c r="AT53" s="20">
        <f t="shared" si="11"/>
        <v>-452128.77702588047</v>
      </c>
      <c r="AU53" s="20">
        <f t="shared" ca="1" si="300"/>
        <v>-505643.584959956</v>
      </c>
      <c r="AV53" s="20">
        <f t="shared" ca="1" si="300"/>
        <v>-449819.45913219475</v>
      </c>
      <c r="AW53" s="20">
        <f t="shared" ca="1" si="300"/>
        <v>-498270.17890745902</v>
      </c>
      <c r="AX53" s="20">
        <f t="shared" si="309"/>
        <v>-583252.2387156086</v>
      </c>
      <c r="AY53" s="20">
        <f t="shared" si="310"/>
        <v>-599042.52894709655</v>
      </c>
      <c r="AZ53" s="20">
        <f>SUM(FD53:FF53)</f>
        <v>-601348.39418244199</v>
      </c>
      <c r="BA53" s="20">
        <f>SUM(FG53:FI53)</f>
        <v>-609972.39116031281</v>
      </c>
      <c r="BB53" s="20">
        <f t="shared" si="301"/>
        <v>-387501.02174796438</v>
      </c>
      <c r="BC53" s="20"/>
      <c r="BD53" s="20"/>
      <c r="BE53" s="20"/>
      <c r="BF53" s="20">
        <v>-18802</v>
      </c>
      <c r="BG53" s="20">
        <v>-15974</v>
      </c>
      <c r="BH53" s="20">
        <v>-21406</v>
      </c>
      <c r="BI53" s="20">
        <v>-19152</v>
      </c>
      <c r="BJ53" s="20">
        <v>-18258</v>
      </c>
      <c r="BK53" s="20">
        <v>-21139</v>
      </c>
      <c r="BL53" s="20">
        <v>-29724</v>
      </c>
      <c r="BM53" s="20">
        <v>-11816</v>
      </c>
      <c r="BN53" s="20">
        <v>-27310</v>
      </c>
      <c r="BO53" s="20">
        <v>-23078</v>
      </c>
      <c r="BP53" s="20">
        <v>-27287</v>
      </c>
      <c r="BQ53" s="20">
        <v>-23158</v>
      </c>
      <c r="BR53" s="20">
        <f>-20961-35</f>
        <v>-20996</v>
      </c>
      <c r="BS53" s="20">
        <f>-28878-681</f>
        <v>-29559</v>
      </c>
      <c r="BT53" s="20">
        <f>-27077-30000+12152+1724</f>
        <v>-43201</v>
      </c>
      <c r="BU53" s="20">
        <v>-30228</v>
      </c>
      <c r="BV53" s="20">
        <v>-26338</v>
      </c>
      <c r="BW53" s="20">
        <v>-16870</v>
      </c>
      <c r="BX53" s="20">
        <v>-31472</v>
      </c>
      <c r="BY53" s="20">
        <v>-30962</v>
      </c>
      <c r="BZ53" s="20">
        <v>-31457</v>
      </c>
      <c r="CA53" s="20">
        <v>-37465</v>
      </c>
      <c r="CB53" s="20">
        <v>-37098</v>
      </c>
      <c r="CC53" s="20">
        <v>-50263</v>
      </c>
      <c r="CD53" s="20">
        <v>-37301</v>
      </c>
      <c r="CE53" s="20">
        <f>-41757-11000</f>
        <v>-52757</v>
      </c>
      <c r="CF53" s="20">
        <v>-55251</v>
      </c>
      <c r="CG53" s="20">
        <v>-41277</v>
      </c>
      <c r="CH53" s="20">
        <v>-30359</v>
      </c>
      <c r="CI53" s="20">
        <v>-62867</v>
      </c>
      <c r="CJ53" s="20">
        <v>-42239</v>
      </c>
      <c r="CK53" s="20">
        <v>-34332</v>
      </c>
      <c r="CL53" s="20">
        <v>-43075</v>
      </c>
      <c r="CM53" s="20">
        <v>-43334</v>
      </c>
      <c r="CN53" s="20">
        <v>-37498</v>
      </c>
      <c r="CO53" s="20">
        <v>-54131</v>
      </c>
      <c r="CP53" s="20">
        <v>-42541</v>
      </c>
      <c r="CQ53" s="20">
        <v>-45703</v>
      </c>
      <c r="CR53" s="20">
        <v>-63583</v>
      </c>
      <c r="CS53" s="20">
        <v>-66175</v>
      </c>
      <c r="CT53" s="20">
        <v>-80722</v>
      </c>
      <c r="CU53" s="20">
        <v>-82218</v>
      </c>
      <c r="CV53" s="20">
        <f>-81944-4000</f>
        <v>-85944</v>
      </c>
      <c r="CW53" s="20">
        <v>-84070.71</v>
      </c>
      <c r="CX53" s="20">
        <v>-94269.200000000012</v>
      </c>
      <c r="CY53" s="20">
        <v>-84768.900000000009</v>
      </c>
      <c r="CZ53" s="20">
        <v>-63708.13</v>
      </c>
      <c r="DA53" s="20">
        <v>-78638.62999999999</v>
      </c>
      <c r="DB53" s="20">
        <v>-87083.88</v>
      </c>
      <c r="DC53" s="20">
        <v>-81735.09</v>
      </c>
      <c r="DD53" s="20">
        <v>-84366.55</v>
      </c>
      <c r="DE53" s="20">
        <v>-83905</v>
      </c>
      <c r="DF53" s="20">
        <v>-85429.81</v>
      </c>
      <c r="DG53" s="20">
        <v>-90618.51</v>
      </c>
      <c r="DH53" s="20">
        <v>-86197.400000000009</v>
      </c>
      <c r="DI53" s="20">
        <v>-92249.88</v>
      </c>
      <c r="DJ53" s="20">
        <v>-103781.28</v>
      </c>
      <c r="DK53" s="20">
        <v>-106851.23</v>
      </c>
      <c r="DL53" s="20">
        <v>-115429.48</v>
      </c>
      <c r="DM53" s="20">
        <f>37969.24-166566</f>
        <v>-128596.76000000001</v>
      </c>
      <c r="DN53" s="20">
        <v>-119369.51999999999</v>
      </c>
      <c r="DO53" s="20">
        <v>-133357.01</v>
      </c>
      <c r="DP53" s="20">
        <v>-153596.10999999999</v>
      </c>
      <c r="DQ53" s="20">
        <v>-125015.97</v>
      </c>
      <c r="DR53" s="20">
        <v>-133588.51</v>
      </c>
      <c r="DS53" s="20">
        <v>-133096.97</v>
      </c>
      <c r="DT53" s="20">
        <v>-145816.88</v>
      </c>
      <c r="DU53" s="20">
        <v>-151701.38999999998</v>
      </c>
      <c r="DV53" s="20">
        <v>-147012.00999999998</v>
      </c>
      <c r="DW53" s="20">
        <v>-131660.84</v>
      </c>
      <c r="DX53" s="20">
        <v>-134633.89000000001</v>
      </c>
      <c r="DY53" s="469">
        <v>-133259.74</v>
      </c>
      <c r="DZ53" s="20">
        <v>-136913.74181800257</v>
      </c>
      <c r="EA53" s="20">
        <v>-138827.84411808517</v>
      </c>
      <c r="EB53" s="20">
        <v>-139121.8345621262</v>
      </c>
      <c r="EC53" s="20">
        <v>-149490.29609971028</v>
      </c>
      <c r="ED53" s="20">
        <v>-153749.00775814935</v>
      </c>
      <c r="EE53" s="20">
        <v>-151268.03686934608</v>
      </c>
      <c r="EF53" s="20">
        <v>-141645.712167761</v>
      </c>
      <c r="EG53" s="20">
        <v>-144999.53836459696</v>
      </c>
      <c r="EH53" s="20">
        <v>-151233.55350538983</v>
      </c>
      <c r="EI53" s="20">
        <v>-158256.44606519004</v>
      </c>
      <c r="EJ53" s="20">
        <v>-144979.12776333126</v>
      </c>
      <c r="EK53" s="469">
        <v>-154078.83437454375</v>
      </c>
      <c r="EL53" s="469">
        <v>-143962.60731233502</v>
      </c>
      <c r="EM53" s="469">
        <v>-154605.09852357209</v>
      </c>
      <c r="EN53" s="469">
        <v>-153561.07118997333</v>
      </c>
      <c r="EO53" s="469">
        <v>-165466.09866364495</v>
      </c>
      <c r="EP53" s="469">
        <v>-168924.46363310728</v>
      </c>
      <c r="EQ53" s="469">
        <v>-171253.02266320374</v>
      </c>
      <c r="ER53" s="20">
        <v>-172135.771311049</v>
      </c>
      <c r="ES53" s="20">
        <v>-170529.94896768039</v>
      </c>
      <c r="ET53" s="20">
        <v>-107153.73885346533</v>
      </c>
      <c r="EU53" s="20">
        <v>-165893.78087782036</v>
      </c>
      <c r="EV53" s="20">
        <v>-166502.4880296386</v>
      </c>
      <c r="EW53" s="20">
        <v>-165873.91</v>
      </c>
      <c r="EX53" s="20">
        <v>-198486.8820941177</v>
      </c>
      <c r="EY53" s="20">
        <v>-195717.92407920538</v>
      </c>
      <c r="EZ53" s="20">
        <v>-189047.4325422855</v>
      </c>
      <c r="FA53" s="20">
        <v>-193519.84620122597</v>
      </c>
      <c r="FB53" s="20">
        <v>-200110.97263201411</v>
      </c>
      <c r="FC53" s="20">
        <v>-205411.7101138565</v>
      </c>
      <c r="FD53" s="20">
        <v>-203222.70727448518</v>
      </c>
      <c r="FE53" s="20">
        <v>-199215.63178492754</v>
      </c>
      <c r="FF53" s="20">
        <v>-198910.05512302931</v>
      </c>
      <c r="FG53" s="20">
        <v>-206843.86081904941</v>
      </c>
      <c r="FH53" s="20">
        <v>-199749.4205962588</v>
      </c>
      <c r="FI53" s="20">
        <v>-203379.10974500462</v>
      </c>
      <c r="FJ53" s="20">
        <v>-194013.9896066951</v>
      </c>
      <c r="FK53" s="454">
        <v>-193487.03214126927</v>
      </c>
      <c r="FL53" s="20"/>
      <c r="FM53" s="20"/>
      <c r="FN53" s="20">
        <f>'Financial plan'!EZ48</f>
        <v>-209590.33296170924</v>
      </c>
      <c r="FO53" s="20">
        <f t="shared" ref="FO53:FO62" si="343">FK53-FJ53</f>
        <v>526.9574654258322</v>
      </c>
      <c r="FP53" s="20">
        <f t="shared" ref="FP53:FP62" si="344">FK53-FN53</f>
        <v>16103.300820439967</v>
      </c>
      <c r="FQ53" s="20" t="e">
        <f>FL53-#REF!</f>
        <v>#REF!</v>
      </c>
      <c r="FR53" s="20">
        <f t="shared" ref="FR53:FR62" si="345">FM53-FO53</f>
        <v>-526.9574654258322</v>
      </c>
      <c r="FS53" s="20">
        <f t="shared" si="13"/>
        <v>16103.300820439967</v>
      </c>
      <c r="FT53" s="20">
        <f>SUM($FJ53:FK53)</f>
        <v>-387501.02174796438</v>
      </c>
      <c r="FU53" s="20">
        <f>SUM('Financial plan'!$EY48:EZ48)</f>
        <v>-419180.66592341848</v>
      </c>
      <c r="FV53" s="20">
        <f t="shared" si="41"/>
        <v>31679.644175454101</v>
      </c>
      <c r="FX53" s="116"/>
    </row>
    <row r="54" spans="3:180" x14ac:dyDescent="0.35">
      <c r="E54" t="s">
        <v>116</v>
      </c>
      <c r="F54" s="19">
        <v>-222000</v>
      </c>
      <c r="G54" s="19">
        <f>SUM(R54:U54)</f>
        <v>-311697</v>
      </c>
      <c r="H54" s="19">
        <f t="shared" si="321"/>
        <v>-474212</v>
      </c>
      <c r="I54" s="19">
        <f t="shared" si="322"/>
        <v>-509991</v>
      </c>
      <c r="J54" s="19">
        <f t="shared" si="323"/>
        <v>-505231.02999999997</v>
      </c>
      <c r="K54" s="19">
        <f t="shared" si="324"/>
        <v>-472606.64</v>
      </c>
      <c r="L54" s="19">
        <f t="shared" si="317"/>
        <v>-478766.52</v>
      </c>
      <c r="M54" s="19">
        <f t="shared" ca="1" si="318"/>
        <v>-605595.17839259224</v>
      </c>
      <c r="N54" s="19">
        <f t="shared" ref="N54:N61" ca="1" si="346">SUM(AT54:AW54)</f>
        <v>-631653.49619211652</v>
      </c>
      <c r="O54" s="19">
        <f t="shared" si="320"/>
        <v>-636961.00791004649</v>
      </c>
      <c r="P54" s="19">
        <f>SUM($FJ54:FK54)</f>
        <v>-79138.736082511838</v>
      </c>
      <c r="Q54" s="20"/>
      <c r="R54" s="20">
        <f t="shared" si="325"/>
        <v>-68832</v>
      </c>
      <c r="S54" s="20">
        <f t="shared" si="326"/>
        <v>-69024</v>
      </c>
      <c r="T54" s="20">
        <f t="shared" si="327"/>
        <v>-83732</v>
      </c>
      <c r="U54" s="20">
        <f t="shared" si="328"/>
        <v>-90109</v>
      </c>
      <c r="V54" s="20">
        <f t="shared" si="329"/>
        <v>-98436</v>
      </c>
      <c r="W54" s="20">
        <f>SUM(BU54:BW54)</f>
        <v>-92223</v>
      </c>
      <c r="X54" s="20">
        <f t="shared" si="331"/>
        <v>-110013</v>
      </c>
      <c r="Y54" s="20">
        <f t="shared" si="332"/>
        <v>-173540</v>
      </c>
      <c r="Z54" s="20">
        <f t="shared" si="333"/>
        <v>-138902</v>
      </c>
      <c r="AA54" s="20">
        <f t="shared" si="334"/>
        <v>-116654</v>
      </c>
      <c r="AB54" s="20">
        <f t="shared" si="335"/>
        <v>-144689</v>
      </c>
      <c r="AC54" s="20">
        <f t="shared" si="336"/>
        <v>-109746</v>
      </c>
      <c r="AD54" s="20">
        <f t="shared" si="337"/>
        <v>-134024</v>
      </c>
      <c r="AE54" s="20">
        <f t="shared" si="338"/>
        <v>-137757</v>
      </c>
      <c r="AF54" s="20">
        <f t="shared" si="339"/>
        <v>-112461.35999999999</v>
      </c>
      <c r="AG54" s="20">
        <f t="shared" si="340"/>
        <v>-120988.67</v>
      </c>
      <c r="AH54" s="20">
        <f t="shared" si="341"/>
        <v>-116735.15</v>
      </c>
      <c r="AI54" s="20">
        <f t="shared" si="342"/>
        <v>-110137.54999999999</v>
      </c>
      <c r="AJ54" s="20">
        <f t="shared" si="302"/>
        <v>-128387.67000000001</v>
      </c>
      <c r="AK54" s="20">
        <f t="shared" si="303"/>
        <v>-117346.26999999999</v>
      </c>
      <c r="AL54" s="20">
        <f t="shared" si="304"/>
        <v>-110646.12000000002</v>
      </c>
      <c r="AM54" s="20">
        <f t="shared" si="305"/>
        <v>-120079.58000000002</v>
      </c>
      <c r="AN54" s="20">
        <f>SUM(DT54:DV54)</f>
        <v>-110476.57</v>
      </c>
      <c r="AO54" s="20">
        <f t="shared" si="307"/>
        <v>-137564.25</v>
      </c>
      <c r="AP54" s="20">
        <f t="shared" si="308"/>
        <v>-124010.88474118625</v>
      </c>
      <c r="AQ54" s="20">
        <f t="shared" ca="1" si="299"/>
        <v>-146763.18347444141</v>
      </c>
      <c r="AR54" s="20">
        <f t="shared" ca="1" si="299"/>
        <v>-163414.95865650743</v>
      </c>
      <c r="AS54" s="20">
        <f t="shared" ca="1" si="299"/>
        <v>-171406.15152045709</v>
      </c>
      <c r="AT54" s="20">
        <f t="shared" si="11"/>
        <v>-158224.3991836565</v>
      </c>
      <c r="AU54" s="20">
        <f t="shared" ca="1" si="300"/>
        <v>-126750.48388536292</v>
      </c>
      <c r="AV54" s="20">
        <f t="shared" ca="1" si="300"/>
        <v>-152028.23562791137</v>
      </c>
      <c r="AW54" s="20">
        <f t="shared" ca="1" si="300"/>
        <v>-194650.3774951857</v>
      </c>
      <c r="AX54" s="20">
        <f t="shared" si="309"/>
        <v>-140550.5840945357</v>
      </c>
      <c r="AY54" s="20">
        <f>SUM(FA54:FC54)</f>
        <v>-159301.67926692462</v>
      </c>
      <c r="AZ54" s="20">
        <f t="shared" ref="AZ54:AZ58" si="347">SUM(FD54:FF54)</f>
        <v>-171039.32737943239</v>
      </c>
      <c r="BA54" s="20">
        <f t="shared" ref="BA54:BA58" si="348">SUM(FG54:FI54)</f>
        <v>-166069.41716915375</v>
      </c>
      <c r="BB54" s="20">
        <f t="shared" si="301"/>
        <v>-79138.736082511838</v>
      </c>
      <c r="BC54" s="20"/>
      <c r="BD54" s="20"/>
      <c r="BE54" s="20"/>
      <c r="BF54" s="20">
        <v>-23237</v>
      </c>
      <c r="BG54" s="20">
        <v>-17214</v>
      </c>
      <c r="BH54" s="20">
        <v>-28381</v>
      </c>
      <c r="BI54" s="20">
        <v>-16497</v>
      </c>
      <c r="BJ54" s="20">
        <v>-27748</v>
      </c>
      <c r="BK54" s="20">
        <v>-24779</v>
      </c>
      <c r="BL54" s="20">
        <v>-29500</v>
      </c>
      <c r="BM54" s="20">
        <v>-27438</v>
      </c>
      <c r="BN54" s="20">
        <v>-26794</v>
      </c>
      <c r="BO54" s="20">
        <v>-33345</v>
      </c>
      <c r="BP54" s="20">
        <v>-22056</v>
      </c>
      <c r="BQ54" s="20">
        <v>-34708</v>
      </c>
      <c r="BR54" s="20">
        <f>-37387-1873+35</f>
        <v>-39225</v>
      </c>
      <c r="BS54" s="20">
        <f>-29409-1929+681</f>
        <v>-30657</v>
      </c>
      <c r="BT54" s="20">
        <f>-26830-1724</f>
        <v>-28554</v>
      </c>
      <c r="BU54" s="20">
        <v>-30764</v>
      </c>
      <c r="BV54" s="20">
        <v>-32015</v>
      </c>
      <c r="BW54" s="20">
        <v>-29444</v>
      </c>
      <c r="BX54" s="20">
        <v>-37706</v>
      </c>
      <c r="BY54" s="20">
        <v>-36937</v>
      </c>
      <c r="BZ54" s="20">
        <v>-35370</v>
      </c>
      <c r="CA54" s="20">
        <v>-42969</v>
      </c>
      <c r="CB54" s="20">
        <v>-35858</v>
      </c>
      <c r="CC54" s="20">
        <v>-94713</v>
      </c>
      <c r="CD54" s="20">
        <v>-47790</v>
      </c>
      <c r="CE54" s="20">
        <v>-45466</v>
      </c>
      <c r="CF54" s="20">
        <v>-45646</v>
      </c>
      <c r="CG54" s="20">
        <v>-37559</v>
      </c>
      <c r="CH54" s="20">
        <v>-34560</v>
      </c>
      <c r="CI54" s="20">
        <v>-44535</v>
      </c>
      <c r="CJ54" s="20">
        <v>-43657</v>
      </c>
      <c r="CK54" s="20">
        <v>-49483</v>
      </c>
      <c r="CL54" s="20">
        <v>-51549</v>
      </c>
      <c r="CM54" s="20">
        <v>-51640</v>
      </c>
      <c r="CN54" s="20">
        <f>-50726+5000</f>
        <v>-45726</v>
      </c>
      <c r="CO54" s="20">
        <v>-12380</v>
      </c>
      <c r="CP54" s="20">
        <f>-58736+5000</f>
        <v>-53736</v>
      </c>
      <c r="CQ54" s="20">
        <v>-38231</v>
      </c>
      <c r="CR54" s="20">
        <f>-49057+7000</f>
        <v>-42057</v>
      </c>
      <c r="CS54" s="20">
        <v>-46071</v>
      </c>
      <c r="CT54" s="20">
        <v>-45246</v>
      </c>
      <c r="CU54" s="20">
        <f>-38440-8000</f>
        <v>-46440</v>
      </c>
      <c r="CV54" s="20">
        <v>-38902</v>
      </c>
      <c r="CW54" s="20">
        <v>-34238.329999999994</v>
      </c>
      <c r="CX54" s="20">
        <v>-39321.030000000006</v>
      </c>
      <c r="CY54" s="20">
        <v>-41118.559999999998</v>
      </c>
      <c r="CZ54" s="20">
        <v>-40758.870000000003</v>
      </c>
      <c r="DA54" s="20">
        <v>-39111.240000000005</v>
      </c>
      <c r="DB54" s="20">
        <v>-40303.81</v>
      </c>
      <c r="DC54" s="20">
        <v>-38808.869999999995</v>
      </c>
      <c r="DD54" s="20">
        <v>-37622.470000000008</v>
      </c>
      <c r="DE54" s="20">
        <v>-35045.359999999993</v>
      </c>
      <c r="DF54" s="20">
        <v>-36997.329999999994</v>
      </c>
      <c r="DG54" s="20">
        <v>-38094.86</v>
      </c>
      <c r="DH54" s="20">
        <f>-48708.81+3378</f>
        <v>-45330.81</v>
      </c>
      <c r="DI54" s="20">
        <v>-38449.249999999993</v>
      </c>
      <c r="DJ54" s="20">
        <v>-44607.610000000008</v>
      </c>
      <c r="DK54" s="20">
        <v>-36368.430000000008</v>
      </c>
      <c r="DL54" s="20">
        <v>-41885.119999999995</v>
      </c>
      <c r="DM54" s="20">
        <v>-39092.719999999994</v>
      </c>
      <c r="DN54" s="20">
        <v>-38539.950000000004</v>
      </c>
      <c r="DO54" s="20">
        <v>-35243.010000000009</v>
      </c>
      <c r="DP54" s="20">
        <v>-36863.160000000003</v>
      </c>
      <c r="DQ54" s="20">
        <v>-39738.750000000007</v>
      </c>
      <c r="DR54" s="20">
        <v>-41766.68</v>
      </c>
      <c r="DS54" s="20">
        <v>-38574.150000000009</v>
      </c>
      <c r="DT54" s="20">
        <v>-38320.439999999995</v>
      </c>
      <c r="DU54" s="20">
        <v>-30317.37</v>
      </c>
      <c r="DV54" s="20">
        <v>-41838.76</v>
      </c>
      <c r="DW54" s="20">
        <v>-38779.08</v>
      </c>
      <c r="DX54" s="20">
        <v>-40593.39</v>
      </c>
      <c r="DY54" s="469">
        <v>-58191.78</v>
      </c>
      <c r="DZ54" s="20">
        <v>-36855.611702593385</v>
      </c>
      <c r="EA54" s="20">
        <v>-47233.30343758699</v>
      </c>
      <c r="EB54" s="20">
        <v>-39921.969601005869</v>
      </c>
      <c r="EC54" s="20">
        <v>-45583.439990238337</v>
      </c>
      <c r="ED54" s="20">
        <v>-47250.191212598678</v>
      </c>
      <c r="EE54" s="20">
        <v>-53929.5522716044</v>
      </c>
      <c r="EF54" s="20">
        <v>-54034.779174152784</v>
      </c>
      <c r="EG54" s="20">
        <v>-51833.282901038743</v>
      </c>
      <c r="EH54" s="20">
        <v>-57546.896581315901</v>
      </c>
      <c r="EI54" s="20">
        <v>-46701.917007333534</v>
      </c>
      <c r="EJ54" s="20">
        <v>-54096.736616716771</v>
      </c>
      <c r="EK54" s="469">
        <v>-70607.497896406785</v>
      </c>
      <c r="EL54" s="469">
        <v>-61044.451825773845</v>
      </c>
      <c r="EM54" s="469">
        <v>-55056.152872721672</v>
      </c>
      <c r="EN54" s="469">
        <v>-42123.794485160965</v>
      </c>
      <c r="EO54" s="469">
        <v>-39609.781361383582</v>
      </c>
      <c r="EP54" s="469">
        <v>-56271.911064247281</v>
      </c>
      <c r="EQ54" s="469">
        <v>-30868.791459732045</v>
      </c>
      <c r="ER54" s="20">
        <v>-58938.539773551362</v>
      </c>
      <c r="ES54" s="20">
        <v>-42811.638776187712</v>
      </c>
      <c r="ET54" s="20">
        <v>-50278.057078172315</v>
      </c>
      <c r="EU54" s="20">
        <v>-80319.09453835545</v>
      </c>
      <c r="EV54" s="20">
        <v>-56173.992956830269</v>
      </c>
      <c r="EW54" s="20">
        <v>-58157.289999999994</v>
      </c>
      <c r="EX54" s="20">
        <v>-43886.042028676246</v>
      </c>
      <c r="EY54" s="20">
        <v>-55450.81862089147</v>
      </c>
      <c r="EZ54" s="20">
        <v>-41213.723444967996</v>
      </c>
      <c r="FA54" s="20">
        <v>-52553.787228088157</v>
      </c>
      <c r="FB54" s="20">
        <v>-52245.287522855731</v>
      </c>
      <c r="FC54" s="20">
        <v>-54502.604515980711</v>
      </c>
      <c r="FD54" s="20">
        <v>-50716.750442315686</v>
      </c>
      <c r="FE54" s="20">
        <v>-53708.58233201455</v>
      </c>
      <c r="FF54" s="20">
        <v>-66613.994605102169</v>
      </c>
      <c r="FG54" s="20">
        <v>-58622.521672159011</v>
      </c>
      <c r="FH54" s="20">
        <v>-63665.970562668233</v>
      </c>
      <c r="FI54" s="20">
        <v>-43780.924934326482</v>
      </c>
      <c r="FJ54" s="20">
        <f>-61208.1719057155+16168</f>
        <v>-45040.171905715499</v>
      </c>
      <c r="FK54" s="746">
        <v>-34098.564176796332</v>
      </c>
      <c r="FL54" s="20"/>
      <c r="FM54" s="20"/>
      <c r="FN54" s="20">
        <f>'Financial plan'!EZ49</f>
        <v>-54281</v>
      </c>
      <c r="FO54" s="20">
        <f t="shared" si="343"/>
        <v>10941.607728919167</v>
      </c>
      <c r="FP54" s="20">
        <f t="shared" si="344"/>
        <v>20182.435823203668</v>
      </c>
      <c r="FQ54" s="20" t="e">
        <f>FL54-#REF!</f>
        <v>#REF!</v>
      </c>
      <c r="FR54" s="20">
        <f t="shared" si="345"/>
        <v>-10941.607728919167</v>
      </c>
      <c r="FS54" s="20">
        <f t="shared" si="13"/>
        <v>20182.435823203668</v>
      </c>
      <c r="FT54" s="20">
        <f>SUM($FJ54:FK54)</f>
        <v>-79138.736082511838</v>
      </c>
      <c r="FU54" s="20">
        <f>SUM('Financial plan'!$EY49:EZ49)</f>
        <v>-108562</v>
      </c>
      <c r="FV54" s="20">
        <f t="shared" si="41"/>
        <v>29423.263917488162</v>
      </c>
      <c r="FX54" s="116"/>
    </row>
    <row r="55" spans="3:180" x14ac:dyDescent="0.35">
      <c r="E55" t="s">
        <v>117</v>
      </c>
      <c r="F55" s="19">
        <v>-292000</v>
      </c>
      <c r="G55" s="19">
        <f>SUM(R55:U55)</f>
        <v>-288564</v>
      </c>
      <c r="H55" s="19">
        <f t="shared" si="321"/>
        <v>-260407</v>
      </c>
      <c r="I55" s="19">
        <f t="shared" si="322"/>
        <v>-296323</v>
      </c>
      <c r="J55" s="19">
        <f t="shared" si="323"/>
        <v>-85664.930000000008</v>
      </c>
      <c r="K55" s="19">
        <f t="shared" si="324"/>
        <v>-77496.520000000019</v>
      </c>
      <c r="L55" s="19">
        <f t="shared" si="317"/>
        <v>-211597.69</v>
      </c>
      <c r="M55" s="19">
        <f t="shared" ca="1" si="318"/>
        <v>-193224.44893546536</v>
      </c>
      <c r="N55" s="19">
        <f t="shared" ca="1" si="346"/>
        <v>-193981.91182979048</v>
      </c>
      <c r="O55" s="19">
        <f t="shared" si="320"/>
        <v>-142503.27407768622</v>
      </c>
      <c r="P55" s="19">
        <f>SUM($FJ55:FK55)</f>
        <v>-20996.627530110989</v>
      </c>
      <c r="Q55" s="20"/>
      <c r="R55" s="20">
        <f t="shared" si="325"/>
        <v>-68344</v>
      </c>
      <c r="S55" s="20">
        <f t="shared" si="326"/>
        <v>-53104</v>
      </c>
      <c r="T55" s="20">
        <f t="shared" si="327"/>
        <v>-83928</v>
      </c>
      <c r="U55" s="20">
        <f t="shared" si="328"/>
        <v>-83188</v>
      </c>
      <c r="V55" s="20">
        <f t="shared" si="329"/>
        <v>-45830</v>
      </c>
      <c r="W55" s="20">
        <f t="shared" si="330"/>
        <v>-65553</v>
      </c>
      <c r="X55" s="20">
        <f t="shared" si="331"/>
        <v>-81379</v>
      </c>
      <c r="Y55" s="20">
        <f t="shared" si="332"/>
        <v>-67645</v>
      </c>
      <c r="Z55" s="20">
        <f t="shared" si="333"/>
        <v>-53110</v>
      </c>
      <c r="AA55" s="20">
        <f t="shared" si="334"/>
        <v>-73217</v>
      </c>
      <c r="AB55" s="20">
        <f t="shared" si="335"/>
        <v>-73924</v>
      </c>
      <c r="AC55" s="20">
        <f t="shared" si="336"/>
        <v>-96072</v>
      </c>
      <c r="AD55" s="20">
        <f t="shared" si="337"/>
        <v>-72823</v>
      </c>
      <c r="AE55" s="20">
        <f t="shared" si="338"/>
        <v>-5615</v>
      </c>
      <c r="AF55" s="20">
        <f t="shared" si="339"/>
        <v>-4235.57</v>
      </c>
      <c r="AG55" s="20">
        <f t="shared" si="340"/>
        <v>-2991.3599999999997</v>
      </c>
      <c r="AH55" s="20">
        <f t="shared" si="341"/>
        <v>-6319.49</v>
      </c>
      <c r="AI55" s="20">
        <f t="shared" si="342"/>
        <v>-5229.2800000000007</v>
      </c>
      <c r="AJ55" s="20">
        <f t="shared" si="302"/>
        <v>-26452.800000000003</v>
      </c>
      <c r="AK55" s="20">
        <f t="shared" si="303"/>
        <v>-39494.950000000004</v>
      </c>
      <c r="AL55" s="20">
        <f t="shared" si="304"/>
        <v>-35687.31</v>
      </c>
      <c r="AM55" s="20">
        <f t="shared" si="305"/>
        <v>-39359.630000000005</v>
      </c>
      <c r="AN55" s="20">
        <f>SUM(DT55:DV55)</f>
        <v>-86166.63</v>
      </c>
      <c r="AO55" s="20">
        <f t="shared" si="307"/>
        <v>-50384.12</v>
      </c>
      <c r="AP55" s="20">
        <f t="shared" si="308"/>
        <v>-62644.926014302211</v>
      </c>
      <c r="AQ55" s="20">
        <f t="shared" ca="1" si="299"/>
        <v>-27005.701970167454</v>
      </c>
      <c r="AR55" s="20">
        <f t="shared" ca="1" si="299"/>
        <v>-49236.064655616472</v>
      </c>
      <c r="AS55" s="20">
        <f t="shared" ca="1" si="299"/>
        <v>-54337.756295379208</v>
      </c>
      <c r="AT55" s="20">
        <f t="shared" si="11"/>
        <v>-37336.295250415198</v>
      </c>
      <c r="AU55" s="20">
        <f t="shared" ca="1" si="300"/>
        <v>-65496.498445303092</v>
      </c>
      <c r="AV55" s="20">
        <f t="shared" ca="1" si="300"/>
        <v>-45847.813565197823</v>
      </c>
      <c r="AW55" s="20">
        <f t="shared" ca="1" si="300"/>
        <v>-45301.304568874388</v>
      </c>
      <c r="AX55" s="20">
        <f t="shared" si="309"/>
        <v>-42846.397474235193</v>
      </c>
      <c r="AY55" s="20">
        <f t="shared" si="310"/>
        <v>-24994.697787871526</v>
      </c>
      <c r="AZ55" s="20">
        <f t="shared" si="347"/>
        <v>-31565.896506914214</v>
      </c>
      <c r="BA55" s="20">
        <f t="shared" si="348"/>
        <v>-43096.282308665301</v>
      </c>
      <c r="BB55" s="20">
        <f t="shared" si="301"/>
        <v>-20996.627530110989</v>
      </c>
      <c r="BC55" s="20"/>
      <c r="BD55" s="20"/>
      <c r="BE55" s="20"/>
      <c r="BF55" s="20">
        <v>-29372</v>
      </c>
      <c r="BG55" s="20">
        <v>-15499</v>
      </c>
      <c r="BH55" s="20">
        <v>-23473</v>
      </c>
      <c r="BI55" s="20">
        <v>-14341</v>
      </c>
      <c r="BJ55" s="20">
        <v>-15423</v>
      </c>
      <c r="BK55" s="20">
        <v>-23340</v>
      </c>
      <c r="BL55" s="20">
        <v>-28170</v>
      </c>
      <c r="BM55" s="20">
        <v>-28023</v>
      </c>
      <c r="BN55" s="20">
        <v>-27735</v>
      </c>
      <c r="BO55" s="20">
        <v>-27401</v>
      </c>
      <c r="BP55" s="20">
        <v>-34105</v>
      </c>
      <c r="BQ55" s="20">
        <v>-21682</v>
      </c>
      <c r="BR55" s="20">
        <v>-22588</v>
      </c>
      <c r="BS55" s="20">
        <v>-8566</v>
      </c>
      <c r="BT55" s="20">
        <v>-14676</v>
      </c>
      <c r="BU55" s="20">
        <v>-21130</v>
      </c>
      <c r="BV55" s="20">
        <v>-28027</v>
      </c>
      <c r="BW55" s="20">
        <v>-16396</v>
      </c>
      <c r="BX55" s="20">
        <v>-25878</v>
      </c>
      <c r="BY55" s="20">
        <v>-21719</v>
      </c>
      <c r="BZ55" s="20">
        <v>-33782</v>
      </c>
      <c r="CA55" s="20">
        <v>-19523</v>
      </c>
      <c r="CB55" s="20">
        <v>-14635</v>
      </c>
      <c r="CC55" s="20">
        <v>-33487</v>
      </c>
      <c r="CD55" s="20">
        <v>-21879</v>
      </c>
      <c r="CE55" s="20">
        <v>-16404</v>
      </c>
      <c r="CF55" s="20">
        <v>-14827</v>
      </c>
      <c r="CG55" s="20">
        <v>-22730</v>
      </c>
      <c r="CH55" s="20">
        <v>-23056</v>
      </c>
      <c r="CI55" s="20">
        <v>-27431</v>
      </c>
      <c r="CJ55" s="20">
        <v>-14671</v>
      </c>
      <c r="CK55" s="20">
        <v>-33512</v>
      </c>
      <c r="CL55" s="20">
        <v>-25741</v>
      </c>
      <c r="CM55" s="20">
        <v>-34985</v>
      </c>
      <c r="CN55" s="20">
        <v>-33429</v>
      </c>
      <c r="CO55" s="20">
        <v>-27658</v>
      </c>
      <c r="CP55" s="20">
        <v>-33262</v>
      </c>
      <c r="CQ55" s="20">
        <v>-23588</v>
      </c>
      <c r="CR55" s="20">
        <v>-15973</v>
      </c>
      <c r="CS55" s="20">
        <v>-2034</v>
      </c>
      <c r="CT55" s="20">
        <v>-1024</v>
      </c>
      <c r="CU55" s="20">
        <v>-2557</v>
      </c>
      <c r="CV55" s="20">
        <v>-1121</v>
      </c>
      <c r="CW55" s="20">
        <v>-1005.9699999999993</v>
      </c>
      <c r="CX55" s="20">
        <v>-2108.6</v>
      </c>
      <c r="CY55" s="20">
        <v>-1458.89</v>
      </c>
      <c r="CZ55" s="20">
        <v>-3901.47</v>
      </c>
      <c r="DA55" s="20">
        <v>2369</v>
      </c>
      <c r="DB55" s="20">
        <v>-1459.3799999999999</v>
      </c>
      <c r="DC55" s="20">
        <v>-1623.78</v>
      </c>
      <c r="DD55" s="20">
        <v>-3236.33</v>
      </c>
      <c r="DE55" s="20">
        <v>-39.99</v>
      </c>
      <c r="DF55" s="20">
        <v>-1463.38</v>
      </c>
      <c r="DG55" s="20">
        <v>-3725.9100000000003</v>
      </c>
      <c r="DH55" s="20">
        <v>-15786.18</v>
      </c>
      <c r="DI55" s="20">
        <v>-6158.2900000000009</v>
      </c>
      <c r="DJ55" s="20">
        <v>-4508.33</v>
      </c>
      <c r="DK55" s="20">
        <v>-10649.98</v>
      </c>
      <c r="DL55" s="20">
        <v>-17539.480000000003</v>
      </c>
      <c r="DM55" s="20">
        <v>-11305.490000000002</v>
      </c>
      <c r="DN55" s="20">
        <v>-15810.359999999999</v>
      </c>
      <c r="DO55" s="20">
        <v>-12566.969999999998</v>
      </c>
      <c r="DP55" s="20">
        <v>-7309.9800000000005</v>
      </c>
      <c r="DQ55" s="20">
        <v>-10670.43</v>
      </c>
      <c r="DR55" s="20">
        <v>-15133.9</v>
      </c>
      <c r="DS55" s="20">
        <v>-13555.3</v>
      </c>
      <c r="DT55" s="20">
        <v>-45820.720000000008</v>
      </c>
      <c r="DU55" s="20">
        <v>-23120.339999999997</v>
      </c>
      <c r="DV55" s="20">
        <v>-17225.57</v>
      </c>
      <c r="DW55" s="20">
        <v>-25611.100000000002</v>
      </c>
      <c r="DX55" s="20">
        <v>-14843.939999999999</v>
      </c>
      <c r="DY55" s="469">
        <v>-9929.08</v>
      </c>
      <c r="DZ55" s="20">
        <v>-13506.796715152655</v>
      </c>
      <c r="EA55" s="20">
        <v>-25274.806235982483</v>
      </c>
      <c r="EB55" s="20">
        <v>-23863.323063167078</v>
      </c>
      <c r="EC55" s="20">
        <v>-5951.3515087029728</v>
      </c>
      <c r="ED55" s="20">
        <v>-10687.714421056267</v>
      </c>
      <c r="EE55" s="20">
        <v>-10366.636040408215</v>
      </c>
      <c r="EF55" s="20">
        <v>-4658.59019842405</v>
      </c>
      <c r="EG55" s="20">
        <v>-20961.565767415963</v>
      </c>
      <c r="EH55" s="20">
        <v>-23615.908689776461</v>
      </c>
      <c r="EI55" s="20">
        <v>-19785.629135081439</v>
      </c>
      <c r="EJ55" s="20">
        <v>-17341.969407719218</v>
      </c>
      <c r="EK55" s="469">
        <v>-17210.157752578551</v>
      </c>
      <c r="EL55" s="469">
        <v>-15209.384498983713</v>
      </c>
      <c r="EM55" s="469">
        <v>-14162.650482907076</v>
      </c>
      <c r="EN55" s="469">
        <v>-7964.2602685244065</v>
      </c>
      <c r="EO55" s="469">
        <v>-12422.007810637988</v>
      </c>
      <c r="EP55" s="469">
        <v>-26602.867203158447</v>
      </c>
      <c r="EQ55" s="469">
        <v>-26471.62343150665</v>
      </c>
      <c r="ER55" s="20">
        <v>-9418.8238576532513</v>
      </c>
      <c r="ES55" s="20">
        <v>-4221.4328795546644</v>
      </c>
      <c r="ET55" s="20">
        <v>-32207.556827989905</v>
      </c>
      <c r="EU55" s="20">
        <v>-7937.730792460362</v>
      </c>
      <c r="EV55" s="20">
        <v>-7901.2337764140339</v>
      </c>
      <c r="EW55" s="20">
        <v>-29462.339999999997</v>
      </c>
      <c r="EX55" s="20">
        <v>-18913.030095079215</v>
      </c>
      <c r="EY55" s="20">
        <v>-15657.887107966122</v>
      </c>
      <c r="EZ55" s="20">
        <v>-8275.4802711898574</v>
      </c>
      <c r="FA55" s="20">
        <v>-5819.3741020739872</v>
      </c>
      <c r="FB55" s="20">
        <v>-8572.2170764471666</v>
      </c>
      <c r="FC55" s="20">
        <v>-10603.10660935037</v>
      </c>
      <c r="FD55" s="20">
        <v>-6351.3024754319777</v>
      </c>
      <c r="FE55" s="20">
        <v>-6805.3024068341056</v>
      </c>
      <c r="FF55" s="20">
        <v>-18409.291624648129</v>
      </c>
      <c r="FG55" s="20">
        <v>-15343.836396330678</v>
      </c>
      <c r="FH55" s="20">
        <v>-14667.774357753675</v>
      </c>
      <c r="FI55" s="20">
        <v>-13084.671554580951</v>
      </c>
      <c r="FJ55" s="20">
        <v>-8666.9383129394519</v>
      </c>
      <c r="FK55" s="454">
        <v>-12329.689217171537</v>
      </c>
      <c r="FL55" s="20"/>
      <c r="FN55" s="20">
        <f>'Financial plan'!EZ50</f>
        <v>-13517.84540133078</v>
      </c>
      <c r="FO55" s="20">
        <f t="shared" si="343"/>
        <v>-3662.7509042320853</v>
      </c>
      <c r="FP55" s="20">
        <f t="shared" si="344"/>
        <v>1188.1561841592429</v>
      </c>
      <c r="FQ55" s="20" t="e">
        <f>FL55-#REF!</f>
        <v>#REF!</v>
      </c>
      <c r="FR55" s="20">
        <f t="shared" si="345"/>
        <v>3662.7509042320853</v>
      </c>
      <c r="FS55" s="20">
        <f t="shared" si="13"/>
        <v>1188.1561841592429</v>
      </c>
      <c r="FT55" s="20">
        <f>SUM($FJ55:FK55)</f>
        <v>-20996.627530110989</v>
      </c>
      <c r="FU55" s="20">
        <f>SUM('Financial plan'!$EY50:EZ50)</f>
        <v>-27035.69080266156</v>
      </c>
      <c r="FV55" s="20">
        <f t="shared" si="41"/>
        <v>6039.0632725505711</v>
      </c>
      <c r="FX55" s="20"/>
    </row>
    <row r="56" spans="3:180" x14ac:dyDescent="0.35">
      <c r="E56" t="s">
        <v>118</v>
      </c>
      <c r="F56" s="19">
        <v>-244000</v>
      </c>
      <c r="G56" s="19">
        <f>SUM(R56:U56)</f>
        <v>-302506</v>
      </c>
      <c r="H56" s="19">
        <f t="shared" si="321"/>
        <v>-251333</v>
      </c>
      <c r="I56" s="19">
        <f>SUM(Z56:AC56)</f>
        <v>-440372</v>
      </c>
      <c r="J56" s="19">
        <f t="shared" si="323"/>
        <v>-257464.16</v>
      </c>
      <c r="K56" s="19">
        <f t="shared" si="324"/>
        <v>-336745.73</v>
      </c>
      <c r="L56" s="19">
        <f t="shared" si="317"/>
        <v>-498744.11999999994</v>
      </c>
      <c r="M56" s="19">
        <f ca="1">SUM(AP56:AS56)</f>
        <v>-538745.73443062196</v>
      </c>
      <c r="N56" s="19">
        <f t="shared" ca="1" si="346"/>
        <v>-694313.38521924731</v>
      </c>
      <c r="O56" s="19">
        <f t="shared" si="320"/>
        <v>-615342.6717622336</v>
      </c>
      <c r="P56" s="19">
        <f>SUM($FJ56:FK56)</f>
        <v>-92569.279026093995</v>
      </c>
      <c r="Q56" s="20"/>
      <c r="R56" s="20">
        <f t="shared" si="325"/>
        <v>-51453</v>
      </c>
      <c r="S56" s="20">
        <f t="shared" si="326"/>
        <v>-87275</v>
      </c>
      <c r="T56" s="20">
        <f t="shared" si="327"/>
        <v>-81934</v>
      </c>
      <c r="U56" s="20">
        <f t="shared" si="328"/>
        <v>-81844</v>
      </c>
      <c r="V56" s="20">
        <f t="shared" si="329"/>
        <v>-50638</v>
      </c>
      <c r="W56" s="20">
        <f t="shared" si="330"/>
        <v>-57247</v>
      </c>
      <c r="X56" s="20">
        <f t="shared" si="331"/>
        <v>-49884</v>
      </c>
      <c r="Y56" s="20">
        <f t="shared" si="332"/>
        <v>-93564</v>
      </c>
      <c r="Z56" s="20">
        <f>SUM(CD56:CF56)</f>
        <v>-92598</v>
      </c>
      <c r="AA56" s="20">
        <f t="shared" si="334"/>
        <v>-137178</v>
      </c>
      <c r="AB56" s="20">
        <f t="shared" si="335"/>
        <v>-102397</v>
      </c>
      <c r="AC56" s="20">
        <f t="shared" si="336"/>
        <v>-108199</v>
      </c>
      <c r="AD56" s="20">
        <f t="shared" si="337"/>
        <v>-67328</v>
      </c>
      <c r="AE56" s="20">
        <f t="shared" si="338"/>
        <v>-59623</v>
      </c>
      <c r="AF56" s="20">
        <f t="shared" si="339"/>
        <v>-56929.41</v>
      </c>
      <c r="AG56" s="20">
        <f t="shared" si="340"/>
        <v>-73583.75</v>
      </c>
      <c r="AH56" s="20">
        <f t="shared" si="341"/>
        <v>-65309.039999999994</v>
      </c>
      <c r="AI56" s="20">
        <f t="shared" si="342"/>
        <v>-65790.27</v>
      </c>
      <c r="AJ56" s="20">
        <f t="shared" si="302"/>
        <v>-90176.53</v>
      </c>
      <c r="AK56" s="20">
        <f t="shared" si="303"/>
        <v>-115469.89000000001</v>
      </c>
      <c r="AL56" s="20">
        <f t="shared" si="304"/>
        <v>-95678.959999999992</v>
      </c>
      <c r="AM56" s="20">
        <f t="shared" si="305"/>
        <v>-100174.66</v>
      </c>
      <c r="AN56" s="20">
        <f t="shared" si="306"/>
        <v>-146152.64999999997</v>
      </c>
      <c r="AO56" s="20">
        <f t="shared" si="307"/>
        <v>-156737.84999999998</v>
      </c>
      <c r="AP56" s="20">
        <f t="shared" si="308"/>
        <v>-117829.96905674245</v>
      </c>
      <c r="AQ56" s="20">
        <f t="shared" ca="1" si="299"/>
        <v>-131220.00783037412</v>
      </c>
      <c r="AR56" s="20">
        <f t="shared" ca="1" si="299"/>
        <v>-144500.72865716703</v>
      </c>
      <c r="AS56" s="20">
        <f t="shared" ca="1" si="299"/>
        <v>-145195.02888633835</v>
      </c>
      <c r="AT56" s="20">
        <f t="shared" si="11"/>
        <v>-157187.79167640529</v>
      </c>
      <c r="AU56" s="20">
        <f t="shared" ca="1" si="300"/>
        <v>-155325.02823991177</v>
      </c>
      <c r="AV56" s="20">
        <f t="shared" ca="1" si="300"/>
        <v>-200491.34047124791</v>
      </c>
      <c r="AW56" s="20">
        <f t="shared" ca="1" si="300"/>
        <v>-181309.22483168231</v>
      </c>
      <c r="AX56" s="20">
        <f t="shared" si="309"/>
        <v>-134375.61495274038</v>
      </c>
      <c r="AY56" s="20">
        <f t="shared" si="310"/>
        <v>-144087.8472879433</v>
      </c>
      <c r="AZ56" s="20">
        <f t="shared" si="347"/>
        <v>-165863.97792544414</v>
      </c>
      <c r="BA56" s="20">
        <f t="shared" si="348"/>
        <v>-171015.23159610579</v>
      </c>
      <c r="BB56" s="20">
        <f t="shared" si="301"/>
        <v>-92569.279026093995</v>
      </c>
      <c r="BC56" s="20"/>
      <c r="BD56" s="20"/>
      <c r="BE56" s="20"/>
      <c r="BF56" s="20">
        <v>-12006</v>
      </c>
      <c r="BG56" s="20">
        <v>-26281</v>
      </c>
      <c r="BH56" s="20">
        <v>-13166</v>
      </c>
      <c r="BI56" s="20">
        <v>-20156</v>
      </c>
      <c r="BJ56" s="20">
        <v>-50294</v>
      </c>
      <c r="BK56" s="20">
        <v>-16825</v>
      </c>
      <c r="BL56" s="20">
        <v>-37606</v>
      </c>
      <c r="BM56" s="20">
        <v>-25741</v>
      </c>
      <c r="BN56" s="20">
        <v>-18587</v>
      </c>
      <c r="BO56" s="20">
        <v>-39137</v>
      </c>
      <c r="BP56" s="20">
        <v>-19399</v>
      </c>
      <c r="BQ56" s="20">
        <v>-23308</v>
      </c>
      <c r="BR56" s="20">
        <v>-11106</v>
      </c>
      <c r="BS56" s="20">
        <v>-28602</v>
      </c>
      <c r="BT56" s="20">
        <f>-33930+23000</f>
        <v>-10930</v>
      </c>
      <c r="BU56" s="20">
        <v>-17886</v>
      </c>
      <c r="BV56" s="20">
        <v>-19257</v>
      </c>
      <c r="BW56" s="20">
        <v>-20104</v>
      </c>
      <c r="BX56" s="20">
        <v>-19374</v>
      </c>
      <c r="BY56" s="20">
        <f>-7864-10000</f>
        <v>-17864</v>
      </c>
      <c r="BZ56" s="20">
        <v>-12646</v>
      </c>
      <c r="CA56" s="20">
        <v>-21854</v>
      </c>
      <c r="CB56" s="20">
        <v>-23296</v>
      </c>
      <c r="CC56" s="20">
        <v>-48414</v>
      </c>
      <c r="CD56" s="20">
        <f>-23345-15000</f>
        <v>-38345</v>
      </c>
      <c r="CE56" s="20">
        <f>-39980+15000</f>
        <v>-24980</v>
      </c>
      <c r="CF56" s="20">
        <v>-29273</v>
      </c>
      <c r="CG56" s="20">
        <v>-66282</v>
      </c>
      <c r="CH56" s="20">
        <v>-31149</v>
      </c>
      <c r="CI56" s="20">
        <v>-39747</v>
      </c>
      <c r="CJ56" s="20">
        <v>-21013</v>
      </c>
      <c r="CK56" s="20">
        <v>-48710</v>
      </c>
      <c r="CL56" s="20">
        <v>-32674</v>
      </c>
      <c r="CM56" s="20">
        <v>-32552</v>
      </c>
      <c r="CN56" s="20">
        <f>-44944+6000</f>
        <v>-38944</v>
      </c>
      <c r="CO56" s="20">
        <v>-36703</v>
      </c>
      <c r="CP56" s="20">
        <v>-25303</v>
      </c>
      <c r="CQ56" s="20">
        <v>-15019</v>
      </c>
      <c r="CR56" s="20">
        <v>-27006</v>
      </c>
      <c r="CS56" s="20">
        <v>-17238</v>
      </c>
      <c r="CT56" s="20">
        <v>-21432</v>
      </c>
      <c r="CU56" s="20">
        <v>-20953</v>
      </c>
      <c r="CV56" s="20">
        <v>-15572</v>
      </c>
      <c r="CW56" s="20">
        <v>-19863.41</v>
      </c>
      <c r="CX56" s="20">
        <v>-21494.000000000004</v>
      </c>
      <c r="CY56" s="20">
        <v>-24679.719999999998</v>
      </c>
      <c r="CZ56" s="20">
        <v>-20168.200000000004</v>
      </c>
      <c r="DA56" s="20">
        <v>-28735.83</v>
      </c>
      <c r="DB56" s="20">
        <v>-22759.81</v>
      </c>
      <c r="DC56" s="20">
        <v>-19893.339999999997</v>
      </c>
      <c r="DD56" s="20">
        <v>-22655.89</v>
      </c>
      <c r="DE56" s="20">
        <v>-22051.1</v>
      </c>
      <c r="DF56" s="20">
        <v>-20695.669999999998</v>
      </c>
      <c r="DG56" s="20">
        <v>-23043.500000000004</v>
      </c>
      <c r="DH56" s="20">
        <v>-28497.479999999996</v>
      </c>
      <c r="DI56" s="20">
        <v>-30451.079999999998</v>
      </c>
      <c r="DJ56" s="20">
        <v>-31227.969999999998</v>
      </c>
      <c r="DK56" s="20">
        <v>-35994.199999999997</v>
      </c>
      <c r="DL56" s="20">
        <v>-39741.360000000001</v>
      </c>
      <c r="DM56" s="20">
        <v>-39734.330000000009</v>
      </c>
      <c r="DN56" s="20">
        <v>-27361.8</v>
      </c>
      <c r="DO56" s="20">
        <v>-38407.15</v>
      </c>
      <c r="DP56" s="20">
        <v>-29910.01</v>
      </c>
      <c r="DQ56" s="20">
        <v>-25427.009999999995</v>
      </c>
      <c r="DR56" s="20">
        <v>-37923.350000000006</v>
      </c>
      <c r="DS56" s="20">
        <v>-36824.30000000001</v>
      </c>
      <c r="DT56" s="20">
        <v>-50217.539999999986</v>
      </c>
      <c r="DU56" s="20">
        <v>-39761.579999999994</v>
      </c>
      <c r="DV56" s="20">
        <v>-56173.53</v>
      </c>
      <c r="DW56" s="20">
        <v>-55827.299999999996</v>
      </c>
      <c r="DX56" s="20">
        <v>-50714.989999999991</v>
      </c>
      <c r="DY56" s="469">
        <v>-50195.560000000012</v>
      </c>
      <c r="DZ56" s="20">
        <v>-42015.8402116582</v>
      </c>
      <c r="EA56" s="20">
        <v>-39011.195910022252</v>
      </c>
      <c r="EB56" s="20">
        <v>-36802.932935061996</v>
      </c>
      <c r="EC56" s="20">
        <v>-40512.724767884501</v>
      </c>
      <c r="ED56" s="20">
        <v>-47218.030641437224</v>
      </c>
      <c r="EE56" s="20">
        <v>-43489.252421052399</v>
      </c>
      <c r="EF56" s="20">
        <v>-53937.17211835413</v>
      </c>
      <c r="EG56" s="20">
        <v>-36902.288197389782</v>
      </c>
      <c r="EH56" s="20">
        <v>-53661.268341423107</v>
      </c>
      <c r="EI56" s="20">
        <v>-54776.298676708022</v>
      </c>
      <c r="EJ56" s="20">
        <v>-46442.294292504201</v>
      </c>
      <c r="EK56" s="469">
        <v>-43976.435917126117</v>
      </c>
      <c r="EL56" s="469">
        <v>-50589.876065549171</v>
      </c>
      <c r="EM56" s="469">
        <v>-59144.659520876128</v>
      </c>
      <c r="EN56" s="469">
        <v>-47453.256089979994</v>
      </c>
      <c r="EO56" s="469">
        <v>-52540.059665628185</v>
      </c>
      <c r="EP56" s="469">
        <v>-47353.199433928901</v>
      </c>
      <c r="EQ56" s="469">
        <v>-55431.769140354663</v>
      </c>
      <c r="ER56" s="20">
        <v>-60363.278574719006</v>
      </c>
      <c r="ES56" s="20">
        <v>-68175.722824616649</v>
      </c>
      <c r="ET56" s="20">
        <v>-71952.33907191224</v>
      </c>
      <c r="EU56" s="20">
        <v>-69353.149078311879</v>
      </c>
      <c r="EV56" s="20">
        <v>-55680.10575337043</v>
      </c>
      <c r="EW56" s="20">
        <v>-56275.97</v>
      </c>
      <c r="EX56" s="20">
        <v>-47456.762103176829</v>
      </c>
      <c r="EY56" s="20">
        <v>-43683.880347048966</v>
      </c>
      <c r="EZ56" s="20">
        <v>-43234.972502514574</v>
      </c>
      <c r="FA56" s="20">
        <v>-49651.12762916369</v>
      </c>
      <c r="FB56" s="20">
        <v>-49969.181429238495</v>
      </c>
      <c r="FC56" s="20">
        <v>-44467.538229541111</v>
      </c>
      <c r="FD56" s="20">
        <v>-54730.191905556429</v>
      </c>
      <c r="FE56" s="20">
        <v>-53284.157376205956</v>
      </c>
      <c r="FF56" s="20">
        <v>-57849.628643681746</v>
      </c>
      <c r="FG56" s="20">
        <v>-55426.935525292189</v>
      </c>
      <c r="FH56" s="20">
        <v>-55048.484454446632</v>
      </c>
      <c r="FI56" s="20">
        <v>-60539.811616366947</v>
      </c>
      <c r="FJ56" s="20">
        <v>-48634.389077253451</v>
      </c>
      <c r="FK56" s="454">
        <v>-43934.889948840544</v>
      </c>
      <c r="FL56" s="20"/>
      <c r="FM56" s="20"/>
      <c r="FN56" s="20">
        <f>'Financial plan'!EZ51</f>
        <v>-50000</v>
      </c>
      <c r="FO56" s="20">
        <f t="shared" si="343"/>
        <v>4699.4991284129064</v>
      </c>
      <c r="FP56" s="20">
        <f t="shared" si="344"/>
        <v>6065.1100511594559</v>
      </c>
      <c r="FQ56" s="20" t="e">
        <f>FL56-#REF!</f>
        <v>#REF!</v>
      </c>
      <c r="FR56" s="20">
        <f t="shared" si="345"/>
        <v>-4699.4991284129064</v>
      </c>
      <c r="FS56" s="20">
        <f t="shared" si="13"/>
        <v>6065.1100511594559</v>
      </c>
      <c r="FT56" s="20">
        <f>SUM($FJ56:FK56)</f>
        <v>-92569.279026093995</v>
      </c>
      <c r="FU56" s="20">
        <f>SUM('Financial plan'!$EY51:EZ51)</f>
        <v>-100000</v>
      </c>
      <c r="FV56" s="20">
        <f t="shared" si="41"/>
        <v>7430.7209739060054</v>
      </c>
      <c r="FX56" s="20"/>
    </row>
    <row r="57" spans="3:180" x14ac:dyDescent="0.35">
      <c r="E57" t="s">
        <v>119</v>
      </c>
      <c r="F57" s="19">
        <v>-152000</v>
      </c>
      <c r="G57" s="19">
        <v>-152000</v>
      </c>
      <c r="H57" s="19">
        <f t="shared" si="321"/>
        <v>-330374</v>
      </c>
      <c r="I57" s="19">
        <f t="shared" si="322"/>
        <v>-497381</v>
      </c>
      <c r="J57" s="19">
        <f>SUM(AD57:AG57)</f>
        <v>-323004.12</v>
      </c>
      <c r="K57" s="19">
        <f t="shared" si="324"/>
        <v>-814155.23</v>
      </c>
      <c r="L57" s="19">
        <f t="shared" si="317"/>
        <v>-781863.61</v>
      </c>
      <c r="M57" s="19">
        <f ca="1">SUM(AP57:AS57)</f>
        <v>-649091.90907000739</v>
      </c>
      <c r="N57" s="19">
        <f t="shared" ca="1" si="346"/>
        <v>-640096.33664975304</v>
      </c>
      <c r="O57" s="19">
        <f t="shared" si="320"/>
        <v>-367686.98506427347</v>
      </c>
      <c r="P57" s="19">
        <f>SUM($FJ57:FK57)</f>
        <v>-29753.758764680635</v>
      </c>
      <c r="Q57" s="20"/>
      <c r="R57" s="20">
        <f t="shared" si="325"/>
        <v>-64304</v>
      </c>
      <c r="S57" s="20">
        <f t="shared" si="326"/>
        <v>-34569</v>
      </c>
      <c r="T57" s="20">
        <f t="shared" si="327"/>
        <v>-66056</v>
      </c>
      <c r="U57" s="20">
        <f t="shared" si="328"/>
        <v>-48996</v>
      </c>
      <c r="V57" s="20">
        <f t="shared" si="329"/>
        <v>-60954</v>
      </c>
      <c r="W57" s="20">
        <f t="shared" si="330"/>
        <v>-47178</v>
      </c>
      <c r="X57" s="20">
        <f t="shared" si="331"/>
        <v>-69714</v>
      </c>
      <c r="Y57" s="20">
        <f t="shared" si="332"/>
        <v>-152528</v>
      </c>
      <c r="Z57" s="20">
        <f t="shared" si="333"/>
        <v>-151645</v>
      </c>
      <c r="AA57" s="20">
        <f t="shared" si="334"/>
        <v>-138715</v>
      </c>
      <c r="AB57" s="20">
        <f t="shared" si="335"/>
        <v>-101392</v>
      </c>
      <c r="AC57" s="20">
        <f t="shared" si="336"/>
        <v>-105629</v>
      </c>
      <c r="AD57" s="20">
        <f t="shared" si="337"/>
        <v>-112657</v>
      </c>
      <c r="AE57" s="20">
        <f t="shared" si="338"/>
        <v>-54184</v>
      </c>
      <c r="AF57" s="20">
        <f t="shared" si="339"/>
        <v>-91038.670000000013</v>
      </c>
      <c r="AG57" s="20">
        <f t="shared" si="340"/>
        <v>-65124.45</v>
      </c>
      <c r="AH57" s="20">
        <f t="shared" si="341"/>
        <v>-153995.56</v>
      </c>
      <c r="AI57" s="20">
        <f t="shared" si="342"/>
        <v>-203521.33</v>
      </c>
      <c r="AJ57" s="20">
        <f t="shared" si="302"/>
        <v>-236564.96</v>
      </c>
      <c r="AK57" s="20">
        <f t="shared" si="303"/>
        <v>-220073.38</v>
      </c>
      <c r="AL57" s="20">
        <f t="shared" si="304"/>
        <v>-223108.08</v>
      </c>
      <c r="AM57" s="20">
        <f t="shared" si="305"/>
        <v>-235329.09</v>
      </c>
      <c r="AN57" s="20">
        <f>SUM(DT57:DV57)</f>
        <v>-153007.06</v>
      </c>
      <c r="AO57" s="20">
        <f t="shared" si="307"/>
        <v>-170419.38</v>
      </c>
      <c r="AP57" s="20">
        <f t="shared" si="308"/>
        <v>-169576.63</v>
      </c>
      <c r="AQ57" s="20">
        <f t="shared" ca="1" si="299"/>
        <v>-173098</v>
      </c>
      <c r="AR57" s="20">
        <f t="shared" ca="1" si="299"/>
        <v>-170010.66673413906</v>
      </c>
      <c r="AS57" s="20">
        <f t="shared" ca="1" si="299"/>
        <v>-136406.61233586827</v>
      </c>
      <c r="AT57" s="20">
        <f t="shared" si="11"/>
        <v>-192424.73323673781</v>
      </c>
      <c r="AU57" s="20">
        <f t="shared" ca="1" si="300"/>
        <v>-230775.75177388173</v>
      </c>
      <c r="AV57" s="20">
        <f t="shared" ca="1" si="300"/>
        <v>-100562.64661382278</v>
      </c>
      <c r="AW57" s="20">
        <f t="shared" ca="1" si="300"/>
        <v>-116333.20502531077</v>
      </c>
      <c r="AX57" s="20">
        <f t="shared" si="309"/>
        <v>-130804.51551369812</v>
      </c>
      <c r="AY57" s="20">
        <f t="shared" si="310"/>
        <v>-109750.87693794018</v>
      </c>
      <c r="AZ57" s="20">
        <f t="shared" si="347"/>
        <v>-72723.716139280645</v>
      </c>
      <c r="BA57" s="20">
        <f t="shared" si="348"/>
        <v>-54407.876473354525</v>
      </c>
      <c r="BB57" s="20">
        <f t="shared" si="301"/>
        <v>-29753.758764680635</v>
      </c>
      <c r="BC57" s="20"/>
      <c r="BD57" s="20"/>
      <c r="BE57" s="20"/>
      <c r="BF57" s="20">
        <v>-29806</v>
      </c>
      <c r="BG57" s="20">
        <v>-24660</v>
      </c>
      <c r="BH57" s="20">
        <v>-9838</v>
      </c>
      <c r="BI57" s="20">
        <v>-7201</v>
      </c>
      <c r="BJ57" s="20">
        <v>-18421</v>
      </c>
      <c r="BK57" s="20">
        <v>-8947</v>
      </c>
      <c r="BL57" s="20">
        <v>-35035</v>
      </c>
      <c r="BM57" s="20">
        <v>-18302</v>
      </c>
      <c r="BN57" s="20">
        <v>-12719</v>
      </c>
      <c r="BO57" s="20">
        <v>-11210</v>
      </c>
      <c r="BP57" s="20">
        <v>-26158</v>
      </c>
      <c r="BQ57" s="20">
        <v>-11628</v>
      </c>
      <c r="BR57" s="20">
        <v>-28778</v>
      </c>
      <c r="BS57" s="20">
        <v>-17877</v>
      </c>
      <c r="BT57" s="20">
        <f>-14299</f>
        <v>-14299</v>
      </c>
      <c r="BU57" s="20">
        <v>-17932</v>
      </c>
      <c r="BV57" s="20">
        <v>-13886</v>
      </c>
      <c r="BW57" s="20">
        <v>-15360</v>
      </c>
      <c r="BX57" s="20">
        <v>-24063</v>
      </c>
      <c r="BY57" s="20">
        <v>-21100</v>
      </c>
      <c r="BZ57" s="20">
        <v>-24551</v>
      </c>
      <c r="CA57" s="20">
        <v>-33273</v>
      </c>
      <c r="CB57" s="20">
        <v>-86164</v>
      </c>
      <c r="CC57" s="20">
        <v>-33091</v>
      </c>
      <c r="CD57" s="20">
        <f>-23798-45000</f>
        <v>-68798</v>
      </c>
      <c r="CE57" s="20">
        <f>-103613+45000</f>
        <v>-58613</v>
      </c>
      <c r="CF57" s="20">
        <v>-24234</v>
      </c>
      <c r="CG57" s="20">
        <v>-37302</v>
      </c>
      <c r="CH57" s="20">
        <v>-38583</v>
      </c>
      <c r="CI57" s="20">
        <v>-62830</v>
      </c>
      <c r="CJ57" s="20">
        <v>-31934</v>
      </c>
      <c r="CK57" s="20">
        <v>-29570</v>
      </c>
      <c r="CL57" s="20">
        <v>-39888</v>
      </c>
      <c r="CM57" s="20">
        <v>-24175</v>
      </c>
      <c r="CN57" s="20">
        <f>-39339+10000</f>
        <v>-29339</v>
      </c>
      <c r="CO57" s="20">
        <f>-52115</f>
        <v>-52115</v>
      </c>
      <c r="CP57" s="20">
        <v>-22716</v>
      </c>
      <c r="CQ57" s="20">
        <v>-53084</v>
      </c>
      <c r="CR57" s="20">
        <v>-36857</v>
      </c>
      <c r="CS57" s="20">
        <v>-18172</v>
      </c>
      <c r="CT57" s="20">
        <v>-14921</v>
      </c>
      <c r="CU57" s="20">
        <v>-21091</v>
      </c>
      <c r="CV57" s="20">
        <v>-27176</v>
      </c>
      <c r="CW57" s="20">
        <v>-29454.799999999999</v>
      </c>
      <c r="CX57" s="20">
        <v>-34407.870000000003</v>
      </c>
      <c r="CY57" s="20">
        <v>-23002.33</v>
      </c>
      <c r="CZ57" s="20">
        <v>-17090.28</v>
      </c>
      <c r="DA57" s="20">
        <v>-25031.84</v>
      </c>
      <c r="DB57" s="20">
        <v>-31772.04</v>
      </c>
      <c r="DC57" s="20">
        <v>-58775.31</v>
      </c>
      <c r="DD57" s="20">
        <v>-63448.21</v>
      </c>
      <c r="DE57" s="20">
        <v>-96271.95</v>
      </c>
      <c r="DF57" s="20">
        <v>-49804.32</v>
      </c>
      <c r="DG57" s="20">
        <v>-57445.06</v>
      </c>
      <c r="DH57" s="20">
        <v>-58834.33</v>
      </c>
      <c r="DI57" s="20">
        <v>-81366.22</v>
      </c>
      <c r="DJ57" s="20">
        <v>-96364.41</v>
      </c>
      <c r="DK57" s="20">
        <v>-78396.94</v>
      </c>
      <c r="DL57" s="20">
        <v>-76115.14</v>
      </c>
      <c r="DM57" s="20">
        <v>-65561.3</v>
      </c>
      <c r="DN57" s="20">
        <v>-58483.8</v>
      </c>
      <c r="DO57" s="20">
        <v>-78634.62</v>
      </c>
      <c r="DP57" s="20">
        <v>-85989.66</v>
      </c>
      <c r="DQ57" s="20">
        <v>-99593.49</v>
      </c>
      <c r="DR57" s="20">
        <v>-70020.88</v>
      </c>
      <c r="DS57" s="20">
        <v>-65714.720000000001</v>
      </c>
      <c r="DT57" s="20">
        <v>-47736.99</v>
      </c>
      <c r="DU57" s="20">
        <v>-46646</v>
      </c>
      <c r="DV57" s="20">
        <v>-58624.07</v>
      </c>
      <c r="DW57" s="20">
        <v>-71929.62</v>
      </c>
      <c r="DX57" s="20">
        <v>-49097.33</v>
      </c>
      <c r="DY57" s="469">
        <v>-49392.43</v>
      </c>
      <c r="DZ57" s="20">
        <v>-53821.98</v>
      </c>
      <c r="EA57" s="20">
        <v>-60334.84</v>
      </c>
      <c r="EB57" s="20">
        <v>-55419.81</v>
      </c>
      <c r="EC57" s="20">
        <v>-57935.15</v>
      </c>
      <c r="ED57" s="20">
        <v>-68074.92</v>
      </c>
      <c r="EE57" s="20">
        <v>-47087.93</v>
      </c>
      <c r="EF57" s="20">
        <v>-66343.467373242893</v>
      </c>
      <c r="EG57" s="20">
        <v>-31343.313557860514</v>
      </c>
      <c r="EH57" s="20">
        <v>-72323.88580303565</v>
      </c>
      <c r="EI57" s="20">
        <v>-65638.247733462646</v>
      </c>
      <c r="EJ57" s="20">
        <v>-36484.963347956073</v>
      </c>
      <c r="EK57" s="469">
        <v>-34283.401254449542</v>
      </c>
      <c r="EL57" s="469">
        <v>-44775.230779870952</v>
      </c>
      <c r="EM57" s="469">
        <v>-81217.228695973492</v>
      </c>
      <c r="EN57" s="469">
        <v>-66432.273760893368</v>
      </c>
      <c r="EO57" s="469">
        <v>-49246.304763277869</v>
      </c>
      <c r="EP57" s="469">
        <v>-78792.351854042703</v>
      </c>
      <c r="EQ57" s="469">
        <v>-102737.09515656115</v>
      </c>
      <c r="ER57" s="20">
        <v>-33577.619739273534</v>
      </c>
      <c r="ES57" s="20">
        <v>-34283.979192655155</v>
      </c>
      <c r="ET57" s="20">
        <v>-32701.047681894088</v>
      </c>
      <c r="EU57" s="20">
        <v>-39519.413704560771</v>
      </c>
      <c r="EV57" s="20">
        <v>-41446.721320750003</v>
      </c>
      <c r="EW57" s="20">
        <v>-35367.07</v>
      </c>
      <c r="EX57" s="20">
        <v>-29180.123365900497</v>
      </c>
      <c r="EY57" s="20">
        <v>-35274.161387783563</v>
      </c>
      <c r="EZ57" s="20">
        <v>-66350.230760014063</v>
      </c>
      <c r="FA57" s="20">
        <v>-36688.240839674589</v>
      </c>
      <c r="FB57" s="20">
        <v>-31240.127324075442</v>
      </c>
      <c r="FC57" s="20">
        <v>-41822.508774190152</v>
      </c>
      <c r="FD57" s="20">
        <v>-24630.59640898665</v>
      </c>
      <c r="FE57" s="20">
        <v>-19712.224733407231</v>
      </c>
      <c r="FF57" s="20">
        <v>-28380.89499688676</v>
      </c>
      <c r="FG57" s="20">
        <v>-16134.908099913549</v>
      </c>
      <c r="FH57" s="20">
        <v>-28088.661144058289</v>
      </c>
      <c r="FI57" s="20">
        <v>-10184.307229382681</v>
      </c>
      <c r="FJ57" s="20">
        <v>-14547.376107373766</v>
      </c>
      <c r="FK57" s="454">
        <v>-15206.382657306869</v>
      </c>
      <c r="FL57" s="20"/>
      <c r="FM57" s="20"/>
      <c r="FN57" s="20">
        <f>'Financial plan'!EZ52</f>
        <v>-23333.333333333332</v>
      </c>
      <c r="FO57" s="20">
        <f t="shared" si="343"/>
        <v>-659.00654993310309</v>
      </c>
      <c r="FP57" s="20">
        <f t="shared" si="344"/>
        <v>8126.950676026463</v>
      </c>
      <c r="FQ57" s="20" t="e">
        <f>FL57-#REF!</f>
        <v>#REF!</v>
      </c>
      <c r="FR57" s="20">
        <f t="shared" si="345"/>
        <v>659.00654993310309</v>
      </c>
      <c r="FS57" s="20">
        <f t="shared" si="13"/>
        <v>8126.950676026463</v>
      </c>
      <c r="FT57" s="20">
        <f>SUM($FJ57:FK57)</f>
        <v>-29753.758764680635</v>
      </c>
      <c r="FU57" s="20">
        <f>SUM('Financial plan'!$EY52:EZ52)</f>
        <v>-46666.666666666664</v>
      </c>
      <c r="FV57" s="20">
        <f t="shared" si="41"/>
        <v>16912.907901986029</v>
      </c>
      <c r="FX57" s="20"/>
    </row>
    <row r="58" spans="3:180" x14ac:dyDescent="0.35">
      <c r="E58" t="s">
        <v>120</v>
      </c>
      <c r="F58" s="19">
        <v>-21000</v>
      </c>
      <c r="G58" s="19">
        <f>SUM(R58:U58)</f>
        <v>-12976</v>
      </c>
      <c r="H58" s="19">
        <f t="shared" si="321"/>
        <v>-160164</v>
      </c>
      <c r="I58" s="19">
        <f t="shared" si="322"/>
        <v>-111239</v>
      </c>
      <c r="J58" s="19">
        <f t="shared" si="323"/>
        <v>-163742</v>
      </c>
      <c r="K58" s="19">
        <f t="shared" si="324"/>
        <v>-32407.86</v>
      </c>
      <c r="L58" s="19">
        <f>SUM(AL58:AO58)</f>
        <v>-100115.91000000002</v>
      </c>
      <c r="M58" s="19">
        <f ca="1">SUM(AP58:AS58)</f>
        <v>-97969.461654806553</v>
      </c>
      <c r="N58" s="19">
        <f t="shared" ca="1" si="346"/>
        <v>-117170.19756732136</v>
      </c>
      <c r="O58" s="19">
        <f t="shared" si="320"/>
        <v>-162604.59088539105</v>
      </c>
      <c r="P58" s="19">
        <f>SUM($FJ58:FK58)</f>
        <v>-23687.46956798483</v>
      </c>
      <c r="Q58" s="20"/>
      <c r="R58" s="20">
        <f t="shared" si="325"/>
        <v>-14095</v>
      </c>
      <c r="S58" s="20">
        <f t="shared" si="326"/>
        <v>2198</v>
      </c>
      <c r="T58" s="20">
        <f t="shared" si="327"/>
        <v>-11164</v>
      </c>
      <c r="U58" s="20">
        <f t="shared" si="328"/>
        <v>10085</v>
      </c>
      <c r="V58" s="20">
        <f t="shared" si="329"/>
        <v>-2405</v>
      </c>
      <c r="W58" s="20">
        <f t="shared" si="330"/>
        <v>-9169</v>
      </c>
      <c r="X58" s="20">
        <f t="shared" si="331"/>
        <v>-16075</v>
      </c>
      <c r="Y58" s="20">
        <f t="shared" si="332"/>
        <v>-132515</v>
      </c>
      <c r="Z58" s="20">
        <f t="shared" si="333"/>
        <v>-22257</v>
      </c>
      <c r="AA58" s="20">
        <f t="shared" si="334"/>
        <v>-21959</v>
      </c>
      <c r="AB58" s="20">
        <f t="shared" si="335"/>
        <v>-10922</v>
      </c>
      <c r="AC58" s="20">
        <f t="shared" si="336"/>
        <v>-56101</v>
      </c>
      <c r="AD58" s="20">
        <f t="shared" si="337"/>
        <v>-23422</v>
      </c>
      <c r="AE58" s="20">
        <f t="shared" si="338"/>
        <v>-56704</v>
      </c>
      <c r="AF58" s="20">
        <f t="shared" si="339"/>
        <v>-57236.700000000004</v>
      </c>
      <c r="AG58" s="20">
        <f t="shared" si="340"/>
        <v>-26379.299999999988</v>
      </c>
      <c r="AH58" s="20">
        <f t="shared" si="341"/>
        <v>-33787.85</v>
      </c>
      <c r="AI58" s="20">
        <f t="shared" si="342"/>
        <v>-25026.61</v>
      </c>
      <c r="AJ58" s="20">
        <f t="shared" si="302"/>
        <v>-1074.0899999999992</v>
      </c>
      <c r="AK58" s="20">
        <f t="shared" si="303"/>
        <v>27480.689999999995</v>
      </c>
      <c r="AL58" s="20">
        <f t="shared" si="304"/>
        <v>-26516.360000000004</v>
      </c>
      <c r="AM58" s="20">
        <f t="shared" si="305"/>
        <v>-29403.480000000003</v>
      </c>
      <c r="AN58" s="20">
        <f>SUM(DT58:DV58)</f>
        <v>-29855.850000000002</v>
      </c>
      <c r="AO58" s="20">
        <f t="shared" si="307"/>
        <v>-14340.220000000001</v>
      </c>
      <c r="AP58" s="20">
        <f t="shared" si="308"/>
        <v>-40617.407334758653</v>
      </c>
      <c r="AQ58" s="20">
        <f t="shared" ca="1" si="299"/>
        <v>-37912.471437342254</v>
      </c>
      <c r="AR58" s="20">
        <f t="shared" ca="1" si="299"/>
        <v>-12728.559476562388</v>
      </c>
      <c r="AS58" s="20">
        <f t="shared" ca="1" si="299"/>
        <v>-6711.0234061432648</v>
      </c>
      <c r="AT58" s="20">
        <f t="shared" si="11"/>
        <v>-45248.87623361939</v>
      </c>
      <c r="AU58" s="20">
        <f t="shared" ca="1" si="300"/>
        <v>-43229.943057227734</v>
      </c>
      <c r="AV58" s="20">
        <f t="shared" ca="1" si="300"/>
        <v>-39957.319666344323</v>
      </c>
      <c r="AW58" s="20">
        <f t="shared" ca="1" si="300"/>
        <v>11265.941389870093</v>
      </c>
      <c r="AX58" s="20">
        <f t="shared" si="309"/>
        <v>-28053.350734183266</v>
      </c>
      <c r="AY58" s="20">
        <f t="shared" si="310"/>
        <v>-32800.568110663524</v>
      </c>
      <c r="AZ58" s="20">
        <f t="shared" si="347"/>
        <v>-42804.823100488982</v>
      </c>
      <c r="BA58" s="20">
        <f t="shared" si="348"/>
        <v>-58945.848940055279</v>
      </c>
      <c r="BB58" s="20">
        <f t="shared" si="301"/>
        <v>-23687.46956798483</v>
      </c>
      <c r="BC58" s="20"/>
      <c r="BD58" s="20"/>
      <c r="BE58" s="20"/>
      <c r="BF58" s="20">
        <v>-11558</v>
      </c>
      <c r="BG58" s="20">
        <v>795</v>
      </c>
      <c r="BH58" s="20">
        <v>-3332</v>
      </c>
      <c r="BI58" s="20">
        <v>4083</v>
      </c>
      <c r="BJ58" s="20">
        <v>255</v>
      </c>
      <c r="BK58" s="20">
        <v>-2140</v>
      </c>
      <c r="BL58" s="20">
        <v>-2755</v>
      </c>
      <c r="BM58" s="20">
        <v>-2496</v>
      </c>
      <c r="BN58" s="20">
        <v>-5913</v>
      </c>
      <c r="BO58" s="20">
        <v>8772</v>
      </c>
      <c r="BP58" s="20">
        <v>-712</v>
      </c>
      <c r="BQ58" s="20">
        <v>2025</v>
      </c>
      <c r="BR58" s="20">
        <f>-651+1522</f>
        <v>871</v>
      </c>
      <c r="BS58" s="20">
        <f>-4497+695</f>
        <v>-3802</v>
      </c>
      <c r="BT58" s="20">
        <f>-1362+1888</f>
        <v>526</v>
      </c>
      <c r="BU58" s="20">
        <f>-9253+1365</f>
        <v>-7888</v>
      </c>
      <c r="BV58" s="20">
        <f>-1559+1184</f>
        <v>-375</v>
      </c>
      <c r="BW58" s="20">
        <f>-1643+737</f>
        <v>-906</v>
      </c>
      <c r="BX58" s="20">
        <f>-2863-7391</f>
        <v>-10254</v>
      </c>
      <c r="BY58" s="20">
        <f>-3316</f>
        <v>-3316</v>
      </c>
      <c r="BZ58" s="20">
        <v>-2505</v>
      </c>
      <c r="CA58" s="20">
        <v>-10608</v>
      </c>
      <c r="CB58" s="20">
        <v>-4033</v>
      </c>
      <c r="CC58" s="20">
        <v>-117874</v>
      </c>
      <c r="CD58" s="20">
        <v>-2929</v>
      </c>
      <c r="CE58" s="20">
        <v>-15673</v>
      </c>
      <c r="CF58" s="20">
        <v>-3655</v>
      </c>
      <c r="CG58" s="20">
        <v>-5823</v>
      </c>
      <c r="CH58" s="20">
        <f>-60244+56900</f>
        <v>-3344</v>
      </c>
      <c r="CI58" s="20">
        <v>-12792</v>
      </c>
      <c r="CJ58" s="20">
        <v>-5960</v>
      </c>
      <c r="CK58" s="20">
        <f>-13191+10845</f>
        <v>-2346</v>
      </c>
      <c r="CL58" s="20">
        <f>-10478+7862</f>
        <v>-2616</v>
      </c>
      <c r="CM58" s="20">
        <f>-9979-1020+7862</f>
        <v>-3137</v>
      </c>
      <c r="CN58" s="20">
        <f>-32860+7862+21000</f>
        <v>-3998</v>
      </c>
      <c r="CO58" s="20">
        <f>-57726+8760</f>
        <v>-48966</v>
      </c>
      <c r="CP58" s="20">
        <f>-1976-5000</f>
        <v>-6976</v>
      </c>
      <c r="CQ58" s="20">
        <v>-2010</v>
      </c>
      <c r="CR58" s="20">
        <f>-17769+3333</f>
        <v>-14436</v>
      </c>
      <c r="CS58" s="20">
        <f>-22013+2051</f>
        <v>-19962</v>
      </c>
      <c r="CT58" s="20">
        <f>-26060+7634</f>
        <v>-18426</v>
      </c>
      <c r="CU58" s="20">
        <f>-51483+33167</f>
        <v>-18316</v>
      </c>
      <c r="CV58" s="20">
        <v>-19048</v>
      </c>
      <c r="CW58" s="20">
        <v>-19464.570000000003</v>
      </c>
      <c r="CX58" s="20">
        <v>-18724.129999999997</v>
      </c>
      <c r="CY58" s="20">
        <v>-21052.579999999998</v>
      </c>
      <c r="CZ58" s="20">
        <v>-20407.039999999997</v>
      </c>
      <c r="DA58" s="20">
        <v>15080.320000000005</v>
      </c>
      <c r="DB58" s="20">
        <v>-14513.14</v>
      </c>
      <c r="DC58" s="20">
        <f>-4677.62-10000</f>
        <v>-14677.619999999999</v>
      </c>
      <c r="DD58" s="20">
        <v>-4597.0899999999992</v>
      </c>
      <c r="DE58" s="20">
        <f>-2519.99-5000</f>
        <v>-7519.99</v>
      </c>
      <c r="DF58" s="20">
        <v>-8418.2099999999991</v>
      </c>
      <c r="DG58" s="20">
        <v>-9088.4100000000017</v>
      </c>
      <c r="DH58" s="20">
        <v>-2779.7499999999995</v>
      </c>
      <c r="DI58" s="20">
        <v>-3040.8499999999995</v>
      </c>
      <c r="DJ58" s="20">
        <v>4746.5099999999993</v>
      </c>
      <c r="DK58" s="20">
        <v>7006.7500000000009</v>
      </c>
      <c r="DL58" s="20">
        <v>15823.639999999994</v>
      </c>
      <c r="DM58" s="20">
        <v>4650.3000000000011</v>
      </c>
      <c r="DN58" s="20">
        <v>-8755.2000000000007</v>
      </c>
      <c r="DO58" s="20">
        <v>-9740.8300000000017</v>
      </c>
      <c r="DP58" s="20">
        <v>-8020.3300000000008</v>
      </c>
      <c r="DQ58" s="20">
        <v>-9316.74</v>
      </c>
      <c r="DR58" s="20">
        <v>-8478.3200000000033</v>
      </c>
      <c r="DS58" s="20">
        <v>-11608.42</v>
      </c>
      <c r="DT58" s="20">
        <v>-8413.35</v>
      </c>
      <c r="DU58" s="20">
        <v>-11022.210000000001</v>
      </c>
      <c r="DV58" s="20">
        <v>-10420.290000000001</v>
      </c>
      <c r="DW58" s="20">
        <v>-10097.590000000002</v>
      </c>
      <c r="DX58" s="20">
        <v>-10899.17</v>
      </c>
      <c r="DY58" s="469">
        <v>6656.5400000000009</v>
      </c>
      <c r="DZ58" s="20">
        <v>-12426.663174227386</v>
      </c>
      <c r="EA58" s="20">
        <v>-15175.9365510724</v>
      </c>
      <c r="EB58" s="20">
        <v>-13014.807609458871</v>
      </c>
      <c r="EC58" s="20">
        <v>-12942.953297098325</v>
      </c>
      <c r="ED58" s="20">
        <v>-13738.475633014399</v>
      </c>
      <c r="EE58" s="20">
        <v>-11231.042507229531</v>
      </c>
      <c r="EF58" s="20">
        <v>-12522.707774240642</v>
      </c>
      <c r="EG58" s="20">
        <v>-12460.200043900706</v>
      </c>
      <c r="EH58" s="20">
        <v>12254.348341578961</v>
      </c>
      <c r="EI58" s="20">
        <v>3207.0212371655944</v>
      </c>
      <c r="EJ58" s="20">
        <v>1953.0653038970929</v>
      </c>
      <c r="EK58" s="469">
        <v>-11871.109947205952</v>
      </c>
      <c r="EL58" s="469">
        <v>-18301.544695392819</v>
      </c>
      <c r="EM58" s="469">
        <v>-14859.279184660469</v>
      </c>
      <c r="EN58" s="469">
        <v>-12088.052353566105</v>
      </c>
      <c r="EO58" s="469">
        <v>-17982.596833808308</v>
      </c>
      <c r="EP58" s="469">
        <v>-13271.207400107221</v>
      </c>
      <c r="EQ58" s="469">
        <v>-11976.138823312203</v>
      </c>
      <c r="ER58" s="20">
        <v>-14414.39153050093</v>
      </c>
      <c r="ES58" s="20">
        <v>-12195.053143027813</v>
      </c>
      <c r="ET58" s="20">
        <v>-13347.874992815583</v>
      </c>
      <c r="EU58" s="20">
        <v>-13455.27903158576</v>
      </c>
      <c r="EV58" s="20">
        <v>19823.080421455852</v>
      </c>
      <c r="EW58" s="20">
        <v>4898.1400000000012</v>
      </c>
      <c r="EX58" s="20">
        <v>-8573.6845370613664</v>
      </c>
      <c r="EY58" s="20">
        <v>-10413.528565867835</v>
      </c>
      <c r="EZ58" s="20">
        <v>-9066.1376312540651</v>
      </c>
      <c r="FA58" s="20">
        <v>-9278.7582679663792</v>
      </c>
      <c r="FB58" s="20">
        <v>-14714.344537808076</v>
      </c>
      <c r="FC58" s="20">
        <v>-8807.4653048890668</v>
      </c>
      <c r="FD58" s="20">
        <v>-13772.120671381459</v>
      </c>
      <c r="FE58" s="20">
        <v>-13805.474979551638</v>
      </c>
      <c r="FF58" s="20">
        <v>-15227.227449555887</v>
      </c>
      <c r="FG58" s="20">
        <v>-14671.199686334232</v>
      </c>
      <c r="FH58" s="20">
        <v>-11584.999563941532</v>
      </c>
      <c r="FI58" s="20">
        <v>-32689.649689779515</v>
      </c>
      <c r="FJ58" s="20">
        <v>-12519.742793763489</v>
      </c>
      <c r="FK58" s="454">
        <v>-11167.726774221341</v>
      </c>
      <c r="FL58" s="20"/>
      <c r="FM58" s="20"/>
      <c r="FN58" s="20">
        <f>'Financial plan'!EZ53</f>
        <v>-12540.9375</v>
      </c>
      <c r="FO58" s="20">
        <f t="shared" si="343"/>
        <v>1352.0160195421486</v>
      </c>
      <c r="FP58" s="20">
        <f t="shared" si="344"/>
        <v>1373.2107257786593</v>
      </c>
      <c r="FQ58" s="20" t="e">
        <f>FL58-#REF!</f>
        <v>#REF!</v>
      </c>
      <c r="FR58" s="20">
        <f t="shared" si="345"/>
        <v>-1352.0160195421486</v>
      </c>
      <c r="FS58" s="20">
        <f t="shared" si="13"/>
        <v>1373.2107257786593</v>
      </c>
      <c r="FT58" s="20">
        <f>SUM($FJ58:FK58)</f>
        <v>-23687.46956798483</v>
      </c>
      <c r="FU58" s="20">
        <f>SUM('Financial plan'!$EY53:EZ53)</f>
        <v>-25081.875</v>
      </c>
      <c r="FV58" s="20">
        <f t="shared" si="41"/>
        <v>1394.4054320151699</v>
      </c>
      <c r="FX58" s="20"/>
    </row>
    <row r="59" spans="3:180" s="10" customFormat="1" x14ac:dyDescent="0.35">
      <c r="C59" s="21" t="s">
        <v>121</v>
      </c>
      <c r="D59" s="21"/>
      <c r="E59" s="21"/>
      <c r="F59" s="23">
        <f t="shared" ref="F59:K59" si="349">SUM(F46,F53,F54,F55,F56,F57,F58)</f>
        <v>-4893000</v>
      </c>
      <c r="G59" s="23">
        <f t="shared" si="349"/>
        <v>-5362186</v>
      </c>
      <c r="H59" s="23">
        <f t="shared" si="349"/>
        <v>-6091954</v>
      </c>
      <c r="I59" s="23">
        <f t="shared" si="349"/>
        <v>-7781152</v>
      </c>
      <c r="J59" s="23">
        <f t="shared" si="349"/>
        <v>-7726309.4299999997</v>
      </c>
      <c r="K59" s="23">
        <f t="shared" si="349"/>
        <v>-11094145.16</v>
      </c>
      <c r="L59" s="23">
        <f>SUM(L46,L53,L54,L55,L56,L57,L58)</f>
        <v>-13536062.109999999</v>
      </c>
      <c r="M59" s="23">
        <f ca="1">SUM(M46,M53,M54,M55,M56,M57,M58)</f>
        <v>-12849496.26360999</v>
      </c>
      <c r="N59" s="23">
        <f ca="1">SUM(AT59:AW59)</f>
        <v>-12822747.837208875</v>
      </c>
      <c r="O59" s="23">
        <f>SUM(AX59:BA59)</f>
        <v>-11461413.657643255</v>
      </c>
      <c r="P59" s="23">
        <f>SUM($FJ59:FK59)</f>
        <v>-1773250.8142473886</v>
      </c>
      <c r="Q59" s="24"/>
      <c r="R59" s="24">
        <f>SUM(R46,R53,R54,R55,R56,R57,R58)</f>
        <v>-1391764</v>
      </c>
      <c r="S59" s="24">
        <f t="shared" ref="S59:AO59" si="350">SUM(S46,S53,S54,S55,S56,S57,S58)</f>
        <v>-1309431</v>
      </c>
      <c r="T59" s="24">
        <f t="shared" si="350"/>
        <v>-1365415</v>
      </c>
      <c r="U59" s="24">
        <f t="shared" si="350"/>
        <v>-1357501</v>
      </c>
      <c r="V59" s="24">
        <f t="shared" si="350"/>
        <v>-1342807</v>
      </c>
      <c r="W59" s="24">
        <f t="shared" si="350"/>
        <v>-1432964</v>
      </c>
      <c r="X59" s="24">
        <f t="shared" si="350"/>
        <v>-1533182</v>
      </c>
      <c r="Y59" s="24">
        <f t="shared" si="350"/>
        <v>-1783001</v>
      </c>
      <c r="Z59" s="24">
        <f t="shared" si="350"/>
        <v>-1784265</v>
      </c>
      <c r="AA59" s="24">
        <f t="shared" si="350"/>
        <v>-1947633</v>
      </c>
      <c r="AB59" s="24">
        <f t="shared" si="350"/>
        <v>-1963012</v>
      </c>
      <c r="AC59" s="24">
        <f t="shared" si="350"/>
        <v>-2086242</v>
      </c>
      <c r="AD59" s="24">
        <f t="shared" si="350"/>
        <v>-2052344</v>
      </c>
      <c r="AE59" s="24">
        <f t="shared" si="350"/>
        <v>-1791139</v>
      </c>
      <c r="AF59" s="24">
        <f t="shared" si="350"/>
        <v>-1841346.3599999996</v>
      </c>
      <c r="AG59" s="24">
        <f t="shared" si="350"/>
        <v>-2041480.0699999994</v>
      </c>
      <c r="AH59" s="24">
        <f t="shared" si="350"/>
        <v>-2448513.08</v>
      </c>
      <c r="AI59" s="24">
        <f t="shared" si="350"/>
        <v>-2644095.4499999997</v>
      </c>
      <c r="AJ59" s="24">
        <f t="shared" si="350"/>
        <v>-2905636.7699999991</v>
      </c>
      <c r="AK59" s="24">
        <f t="shared" si="350"/>
        <v>-3095899.86</v>
      </c>
      <c r="AL59" s="24">
        <f t="shared" si="350"/>
        <v>-3383058.6700000004</v>
      </c>
      <c r="AM59" s="24">
        <f t="shared" si="350"/>
        <v>-3486084.9900000007</v>
      </c>
      <c r="AN59" s="24">
        <f>SUM(AN46,AN53,AN54,AN55,AN56,AN57,AN58)</f>
        <v>-3390587.9699999997</v>
      </c>
      <c r="AO59" s="24">
        <f t="shared" si="350"/>
        <v>-3276330.4800000004</v>
      </c>
      <c r="AP59" s="24">
        <f>SUM(AP46,AP53,AP54,AP55,AP56,AP57,AP58)</f>
        <v>-3208026.2035756591</v>
      </c>
      <c r="AQ59" s="24">
        <f ca="1">SUM(AQ46,AQ53,AQ54,AQ55,AQ56,AQ57,AQ58)</f>
        <v>-3206411.3395417584</v>
      </c>
      <c r="AR59" s="24">
        <f t="shared" ref="AR59:AS59" ca="1" si="351">SUM(AR46,AR53,AR54,AR55,AR56,AR57,AR58)</f>
        <v>-3239731.5977916624</v>
      </c>
      <c r="AS59" s="24">
        <f t="shared" ca="1" si="351"/>
        <v>-3195327.1227009082</v>
      </c>
      <c r="AT59" s="24">
        <f t="shared" si="11"/>
        <v>-3270892.336596786</v>
      </c>
      <c r="AU59" s="24">
        <f t="shared" ca="1" si="300"/>
        <v>-3295740.2860921733</v>
      </c>
      <c r="AV59" s="24">
        <f t="shared" ca="1" si="300"/>
        <v>-3185661.0810634727</v>
      </c>
      <c r="AW59" s="24">
        <f t="shared" ca="1" si="300"/>
        <v>-3070454.1334564416</v>
      </c>
      <c r="AX59" s="24">
        <f>SUM(EX59:EZ59)</f>
        <v>-2923380.6194718075</v>
      </c>
      <c r="AY59" s="24">
        <f>SUM(FA59:FC59)</f>
        <v>-2896469.4115229389</v>
      </c>
      <c r="AZ59" s="24">
        <f t="shared" ref="AZ59:AZ70" si="352">SUM(FD59:FF59)</f>
        <v>-2931958.0044680703</v>
      </c>
      <c r="BA59" s="24">
        <f t="shared" ref="BA59:BA70" si="353">SUM(FG59:FI59)</f>
        <v>-2709605.6221804367</v>
      </c>
      <c r="BB59" s="24">
        <f t="shared" si="301"/>
        <v>-1773250.8142473886</v>
      </c>
      <c r="BC59" s="24"/>
      <c r="BD59" s="24"/>
      <c r="BE59" s="24"/>
      <c r="BF59" s="24">
        <f>SUM(BF46,BF53,BF54,BF55,BF56,BF57,BF58)</f>
        <v>-505457</v>
      </c>
      <c r="BG59" s="24">
        <f>SUM(BG46,BG53,BG54,BG55,BG56,BG57,BG58)</f>
        <v>-447352</v>
      </c>
      <c r="BH59" s="24">
        <f>SUM(BH46,BH53,BH54,BH55,BH56,BH57,BH58)</f>
        <v>-438955</v>
      </c>
      <c r="BI59" s="24">
        <f t="shared" ref="BI59:BQ59" si="354">SUM(BI46,BI53,BI54,BI55,BI56,BI57,BI58)</f>
        <v>-425480</v>
      </c>
      <c r="BJ59" s="24">
        <f t="shared" si="354"/>
        <v>-469375</v>
      </c>
      <c r="BK59" s="24">
        <f t="shared" si="354"/>
        <v>-414576</v>
      </c>
      <c r="BL59" s="24">
        <f t="shared" si="354"/>
        <v>-493945</v>
      </c>
      <c r="BM59" s="24">
        <f t="shared" si="354"/>
        <v>-430419</v>
      </c>
      <c r="BN59" s="24">
        <f t="shared" si="354"/>
        <v>-441051</v>
      </c>
      <c r="BO59" s="24">
        <f t="shared" si="354"/>
        <v>-440448</v>
      </c>
      <c r="BP59" s="24">
        <f t="shared" si="354"/>
        <v>-466706</v>
      </c>
      <c r="BQ59" s="24">
        <f t="shared" si="354"/>
        <v>-450347</v>
      </c>
      <c r="BR59" s="24">
        <f>SUM(BR46,BR53,BR54,BR55,BR56,BR57,BR58)</f>
        <v>-435543</v>
      </c>
      <c r="BS59" s="24">
        <f>SUM(BS46,BS53,BS54,BS55,BS56,BS57,BS58)</f>
        <v>-437365</v>
      </c>
      <c r="BT59" s="24">
        <f>SUM(BT46,BT53,BT54,BT55,BT56,BT57,BT58)</f>
        <v>-469899</v>
      </c>
      <c r="BU59" s="24">
        <f t="shared" ref="BU59:CC59" si="355">SUM(BU46,BU53,BU54,BU55,BU56,BU57,BU58)</f>
        <v>-480330</v>
      </c>
      <c r="BV59" s="24">
        <f t="shared" si="355"/>
        <v>-469990</v>
      </c>
      <c r="BW59" s="24">
        <f t="shared" si="355"/>
        <v>-482644</v>
      </c>
      <c r="BX59" s="24">
        <f t="shared" si="355"/>
        <v>-522475</v>
      </c>
      <c r="BY59" s="24">
        <f t="shared" si="355"/>
        <v>-501279</v>
      </c>
      <c r="BZ59" s="24">
        <f t="shared" si="355"/>
        <v>-509428</v>
      </c>
      <c r="CA59" s="24">
        <f t="shared" si="355"/>
        <v>-516353</v>
      </c>
      <c r="CB59" s="24">
        <f t="shared" si="355"/>
        <v>-579247</v>
      </c>
      <c r="CC59" s="24">
        <f t="shared" si="355"/>
        <v>-687401</v>
      </c>
      <c r="CD59" s="24">
        <f>SUM(CD46,CD53,CD54,CD55,CD56,CD57,CD58)</f>
        <v>-588961</v>
      </c>
      <c r="CE59" s="24">
        <f>SUM(CE46,CE53,CE54,CE55,CE56,CE57,CE58)</f>
        <v>-601922</v>
      </c>
      <c r="CF59" s="24">
        <f>SUM(CF46,CF53,CF54,CF55,CF56,CF57,CF58)</f>
        <v>-593382</v>
      </c>
      <c r="CG59" s="24">
        <f t="shared" ref="CG59:CX59" si="356">SUM(CG46,CG53,CG54,CG55,CG56,CG57,CG58)</f>
        <v>-665035</v>
      </c>
      <c r="CH59" s="24">
        <f t="shared" si="356"/>
        <v>-613279</v>
      </c>
      <c r="CI59" s="24">
        <f t="shared" si="356"/>
        <v>-669319</v>
      </c>
      <c r="CJ59" s="24">
        <f t="shared" si="356"/>
        <v>-673721</v>
      </c>
      <c r="CK59" s="24">
        <f t="shared" si="356"/>
        <v>-646896</v>
      </c>
      <c r="CL59" s="24">
        <f t="shared" si="356"/>
        <v>-642395</v>
      </c>
      <c r="CM59" s="24">
        <f t="shared" si="356"/>
        <v>-664698</v>
      </c>
      <c r="CN59" s="24">
        <f t="shared" si="356"/>
        <v>-719429</v>
      </c>
      <c r="CO59" s="24">
        <f t="shared" si="356"/>
        <v>-702115</v>
      </c>
      <c r="CP59" s="24">
        <f t="shared" si="356"/>
        <v>-681080</v>
      </c>
      <c r="CQ59" s="24">
        <f t="shared" si="356"/>
        <v>-686918</v>
      </c>
      <c r="CR59" s="24">
        <f t="shared" si="356"/>
        <v>-684346</v>
      </c>
      <c r="CS59" s="24">
        <f t="shared" si="356"/>
        <v>-601196</v>
      </c>
      <c r="CT59" s="24">
        <f t="shared" si="356"/>
        <v>-590234</v>
      </c>
      <c r="CU59" s="24">
        <f t="shared" si="356"/>
        <v>-599709</v>
      </c>
      <c r="CV59" s="24">
        <f t="shared" si="356"/>
        <v>-601687</v>
      </c>
      <c r="CW59" s="24">
        <f t="shared" si="356"/>
        <v>-603406.22000000009</v>
      </c>
      <c r="CX59" s="24">
        <f t="shared" si="356"/>
        <v>-636253.1399999999</v>
      </c>
      <c r="CY59" s="24">
        <f t="shared" ref="CY59:DD59" si="357">SUM(CY46,CY53,CY54,CY55,CY56,CY57,CY58)</f>
        <v>-704837.22999999986</v>
      </c>
      <c r="CZ59" s="24">
        <f t="shared" si="357"/>
        <v>-664414.53999999992</v>
      </c>
      <c r="DA59" s="24">
        <f t="shared" si="357"/>
        <v>-672228.29999999958</v>
      </c>
      <c r="DB59" s="24">
        <f t="shared" si="357"/>
        <v>-800596.79</v>
      </c>
      <c r="DC59" s="24">
        <f t="shared" si="357"/>
        <v>-840224.53000000014</v>
      </c>
      <c r="DD59" s="24">
        <f t="shared" si="357"/>
        <v>-807691.75999999978</v>
      </c>
      <c r="DE59" s="24">
        <f t="shared" ref="DE59:DJ59" si="358">SUM(DE46,DE53,DE54,DE55,DE56,DE57,DE58)</f>
        <v>-843143.84999999986</v>
      </c>
      <c r="DF59" s="24">
        <f t="shared" si="358"/>
        <v>-866741.04</v>
      </c>
      <c r="DG59" s="24">
        <f t="shared" si="358"/>
        <v>-934210.56000000017</v>
      </c>
      <c r="DH59" s="24">
        <f t="shared" si="358"/>
        <v>-929255.57999999984</v>
      </c>
      <c r="DI59" s="24">
        <f t="shared" si="358"/>
        <v>-975706.47999999986</v>
      </c>
      <c r="DJ59" s="24">
        <f t="shared" si="358"/>
        <v>-1000674.7099999998</v>
      </c>
      <c r="DK59" s="24">
        <f>SUM(DK46,DK53,DK54,DK55,DK56,DK57,DK58)</f>
        <v>-1022582.96</v>
      </c>
      <c r="DL59" s="24">
        <f>SUM(DL46,DL53,DL54,DL55,DL56,DL57,DL58)</f>
        <v>-1041662.5999999997</v>
      </c>
      <c r="DM59" s="24">
        <f>SUM(DM46,DM53,DM54,DM55,DM56,DM57,DM58)</f>
        <v>-1031654.3000000002</v>
      </c>
      <c r="DN59" s="24">
        <f>SUM(DN46,DN53,DN54,DN55,DN56,DN57,DN58)</f>
        <v>-1090140.29</v>
      </c>
      <c r="DO59" s="24">
        <f t="shared" ref="DO59:DP59" si="359">SUM(DO46,DO53,DO54,DO55,DO56,DO57,DO58)</f>
        <v>-1166985.33</v>
      </c>
      <c r="DP59" s="24">
        <f t="shared" si="359"/>
        <v>-1125933.05</v>
      </c>
      <c r="DQ59" s="24">
        <f t="shared" ref="DQ59:DR59" si="360">SUM(DQ46,DQ53,DQ54,DQ55,DQ56,DQ57,DQ58)</f>
        <v>-1198738.03</v>
      </c>
      <c r="DR59" s="24">
        <f t="shared" si="360"/>
        <v>-1177693.7100000002</v>
      </c>
      <c r="DS59" s="24">
        <f t="shared" ref="DS59:DT59" si="361">SUM(DS46,DS53,DS54,DS55,DS56,DS57,DS58)</f>
        <v>-1109653.2500000002</v>
      </c>
      <c r="DT59" s="24">
        <f t="shared" si="361"/>
        <v>-1141728.17</v>
      </c>
      <c r="DU59" s="24">
        <f t="shared" ref="DU59" si="362">SUM(DU46,DU53,DU54,DU55,DU56,DU57,DU58)</f>
        <v>-1094933.9800000002</v>
      </c>
      <c r="DV59" s="24">
        <f t="shared" ref="DV59:EA59" si="363">SUM(DV46,DV53,DV54,DV55,DV56,DV57,DV58)</f>
        <v>-1153925.82</v>
      </c>
      <c r="DW59" s="24">
        <f t="shared" si="363"/>
        <v>-1101731.55</v>
      </c>
      <c r="DX59" s="24">
        <f t="shared" si="363"/>
        <v>-1067406.7</v>
      </c>
      <c r="DY59" s="548">
        <f t="shared" si="363"/>
        <v>-1107192.2299999997</v>
      </c>
      <c r="DZ59" s="24">
        <f t="shared" si="363"/>
        <v>-1095185.5285176204</v>
      </c>
      <c r="EA59" s="24">
        <f t="shared" si="363"/>
        <v>-1076920.4291579006</v>
      </c>
      <c r="EB59" s="24">
        <f t="shared" ref="EB59:EE59" si="364">SUM(EB46,EB53,EB54,EB55,EB56,EB57,EB58)</f>
        <v>-1035920.2459001385</v>
      </c>
      <c r="EC59" s="24">
        <f t="shared" si="364"/>
        <v>-1062833.1386029231</v>
      </c>
      <c r="ED59" s="24">
        <f t="shared" si="364"/>
        <v>-1066980.3113805822</v>
      </c>
      <c r="EE59" s="24">
        <f t="shared" si="364"/>
        <v>-1076597.8895582524</v>
      </c>
      <c r="EF59" s="24">
        <f t="shared" ref="EF59:EG59" si="365">SUM(EF46,EF53,EF54,EF55,EF56,EF57,EF58)</f>
        <v>-1097603.8246727339</v>
      </c>
      <c r="EG59" s="24">
        <f t="shared" si="365"/>
        <v>-1049040.6491290601</v>
      </c>
      <c r="EH59" s="24">
        <f t="shared" ref="EH59:EI59" si="366">SUM(EH46,EH53,EH54,EH55,EH56,EH57,EH58)</f>
        <v>-1093087.1239898689</v>
      </c>
      <c r="EI59" s="24">
        <f t="shared" si="366"/>
        <v>-1095496.1653149566</v>
      </c>
      <c r="EJ59" s="24">
        <f t="shared" ref="EJ59:ES59" si="367">SUM(EJ46,EJ53,EJ54,EJ55,EJ56,EJ57,EJ58)</f>
        <v>-1072003.7727493534</v>
      </c>
      <c r="EK59" s="548">
        <f t="shared" si="367"/>
        <v>-1027827.184636598</v>
      </c>
      <c r="EL59" s="548">
        <f t="shared" si="367"/>
        <v>-1073973.8540772235</v>
      </c>
      <c r="EM59" s="548">
        <f t="shared" si="367"/>
        <v>-1117567.2805098579</v>
      </c>
      <c r="EN59" s="548">
        <f t="shared" si="367"/>
        <v>-1079351.2020097049</v>
      </c>
      <c r="EO59" s="548">
        <f t="shared" si="367"/>
        <v>-1064964.4687535486</v>
      </c>
      <c r="EP59" s="548">
        <f t="shared" si="367"/>
        <v>-1103950.1949941332</v>
      </c>
      <c r="EQ59" s="548">
        <f t="shared" si="367"/>
        <v>-1126825.6223444915</v>
      </c>
      <c r="ER59" s="548">
        <f t="shared" si="367"/>
        <v>-1088664.1143942988</v>
      </c>
      <c r="ES59" s="548">
        <f t="shared" si="367"/>
        <v>-1077407.2665660086</v>
      </c>
      <c r="ET59" s="548">
        <f t="shared" ref="ET59:EU59" si="368">SUM(ET46,ET53,ET54,ET55,ET56,ET57,ET58)</f>
        <v>-1019589.7001031657</v>
      </c>
      <c r="EU59" s="548">
        <f t="shared" si="368"/>
        <v>-1121333.2746086121</v>
      </c>
      <c r="EV59" s="548">
        <f t="shared" ref="EV59:EY59" si="369">SUM(EV46,EV53,EV54,EV55,EV56,EV57,EV58)</f>
        <v>-1000961.3959969517</v>
      </c>
      <c r="EW59" s="548">
        <f t="shared" si="369"/>
        <v>-948159.46285087802</v>
      </c>
      <c r="EX59" s="548">
        <f t="shared" si="369"/>
        <v>-967732.26016284479</v>
      </c>
      <c r="EY59" s="548">
        <f t="shared" si="369"/>
        <v>-985290.43394371099</v>
      </c>
      <c r="EZ59" s="548">
        <f t="shared" ref="EZ59:FE59" si="370">SUM(EZ46,EZ53,EZ54,EZ55,EZ56,EZ57,EZ58)</f>
        <v>-970357.92536525172</v>
      </c>
      <c r="FA59" s="548">
        <f t="shared" si="370"/>
        <v>-954623.85700120998</v>
      </c>
      <c r="FB59" s="548">
        <f t="shared" si="370"/>
        <v>-971365.35925571085</v>
      </c>
      <c r="FC59" s="548">
        <f t="shared" si="370"/>
        <v>-970480.19526601839</v>
      </c>
      <c r="FD59" s="548">
        <f t="shared" si="370"/>
        <v>-970014.41191119724</v>
      </c>
      <c r="FE59" s="548">
        <f t="shared" si="370"/>
        <v>-964127.61504830699</v>
      </c>
      <c r="FF59" s="548">
        <f t="shared" ref="FF59:FH59" si="371">SUM(FF46,FF53,FF54,FF55,FF56,FF57,FF58)</f>
        <v>-997815.97750856611</v>
      </c>
      <c r="FG59" s="548">
        <f t="shared" si="371"/>
        <v>-931675.91707529745</v>
      </c>
      <c r="FH59" s="548">
        <f t="shared" si="371"/>
        <v>-912225.46612607327</v>
      </c>
      <c r="FI59" s="548">
        <f>FI46+SUM(FI53:FI58)</f>
        <v>-865704.23897906626</v>
      </c>
      <c r="FJ59" s="548">
        <f>FJ46+SUM(FJ53:FJ58)</f>
        <v>-892668.38923903182</v>
      </c>
      <c r="FK59" s="761">
        <f>FK46+SUM(FK53:FK58)</f>
        <v>-880582.4250083568</v>
      </c>
      <c r="FL59" s="548"/>
      <c r="FM59" s="548"/>
      <c r="FN59" s="548">
        <f>SUM(FN46,FN53,FN54,FN55,FN56,FN57,FN58)</f>
        <v>-936737.79121954669</v>
      </c>
      <c r="FO59" s="548">
        <f t="shared" si="343"/>
        <v>12085.964230675017</v>
      </c>
      <c r="FP59" s="548">
        <f t="shared" si="344"/>
        <v>56155.366211189888</v>
      </c>
      <c r="FQ59" s="548" t="e">
        <f>FL59-#REF!</f>
        <v>#REF!</v>
      </c>
      <c r="FR59" s="548">
        <f t="shared" si="345"/>
        <v>-12085.964230675017</v>
      </c>
      <c r="FS59" s="548">
        <f t="shared" si="13"/>
        <v>56155.366211189888</v>
      </c>
      <c r="FT59" s="548">
        <f>SUM($FJ59:FK59)</f>
        <v>-1773250.8142473886</v>
      </c>
      <c r="FU59" s="548">
        <f>SUM('Financial plan'!$EY54:EZ54)</f>
        <v>-1873475.5824390934</v>
      </c>
      <c r="FV59" s="548">
        <f t="shared" si="41"/>
        <v>100224.76819170476</v>
      </c>
      <c r="FX59" s="20"/>
    </row>
    <row r="60" spans="3:180" s="10" customFormat="1" x14ac:dyDescent="0.35">
      <c r="C60" s="696" t="s">
        <v>15</v>
      </c>
      <c r="D60" s="696"/>
      <c r="E60" s="696"/>
      <c r="F60" s="463"/>
      <c r="G60" s="463"/>
      <c r="H60" s="463"/>
      <c r="I60" s="463"/>
      <c r="J60" s="463"/>
      <c r="K60" s="463"/>
      <c r="L60" s="463"/>
      <c r="M60" s="463"/>
      <c r="N60" s="11">
        <f t="shared" ca="1" si="346"/>
        <v>-502354.34146010061</v>
      </c>
      <c r="O60" s="463">
        <f>SUM(AX60:BA60)</f>
        <v>957512.94021435163</v>
      </c>
      <c r="P60" s="463">
        <f>SUM($FJ60:FK60)</f>
        <v>280550.01069002622</v>
      </c>
      <c r="Q60" s="382"/>
      <c r="R60" s="382"/>
      <c r="S60" s="382"/>
      <c r="T60" s="382"/>
      <c r="U60" s="382"/>
      <c r="V60" s="382"/>
      <c r="W60" s="382"/>
      <c r="X60" s="382"/>
      <c r="Y60" s="382"/>
      <c r="Z60" s="382"/>
      <c r="AA60" s="382"/>
      <c r="AB60" s="382"/>
      <c r="AC60" s="382"/>
      <c r="AD60" s="382"/>
      <c r="AE60" s="382"/>
      <c r="AF60" s="382"/>
      <c r="AG60" s="382"/>
      <c r="AH60" s="382"/>
      <c r="AI60" s="382"/>
      <c r="AJ60" s="382"/>
      <c r="AK60" s="382"/>
      <c r="AL60" s="382"/>
      <c r="AM60" s="382"/>
      <c r="AN60" s="382"/>
      <c r="AO60" s="382"/>
      <c r="AP60" s="382"/>
      <c r="AQ60" s="382"/>
      <c r="AR60" s="382"/>
      <c r="AS60" s="382"/>
      <c r="AT60" s="20">
        <f t="shared" ref="AT60:AT61" si="372">SUM(EL60:EN60)</f>
        <v>91500.812777147163</v>
      </c>
      <c r="AU60" s="20">
        <f t="shared" ca="1" si="300"/>
        <v>-17392.71282005799</v>
      </c>
      <c r="AV60" s="20">
        <f t="shared" ca="1" si="300"/>
        <v>-150065.25018322549</v>
      </c>
      <c r="AW60" s="20">
        <f t="shared" ca="1" si="300"/>
        <v>-426397.19123396429</v>
      </c>
      <c r="AX60" s="382">
        <f>SUM(EX60:EZ60)</f>
        <v>20382.762976818834</v>
      </c>
      <c r="AY60" s="382">
        <f>SUM(FA60:FC60)</f>
        <v>-33984.442823183723</v>
      </c>
      <c r="AZ60" s="382">
        <f t="shared" si="352"/>
        <v>361734.16754115024</v>
      </c>
      <c r="BA60" s="382">
        <f t="shared" si="353"/>
        <v>609380.45251956629</v>
      </c>
      <c r="BB60" s="382">
        <f t="shared" si="301"/>
        <v>280550.01069002622</v>
      </c>
      <c r="BC60" s="382"/>
      <c r="BD60" s="382"/>
      <c r="BE60" s="382"/>
      <c r="BF60" s="382"/>
      <c r="BG60" s="382"/>
      <c r="BH60" s="382"/>
      <c r="BI60" s="382"/>
      <c r="BJ60" s="382"/>
      <c r="BK60" s="382"/>
      <c r="BL60" s="382"/>
      <c r="BM60" s="382"/>
      <c r="BN60" s="382"/>
      <c r="BO60" s="382"/>
      <c r="BP60" s="382"/>
      <c r="BQ60" s="382"/>
      <c r="BR60" s="382"/>
      <c r="BS60" s="382"/>
      <c r="BT60" s="382"/>
      <c r="BU60" s="382"/>
      <c r="BV60" s="382"/>
      <c r="BW60" s="382"/>
      <c r="BX60" s="382"/>
      <c r="BY60" s="382"/>
      <c r="BZ60" s="382"/>
      <c r="CA60" s="382"/>
      <c r="CB60" s="382"/>
      <c r="CC60" s="382"/>
      <c r="CD60" s="382"/>
      <c r="CE60" s="382"/>
      <c r="CF60" s="382"/>
      <c r="CG60" s="382"/>
      <c r="CH60" s="382"/>
      <c r="CI60" s="382"/>
      <c r="CJ60" s="382"/>
      <c r="CK60" s="382"/>
      <c r="CL60" s="382"/>
      <c r="CM60" s="382"/>
      <c r="CN60" s="382"/>
      <c r="CO60" s="382"/>
      <c r="CP60" s="382"/>
      <c r="CQ60" s="382"/>
      <c r="CR60" s="382"/>
      <c r="CS60" s="382"/>
      <c r="CT60" s="382"/>
      <c r="CU60" s="382"/>
      <c r="CV60" s="382"/>
      <c r="CW60" s="382"/>
      <c r="CX60" s="382"/>
      <c r="CY60" s="382"/>
      <c r="CZ60" s="382"/>
      <c r="DA60" s="382"/>
      <c r="DB60" s="382"/>
      <c r="DC60" s="382"/>
      <c r="DD60" s="382"/>
      <c r="DE60" s="382"/>
      <c r="DF60" s="382"/>
      <c r="DG60" s="382"/>
      <c r="DH60" s="382"/>
      <c r="DI60" s="382"/>
      <c r="DJ60" s="382"/>
      <c r="DK60" s="382"/>
      <c r="DL60" s="382"/>
      <c r="DM60" s="382"/>
      <c r="DN60" s="382"/>
      <c r="DO60" s="382"/>
      <c r="DP60" s="382"/>
      <c r="DQ60" s="382"/>
      <c r="DR60" s="382"/>
      <c r="DS60" s="382"/>
      <c r="DT60" s="382"/>
      <c r="DU60" s="382"/>
      <c r="DV60" s="382"/>
      <c r="DW60" s="382"/>
      <c r="DX60" s="382"/>
      <c r="DY60" s="589"/>
      <c r="DZ60" s="382"/>
      <c r="EA60" s="382"/>
      <c r="EB60" s="382"/>
      <c r="EC60" s="382"/>
      <c r="ED60" s="382"/>
      <c r="EE60" s="382"/>
      <c r="EF60" s="382"/>
      <c r="EG60" s="382"/>
      <c r="EH60" s="382"/>
      <c r="EI60" s="382"/>
      <c r="EJ60" s="382"/>
      <c r="EK60" s="589"/>
      <c r="EL60" s="589">
        <f t="shared" ref="EL60" si="373">EL59+EL44</f>
        <v>-4148.5815761957783</v>
      </c>
      <c r="EM60" s="589">
        <f t="shared" ref="EM60" si="374">EM59+EM44</f>
        <v>-12553.837672986323</v>
      </c>
      <c r="EN60" s="589">
        <f t="shared" ref="EN60" si="375">EN59+EN44</f>
        <v>108203.23202632926</v>
      </c>
      <c r="EO60" s="589">
        <f t="shared" ref="EO60" si="376">EO59+EO44</f>
        <v>-42632.498375204857</v>
      </c>
      <c r="EP60" s="589">
        <f t="shared" ref="EP60" si="377">EP59+EP44</f>
        <v>58684.62766524381</v>
      </c>
      <c r="EQ60" s="589">
        <f t="shared" ref="EQ60" si="378">EQ59+EQ44</f>
        <v>-33444.842110096943</v>
      </c>
      <c r="ER60" s="589">
        <f t="shared" ref="ER60" si="379">ER59+ER44</f>
        <v>-40762.914549791254</v>
      </c>
      <c r="ES60" s="589">
        <f t="shared" ref="ES60" si="380">ES59+ES44</f>
        <v>-35741.742721713148</v>
      </c>
      <c r="ET60" s="589">
        <f t="shared" ref="ET60" si="381">ET59+ET44</f>
        <v>-73560.592911721091</v>
      </c>
      <c r="EU60" s="589">
        <f t="shared" ref="EU60" si="382">EU59+EU44</f>
        <v>-218667.4710681024</v>
      </c>
      <c r="EV60" s="589">
        <f t="shared" ref="EV60:EW60" si="383">EV59+EV44</f>
        <v>-22795.017314983881</v>
      </c>
      <c r="EW60" s="589">
        <f t="shared" si="383"/>
        <v>-184934.70285087801</v>
      </c>
      <c r="EX60" s="589">
        <f>EX59+EX44</f>
        <v>6784.5616042341571</v>
      </c>
      <c r="EY60" s="589">
        <f>EY59+EY44</f>
        <v>37981.869064365514</v>
      </c>
      <c r="EZ60" s="589">
        <f t="shared" ref="EZ60:FB60" si="384">EZ59+EZ44</f>
        <v>-24383.667691780836</v>
      </c>
      <c r="FA60" s="589">
        <f t="shared" si="384"/>
        <v>-9457.1518238487188</v>
      </c>
      <c r="FB60" s="589">
        <f t="shared" si="384"/>
        <v>-28833.825351032428</v>
      </c>
      <c r="FC60" s="589">
        <f>FC59+FC44</f>
        <v>4306.5343516974244</v>
      </c>
      <c r="FD60" s="589">
        <f>FD59+FD44</f>
        <v>118749.12062825705</v>
      </c>
      <c r="FE60" s="589">
        <f>FE59+FE44</f>
        <v>102234.4342677861</v>
      </c>
      <c r="FF60" s="589">
        <f>FF59+FF44</f>
        <v>140750.61264510709</v>
      </c>
      <c r="FG60" s="589">
        <f t="shared" ref="FG60" si="385">FG59+FG44</f>
        <v>105933.35442020057</v>
      </c>
      <c r="FH60" s="589">
        <f>FH59+FH44</f>
        <v>232639.13609877171</v>
      </c>
      <c r="FI60" s="589">
        <f>FI59+FI44</f>
        <v>270807.96200059401</v>
      </c>
      <c r="FJ60" s="589">
        <f>FJ59+FJ44</f>
        <v>107465.49035611213</v>
      </c>
      <c r="FK60" s="770">
        <f>FK59+FK44</f>
        <v>173084.52033391409</v>
      </c>
      <c r="FL60" s="589"/>
      <c r="FM60" s="589"/>
      <c r="FN60" s="589">
        <f>'Financial plan'!EZ55</f>
        <v>165838.18046377134</v>
      </c>
      <c r="FO60" s="589">
        <f t="shared" si="343"/>
        <v>65619.029977801954</v>
      </c>
      <c r="FP60" s="589">
        <f t="shared" si="344"/>
        <v>7246.3398701427504</v>
      </c>
      <c r="FQ60" s="589" t="e">
        <f>FL60-#REF!</f>
        <v>#REF!</v>
      </c>
      <c r="FR60" s="589">
        <f t="shared" si="345"/>
        <v>-65619.029977801954</v>
      </c>
      <c r="FS60" s="589">
        <f t="shared" si="13"/>
        <v>7246.3398701427504</v>
      </c>
      <c r="FT60" s="589">
        <f>SUM($FJ60:FK60)</f>
        <v>280550.01069002622</v>
      </c>
      <c r="FU60" s="589">
        <f>SUM('Financial plan'!$EY55:EZ55)</f>
        <v>331676.36092754267</v>
      </c>
      <c r="FV60" s="589">
        <f t="shared" si="41"/>
        <v>-51126.350237516453</v>
      </c>
      <c r="FX60" s="20"/>
    </row>
    <row r="61" spans="3:180" s="10" customFormat="1" x14ac:dyDescent="0.35">
      <c r="E61" t="s">
        <v>122</v>
      </c>
      <c r="F61" s="11"/>
      <c r="G61" s="11"/>
      <c r="H61" s="11"/>
      <c r="I61" s="11"/>
      <c r="J61" s="11"/>
      <c r="K61" s="11"/>
      <c r="L61" s="11"/>
      <c r="M61" s="11"/>
      <c r="N61" s="19">
        <f t="shared" ca="1" si="346"/>
        <v>4.6566128730773926E-10</v>
      </c>
      <c r="O61" s="19">
        <f>SUM(AX61:BA61)</f>
        <v>-414478.42727950518</v>
      </c>
      <c r="P61" s="19">
        <f>SUM($FJ61:FK61)</f>
        <v>-115305</v>
      </c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20">
        <f t="shared" si="372"/>
        <v>-160841.56006980326</v>
      </c>
      <c r="AU61" s="20">
        <f t="shared" ca="1" si="300"/>
        <v>-149198.65768103919</v>
      </c>
      <c r="AV61" s="20">
        <f t="shared" ca="1" si="300"/>
        <v>28867.625747202197</v>
      </c>
      <c r="AW61" s="20">
        <f t="shared" ca="1" si="300"/>
        <v>281172.59200364072</v>
      </c>
      <c r="AX61" s="12">
        <f>SUM(EX61:EZ61)</f>
        <v>-182726.95233683591</v>
      </c>
      <c r="AY61" s="12">
        <f>SUM(FA61:FC61)</f>
        <v>-84564.625915404409</v>
      </c>
      <c r="AZ61" s="12">
        <f t="shared" si="352"/>
        <v>-9279.2711164750181</v>
      </c>
      <c r="BA61" s="12">
        <f t="shared" si="353"/>
        <v>-137907.5779107899</v>
      </c>
      <c r="BB61" s="20">
        <f t="shared" si="301"/>
        <v>-115305</v>
      </c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511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511"/>
      <c r="EL61" s="469">
        <v>-54619.971849459529</v>
      </c>
      <c r="EM61" s="469">
        <v>-54212.043477176383</v>
      </c>
      <c r="EN61" s="469">
        <v>-52009.544743167353</v>
      </c>
      <c r="EO61" s="469">
        <v>-44091.326351090684</v>
      </c>
      <c r="EP61" s="469">
        <v>-52452.661633701238</v>
      </c>
      <c r="EQ61" s="469">
        <v>-52654.669696247263</v>
      </c>
      <c r="ER61" s="469">
        <v>-1284.6887592843268</v>
      </c>
      <c r="ES61" s="469">
        <v>8743.0523385305423</v>
      </c>
      <c r="ET61" s="469">
        <v>21409.262167955982</v>
      </c>
      <c r="EU61" s="469">
        <v>28411.953239395574</v>
      </c>
      <c r="EV61" s="469">
        <v>78473.885913367121</v>
      </c>
      <c r="EW61" s="469">
        <v>174286.75285087799</v>
      </c>
      <c r="EX61" s="469">
        <v>-61094.727722572199</v>
      </c>
      <c r="EY61" s="469">
        <v>-60710.73751532536</v>
      </c>
      <c r="EZ61" s="469">
        <v>-60921.487098938349</v>
      </c>
      <c r="FA61" s="469">
        <v>-58165.515216722793</v>
      </c>
      <c r="FB61" s="469">
        <v>-25110.533192915202</v>
      </c>
      <c r="FC61" s="469">
        <v>-1288.57750576641</v>
      </c>
      <c r="FD61" s="469">
        <v>-69.984466118157997</v>
      </c>
      <c r="FE61" s="469">
        <v>-384</v>
      </c>
      <c r="FF61" s="469">
        <v>-8825.2866503568603</v>
      </c>
      <c r="FG61" s="469">
        <v>0</v>
      </c>
      <c r="FH61" s="469">
        <v>-52268</v>
      </c>
      <c r="FI61" s="469">
        <v>-85639.5779107899</v>
      </c>
      <c r="FJ61" s="469">
        <v>-57412</v>
      </c>
      <c r="FK61" s="767">
        <v>-57893</v>
      </c>
      <c r="FL61" s="469"/>
      <c r="FM61" s="469"/>
      <c r="FN61" s="469">
        <f>'Financial plan'!EZ56</f>
        <v>-37964.188198659031</v>
      </c>
      <c r="FO61" s="469">
        <f t="shared" si="343"/>
        <v>-481</v>
      </c>
      <c r="FP61" s="469">
        <f t="shared" si="344"/>
        <v>-19928.811801340969</v>
      </c>
      <c r="FQ61" s="469" t="e">
        <f>FL61-#REF!</f>
        <v>#REF!</v>
      </c>
      <c r="FR61" s="469">
        <f t="shared" si="345"/>
        <v>481</v>
      </c>
      <c r="FS61" s="469">
        <f t="shared" si="13"/>
        <v>-19928.811801340969</v>
      </c>
      <c r="FT61" s="469">
        <f>SUM($FJ61:FK61)</f>
        <v>-115305</v>
      </c>
      <c r="FU61" s="469">
        <f>SUM('Financial plan'!$EY56:EZ56)</f>
        <v>-75928.376397318061</v>
      </c>
      <c r="FV61" s="469">
        <f t="shared" si="41"/>
        <v>-39376.623602681939</v>
      </c>
      <c r="FX61" s="511"/>
    </row>
    <row r="62" spans="3:180" x14ac:dyDescent="0.35">
      <c r="C62" s="21" t="s">
        <v>123</v>
      </c>
      <c r="D62" s="22"/>
      <c r="E62" s="22"/>
      <c r="F62" s="23">
        <f t="shared" ref="F62:K62" si="386">F44+F59</f>
        <v>-1577000</v>
      </c>
      <c r="G62" s="23">
        <f t="shared" si="386"/>
        <v>-1348151</v>
      </c>
      <c r="H62" s="23">
        <f t="shared" si="386"/>
        <v>-820597</v>
      </c>
      <c r="I62" s="23">
        <f t="shared" si="386"/>
        <v>-1975793</v>
      </c>
      <c r="J62" s="23">
        <f>J44+J59</f>
        <v>-456448.43999999948</v>
      </c>
      <c r="K62" s="23">
        <f t="shared" si="386"/>
        <v>-2988948.4899999993</v>
      </c>
      <c r="L62" s="23">
        <f>L44+L59</f>
        <v>-3239763.8066889457</v>
      </c>
      <c r="M62" s="23">
        <f ca="1">M44+M59</f>
        <v>-368407.48468425125</v>
      </c>
      <c r="N62" s="23">
        <f ca="1">SUM(AT62:AW62)</f>
        <v>-502354.34146010014</v>
      </c>
      <c r="O62" s="23">
        <f t="shared" si="320"/>
        <v>543034.51293484645</v>
      </c>
      <c r="P62" s="23">
        <f>SUM($FJ62:FK62)</f>
        <v>165245.01069002622</v>
      </c>
      <c r="Q62" s="34"/>
      <c r="R62" s="24">
        <f>R44+R59</f>
        <v>-415583</v>
      </c>
      <c r="S62" s="24">
        <f>S44+S59</f>
        <v>-588133</v>
      </c>
      <c r="T62" s="24">
        <f>T44+T59</f>
        <v>-439945</v>
      </c>
      <c r="U62" s="24">
        <f>U44+U59</f>
        <v>33585</v>
      </c>
      <c r="V62" s="24">
        <f t="shared" ref="V62:AA62" si="387">V44+V59</f>
        <v>-151564</v>
      </c>
      <c r="W62" s="24">
        <f t="shared" si="387"/>
        <v>-292716</v>
      </c>
      <c r="X62" s="24">
        <f t="shared" si="387"/>
        <v>-190251</v>
      </c>
      <c r="Y62" s="24">
        <f t="shared" si="387"/>
        <v>-186066</v>
      </c>
      <c r="Z62" s="24">
        <f t="shared" si="387"/>
        <v>-445846</v>
      </c>
      <c r="AA62" s="24">
        <f t="shared" si="387"/>
        <v>-632208</v>
      </c>
      <c r="AB62" s="24">
        <f t="shared" ref="AB62:AG62" si="388">AB44+AB59</f>
        <v>-498542</v>
      </c>
      <c r="AC62" s="24">
        <f t="shared" si="388"/>
        <v>-399197</v>
      </c>
      <c r="AD62" s="24">
        <f t="shared" si="388"/>
        <v>-286256</v>
      </c>
      <c r="AE62" s="24">
        <f t="shared" si="388"/>
        <v>14366</v>
      </c>
      <c r="AF62" s="24">
        <f t="shared" si="388"/>
        <v>-17895.079999999376</v>
      </c>
      <c r="AG62" s="24">
        <f t="shared" si="388"/>
        <v>-166663.3599999994</v>
      </c>
      <c r="AH62" s="24">
        <f t="shared" ref="AH62:AO62" si="389">AH44+AH59</f>
        <v>-569028.73</v>
      </c>
      <c r="AI62" s="24">
        <f t="shared" si="389"/>
        <v>-679299.58999999985</v>
      </c>
      <c r="AJ62" s="24">
        <f t="shared" si="389"/>
        <v>-835212.29999999888</v>
      </c>
      <c r="AK62" s="24">
        <f t="shared" si="389"/>
        <v>-905407.87000000011</v>
      </c>
      <c r="AL62" s="24">
        <f t="shared" si="389"/>
        <v>-1112785.5700000003</v>
      </c>
      <c r="AM62" s="24">
        <f t="shared" si="389"/>
        <v>-1019531.7300000009</v>
      </c>
      <c r="AN62" s="24">
        <f>AN44+AN59</f>
        <v>-840470.7753602122</v>
      </c>
      <c r="AO62" s="24">
        <f t="shared" si="389"/>
        <v>-266975.7313287342</v>
      </c>
      <c r="AP62" s="24">
        <f>AP44+AP59</f>
        <v>-170699.13357565925</v>
      </c>
      <c r="AQ62" s="24">
        <f ca="1">AQ44+AQ59</f>
        <v>-159094.94954175828</v>
      </c>
      <c r="AR62" s="24">
        <f t="shared" ref="AR62:AS62" ca="1" si="390">AR44+AR59</f>
        <v>-159785.86193441739</v>
      </c>
      <c r="AS62" s="24">
        <f t="shared" ca="1" si="390"/>
        <v>121172.4603675874</v>
      </c>
      <c r="AT62" s="24">
        <f>SUM(EL62:EN62)</f>
        <v>-69340.747292656102</v>
      </c>
      <c r="AU62" s="24">
        <f t="shared" ca="1" si="300"/>
        <v>-166591.37050109718</v>
      </c>
      <c r="AV62" s="24">
        <f t="shared" ca="1" si="300"/>
        <v>-121197.6244360233</v>
      </c>
      <c r="AW62" s="24">
        <f t="shared" ca="1" si="300"/>
        <v>-145224.5992303236</v>
      </c>
      <c r="AX62" s="24">
        <f>SUM(EX62:EZ62)</f>
        <v>-162344.18936001707</v>
      </c>
      <c r="AY62" s="24">
        <f>SUM(FA62:FC62)</f>
        <v>-118549.06873858813</v>
      </c>
      <c r="AZ62" s="24">
        <f t="shared" si="352"/>
        <v>352454.89642467524</v>
      </c>
      <c r="BA62" s="24">
        <f t="shared" si="353"/>
        <v>471472.87460877642</v>
      </c>
      <c r="BB62" s="24">
        <f t="shared" si="301"/>
        <v>165245.01069002622</v>
      </c>
      <c r="BC62" s="24"/>
      <c r="BD62" s="24"/>
      <c r="BE62" s="24"/>
      <c r="BF62" s="24">
        <f t="shared" ref="BF62:BQ62" si="391">BF44+BF59</f>
        <v>85742</v>
      </c>
      <c r="BG62" s="24">
        <f t="shared" si="391"/>
        <v>-231637</v>
      </c>
      <c r="BH62" s="24">
        <f t="shared" si="391"/>
        <v>-269688</v>
      </c>
      <c r="BI62" s="24">
        <f t="shared" si="391"/>
        <v>-279306</v>
      </c>
      <c r="BJ62" s="24">
        <f t="shared" si="391"/>
        <v>-162365</v>
      </c>
      <c r="BK62" s="24">
        <f t="shared" si="391"/>
        <v>-146462</v>
      </c>
      <c r="BL62" s="24">
        <f t="shared" si="391"/>
        <v>-176448</v>
      </c>
      <c r="BM62" s="24">
        <f t="shared" si="391"/>
        <v>-62810</v>
      </c>
      <c r="BN62" s="24">
        <f t="shared" si="391"/>
        <v>-200687</v>
      </c>
      <c r="BO62" s="24">
        <f t="shared" si="391"/>
        <v>158174</v>
      </c>
      <c r="BP62" s="24">
        <f t="shared" si="391"/>
        <v>-51641</v>
      </c>
      <c r="BQ62" s="24">
        <f t="shared" si="391"/>
        <v>-72948</v>
      </c>
      <c r="BR62" s="24">
        <f t="shared" ref="BR62:CC62" si="392">BR44+BR59</f>
        <v>-62108</v>
      </c>
      <c r="BS62" s="24">
        <f t="shared" si="392"/>
        <v>-17710</v>
      </c>
      <c r="BT62" s="24">
        <f t="shared" si="392"/>
        <v>-71746</v>
      </c>
      <c r="BU62" s="24">
        <f t="shared" si="392"/>
        <v>-79053</v>
      </c>
      <c r="BV62" s="24">
        <f t="shared" si="392"/>
        <v>-113010</v>
      </c>
      <c r="BW62" s="24">
        <f t="shared" si="392"/>
        <v>-100653</v>
      </c>
      <c r="BX62" s="24">
        <f t="shared" si="392"/>
        <v>-31641</v>
      </c>
      <c r="BY62" s="24">
        <f t="shared" si="392"/>
        <v>-81381</v>
      </c>
      <c r="BZ62" s="24">
        <f t="shared" si="392"/>
        <v>-77229</v>
      </c>
      <c r="CA62" s="24">
        <f t="shared" si="392"/>
        <v>-42725</v>
      </c>
      <c r="CB62" s="24">
        <f t="shared" si="392"/>
        <v>-126875</v>
      </c>
      <c r="CC62" s="24">
        <f t="shared" si="392"/>
        <v>-16466</v>
      </c>
      <c r="CD62" s="24">
        <f>CD44+CD59</f>
        <v>-118985</v>
      </c>
      <c r="CE62" s="24">
        <f t="shared" ref="CE62:CW62" si="393">CE44+CE59</f>
        <v>-170874</v>
      </c>
      <c r="CF62" s="24">
        <f t="shared" si="393"/>
        <v>-155987</v>
      </c>
      <c r="CG62" s="24">
        <f t="shared" si="393"/>
        <v>-169094</v>
      </c>
      <c r="CH62" s="24">
        <f t="shared" si="393"/>
        <v>-186124</v>
      </c>
      <c r="CI62" s="24">
        <f t="shared" si="393"/>
        <v>-276990</v>
      </c>
      <c r="CJ62" s="24">
        <f t="shared" si="393"/>
        <v>-207440</v>
      </c>
      <c r="CK62" s="24">
        <f t="shared" si="393"/>
        <v>-186335</v>
      </c>
      <c r="CL62" s="24">
        <f t="shared" si="393"/>
        <v>-104767</v>
      </c>
      <c r="CM62" s="24">
        <f t="shared" si="393"/>
        <v>-127256</v>
      </c>
      <c r="CN62" s="24">
        <f t="shared" si="393"/>
        <v>-139438</v>
      </c>
      <c r="CO62" s="24">
        <f t="shared" si="393"/>
        <v>-132503</v>
      </c>
      <c r="CP62" s="24">
        <f t="shared" si="393"/>
        <v>-70571</v>
      </c>
      <c r="CQ62" s="24">
        <f t="shared" si="393"/>
        <v>-127931</v>
      </c>
      <c r="CR62" s="24">
        <f t="shared" si="393"/>
        <v>-87754</v>
      </c>
      <c r="CS62" s="24">
        <f t="shared" si="393"/>
        <v>-34958</v>
      </c>
      <c r="CT62" s="24">
        <f t="shared" si="393"/>
        <v>17476</v>
      </c>
      <c r="CU62" s="24">
        <f t="shared" si="393"/>
        <v>31848</v>
      </c>
      <c r="CV62" s="24">
        <f t="shared" si="393"/>
        <v>-17879</v>
      </c>
      <c r="CW62" s="24">
        <f t="shared" si="393"/>
        <v>-38741.720000000205</v>
      </c>
      <c r="CX62" s="24">
        <f t="shared" ref="CX62:DC62" si="394">CX44+CX59</f>
        <v>38725.640000000363</v>
      </c>
      <c r="CY62" s="24">
        <f t="shared" si="394"/>
        <v>-44058.79999999993</v>
      </c>
      <c r="CZ62" s="24">
        <f t="shared" si="394"/>
        <v>-59261.529999999795</v>
      </c>
      <c r="DA62" s="24">
        <f t="shared" si="394"/>
        <v>-63343.029999999562</v>
      </c>
      <c r="DB62" s="24">
        <f t="shared" si="394"/>
        <v>-134774.84999999998</v>
      </c>
      <c r="DC62" s="24">
        <f t="shared" si="394"/>
        <v>-207137.15000000049</v>
      </c>
      <c r="DD62" s="24">
        <f t="shared" ref="DD62:DN62" si="395">DD44+DD59</f>
        <v>-227116.72999999986</v>
      </c>
      <c r="DE62" s="24">
        <f t="shared" si="395"/>
        <v>-233458.49999999988</v>
      </c>
      <c r="DF62" s="24">
        <f t="shared" si="395"/>
        <v>-233931.86999999988</v>
      </c>
      <c r="DG62" s="24">
        <f t="shared" si="395"/>
        <v>-211909.22000000032</v>
      </c>
      <c r="DH62" s="24">
        <f t="shared" si="395"/>
        <v>-239336.25999999978</v>
      </c>
      <c r="DI62" s="24">
        <f t="shared" si="395"/>
        <v>-270756.4099999998</v>
      </c>
      <c r="DJ62" s="24">
        <f t="shared" si="395"/>
        <v>-325119.62999999966</v>
      </c>
      <c r="DK62" s="24">
        <f t="shared" si="395"/>
        <v>-333126.83999999997</v>
      </c>
      <c r="DL62" s="24">
        <f t="shared" si="395"/>
        <v>-326648.07999999996</v>
      </c>
      <c r="DM62" s="24">
        <f t="shared" si="395"/>
        <v>-245632.95000000007</v>
      </c>
      <c r="DN62" s="24">
        <f t="shared" si="395"/>
        <v>-361990.45000000007</v>
      </c>
      <c r="DO62" s="24">
        <f t="shared" ref="DO62:DP62" si="396">DO44+DO59</f>
        <v>-447427.03</v>
      </c>
      <c r="DP62" s="24">
        <f t="shared" si="396"/>
        <v>-303368.0900000002</v>
      </c>
      <c r="DQ62" s="24">
        <f t="shared" ref="DQ62:DR62" si="397">DQ44+DQ59</f>
        <v>-373977.89999999979</v>
      </c>
      <c r="DR62" s="24">
        <f t="shared" si="397"/>
        <v>-302213.63000000035</v>
      </c>
      <c r="DS62" s="24">
        <f t="shared" ref="DS62" si="398">DS44+DS59</f>
        <v>-343340.2000000003</v>
      </c>
      <c r="DT62" s="24">
        <f t="shared" ref="DT62:DY62" si="399">DT44+DT59</f>
        <v>-396454.76617217716</v>
      </c>
      <c r="DU62" s="24">
        <f t="shared" si="399"/>
        <v>-260382.87918803527</v>
      </c>
      <c r="DV62" s="24">
        <f t="shared" si="399"/>
        <v>-183633.13</v>
      </c>
      <c r="DW62" s="24">
        <f t="shared" si="399"/>
        <v>-204900.44132873439</v>
      </c>
      <c r="DX62" s="24">
        <f t="shared" si="399"/>
        <v>-73956.530000000028</v>
      </c>
      <c r="DY62" s="548">
        <f t="shared" si="399"/>
        <v>11881.240000000456</v>
      </c>
      <c r="DZ62" s="24">
        <f t="shared" ref="DZ62:EA62" si="400">DZ44+DZ59</f>
        <v>-110402.97851762059</v>
      </c>
      <c r="EA62" s="24">
        <f t="shared" si="400"/>
        <v>-66892.819157900638</v>
      </c>
      <c r="EB62" s="24">
        <f t="shared" ref="EB62:EE62" si="401">EB44+EB59</f>
        <v>6596.6640998614021</v>
      </c>
      <c r="EC62" s="24">
        <f t="shared" si="401"/>
        <v>-39850.908602923271</v>
      </c>
      <c r="ED62" s="24">
        <f t="shared" si="401"/>
        <v>-47688.31138058193</v>
      </c>
      <c r="EE62" s="24">
        <f t="shared" si="401"/>
        <v>-71555.729558252264</v>
      </c>
      <c r="EF62" s="24">
        <f t="shared" ref="EF62:EJ62" si="402">EF44+EF59</f>
        <v>-125364.87907653803</v>
      </c>
      <c r="EG62" s="24">
        <f t="shared" si="402"/>
        <v>-57186.288591435994</v>
      </c>
      <c r="EH62" s="24">
        <f t="shared" si="402"/>
        <v>22765.305733556394</v>
      </c>
      <c r="EI62" s="24">
        <f t="shared" si="402"/>
        <v>-42143.318043904379</v>
      </c>
      <c r="EJ62" s="24">
        <f t="shared" si="402"/>
        <v>-9894.6523088361137</v>
      </c>
      <c r="EK62" s="548">
        <f t="shared" ref="EK62" si="403">EK44+EK59</f>
        <v>173210.43072032789</v>
      </c>
      <c r="EL62" s="548">
        <f t="shared" ref="EL62:EV62" si="404">EL61+EL60</f>
        <v>-58768.553425655307</v>
      </c>
      <c r="EM62" s="548">
        <f t="shared" si="404"/>
        <v>-66765.881150162706</v>
      </c>
      <c r="EN62" s="548">
        <f t="shared" si="404"/>
        <v>56193.687283161911</v>
      </c>
      <c r="EO62" s="548">
        <f t="shared" si="404"/>
        <v>-86723.824726295541</v>
      </c>
      <c r="EP62" s="548">
        <f t="shared" si="404"/>
        <v>6231.9660315425717</v>
      </c>
      <c r="EQ62" s="548">
        <f t="shared" si="404"/>
        <v>-86099.511806344206</v>
      </c>
      <c r="ER62" s="548">
        <f t="shared" si="404"/>
        <v>-42047.603309075581</v>
      </c>
      <c r="ES62" s="548">
        <f t="shared" si="404"/>
        <v>-26998.690383182606</v>
      </c>
      <c r="ET62" s="548">
        <f t="shared" si="404"/>
        <v>-52151.330743765109</v>
      </c>
      <c r="EU62" s="548">
        <f t="shared" si="404"/>
        <v>-190255.51782870683</v>
      </c>
      <c r="EV62" s="548">
        <f t="shared" si="404"/>
        <v>55678.86859838324</v>
      </c>
      <c r="EW62" s="548">
        <f>EW61+EW60</f>
        <v>-10647.950000000012</v>
      </c>
      <c r="EX62" s="548">
        <f>EX61+EX60</f>
        <v>-54310.166118338042</v>
      </c>
      <c r="EY62" s="548">
        <f>EY61+EY60</f>
        <v>-22728.868450959846</v>
      </c>
      <c r="EZ62" s="548">
        <f t="shared" ref="EZ62:FA62" si="405">EZ61+EZ60</f>
        <v>-85305.154790719185</v>
      </c>
      <c r="FA62" s="548">
        <f t="shared" si="405"/>
        <v>-67622.667040571512</v>
      </c>
      <c r="FB62" s="548">
        <f t="shared" ref="FB62:FG62" si="406">FB61+FB60</f>
        <v>-53944.35854394763</v>
      </c>
      <c r="FC62" s="548">
        <f t="shared" si="406"/>
        <v>3017.9568459310144</v>
      </c>
      <c r="FD62" s="548">
        <f t="shared" si="406"/>
        <v>118679.13616213889</v>
      </c>
      <c r="FE62" s="548">
        <f t="shared" si="406"/>
        <v>101850.4342677861</v>
      </c>
      <c r="FF62" s="548">
        <f t="shared" si="406"/>
        <v>131925.32599475022</v>
      </c>
      <c r="FG62" s="548">
        <f t="shared" si="406"/>
        <v>105933.35442020057</v>
      </c>
      <c r="FH62" s="548">
        <f>FH61+FH60</f>
        <v>180371.13609877171</v>
      </c>
      <c r="FI62" s="548">
        <f>FI61+FI60</f>
        <v>185168.38408980411</v>
      </c>
      <c r="FJ62" s="548">
        <f t="shared" ref="FJ62:FK62" si="407">FJ61+FJ60</f>
        <v>50053.490356112132</v>
      </c>
      <c r="FK62" s="761">
        <f t="shared" si="407"/>
        <v>115191.52033391409</v>
      </c>
      <c r="FL62" s="548"/>
      <c r="FM62" s="548"/>
      <c r="FN62" s="548">
        <f t="shared" ref="FN62" si="408">FN61+FN60</f>
        <v>127873.99226511231</v>
      </c>
      <c r="FO62" s="548">
        <f t="shared" si="343"/>
        <v>65138.029977801954</v>
      </c>
      <c r="FP62" s="548">
        <f t="shared" si="344"/>
        <v>-12682.471931198219</v>
      </c>
      <c r="FQ62" s="548" t="e">
        <f>FL62-#REF!</f>
        <v>#REF!</v>
      </c>
      <c r="FR62" s="548">
        <f t="shared" si="345"/>
        <v>-65138.029977801954</v>
      </c>
      <c r="FS62" s="548">
        <f t="shared" si="13"/>
        <v>-12682.471931198219</v>
      </c>
      <c r="FT62" s="548">
        <f>SUM($FJ62:FK62)</f>
        <v>165245.01069002622</v>
      </c>
      <c r="FU62" s="548">
        <f>SUM('Financial plan'!$EY57:EZ57)</f>
        <v>255747.98453022461</v>
      </c>
      <c r="FV62" s="548">
        <f t="shared" si="41"/>
        <v>-90502.973840198392</v>
      </c>
      <c r="FX62" s="511"/>
    </row>
    <row r="63" spans="3:180" x14ac:dyDescent="0.35">
      <c r="C63" s="10"/>
      <c r="D63" t="s">
        <v>124</v>
      </c>
      <c r="F63" s="19">
        <v>0</v>
      </c>
      <c r="G63" s="19">
        <f>SUM(R63:U63)</f>
        <v>-35686</v>
      </c>
      <c r="H63" s="19">
        <f t="shared" ref="H63:H69" si="409">SUM(V63:Y63)</f>
        <v>-31469</v>
      </c>
      <c r="I63" s="19">
        <f t="shared" ref="I63:I69" si="410">SUM(Z63:AC63)</f>
        <v>-24710</v>
      </c>
      <c r="J63" s="19">
        <f>SUM(AD63:AG63)</f>
        <v>-32645.17</v>
      </c>
      <c r="K63" s="19">
        <f>SUM(AH63:AK63)</f>
        <v>-37944.490000000013</v>
      </c>
      <c r="L63" s="19">
        <f>SUM(AL63:AO63)</f>
        <v>54357.005083942553</v>
      </c>
      <c r="M63" s="19">
        <f ca="1">SUM(AP63:AS63)</f>
        <v>-120350.11545314221</v>
      </c>
      <c r="N63" s="19">
        <f ca="1">SUM(AT63:AW63)</f>
        <v>76558.971317360934</v>
      </c>
      <c r="O63" s="19">
        <f t="shared" si="320"/>
        <v>-80955.684381713712</v>
      </c>
      <c r="P63" s="19">
        <f>SUM($FJ63:FK63)</f>
        <v>-7927.6836489851557</v>
      </c>
      <c r="Q63" s="20"/>
      <c r="R63" s="20">
        <f>SUM(BF63:BH63)</f>
        <v>-10259</v>
      </c>
      <c r="S63" s="20">
        <f>SUM(BI63:BK63)</f>
        <v>-13106</v>
      </c>
      <c r="T63" s="20">
        <f>SUM(BL63:BN63)</f>
        <v>14826</v>
      </c>
      <c r="U63" s="20">
        <f>SUM(BO63:BQ63)</f>
        <v>-27147</v>
      </c>
      <c r="V63" s="20">
        <f>SUM(BR63:BT63)</f>
        <v>-51807</v>
      </c>
      <c r="W63" s="20">
        <f>SUM(BU63:BW63)</f>
        <v>18287</v>
      </c>
      <c r="X63" s="20">
        <f>SUM(BX63:BZ63)</f>
        <v>4277</v>
      </c>
      <c r="Y63" s="20">
        <f>SUM(CA63:CC63)</f>
        <v>-2226</v>
      </c>
      <c r="Z63" s="20">
        <f>SUM(CD63:CF63)</f>
        <v>-13454</v>
      </c>
      <c r="AA63" s="20">
        <f>SUM(CG63:CI63)</f>
        <v>13203</v>
      </c>
      <c r="AB63" s="20">
        <f>SUM(CJ63:CL63)</f>
        <v>6481</v>
      </c>
      <c r="AC63" s="20">
        <f>SUM(CM63:CO63)</f>
        <v>-30940</v>
      </c>
      <c r="AD63" s="20">
        <f t="shared" ref="AD63:AD69" si="411">SUM(CP63:CR63)</f>
        <v>7745</v>
      </c>
      <c r="AE63" s="20">
        <f>SUM(CS63:CU63)</f>
        <v>-23914</v>
      </c>
      <c r="AF63" s="20">
        <f>SUM(CV63:CX63)</f>
        <v>-3880.8400000000038</v>
      </c>
      <c r="AG63" s="20">
        <f>SUM(CY63:DA63)</f>
        <v>-12595.329999999994</v>
      </c>
      <c r="AH63" s="20">
        <f>SUM(DB63:DD63)</f>
        <v>-30306.13</v>
      </c>
      <c r="AI63" s="20">
        <f>SUM(DE63:DG63)</f>
        <v>-21284.560000000001</v>
      </c>
      <c r="AJ63" s="20">
        <f>SUM(DH63:DJ63)</f>
        <v>9352.48</v>
      </c>
      <c r="AK63" s="20">
        <f>SUM(DK63:DM63)</f>
        <v>4293.7199999999957</v>
      </c>
      <c r="AL63" s="20">
        <f>SUM(DN63:DP63)</f>
        <v>-487.11999999999944</v>
      </c>
      <c r="AM63" s="20">
        <f>SUM(DQ63:DS63)</f>
        <v>16698.060000000005</v>
      </c>
      <c r="AN63" s="20">
        <f>SUM(DT63:DV63)</f>
        <v>88952.01999999999</v>
      </c>
      <c r="AO63" s="20">
        <f>SUM(DW63:DY63)</f>
        <v>-50805.954916057439</v>
      </c>
      <c r="AP63" s="20">
        <f>SUM(DZ63:EB63)</f>
        <v>-48779.996514053506</v>
      </c>
      <c r="AQ63" s="20">
        <f t="shared" ref="AQ63:AS67" ca="1" si="412">OFFSET($DZ63,0,AQ$4)+OFFSET($EA63,0,AQ$4)+OFFSET($EB63,0,AQ$4)</f>
        <v>-66611.950447629832</v>
      </c>
      <c r="AR63" s="20">
        <f t="shared" ca="1" si="412"/>
        <v>7131.5144510682167</v>
      </c>
      <c r="AS63" s="12">
        <f t="shared" ca="1" si="412"/>
        <v>-12089.682942527081</v>
      </c>
      <c r="AT63" s="12">
        <f t="shared" si="11"/>
        <v>7216.1587287898656</v>
      </c>
      <c r="AU63" s="12">
        <f t="shared" ca="1" si="300"/>
        <v>843.01152594586711</v>
      </c>
      <c r="AV63" s="12">
        <f t="shared" ca="1" si="300"/>
        <v>-6560.175727632688</v>
      </c>
      <c r="AW63" s="12">
        <f t="shared" ca="1" si="300"/>
        <v>75059.97679025789</v>
      </c>
      <c r="AX63" s="20">
        <f>SUM(EX63:EZ63)</f>
        <v>-18831.36086745968</v>
      </c>
      <c r="AY63" s="20">
        <f>SUM(FA63:FC63)</f>
        <v>-52007.464049001872</v>
      </c>
      <c r="AZ63" s="20">
        <f t="shared" si="352"/>
        <v>9700.4361665860743</v>
      </c>
      <c r="BA63" s="20">
        <f t="shared" si="353"/>
        <v>-19817.295631838235</v>
      </c>
      <c r="BB63" s="20">
        <f t="shared" si="301"/>
        <v>-7927.6836489851557</v>
      </c>
      <c r="BC63" s="20"/>
      <c r="BD63" s="20"/>
      <c r="BE63" s="20"/>
      <c r="BF63" s="20">
        <v>-9551</v>
      </c>
      <c r="BG63" s="20">
        <v>376</v>
      </c>
      <c r="BH63" s="20">
        <v>-1084</v>
      </c>
      <c r="BI63" s="20">
        <v>-9566</v>
      </c>
      <c r="BJ63" s="20">
        <v>8408</v>
      </c>
      <c r="BK63" s="20">
        <v>-11948</v>
      </c>
      <c r="BL63" s="20">
        <v>1018</v>
      </c>
      <c r="BM63" s="20">
        <v>17407</v>
      </c>
      <c r="BN63" s="20">
        <v>-3599</v>
      </c>
      <c r="BO63" s="20">
        <v>8600</v>
      </c>
      <c r="BP63" s="20">
        <v>-26093</v>
      </c>
      <c r="BQ63" s="20">
        <v>-9654</v>
      </c>
      <c r="BR63" s="20">
        <v>-59760</v>
      </c>
      <c r="BS63" s="20">
        <v>15476</v>
      </c>
      <c r="BT63" s="20">
        <f>-7523</f>
        <v>-7523</v>
      </c>
      <c r="BU63" s="12">
        <v>-3066</v>
      </c>
      <c r="BV63" s="12">
        <v>15720</v>
      </c>
      <c r="BW63" s="12">
        <v>5633</v>
      </c>
      <c r="BX63" s="12">
        <v>2378</v>
      </c>
      <c r="BY63" s="12">
        <v>5072</v>
      </c>
      <c r="BZ63" s="12">
        <v>-3173</v>
      </c>
      <c r="CA63" s="12">
        <v>6682</v>
      </c>
      <c r="CB63" s="12">
        <v>-5911</v>
      </c>
      <c r="CC63" s="12">
        <v>-2997</v>
      </c>
      <c r="CD63" s="12">
        <v>-18595</v>
      </c>
      <c r="CE63" s="12">
        <v>-2092</v>
      </c>
      <c r="CF63" s="12">
        <v>7233</v>
      </c>
      <c r="CG63" s="12">
        <v>-3423</v>
      </c>
      <c r="CH63" s="12">
        <v>-15967</v>
      </c>
      <c r="CI63" s="12">
        <v>32593</v>
      </c>
      <c r="CJ63" s="12">
        <v>8341</v>
      </c>
      <c r="CK63" s="12">
        <v>3646</v>
      </c>
      <c r="CL63" s="12">
        <v>-5506</v>
      </c>
      <c r="CM63" s="12">
        <v>-9974</v>
      </c>
      <c r="CN63" s="12">
        <v>-5658</v>
      </c>
      <c r="CO63" s="12">
        <v>-15308</v>
      </c>
      <c r="CP63" s="12">
        <v>-5447</v>
      </c>
      <c r="CQ63" s="12">
        <v>1829</v>
      </c>
      <c r="CR63" s="12">
        <v>11363</v>
      </c>
      <c r="CS63" s="12">
        <v>-7889</v>
      </c>
      <c r="CT63" s="12">
        <v>-4447</v>
      </c>
      <c r="CU63" s="12">
        <v>-11578</v>
      </c>
      <c r="CV63" s="12">
        <v>2619</v>
      </c>
      <c r="CW63" s="12">
        <v>-33272.560000000005</v>
      </c>
      <c r="CX63" s="12">
        <v>26772.720000000001</v>
      </c>
      <c r="CY63" s="12">
        <v>-15327.649999999998</v>
      </c>
      <c r="CZ63" s="12">
        <v>-23604.42</v>
      </c>
      <c r="DA63" s="20">
        <v>26336.739999999998</v>
      </c>
      <c r="DB63" s="20">
        <v>-8965.4299999999985</v>
      </c>
      <c r="DC63" s="20">
        <v>-18593.64</v>
      </c>
      <c r="DD63" s="20">
        <v>-2747.0600000000004</v>
      </c>
      <c r="DE63" s="20">
        <v>4765.9499999999989</v>
      </c>
      <c r="DF63" s="20">
        <v>-15798.45</v>
      </c>
      <c r="DG63" s="20">
        <v>-10252.06</v>
      </c>
      <c r="DH63" s="20">
        <v>-7852.880000000001</v>
      </c>
      <c r="DI63" s="20">
        <v>7760.7499999999991</v>
      </c>
      <c r="DJ63" s="20">
        <v>9444.61</v>
      </c>
      <c r="DK63" s="20">
        <v>-9299.1200000000008</v>
      </c>
      <c r="DL63" s="20">
        <v>29793.03</v>
      </c>
      <c r="DM63" s="20">
        <v>-16200.19</v>
      </c>
      <c r="DN63" s="20">
        <v>-4631.1499999999996</v>
      </c>
      <c r="DO63" s="20">
        <v>3143.66</v>
      </c>
      <c r="DP63" s="20">
        <v>1000.3700000000003</v>
      </c>
      <c r="DQ63" s="20">
        <v>-6333.9500000000007</v>
      </c>
      <c r="DR63" s="20">
        <v>839.79999999999984</v>
      </c>
      <c r="DS63" s="20">
        <v>22192.210000000006</v>
      </c>
      <c r="DT63" s="20">
        <v>-6587.1100000000006</v>
      </c>
      <c r="DU63" s="20">
        <v>23164.1</v>
      </c>
      <c r="DV63" s="20">
        <v>72375.03</v>
      </c>
      <c r="DW63" s="20">
        <v>-40261.889999999992</v>
      </c>
      <c r="DX63" s="20">
        <v>-47764.360000000015</v>
      </c>
      <c r="DY63" s="469">
        <v>37220.295083942561</v>
      </c>
      <c r="DZ63" s="20">
        <v>-48444.336707824834</v>
      </c>
      <c r="EA63" s="20">
        <v>35949.63252733674</v>
      </c>
      <c r="EB63" s="20">
        <v>-36285.292333565412</v>
      </c>
      <c r="EC63" s="20">
        <v>-14274.150515340645</v>
      </c>
      <c r="ED63" s="20">
        <v>-5198.7797635365187</v>
      </c>
      <c r="EE63" s="20">
        <v>-47139.020168752671</v>
      </c>
      <c r="EF63" s="20">
        <v>-17518.631299392677</v>
      </c>
      <c r="EG63" s="20">
        <v>18986.702203607074</v>
      </c>
      <c r="EH63" s="20">
        <v>5663.4435468538195</v>
      </c>
      <c r="EI63" s="20">
        <v>23503.73475027005</v>
      </c>
      <c r="EJ63" s="20">
        <v>-17911.878315045131</v>
      </c>
      <c r="EK63" s="469">
        <f>-16710.419377752-971.12</f>
        <v>-17681.539377752</v>
      </c>
      <c r="EL63" s="469">
        <v>-1499.8562062010405</v>
      </c>
      <c r="EM63" s="469">
        <v>8154.5284332397923</v>
      </c>
      <c r="EN63" s="469">
        <v>561.48650175111402</v>
      </c>
      <c r="EO63" s="469">
        <v>8200.3760468986438</v>
      </c>
      <c r="EP63" s="469">
        <v>-6769.9377700854593</v>
      </c>
      <c r="EQ63" s="469">
        <v>-587.42675086731742</v>
      </c>
      <c r="ER63" s="20">
        <v>5747.552807114248</v>
      </c>
      <c r="ES63" s="20">
        <v>-14244.809829096161</v>
      </c>
      <c r="ET63" s="20">
        <v>1937.081294349226</v>
      </c>
      <c r="EU63" s="20">
        <v>9792.0153269169678</v>
      </c>
      <c r="EV63" s="20">
        <v>-29909.378536658984</v>
      </c>
      <c r="EW63" s="20">
        <v>95177.339999999909</v>
      </c>
      <c r="EX63" s="20">
        <v>7978.5587024188435</v>
      </c>
      <c r="EY63" s="20">
        <v>-15360.503341813692</v>
      </c>
      <c r="EZ63" s="20">
        <v>-11449.416228064831</v>
      </c>
      <c r="FA63" s="20">
        <v>-30555.527581122282</v>
      </c>
      <c r="FB63" s="20">
        <v>-6035.0713235013645</v>
      </c>
      <c r="FC63" s="20">
        <v>-15416.86514437822</v>
      </c>
      <c r="FD63" s="20">
        <v>13059.365707532517</v>
      </c>
      <c r="FE63" s="20">
        <v>-7937.8412038173583</v>
      </c>
      <c r="FF63" s="20">
        <v>4578.9116628709144</v>
      </c>
      <c r="FG63" s="20">
        <v>-6422.4535937916507</v>
      </c>
      <c r="FH63" s="20">
        <v>24816.439505283321</v>
      </c>
      <c r="FI63" s="20">
        <v>-38211.281543329904</v>
      </c>
      <c r="FJ63" s="20">
        <v>-29962.83523099919</v>
      </c>
      <c r="FK63" s="454">
        <v>22035.151582014034</v>
      </c>
      <c r="FL63" s="20"/>
      <c r="FM63" s="20"/>
      <c r="FX63" s="469"/>
    </row>
    <row r="64" spans="3:180" x14ac:dyDescent="0.35">
      <c r="C64" s="10"/>
      <c r="D64" t="s">
        <v>125</v>
      </c>
      <c r="F64" s="19">
        <v>0</v>
      </c>
      <c r="G64" s="19">
        <v>0</v>
      </c>
      <c r="H64" s="19">
        <f t="shared" si="409"/>
        <v>-56011</v>
      </c>
      <c r="I64" s="19">
        <f t="shared" si="410"/>
        <v>-139900</v>
      </c>
      <c r="J64" s="19">
        <f t="shared" ref="J64:J70" si="413">SUM(AD64:AG64)</f>
        <v>-857549</v>
      </c>
      <c r="K64" s="19">
        <f>SUM(AH64:AK64)</f>
        <v>-601790.76</v>
      </c>
      <c r="L64" s="19">
        <f>SUM(AL64:AO64)</f>
        <v>-367128</v>
      </c>
      <c r="M64" s="19">
        <f ca="1">SUM(AP64:AS64)</f>
        <v>-1099734.9604141484</v>
      </c>
      <c r="N64" s="19">
        <f ca="1">SUM(AT64:AW64)</f>
        <v>-699346.61799031228</v>
      </c>
      <c r="O64" s="19">
        <f t="shared" si="320"/>
        <v>-198204.20824554589</v>
      </c>
      <c r="P64" s="19">
        <f>SUM($FJ64:FK64)</f>
        <v>0</v>
      </c>
      <c r="Q64" s="20"/>
      <c r="R64" s="20"/>
      <c r="S64" s="20"/>
      <c r="T64" s="20"/>
      <c r="U64" s="20"/>
      <c r="V64" s="20">
        <f>SUM(BR64:BT64)</f>
        <v>-23000</v>
      </c>
      <c r="W64" s="20">
        <f>SUM(BU64:BW64)</f>
        <v>0</v>
      </c>
      <c r="X64" s="20">
        <f>SUM(BX64:BZ64)</f>
        <v>-20000</v>
      </c>
      <c r="Y64" s="20">
        <f>SUM(CA64:CC64)</f>
        <v>-13011</v>
      </c>
      <c r="Z64" s="20">
        <f>SUM(CD64:CF64)</f>
        <v>0</v>
      </c>
      <c r="AA64" s="20">
        <f>SUM(CG64:CI64)</f>
        <v>-56900</v>
      </c>
      <c r="AB64" s="20">
        <f>SUM(CJ64:CL64)</f>
        <v>0</v>
      </c>
      <c r="AC64" s="20">
        <f>SUM(CM64:CO64)</f>
        <v>-83000</v>
      </c>
      <c r="AD64" s="20">
        <f t="shared" si="411"/>
        <v>0</v>
      </c>
      <c r="AE64" s="20">
        <f>SUM(CS64:CU64)</f>
        <v>0</v>
      </c>
      <c r="AF64" s="20">
        <f>SUM(CV64:CX64)</f>
        <v>-532549</v>
      </c>
      <c r="AG64" s="20">
        <f>SUM(CY64:DA64)</f>
        <v>-325000</v>
      </c>
      <c r="AH64" s="20">
        <f>SUM(DB64:DD64)</f>
        <v>0</v>
      </c>
      <c r="AI64" s="20">
        <f>SUM(DE64:DG64)</f>
        <v>0</v>
      </c>
      <c r="AJ64" s="20">
        <f>SUM(DH64:DJ64)</f>
        <v>0</v>
      </c>
      <c r="AK64" s="20">
        <f>SUM(DK64:DM64)</f>
        <v>-601790.76</v>
      </c>
      <c r="AL64" s="20">
        <f t="shared" ref="AL64:AL65" si="414">SUM(DN64:DP64)</f>
        <v>0</v>
      </c>
      <c r="AM64" s="20">
        <f t="shared" ref="AM64:AM65" si="415">SUM(DQ64:DS64)</f>
        <v>0</v>
      </c>
      <c r="AN64" s="20">
        <f t="shared" ref="AN64:AN65" si="416">SUM(DT64:DV64)</f>
        <v>0</v>
      </c>
      <c r="AO64" s="20">
        <f t="shared" ref="AO64:AO65" si="417">SUM(DW64:DY64)</f>
        <v>-367128</v>
      </c>
      <c r="AP64" s="20">
        <f>SUM(DZ64:EB64)</f>
        <v>-192044.5616070879</v>
      </c>
      <c r="AQ64" s="20">
        <f t="shared" ca="1" si="412"/>
        <v>-132335.33000000002</v>
      </c>
      <c r="AR64" s="20">
        <f t="shared" ca="1" si="412"/>
        <v>-36272</v>
      </c>
      <c r="AS64" s="12">
        <f t="shared" ca="1" si="412"/>
        <v>-739083.06880706048</v>
      </c>
      <c r="AT64" s="12">
        <f t="shared" si="11"/>
        <v>-196090.13</v>
      </c>
      <c r="AU64" s="12">
        <f t="shared" ca="1" si="300"/>
        <v>-31400.009999999995</v>
      </c>
      <c r="AV64" s="12">
        <f t="shared" ca="1" si="300"/>
        <v>-466.65</v>
      </c>
      <c r="AW64" s="12">
        <f t="shared" ca="1" si="300"/>
        <v>-471389.82799031225</v>
      </c>
      <c r="AX64" s="20">
        <f t="shared" ref="AX64:AX67" si="418">SUM(EX64:EZ64)</f>
        <v>-36002.672562550855</v>
      </c>
      <c r="AY64" s="20">
        <f t="shared" ref="AY64:AY67" si="419">SUM(FA64:FC64)</f>
        <v>-15313.84</v>
      </c>
      <c r="AZ64" s="20">
        <f t="shared" si="352"/>
        <v>-33334</v>
      </c>
      <c r="BA64" s="20">
        <f t="shared" si="353"/>
        <v>-113553.69568299504</v>
      </c>
      <c r="BB64" s="20">
        <f t="shared" si="301"/>
        <v>0</v>
      </c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>
        <v>0</v>
      </c>
      <c r="BS64" s="20">
        <v>0</v>
      </c>
      <c r="BT64" s="20">
        <v>-23000</v>
      </c>
      <c r="BU64" s="12">
        <v>0</v>
      </c>
      <c r="BV64" s="12">
        <v>0</v>
      </c>
      <c r="BW64" s="12">
        <v>0</v>
      </c>
      <c r="BX64" s="12">
        <v>0</v>
      </c>
      <c r="BY64" s="20">
        <v>-20000</v>
      </c>
      <c r="BZ64" s="12">
        <v>0</v>
      </c>
      <c r="CA64" s="12">
        <v>0</v>
      </c>
      <c r="CB64" s="12"/>
      <c r="CC64" s="20">
        <v>-13011</v>
      </c>
      <c r="CD64" s="82">
        <f>-255863+234415+21448</f>
        <v>0</v>
      </c>
      <c r="CE64" s="82">
        <v>0</v>
      </c>
      <c r="CF64" s="82">
        <v>0</v>
      </c>
      <c r="CG64" s="82">
        <v>0</v>
      </c>
      <c r="CH64" s="20">
        <v>-56900</v>
      </c>
      <c r="CI64" s="20">
        <v>0</v>
      </c>
      <c r="CJ64" s="20">
        <v>0</v>
      </c>
      <c r="CK64" s="20">
        <v>0</v>
      </c>
      <c r="CL64" s="20">
        <v>0</v>
      </c>
      <c r="CM64" s="20">
        <v>0</v>
      </c>
      <c r="CN64" s="20">
        <v>0</v>
      </c>
      <c r="CO64" s="20">
        <f>-83000</f>
        <v>-83000</v>
      </c>
      <c r="CP64" s="20">
        <v>0</v>
      </c>
      <c r="CQ64" s="20">
        <v>0</v>
      </c>
      <c r="CR64" s="20">
        <v>0</v>
      </c>
      <c r="CS64" s="20">
        <v>0</v>
      </c>
      <c r="CT64" s="20">
        <v>0</v>
      </c>
      <c r="CU64" s="20">
        <v>0</v>
      </c>
      <c r="CV64" s="20">
        <v>0</v>
      </c>
      <c r="CW64" s="20">
        <v>0</v>
      </c>
      <c r="CX64" s="20">
        <v>-532549</v>
      </c>
      <c r="CY64" s="20">
        <v>-30000</v>
      </c>
      <c r="CZ64" s="20">
        <v>0</v>
      </c>
      <c r="DA64" s="20">
        <v>-295000</v>
      </c>
      <c r="DB64" s="20">
        <v>0</v>
      </c>
      <c r="DC64" s="20">
        <v>0</v>
      </c>
      <c r="DD64" s="20">
        <v>0</v>
      </c>
      <c r="DE64" s="20">
        <v>0</v>
      </c>
      <c r="DF64" s="20">
        <v>0</v>
      </c>
      <c r="DG64" s="20">
        <v>0</v>
      </c>
      <c r="DH64" s="20">
        <v>0</v>
      </c>
      <c r="DI64" s="20">
        <v>0</v>
      </c>
      <c r="DJ64" s="12">
        <v>0</v>
      </c>
      <c r="DK64" s="12">
        <v>0</v>
      </c>
      <c r="DL64" s="12"/>
      <c r="DM64" s="20">
        <f>-495294-273062-0.76+166566</f>
        <v>-601790.76</v>
      </c>
      <c r="DN64" s="221">
        <v>0</v>
      </c>
      <c r="DO64" s="221">
        <v>0</v>
      </c>
      <c r="DP64" s="221">
        <v>0</v>
      </c>
      <c r="DQ64" s="221">
        <v>0</v>
      </c>
      <c r="DR64" s="221">
        <v>0</v>
      </c>
      <c r="DS64" s="221">
        <v>0</v>
      </c>
      <c r="DT64" s="221">
        <v>0</v>
      </c>
      <c r="DU64" s="221">
        <v>0</v>
      </c>
      <c r="DV64" s="221">
        <v>0</v>
      </c>
      <c r="DW64" s="221">
        <v>0</v>
      </c>
      <c r="DX64" s="221">
        <v>0</v>
      </c>
      <c r="DY64" s="469">
        <v>-367128</v>
      </c>
      <c r="DZ64" s="221">
        <v>0</v>
      </c>
      <c r="EA64" s="20">
        <v>-50000</v>
      </c>
      <c r="EB64" s="20">
        <v>-142044.5616070879</v>
      </c>
      <c r="EC64" s="20">
        <v>0</v>
      </c>
      <c r="ED64" s="20">
        <v>-6002</v>
      </c>
      <c r="EE64" s="20">
        <v>-126333.33</v>
      </c>
      <c r="EF64" s="20">
        <v>-25000</v>
      </c>
      <c r="EG64" s="20">
        <v>0</v>
      </c>
      <c r="EH64" s="20">
        <v>-11272</v>
      </c>
      <c r="EI64" s="20">
        <v>-30519.5</v>
      </c>
      <c r="EJ64" s="20">
        <v>-26284.45751290409</v>
      </c>
      <c r="EK64" s="469">
        <f>2585.88870584354-684865</f>
        <v>-682279.11129415641</v>
      </c>
      <c r="EL64" s="469">
        <v>0</v>
      </c>
      <c r="EM64" s="469">
        <v>-16000</v>
      </c>
      <c r="EN64" s="469">
        <v>-180090.13</v>
      </c>
      <c r="EO64" s="469">
        <v>-30466.67</v>
      </c>
      <c r="EP64" s="469">
        <v>-466.67</v>
      </c>
      <c r="EQ64" s="469">
        <v>-466.67</v>
      </c>
      <c r="ER64" s="20">
        <v>-466.65</v>
      </c>
      <c r="ES64" s="20">
        <v>0</v>
      </c>
      <c r="ET64" s="20">
        <v>0</v>
      </c>
      <c r="EU64" s="20">
        <v>-75000</v>
      </c>
      <c r="EV64" s="20">
        <v>-161332.57799031222</v>
      </c>
      <c r="EW64" s="20">
        <v>-235057.25</v>
      </c>
      <c r="EX64" s="20">
        <v>0</v>
      </c>
      <c r="EY64" s="20">
        <v>-25918.14</v>
      </c>
      <c r="EZ64" s="20">
        <v>-10084.532562550852</v>
      </c>
      <c r="FA64" s="20">
        <v>-15313.84</v>
      </c>
      <c r="FB64" s="20">
        <v>0</v>
      </c>
      <c r="FC64" s="20">
        <v>0</v>
      </c>
      <c r="FD64" s="20">
        <v>0</v>
      </c>
      <c r="FE64" s="20">
        <v>-33334</v>
      </c>
      <c r="FF64" s="20">
        <v>0</v>
      </c>
      <c r="FG64" s="20">
        <v>-17750</v>
      </c>
      <c r="FH64" s="20">
        <v>-62470.695682995036</v>
      </c>
      <c r="FI64" s="20">
        <v>-33333</v>
      </c>
      <c r="FJ64" s="20">
        <v>0</v>
      </c>
      <c r="FK64" s="454">
        <v>0</v>
      </c>
      <c r="FL64" s="20"/>
      <c r="FM64" s="20"/>
      <c r="FX64" s="511"/>
    </row>
    <row r="65" spans="2:171" x14ac:dyDescent="0.35">
      <c r="C65" s="10"/>
      <c r="D65" t="s">
        <v>126</v>
      </c>
      <c r="F65" s="19">
        <v>0</v>
      </c>
      <c r="G65" s="19">
        <v>0</v>
      </c>
      <c r="H65" s="19">
        <v>0</v>
      </c>
      <c r="I65" s="19">
        <v>0</v>
      </c>
      <c r="J65" s="19">
        <v>0</v>
      </c>
      <c r="K65" s="19">
        <v>0</v>
      </c>
      <c r="L65" s="19">
        <f>SUM(AL65:AO65)</f>
        <v>0.12788800809357781</v>
      </c>
      <c r="M65" s="19">
        <f ca="1">SUM(AP65:AS65)</f>
        <v>0</v>
      </c>
      <c r="N65" s="19">
        <f t="shared" ref="N65:N67" ca="1" si="420">SUM(AT65:AW65)</f>
        <v>0</v>
      </c>
      <c r="O65" s="19">
        <f t="shared" si="320"/>
        <v>0</v>
      </c>
      <c r="P65" s="19">
        <f>SUM($FJ65:FK65)</f>
        <v>0</v>
      </c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>
        <f t="shared" si="414"/>
        <v>0</v>
      </c>
      <c r="AM65" s="20">
        <f t="shared" si="415"/>
        <v>0</v>
      </c>
      <c r="AN65" s="20">
        <f t="shared" si="416"/>
        <v>0</v>
      </c>
      <c r="AO65" s="20">
        <f t="shared" si="417"/>
        <v>0.12788800809357781</v>
      </c>
      <c r="AP65" s="20">
        <f>SUM(DZ65:EB65)</f>
        <v>0</v>
      </c>
      <c r="AQ65" s="20">
        <f t="shared" ca="1" si="412"/>
        <v>0</v>
      </c>
      <c r="AR65" s="20">
        <f t="shared" ca="1" si="412"/>
        <v>0</v>
      </c>
      <c r="AS65" s="12">
        <f t="shared" ca="1" si="412"/>
        <v>0</v>
      </c>
      <c r="AT65" s="12">
        <f t="shared" si="11"/>
        <v>0</v>
      </c>
      <c r="AU65" s="12">
        <f t="shared" ca="1" si="300"/>
        <v>0</v>
      </c>
      <c r="AV65" s="12">
        <f t="shared" ca="1" si="300"/>
        <v>0</v>
      </c>
      <c r="AW65" s="12">
        <f t="shared" ca="1" si="300"/>
        <v>0</v>
      </c>
      <c r="AX65" s="20">
        <f t="shared" si="418"/>
        <v>0</v>
      </c>
      <c r="AY65" s="20">
        <f t="shared" si="419"/>
        <v>0</v>
      </c>
      <c r="AZ65" s="20">
        <f t="shared" si="352"/>
        <v>0</v>
      </c>
      <c r="BA65" s="20">
        <f t="shared" si="353"/>
        <v>0</v>
      </c>
      <c r="BB65" s="20">
        <f t="shared" si="301"/>
        <v>0</v>
      </c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12"/>
      <c r="BV65" s="12"/>
      <c r="BW65" s="12"/>
      <c r="BX65" s="12"/>
      <c r="BY65" s="20"/>
      <c r="BZ65" s="12"/>
      <c r="CA65" s="12"/>
      <c r="CB65" s="12"/>
      <c r="CC65" s="20"/>
      <c r="CD65" s="82"/>
      <c r="CE65" s="82"/>
      <c r="CF65" s="82"/>
      <c r="CG65" s="82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12"/>
      <c r="DK65" s="12"/>
      <c r="DL65" s="12"/>
      <c r="DM65" s="20">
        <v>0</v>
      </c>
      <c r="DN65" s="221">
        <v>0</v>
      </c>
      <c r="DO65" s="221">
        <v>0</v>
      </c>
      <c r="DP65" s="221">
        <v>0</v>
      </c>
      <c r="DQ65" s="221">
        <v>0</v>
      </c>
      <c r="DR65" s="221">
        <v>0</v>
      </c>
      <c r="DS65" s="221">
        <v>0</v>
      </c>
      <c r="DT65" s="221">
        <v>0</v>
      </c>
      <c r="DU65" s="221">
        <v>0</v>
      </c>
      <c r="DV65" s="221">
        <v>0</v>
      </c>
      <c r="DW65" s="221">
        <v>0</v>
      </c>
      <c r="DX65" s="20">
        <v>-50711.68</v>
      </c>
      <c r="DY65" s="469">
        <v>50711.807888008094</v>
      </c>
      <c r="DZ65" s="221">
        <v>0</v>
      </c>
      <c r="EA65" s="20">
        <v>0</v>
      </c>
      <c r="EB65" s="20">
        <v>0</v>
      </c>
      <c r="EC65" s="20">
        <v>0</v>
      </c>
      <c r="ED65" s="20">
        <v>0</v>
      </c>
      <c r="EE65" s="20">
        <v>0</v>
      </c>
      <c r="EF65" s="20">
        <v>0</v>
      </c>
      <c r="EG65" s="20">
        <v>0</v>
      </c>
      <c r="EH65" s="20">
        <v>0</v>
      </c>
      <c r="EI65" s="20">
        <v>0</v>
      </c>
      <c r="EJ65" s="20">
        <v>0</v>
      </c>
      <c r="EK65" s="469"/>
      <c r="EL65" s="469">
        <v>0</v>
      </c>
      <c r="EM65" s="469">
        <v>0</v>
      </c>
      <c r="EN65" s="469">
        <v>0</v>
      </c>
      <c r="EO65" s="469">
        <v>0</v>
      </c>
      <c r="EP65" s="469">
        <v>0</v>
      </c>
      <c r="EQ65" s="469">
        <v>0</v>
      </c>
      <c r="ER65" s="20">
        <v>0</v>
      </c>
      <c r="ES65" s="20">
        <v>0</v>
      </c>
      <c r="ET65" s="20">
        <v>0</v>
      </c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454"/>
      <c r="FL65" s="20"/>
      <c r="FM65" s="20"/>
    </row>
    <row r="66" spans="2:171" x14ac:dyDescent="0.35">
      <c r="C66" s="10"/>
      <c r="D66" t="s">
        <v>127</v>
      </c>
      <c r="F66" s="19">
        <v>-646000</v>
      </c>
      <c r="G66" s="19">
        <f>SUM(R66:U66)</f>
        <v>-515595</v>
      </c>
      <c r="H66" s="19">
        <f t="shared" si="409"/>
        <v>-623719</v>
      </c>
      <c r="I66" s="19">
        <f t="shared" si="410"/>
        <v>-828764</v>
      </c>
      <c r="J66" s="19">
        <f t="shared" si="413"/>
        <v>-1071616.92</v>
      </c>
      <c r="K66" s="19">
        <f>SUM(AH66:AK66)</f>
        <v>-1450296.58</v>
      </c>
      <c r="L66" s="19">
        <f t="shared" ref="L66:L67" si="421">SUM(AL66:AO66)</f>
        <v>-2054155.7148153712</v>
      </c>
      <c r="M66" s="19">
        <f t="shared" ref="M66:M67" ca="1" si="422">SUM(AP66:AS66)</f>
        <v>-2573506.1197758447</v>
      </c>
      <c r="N66" s="19">
        <f t="shared" ca="1" si="420"/>
        <v>-3279886.5920353271</v>
      </c>
      <c r="O66" s="19">
        <f t="shared" si="320"/>
        <v>-3662846.9652110822</v>
      </c>
      <c r="P66" s="19">
        <f>SUM($FJ66:FK66)</f>
        <v>-632338.97425335087</v>
      </c>
      <c r="Q66" s="20"/>
      <c r="R66" s="20">
        <f>SUM(BF66:BH66)</f>
        <v>-97219</v>
      </c>
      <c r="S66" s="20">
        <f>SUM(BI66:BK66)</f>
        <v>-140807</v>
      </c>
      <c r="T66" s="20">
        <f>SUM(BL66:BN66)</f>
        <v>-138968</v>
      </c>
      <c r="U66" s="20">
        <f>SUM(BO66:BQ66)</f>
        <v>-138601</v>
      </c>
      <c r="V66" s="20">
        <f>SUM(BR66:BT66)</f>
        <v>-126709</v>
      </c>
      <c r="W66" s="20">
        <f>SUM(BU66:BW66)</f>
        <v>-151723</v>
      </c>
      <c r="X66" s="20">
        <f>SUM(BX66:BZ66)</f>
        <v>-145057</v>
      </c>
      <c r="Y66" s="20">
        <f>SUM(CA66:CC66)</f>
        <v>-200230</v>
      </c>
      <c r="Z66" s="20">
        <f>SUM(CD66:CF66)</f>
        <v>-182492</v>
      </c>
      <c r="AA66" s="20">
        <f>SUM(CG66:CI66)</f>
        <v>-193473</v>
      </c>
      <c r="AB66" s="20">
        <f>SUM(CJ66:CL66)</f>
        <v>-213652</v>
      </c>
      <c r="AC66" s="20">
        <f>SUM(CM66:CO66)</f>
        <v>-239147</v>
      </c>
      <c r="AD66" s="20">
        <f t="shared" si="411"/>
        <v>-252359</v>
      </c>
      <c r="AE66" s="20">
        <f>SUM(CS66:CU66)</f>
        <v>-275343</v>
      </c>
      <c r="AF66" s="20">
        <f>SUM(CV66:CX66)</f>
        <v>-252558.5</v>
      </c>
      <c r="AG66" s="20">
        <f>SUM(CY66:DA66)</f>
        <v>-291356.42</v>
      </c>
      <c r="AH66" s="20">
        <f>SUM(DB66:DD66)</f>
        <v>-325752.95999999996</v>
      </c>
      <c r="AI66" s="20">
        <f>SUM(DE66:DG66)</f>
        <v>-343184.19999999995</v>
      </c>
      <c r="AJ66" s="20">
        <f>SUM(DH66:DJ66)</f>
        <v>-369221.14</v>
      </c>
      <c r="AK66" s="20">
        <f>SUM(DK66:DM66)</f>
        <v>-412138.28</v>
      </c>
      <c r="AL66" s="20">
        <f>SUM(DN66:DP66)</f>
        <v>-441673.97</v>
      </c>
      <c r="AM66" s="20">
        <f>SUM(DQ66:DS66)</f>
        <v>-479490.86</v>
      </c>
      <c r="AN66" s="20">
        <f>SUM(DT66:DV66)</f>
        <v>-550514.90000000014</v>
      </c>
      <c r="AO66" s="20">
        <f>SUM(DW66:DY66)</f>
        <v>-582475.98481537134</v>
      </c>
      <c r="AP66" s="20">
        <f>SUM(DZ66:EB66)</f>
        <v>-590394.80114286009</v>
      </c>
      <c r="AQ66" s="20">
        <f t="shared" ca="1" si="412"/>
        <v>-631153.57077397127</v>
      </c>
      <c r="AR66" s="20">
        <f t="shared" ca="1" si="412"/>
        <v>-654278.52672102186</v>
      </c>
      <c r="AS66" s="12">
        <f t="shared" ca="1" si="412"/>
        <v>-697679.22113799164</v>
      </c>
      <c r="AT66" s="12">
        <f t="shared" si="11"/>
        <v>-729418.07964542927</v>
      </c>
      <c r="AU66" s="12">
        <f t="shared" ca="1" si="300"/>
        <v>-763474.50174164725</v>
      </c>
      <c r="AV66" s="12">
        <f t="shared" ca="1" si="300"/>
        <v>-863981.41162361274</v>
      </c>
      <c r="AW66" s="12">
        <f t="shared" ca="1" si="300"/>
        <v>-923012.59902463784</v>
      </c>
      <c r="AX66" s="20">
        <f t="shared" si="418"/>
        <v>-914229.83149562147</v>
      </c>
      <c r="AY66" s="20">
        <f t="shared" si="419"/>
        <v>-916705.98489516473</v>
      </c>
      <c r="AZ66" s="20">
        <f t="shared" si="352"/>
        <v>-903836.22708417499</v>
      </c>
      <c r="BA66" s="20">
        <f t="shared" si="353"/>
        <v>-928074.92173612118</v>
      </c>
      <c r="BB66" s="20">
        <f t="shared" si="301"/>
        <v>-632338.97425335087</v>
      </c>
      <c r="BC66" s="20"/>
      <c r="BD66" s="20"/>
      <c r="BE66" s="20"/>
      <c r="BF66" s="20">
        <v>-27725</v>
      </c>
      <c r="BG66" s="20">
        <v>-35466</v>
      </c>
      <c r="BH66" s="20">
        <v>-34028</v>
      </c>
      <c r="BI66" s="20">
        <v>-38469</v>
      </c>
      <c r="BJ66" s="20">
        <v>-61040</v>
      </c>
      <c r="BK66" s="20">
        <v>-41298</v>
      </c>
      <c r="BL66" s="20">
        <v>-40907</v>
      </c>
      <c r="BM66" s="20">
        <v>-50544</v>
      </c>
      <c r="BN66" s="20">
        <v>-47517</v>
      </c>
      <c r="BO66" s="20">
        <v>-42737</v>
      </c>
      <c r="BP66" s="20">
        <v>-51476</v>
      </c>
      <c r="BQ66" s="20">
        <v>-44388</v>
      </c>
      <c r="BR66" s="20">
        <v>-38604</v>
      </c>
      <c r="BS66" s="20">
        <v>-42760</v>
      </c>
      <c r="BT66" s="20">
        <v>-45345</v>
      </c>
      <c r="BU66" s="20">
        <v>-59497</v>
      </c>
      <c r="BV66" s="20">
        <v>-46402</v>
      </c>
      <c r="BW66" s="20">
        <v>-45824</v>
      </c>
      <c r="BX66" s="20">
        <v>-54608</v>
      </c>
      <c r="BY66" s="20">
        <v>-44179</v>
      </c>
      <c r="BZ66" s="20">
        <v>-46270</v>
      </c>
      <c r="CA66" s="20">
        <v>-60629</v>
      </c>
      <c r="CB66" s="20">
        <v>-47529</v>
      </c>
      <c r="CC66" s="20">
        <v>-92072</v>
      </c>
      <c r="CD66" s="20">
        <f>-14996-37000</f>
        <v>-51996</v>
      </c>
      <c r="CE66" s="20">
        <v>-62412</v>
      </c>
      <c r="CF66" s="20">
        <v>-68084</v>
      </c>
      <c r="CG66" s="20">
        <v>-77544</v>
      </c>
      <c r="CH66" s="20">
        <v>-55406</v>
      </c>
      <c r="CI66" s="20">
        <v>-60523</v>
      </c>
      <c r="CJ66" s="20">
        <v>-68722</v>
      </c>
      <c r="CK66" s="20">
        <v>-65298</v>
      </c>
      <c r="CL66" s="20">
        <v>-79632</v>
      </c>
      <c r="CM66" s="20">
        <v>-67828</v>
      </c>
      <c r="CN66" s="20">
        <v>-75431</v>
      </c>
      <c r="CO66" s="20">
        <v>-95888</v>
      </c>
      <c r="CP66" s="20">
        <f>-32959-50000</f>
        <v>-82959</v>
      </c>
      <c r="CQ66" s="20">
        <f>-7941-75000</f>
        <v>-82941</v>
      </c>
      <c r="CR66" s="20">
        <f>-16459-70000</f>
        <v>-86459</v>
      </c>
      <c r="CS66" s="20">
        <f>-272733+195000</f>
        <v>-77733</v>
      </c>
      <c r="CT66" s="20">
        <v>-102593</v>
      </c>
      <c r="CU66" s="20">
        <v>-95017</v>
      </c>
      <c r="CV66" s="20">
        <v>-77598</v>
      </c>
      <c r="CW66" s="20">
        <v>-75800.33</v>
      </c>
      <c r="CX66" s="20">
        <v>-99160.17</v>
      </c>
      <c r="CY66" s="20">
        <v>-99268.19</v>
      </c>
      <c r="CZ66" s="20">
        <v>-93609.359999999986</v>
      </c>
      <c r="DA66" s="20">
        <v>-98478.87000000001</v>
      </c>
      <c r="DB66" s="20">
        <v>-114870.51999999999</v>
      </c>
      <c r="DC66" s="20">
        <v>-102081.56999999999</v>
      </c>
      <c r="DD66" s="20">
        <v>-108800.87</v>
      </c>
      <c r="DE66" s="20">
        <v>-106479.68000000001</v>
      </c>
      <c r="DF66" s="20">
        <v>-110580.22999999998</v>
      </c>
      <c r="DG66" s="20">
        <v>-126124.29000000001</v>
      </c>
      <c r="DH66" s="20">
        <v>-126828.09</v>
      </c>
      <c r="DI66" s="20">
        <v>-123800.88999999998</v>
      </c>
      <c r="DJ66" s="20">
        <v>-118592.16</v>
      </c>
      <c r="DK66" s="20">
        <v>-129145.8</v>
      </c>
      <c r="DL66" s="20">
        <v>-127123.76</v>
      </c>
      <c r="DM66" s="20">
        <v>-155868.72</v>
      </c>
      <c r="DN66" s="20">
        <v>-141089.88999999998</v>
      </c>
      <c r="DO66" s="20">
        <v>-143302.88</v>
      </c>
      <c r="DP66" s="20">
        <v>-157281.19999999998</v>
      </c>
      <c r="DQ66" s="20">
        <v>-179765.24</v>
      </c>
      <c r="DR66" s="20">
        <v>-171720.19</v>
      </c>
      <c r="DS66" s="20">
        <v>-128005.43000000001</v>
      </c>
      <c r="DT66" s="20">
        <v>-174088.15000000005</v>
      </c>
      <c r="DU66" s="20">
        <v>-182972.95</v>
      </c>
      <c r="DV66" s="20">
        <v>-193453.8</v>
      </c>
      <c r="DW66" s="20">
        <v>-185347.71000000002</v>
      </c>
      <c r="DX66" s="20">
        <v>-191985.71999999997</v>
      </c>
      <c r="DY66" s="469">
        <v>-205142.55481537138</v>
      </c>
      <c r="DZ66" s="20">
        <v>-192349.00828594371</v>
      </c>
      <c r="EA66" s="20">
        <v>-198190.6909111939</v>
      </c>
      <c r="EB66" s="20">
        <v>-199855.10194572245</v>
      </c>
      <c r="EC66" s="20">
        <v>-202972.51652468694</v>
      </c>
      <c r="ED66" s="20">
        <v>-212823.54771043037</v>
      </c>
      <c r="EE66" s="20">
        <v>-215357.50653885395</v>
      </c>
      <c r="EF66" s="20">
        <v>-214424.97781360743</v>
      </c>
      <c r="EG66" s="20">
        <v>-221220.21792803367</v>
      </c>
      <c r="EH66" s="20">
        <v>-218633.3309793807</v>
      </c>
      <c r="EI66" s="20">
        <v>-223571.39455298462</v>
      </c>
      <c r="EJ66" s="20">
        <v>-224469.21169091927</v>
      </c>
      <c r="EK66" s="469">
        <v>-249638.6148940878</v>
      </c>
      <c r="EL66" s="469">
        <v>-240383.15262568003</v>
      </c>
      <c r="EM66" s="469">
        <v>-245052.97356646557</v>
      </c>
      <c r="EN66" s="469">
        <v>-243981.95345328364</v>
      </c>
      <c r="EO66" s="469">
        <v>-250904.328525427</v>
      </c>
      <c r="EP66" s="469">
        <v>-253890.83447204114</v>
      </c>
      <c r="EQ66" s="469">
        <v>-258679.33874417905</v>
      </c>
      <c r="ER66" s="20">
        <v>-265045.89479368762</v>
      </c>
      <c r="ES66" s="20">
        <v>-264074.90552110848</v>
      </c>
      <c r="ET66" s="20">
        <v>-334860.61130881665</v>
      </c>
      <c r="EU66" s="20">
        <v>-281085.30785293767</v>
      </c>
      <c r="EV66" s="20">
        <v>-316436.73117170011</v>
      </c>
      <c r="EW66" s="20">
        <v>-325490.56</v>
      </c>
      <c r="EX66" s="20">
        <v>-303191.99086209544</v>
      </c>
      <c r="EY66" s="20">
        <v>-304469.69359879353</v>
      </c>
      <c r="EZ66" s="20">
        <v>-306568.14703473245</v>
      </c>
      <c r="FA66" s="20">
        <v>-300742.96764150308</v>
      </c>
      <c r="FB66" s="20">
        <v>-315057.80354686524</v>
      </c>
      <c r="FC66" s="20">
        <v>-300905.21370679641</v>
      </c>
      <c r="FD66" s="20">
        <v>-298099.03383783193</v>
      </c>
      <c r="FE66" s="20">
        <v>-301095.95663950354</v>
      </c>
      <c r="FF66" s="20">
        <v>-304641.23660683952</v>
      </c>
      <c r="FG66" s="20">
        <v>-305261.94782524294</v>
      </c>
      <c r="FH66" s="20">
        <v>-310756.54336211673</v>
      </c>
      <c r="FI66" s="20">
        <v>-312056.43054876156</v>
      </c>
      <c r="FJ66" s="20">
        <v>-315263.58637864131</v>
      </c>
      <c r="FK66" s="454">
        <v>-317075.38787470956</v>
      </c>
      <c r="FL66" s="20"/>
      <c r="FM66" s="20"/>
    </row>
    <row r="67" spans="2:171" x14ac:dyDescent="0.35">
      <c r="C67" s="10"/>
      <c r="D67" t="s">
        <v>128</v>
      </c>
      <c r="F67" s="19">
        <v>-161000</v>
      </c>
      <c r="G67" s="19">
        <f>SUM(R67:U67)</f>
        <v>-277945</v>
      </c>
      <c r="H67" s="19">
        <f t="shared" si="409"/>
        <v>-579208</v>
      </c>
      <c r="I67" s="19">
        <f>SUM(Z67:AC67)</f>
        <v>-658767</v>
      </c>
      <c r="J67" s="19">
        <f t="shared" si="413"/>
        <v>-868636.41</v>
      </c>
      <c r="K67" s="19">
        <f>SUM(AH67:AK67)</f>
        <v>-370416.05537799979</v>
      </c>
      <c r="L67" s="19">
        <f t="shared" si="421"/>
        <v>-240892.97881473211</v>
      </c>
      <c r="M67" s="19">
        <f t="shared" ca="1" si="422"/>
        <v>-699035.13993208332</v>
      </c>
      <c r="N67" s="19">
        <f t="shared" ca="1" si="420"/>
        <v>-625155.53594414366</v>
      </c>
      <c r="O67" s="19">
        <f t="shared" si="320"/>
        <v>-1310305.6601896826</v>
      </c>
      <c r="P67" s="19">
        <f>SUM($FJ67:FK67)</f>
        <v>-165112.12912065393</v>
      </c>
      <c r="Q67" s="20"/>
      <c r="R67" s="20">
        <f>SUM(BF67:BH67)</f>
        <v>-58716</v>
      </c>
      <c r="S67" s="20">
        <f>SUM(BI67:BK67)</f>
        <v>-61528</v>
      </c>
      <c r="T67" s="20">
        <f>SUM(BL67:BN67)</f>
        <v>-76260</v>
      </c>
      <c r="U67" s="20">
        <f>SUM(BO67:BQ67)</f>
        <v>-81441</v>
      </c>
      <c r="V67" s="20">
        <f>SUM(BR67:BT67)</f>
        <v>-102178</v>
      </c>
      <c r="W67" s="20">
        <f>SUM(BU67:BW67)</f>
        <v>-106408</v>
      </c>
      <c r="X67" s="20">
        <f>SUM(BX67:BZ67)</f>
        <v>-135464</v>
      </c>
      <c r="Y67" s="20">
        <f>SUM(CA67:CC67)</f>
        <v>-235158</v>
      </c>
      <c r="Z67" s="20">
        <f>SUM(CD67:CF67)</f>
        <v>-168423</v>
      </c>
      <c r="AA67" s="20">
        <f>SUM(CG67:CI67)</f>
        <v>-108476</v>
      </c>
      <c r="AB67" s="20">
        <f>SUM(CJ67:CL67)</f>
        <v>-205272</v>
      </c>
      <c r="AC67" s="20">
        <f>SUM(CM67:CO67)</f>
        <v>-176596</v>
      </c>
      <c r="AD67" s="20">
        <f t="shared" si="411"/>
        <v>-172999</v>
      </c>
      <c r="AE67" s="20">
        <f>SUM(CS67:CU67)</f>
        <v>-213404</v>
      </c>
      <c r="AF67" s="20">
        <f>SUM(CV67:CX67)</f>
        <v>-202480.55</v>
      </c>
      <c r="AG67" s="20">
        <f>SUM(CY67:DA67)</f>
        <v>-279752.86</v>
      </c>
      <c r="AH67" s="20">
        <f>SUM(DB67:DD67)</f>
        <v>-102986</v>
      </c>
      <c r="AI67" s="20">
        <f>SUM(DE67:DG67)</f>
        <v>-99051.12</v>
      </c>
      <c r="AJ67" s="20">
        <f>SUM(DH67:DJ67)</f>
        <v>-92662.675377999753</v>
      </c>
      <c r="AK67" s="20">
        <f>SUM(DK67:DM67)</f>
        <v>-75716.260000000009</v>
      </c>
      <c r="AL67" s="20">
        <f>SUM(DN67:DP67)</f>
        <v>-65751.839999999997</v>
      </c>
      <c r="AM67" s="20">
        <f>SUM(DQ67:DS67)</f>
        <v>-101619.23999999999</v>
      </c>
      <c r="AN67" s="20">
        <f>SUM(DT67:DV67)</f>
        <v>-101032.48</v>
      </c>
      <c r="AO67" s="20">
        <f>SUM(DW67:DY67)</f>
        <v>27510.581185267903</v>
      </c>
      <c r="AP67" s="20">
        <f>SUM(DZ67:EB67)</f>
        <v>-121194.01563736804</v>
      </c>
      <c r="AQ67" s="20">
        <f t="shared" ca="1" si="412"/>
        <v>-122456.98562203789</v>
      </c>
      <c r="AR67" s="20">
        <f t="shared" ca="1" si="412"/>
        <v>-112361.59545473891</v>
      </c>
      <c r="AS67" s="12">
        <f t="shared" ca="1" si="412"/>
        <v>-343022.54321793851</v>
      </c>
      <c r="AT67" s="12">
        <f t="shared" si="11"/>
        <v>-124756.30840113957</v>
      </c>
      <c r="AU67" s="12">
        <f t="shared" ca="1" si="300"/>
        <v>-151604.04685147532</v>
      </c>
      <c r="AV67" s="12">
        <f t="shared" ca="1" si="300"/>
        <v>-206649.76150082183</v>
      </c>
      <c r="AW67" s="12">
        <f t="shared" ca="1" si="300"/>
        <v>-142145.41919070692</v>
      </c>
      <c r="AX67" s="20">
        <f t="shared" si="418"/>
        <v>-296053.70579809631</v>
      </c>
      <c r="AY67" s="20">
        <f t="shared" si="419"/>
        <v>-296200.31546021061</v>
      </c>
      <c r="AZ67" s="20">
        <f t="shared" si="352"/>
        <v>-344035.64650829829</v>
      </c>
      <c r="BA67" s="20">
        <f t="shared" si="353"/>
        <v>-374015.99242307723</v>
      </c>
      <c r="BB67" s="20">
        <f t="shared" si="301"/>
        <v>-165112.12912065393</v>
      </c>
      <c r="BC67" s="20"/>
      <c r="BD67" s="20"/>
      <c r="BE67" s="20"/>
      <c r="BF67" s="20">
        <v>-20283</v>
      </c>
      <c r="BG67" s="20">
        <v>-18267</v>
      </c>
      <c r="BH67" s="20">
        <v>-20166</v>
      </c>
      <c r="BI67" s="20">
        <v>-20091</v>
      </c>
      <c r="BJ67" s="20">
        <v>-19412</v>
      </c>
      <c r="BK67" s="20">
        <v>-22025</v>
      </c>
      <c r="BL67" s="20">
        <v>-25614</v>
      </c>
      <c r="BM67" s="20">
        <v>-25851</v>
      </c>
      <c r="BN67" s="20">
        <v>-24795</v>
      </c>
      <c r="BO67" s="20">
        <v>-25615</v>
      </c>
      <c r="BP67" s="20">
        <v>-26131</v>
      </c>
      <c r="BQ67" s="20">
        <v>-29695</v>
      </c>
      <c r="BR67" s="20">
        <v>-33262</v>
      </c>
      <c r="BS67" s="20">
        <v>-33331</v>
      </c>
      <c r="BT67" s="20">
        <v>-35585</v>
      </c>
      <c r="BU67" s="20">
        <v>-34200</v>
      </c>
      <c r="BV67" s="20">
        <v>-35468</v>
      </c>
      <c r="BW67" s="20">
        <v>-36740</v>
      </c>
      <c r="BX67" s="20">
        <v>-43669</v>
      </c>
      <c r="BY67" s="20">
        <v>-45558</v>
      </c>
      <c r="BZ67" s="20">
        <v>-46237</v>
      </c>
      <c r="CA67" s="20">
        <v>-37735</v>
      </c>
      <c r="CB67" s="20">
        <v>-42197</v>
      </c>
      <c r="CC67" s="20">
        <v>-155226</v>
      </c>
      <c r="CD67" s="20">
        <f>97-49000</f>
        <v>-48903</v>
      </c>
      <c r="CE67" s="20">
        <v>-61721</v>
      </c>
      <c r="CF67" s="20">
        <v>-57799</v>
      </c>
      <c r="CG67" s="20">
        <v>-55817</v>
      </c>
      <c r="CH67" s="20">
        <v>-18410</v>
      </c>
      <c r="CI67" s="20">
        <v>-34249</v>
      </c>
      <c r="CJ67" s="20">
        <v>-84808</v>
      </c>
      <c r="CK67" s="20">
        <f>-51677-10845</f>
        <v>-62522</v>
      </c>
      <c r="CL67" s="20">
        <f>-50080-7862</f>
        <v>-57942</v>
      </c>
      <c r="CM67" s="20">
        <f>-51818-7862</f>
        <v>-59680</v>
      </c>
      <c r="CN67" s="20">
        <f>-49511-7862</f>
        <v>-57373</v>
      </c>
      <c r="CO67" s="20">
        <f>-737742+686959-8760</f>
        <v>-59543</v>
      </c>
      <c r="CP67" s="20">
        <v>-52168</v>
      </c>
      <c r="CQ67" s="20">
        <f>-48577-17023</f>
        <v>-65600</v>
      </c>
      <c r="CR67" s="20">
        <f>-51898-3333</f>
        <v>-55231</v>
      </c>
      <c r="CS67" s="20">
        <f>-54797-2051</f>
        <v>-56848</v>
      </c>
      <c r="CT67" s="20">
        <f>-58817-7634</f>
        <v>-66451</v>
      </c>
      <c r="CU67" s="20">
        <f>-56938-33167</f>
        <v>-90105</v>
      </c>
      <c r="CV67" s="20">
        <v>-63831</v>
      </c>
      <c r="CW67" s="20">
        <v>-73810.399999999994</v>
      </c>
      <c r="CX67" s="20">
        <v>-64839.15</v>
      </c>
      <c r="CY67" s="20">
        <v>-55416.78</v>
      </c>
      <c r="CZ67" s="20">
        <v>-68197.25</v>
      </c>
      <c r="DA67" s="20">
        <v>-156138.83000000002</v>
      </c>
      <c r="DB67" s="20">
        <v>-65187.060000000005</v>
      </c>
      <c r="DC67" s="20">
        <v>-3027.68</v>
      </c>
      <c r="DD67" s="20">
        <v>-34771.26</v>
      </c>
      <c r="DE67" s="20">
        <v>-33844.800000000003</v>
      </c>
      <c r="DF67" s="20">
        <v>-33048.230000000003</v>
      </c>
      <c r="DG67" s="20">
        <v>-32158.090000000004</v>
      </c>
      <c r="DH67" s="20">
        <v>-32371.640000000003</v>
      </c>
      <c r="DI67" s="20">
        <v>-24183.89</v>
      </c>
      <c r="DJ67" s="20">
        <v>-36107.145377999746</v>
      </c>
      <c r="DK67" s="20">
        <v>-27453.14</v>
      </c>
      <c r="DL67" s="20">
        <v>-24662.940000000002</v>
      </c>
      <c r="DM67" s="20">
        <v>-23600.18</v>
      </c>
      <c r="DN67" s="20">
        <v>-24940.93</v>
      </c>
      <c r="DO67" s="20">
        <v>-20978.04</v>
      </c>
      <c r="DP67" s="20">
        <v>-19832.869999999995</v>
      </c>
      <c r="DQ67" s="20">
        <v>-17184.940000000002</v>
      </c>
      <c r="DR67" s="20">
        <v>-13186.2</v>
      </c>
      <c r="DS67" s="20">
        <v>-71248.099999999991</v>
      </c>
      <c r="DT67" s="20">
        <v>-12826.909999999998</v>
      </c>
      <c r="DU67" s="20">
        <v>-12661.76</v>
      </c>
      <c r="DV67" s="20">
        <v>-75543.81</v>
      </c>
      <c r="DW67" s="20">
        <v>-45461.869999999995</v>
      </c>
      <c r="DX67" s="20">
        <v>-46869</v>
      </c>
      <c r="DY67" s="469">
        <v>119841.4511852679</v>
      </c>
      <c r="DZ67" s="20">
        <v>-42405.348601207763</v>
      </c>
      <c r="EA67" s="20">
        <v>-37295.450214616503</v>
      </c>
      <c r="EB67" s="20">
        <v>-41493.21682154377</v>
      </c>
      <c r="EC67" s="20">
        <v>-40066.531333743857</v>
      </c>
      <c r="ED67" s="20">
        <v>-43678.452161275913</v>
      </c>
      <c r="EE67" s="20">
        <v>-38712.002127018117</v>
      </c>
      <c r="EF67" s="20">
        <v>-41282.10231932543</v>
      </c>
      <c r="EG67" s="20">
        <v>-37187.547379595038</v>
      </c>
      <c r="EH67" s="20">
        <v>-33891.945755818451</v>
      </c>
      <c r="EI67" s="20">
        <v>-31818.436073738161</v>
      </c>
      <c r="EJ67" s="20">
        <v>-51998.222060437074</v>
      </c>
      <c r="EK67" s="469">
        <v>-259205.88508376331</v>
      </c>
      <c r="EL67" s="469">
        <v>-36285.624779992984</v>
      </c>
      <c r="EM67" s="469">
        <v>-41645.07878249546</v>
      </c>
      <c r="EN67" s="469">
        <v>-46825.604838651125</v>
      </c>
      <c r="EO67" s="469">
        <v>-45991.592036960748</v>
      </c>
      <c r="EP67" s="469">
        <v>-55228.674270731994</v>
      </c>
      <c r="EQ67" s="469">
        <v>-50383.780543782566</v>
      </c>
      <c r="ER67" s="20">
        <v>-56606.466986188418</v>
      </c>
      <c r="ES67" s="20">
        <v>-62250.155009885588</v>
      </c>
      <c r="ET67" s="20">
        <v>-87793.139504747814</v>
      </c>
      <c r="EU67" s="20">
        <v>-76849.24248223193</v>
      </c>
      <c r="EV67" s="20">
        <v>-83599.066708475017</v>
      </c>
      <c r="EW67" s="20">
        <v>18302.890000000003</v>
      </c>
      <c r="EX67" s="20">
        <v>-102373.48908876024</v>
      </c>
      <c r="EY67" s="20">
        <v>-98227.282136806549</v>
      </c>
      <c r="EZ67" s="20">
        <v>-95452.934572529528</v>
      </c>
      <c r="FA67" s="20">
        <v>-100790.74234977065</v>
      </c>
      <c r="FB67" s="20">
        <v>-105364.82658970675</v>
      </c>
      <c r="FC67" s="20">
        <v>-90044.746520733243</v>
      </c>
      <c r="FD67" s="20">
        <v>-102751.76080198189</v>
      </c>
      <c r="FE67" s="20">
        <v>-135658.07981477317</v>
      </c>
      <c r="FF67" s="20">
        <v>-105625.8058915432</v>
      </c>
      <c r="FG67" s="20">
        <v>-129790.2987263059</v>
      </c>
      <c r="FH67" s="20">
        <v>-117575.49824657099</v>
      </c>
      <c r="FI67" s="20">
        <v>-126650.19545020038</v>
      </c>
      <c r="FJ67" s="20">
        <v>-119271.02180284655</v>
      </c>
      <c r="FK67" s="454">
        <v>-45841.107317807378</v>
      </c>
      <c r="FL67" s="20"/>
      <c r="FM67" s="20"/>
    </row>
    <row r="68" spans="2:171" x14ac:dyDescent="0.35">
      <c r="C68" s="21" t="s">
        <v>129</v>
      </c>
      <c r="D68" s="22"/>
      <c r="E68" s="22"/>
      <c r="F68" s="23">
        <f>SUM(F62:F67)</f>
        <v>-2384000</v>
      </c>
      <c r="G68" s="23">
        <f>SUM(R68:U68)</f>
        <v>-2239302</v>
      </c>
      <c r="H68" s="23">
        <f>SUM(V68:Y68)</f>
        <v>-2111004</v>
      </c>
      <c r="I68" s="23">
        <f>SUM(Z68:AC68)</f>
        <v>-3627934</v>
      </c>
      <c r="J68" s="23">
        <f>SUM(AD68:AG68)</f>
        <v>-3286895.9399999985</v>
      </c>
      <c r="K68" s="23">
        <f>SUM(AH68:AK68)</f>
        <v>-5449396.3753779987</v>
      </c>
      <c r="L68" s="23">
        <f>SUM(AL68:AO68)</f>
        <v>-5847583.3673471007</v>
      </c>
      <c r="M68" s="23">
        <f ca="1">SUM(AP68:AS68)</f>
        <v>-4861033.8202594668</v>
      </c>
      <c r="N68" s="23">
        <f ca="1">SUM(AT68:AW68)</f>
        <v>-5030184.1161125218</v>
      </c>
      <c r="O68" s="23">
        <f t="shared" si="320"/>
        <v>-4709278.0050931778</v>
      </c>
      <c r="P68" s="23">
        <f>SUM($FJ68:FK68)</f>
        <v>-640133.77633296372</v>
      </c>
      <c r="Q68" s="34"/>
      <c r="R68" s="24">
        <f t="shared" ref="R68:AE68" si="423">SUM(R62:R67)</f>
        <v>-581777</v>
      </c>
      <c r="S68" s="24">
        <f t="shared" si="423"/>
        <v>-803574</v>
      </c>
      <c r="T68" s="24">
        <f t="shared" si="423"/>
        <v>-640347</v>
      </c>
      <c r="U68" s="24">
        <f t="shared" si="423"/>
        <v>-213604</v>
      </c>
      <c r="V68" s="24">
        <f t="shared" si="423"/>
        <v>-455258</v>
      </c>
      <c r="W68" s="24">
        <f t="shared" si="423"/>
        <v>-532560</v>
      </c>
      <c r="X68" s="24">
        <f t="shared" si="423"/>
        <v>-486495</v>
      </c>
      <c r="Y68" s="24">
        <f t="shared" si="423"/>
        <v>-636691</v>
      </c>
      <c r="Z68" s="24">
        <f t="shared" si="423"/>
        <v>-810215</v>
      </c>
      <c r="AA68" s="24">
        <f t="shared" si="423"/>
        <v>-977854</v>
      </c>
      <c r="AB68" s="24">
        <f t="shared" si="423"/>
        <v>-910985</v>
      </c>
      <c r="AC68" s="24">
        <f t="shared" si="423"/>
        <v>-928880</v>
      </c>
      <c r="AD68" s="24">
        <f t="shared" si="423"/>
        <v>-703869</v>
      </c>
      <c r="AE68" s="24">
        <f t="shared" si="423"/>
        <v>-498295</v>
      </c>
      <c r="AF68" s="24">
        <f t="shared" ref="AF68:AO68" si="424">SUM(AF62:AF67)</f>
        <v>-1009363.9699999993</v>
      </c>
      <c r="AG68" s="24">
        <f t="shared" si="424"/>
        <v>-1075367.9699999993</v>
      </c>
      <c r="AH68" s="24">
        <f t="shared" si="424"/>
        <v>-1028073.82</v>
      </c>
      <c r="AI68" s="24">
        <f t="shared" si="424"/>
        <v>-1142819.4699999997</v>
      </c>
      <c r="AJ68" s="24">
        <f t="shared" si="424"/>
        <v>-1287743.6353779987</v>
      </c>
      <c r="AK68" s="24">
        <f t="shared" si="424"/>
        <v>-1990759.4500000002</v>
      </c>
      <c r="AL68" s="24">
        <f t="shared" si="424"/>
        <v>-1620698.5000000005</v>
      </c>
      <c r="AM68" s="24">
        <f t="shared" si="424"/>
        <v>-1583943.7700000007</v>
      </c>
      <c r="AN68" s="24">
        <f>SUM(AN62:AN67)</f>
        <v>-1403066.1353602123</v>
      </c>
      <c r="AO68" s="24">
        <f t="shared" si="424"/>
        <v>-1239874.9619868868</v>
      </c>
      <c r="AP68" s="24">
        <f>SUM(AP62:AP67)</f>
        <v>-1123112.5084770287</v>
      </c>
      <c r="AQ68" s="24">
        <f ca="1">SUM(AQ62:AQ67)</f>
        <v>-1111652.7863853972</v>
      </c>
      <c r="AR68" s="24">
        <f t="shared" ref="AR68:AS68" ca="1" si="425">SUM(AR62:AR67)</f>
        <v>-955566.46965910995</v>
      </c>
      <c r="AS68" s="24">
        <f t="shared" ca="1" si="425"/>
        <v>-1670702.0557379304</v>
      </c>
      <c r="AT68" s="24">
        <f t="shared" si="11"/>
        <v>-1112389.1066104351</v>
      </c>
      <c r="AU68" s="24">
        <f t="shared" ca="1" si="300"/>
        <v>-1112226.9175682738</v>
      </c>
      <c r="AV68" s="24">
        <f t="shared" ca="1" si="300"/>
        <v>-1198855.6232880906</v>
      </c>
      <c r="AW68" s="24">
        <f t="shared" ca="1" si="300"/>
        <v>-1606712.4686457226</v>
      </c>
      <c r="AX68" s="24">
        <f>SUM(EX68:EZ68)</f>
        <v>-1427461.7600837452</v>
      </c>
      <c r="AY68" s="24">
        <f>SUM(FA68:FC68)</f>
        <v>-1398776.6731429652</v>
      </c>
      <c r="AZ68" s="24">
        <f t="shared" si="352"/>
        <v>-919050.54100121197</v>
      </c>
      <c r="BA68" s="24">
        <f t="shared" si="353"/>
        <v>-963989.03086525539</v>
      </c>
      <c r="BB68" s="24">
        <f t="shared" si="301"/>
        <v>-640133.77633296372</v>
      </c>
      <c r="BC68" s="24"/>
      <c r="BD68" s="24"/>
      <c r="BE68" s="24"/>
      <c r="BF68" s="24">
        <f>SUM(BF62:BF67)</f>
        <v>28183</v>
      </c>
      <c r="BG68" s="24">
        <f>SUM(BG62:BG67)</f>
        <v>-284994</v>
      </c>
      <c r="BH68" s="24">
        <f>SUM(BH62:BH67)</f>
        <v>-324966</v>
      </c>
      <c r="BI68" s="24">
        <f t="shared" ref="BI68:BN68" si="426">SUM(BI62:BI67)</f>
        <v>-347432</v>
      </c>
      <c r="BJ68" s="24">
        <f t="shared" si="426"/>
        <v>-234409</v>
      </c>
      <c r="BK68" s="24">
        <f t="shared" si="426"/>
        <v>-221733</v>
      </c>
      <c r="BL68" s="24">
        <f t="shared" si="426"/>
        <v>-241951</v>
      </c>
      <c r="BM68" s="24">
        <f t="shared" si="426"/>
        <v>-121798</v>
      </c>
      <c r="BN68" s="24">
        <f t="shared" si="426"/>
        <v>-276598</v>
      </c>
      <c r="BO68" s="24">
        <f t="shared" ref="BO68:CC68" si="427">SUM(BO62:BO67)</f>
        <v>98422</v>
      </c>
      <c r="BP68" s="24">
        <f t="shared" si="427"/>
        <v>-155341</v>
      </c>
      <c r="BQ68" s="24">
        <f t="shared" si="427"/>
        <v>-156685</v>
      </c>
      <c r="BR68" s="24">
        <f t="shared" si="427"/>
        <v>-193734</v>
      </c>
      <c r="BS68" s="24">
        <f t="shared" si="427"/>
        <v>-78325</v>
      </c>
      <c r="BT68" s="24">
        <f t="shared" si="427"/>
        <v>-183199</v>
      </c>
      <c r="BU68" s="24">
        <f t="shared" si="427"/>
        <v>-175816</v>
      </c>
      <c r="BV68" s="24">
        <f t="shared" si="427"/>
        <v>-179160</v>
      </c>
      <c r="BW68" s="24">
        <f t="shared" si="427"/>
        <v>-177584</v>
      </c>
      <c r="BX68" s="24">
        <f t="shared" si="427"/>
        <v>-127540</v>
      </c>
      <c r="BY68" s="24">
        <f t="shared" si="427"/>
        <v>-186046</v>
      </c>
      <c r="BZ68" s="24">
        <f t="shared" si="427"/>
        <v>-172909</v>
      </c>
      <c r="CA68" s="24">
        <f t="shared" si="427"/>
        <v>-134407</v>
      </c>
      <c r="CB68" s="24">
        <f t="shared" si="427"/>
        <v>-222512</v>
      </c>
      <c r="CC68" s="24">
        <f t="shared" si="427"/>
        <v>-279772</v>
      </c>
      <c r="CD68" s="24">
        <f t="shared" ref="CD68:DC68" si="428">SUM(CD62:CD67)</f>
        <v>-238479</v>
      </c>
      <c r="CE68" s="24">
        <f t="shared" si="428"/>
        <v>-297099</v>
      </c>
      <c r="CF68" s="24">
        <f t="shared" si="428"/>
        <v>-274637</v>
      </c>
      <c r="CG68" s="24">
        <f t="shared" si="428"/>
        <v>-305878</v>
      </c>
      <c r="CH68" s="24">
        <f t="shared" si="428"/>
        <v>-332807</v>
      </c>
      <c r="CI68" s="24">
        <f t="shared" si="428"/>
        <v>-339169</v>
      </c>
      <c r="CJ68" s="24">
        <f t="shared" si="428"/>
        <v>-352629</v>
      </c>
      <c r="CK68" s="24">
        <f t="shared" si="428"/>
        <v>-310509</v>
      </c>
      <c r="CL68" s="24">
        <f t="shared" si="428"/>
        <v>-247847</v>
      </c>
      <c r="CM68" s="24">
        <f t="shared" si="428"/>
        <v>-264738</v>
      </c>
      <c r="CN68" s="24">
        <f t="shared" si="428"/>
        <v>-277900</v>
      </c>
      <c r="CO68" s="24">
        <f t="shared" si="428"/>
        <v>-386242</v>
      </c>
      <c r="CP68" s="24">
        <f t="shared" si="428"/>
        <v>-211145</v>
      </c>
      <c r="CQ68" s="24">
        <f t="shared" si="428"/>
        <v>-274643</v>
      </c>
      <c r="CR68" s="24">
        <f t="shared" si="428"/>
        <v>-218081</v>
      </c>
      <c r="CS68" s="24">
        <f t="shared" si="428"/>
        <v>-177428</v>
      </c>
      <c r="CT68" s="24">
        <f t="shared" si="428"/>
        <v>-156015</v>
      </c>
      <c r="CU68" s="24">
        <f t="shared" si="428"/>
        <v>-164852</v>
      </c>
      <c r="CV68" s="24">
        <f t="shared" si="428"/>
        <v>-156689</v>
      </c>
      <c r="CW68" s="24">
        <f t="shared" si="428"/>
        <v>-221625.01000000021</v>
      </c>
      <c r="CX68" s="24">
        <f t="shared" si="428"/>
        <v>-631049.95999999973</v>
      </c>
      <c r="CY68" s="24">
        <f t="shared" si="428"/>
        <v>-244071.41999999993</v>
      </c>
      <c r="CZ68" s="24">
        <f t="shared" si="428"/>
        <v>-244672.55999999976</v>
      </c>
      <c r="DA68" s="24">
        <f>SUM(DA62:DA67)</f>
        <v>-586623.98999999953</v>
      </c>
      <c r="DB68" s="24">
        <f t="shared" si="428"/>
        <v>-323797.86</v>
      </c>
      <c r="DC68" s="24">
        <f t="shared" si="428"/>
        <v>-330840.0400000005</v>
      </c>
      <c r="DD68" s="24">
        <f t="shared" ref="DD68:DS68" si="429">SUM(DD62:DD67)</f>
        <v>-373435.91999999987</v>
      </c>
      <c r="DE68" s="24">
        <f t="shared" si="429"/>
        <v>-369017.02999999985</v>
      </c>
      <c r="DF68" s="24">
        <f t="shared" si="429"/>
        <v>-393358.77999999985</v>
      </c>
      <c r="DG68" s="24">
        <f t="shared" si="429"/>
        <v>-380443.66000000032</v>
      </c>
      <c r="DH68" s="24">
        <f t="shared" si="429"/>
        <v>-406388.86999999976</v>
      </c>
      <c r="DI68" s="24">
        <f t="shared" si="429"/>
        <v>-410980.43999999983</v>
      </c>
      <c r="DJ68" s="24">
        <f t="shared" si="429"/>
        <v>-470374.32537799946</v>
      </c>
      <c r="DK68" s="24">
        <f t="shared" si="429"/>
        <v>-499024.89999999997</v>
      </c>
      <c r="DL68" s="24">
        <f t="shared" si="429"/>
        <v>-448641.74999999994</v>
      </c>
      <c r="DM68" s="24">
        <f t="shared" si="429"/>
        <v>-1043092.8000000002</v>
      </c>
      <c r="DN68" s="24">
        <f t="shared" si="429"/>
        <v>-532652.42000000016</v>
      </c>
      <c r="DO68" s="24">
        <f t="shared" si="429"/>
        <v>-608564.29</v>
      </c>
      <c r="DP68" s="24">
        <f t="shared" si="429"/>
        <v>-479481.79000000015</v>
      </c>
      <c r="DQ68" s="24">
        <f t="shared" si="429"/>
        <v>-577262.0299999998</v>
      </c>
      <c r="DR68" s="24">
        <f t="shared" si="429"/>
        <v>-486280.22000000038</v>
      </c>
      <c r="DS68" s="24">
        <f t="shared" si="429"/>
        <v>-520401.52000000025</v>
      </c>
      <c r="DT68" s="24">
        <f t="shared" ref="DT68:DV68" si="430">SUM(DT62:DT67)</f>
        <v>-589956.9361721772</v>
      </c>
      <c r="DU68" s="24">
        <f t="shared" si="430"/>
        <v>-432853.48918803525</v>
      </c>
      <c r="DV68" s="24">
        <f t="shared" si="430"/>
        <v>-380255.71</v>
      </c>
      <c r="DW68" s="24">
        <f t="shared" ref="DW68" si="431">SUM(DW62:DW67)</f>
        <v>-475971.91132873436</v>
      </c>
      <c r="DX68" s="24">
        <f t="shared" ref="DX68:EC68" si="432">SUM(DX62:DX67)</f>
        <v>-411287.29000000004</v>
      </c>
      <c r="DY68" s="548">
        <f t="shared" si="432"/>
        <v>-352615.7606581524</v>
      </c>
      <c r="DZ68" s="24">
        <f t="shared" si="432"/>
        <v>-393601.67211259692</v>
      </c>
      <c r="EA68" s="24">
        <f t="shared" si="432"/>
        <v>-316429.32775637426</v>
      </c>
      <c r="EB68" s="24">
        <f t="shared" si="432"/>
        <v>-413081.50860805809</v>
      </c>
      <c r="EC68" s="24">
        <f t="shared" si="432"/>
        <v>-297164.10697669472</v>
      </c>
      <c r="ED68" s="24">
        <f t="shared" ref="ED68:EI68" si="433">SUM(ED62:ED67)</f>
        <v>-315391.0910158247</v>
      </c>
      <c r="EE68" s="24">
        <f t="shared" si="433"/>
        <v>-499097.58839287696</v>
      </c>
      <c r="EF68" s="24">
        <f t="shared" si="433"/>
        <v>-423590.59050886356</v>
      </c>
      <c r="EG68" s="24">
        <f t="shared" si="433"/>
        <v>-296607.35169545765</v>
      </c>
      <c r="EH68" s="24">
        <f t="shared" si="433"/>
        <v>-235368.52745478894</v>
      </c>
      <c r="EI68" s="24">
        <f t="shared" si="433"/>
        <v>-304548.91392035712</v>
      </c>
      <c r="EJ68" s="24">
        <f t="shared" ref="EJ68:EN68" si="434">SUM(EJ62:EJ67)</f>
        <v>-330558.42188814166</v>
      </c>
      <c r="EK68" s="548">
        <f t="shared" si="434"/>
        <v>-1035594.7199294316</v>
      </c>
      <c r="EL68" s="548">
        <f t="shared" si="434"/>
        <v>-336937.18703752937</v>
      </c>
      <c r="EM68" s="548">
        <f t="shared" si="434"/>
        <v>-361309.40506588394</v>
      </c>
      <c r="EN68" s="548">
        <f t="shared" si="434"/>
        <v>-414142.51450702175</v>
      </c>
      <c r="EO68" s="548">
        <f t="shared" ref="EO68:EP68" si="435">SUM(EO62:EO67)</f>
        <v>-405886.03924178466</v>
      </c>
      <c r="EP68" s="548">
        <f t="shared" si="435"/>
        <v>-310124.15048131603</v>
      </c>
      <c r="EQ68" s="548">
        <f t="shared" ref="EQ68:ES68" si="436">SUM(EQ62:EQ67)</f>
        <v>-396216.72784517315</v>
      </c>
      <c r="ER68" s="24">
        <f t="shared" si="436"/>
        <v>-358419.0622818374</v>
      </c>
      <c r="ES68" s="24">
        <f t="shared" si="436"/>
        <v>-367568.56074327283</v>
      </c>
      <c r="ET68" s="24">
        <f t="shared" ref="ET68:EU68" si="437">SUM(ET62:ET67)</f>
        <v>-472868.00026298035</v>
      </c>
      <c r="EU68" s="24">
        <f t="shared" si="437"/>
        <v>-613398.05283695948</v>
      </c>
      <c r="EV68" s="24">
        <f t="shared" ref="EV68" si="438">SUM(EV62:EV67)</f>
        <v>-535598.88580876309</v>
      </c>
      <c r="EW68" s="24">
        <f>SUM(EW62:EW67)</f>
        <v>-457715.53000000009</v>
      </c>
      <c r="EX68" s="24">
        <f t="shared" ref="EX68:EY68" si="439">SUM(EX62:EX67)</f>
        <v>-451897.08736677485</v>
      </c>
      <c r="EY68" s="24">
        <f t="shared" si="439"/>
        <v>-466704.4875283736</v>
      </c>
      <c r="EZ68" s="24">
        <f t="shared" ref="EZ68:FA68" si="440">SUM(EZ62:EZ67)</f>
        <v>-508860.18518859684</v>
      </c>
      <c r="FA68" s="24">
        <f t="shared" si="440"/>
        <v>-515025.74461296748</v>
      </c>
      <c r="FB68" s="24">
        <f t="shared" ref="FB68:FF68" si="441">SUM(FB62:FB67)</f>
        <v>-480402.06000402098</v>
      </c>
      <c r="FC68" s="24">
        <f t="shared" si="441"/>
        <v>-403348.86852597684</v>
      </c>
      <c r="FD68" s="24">
        <f t="shared" si="441"/>
        <v>-269112.29277014243</v>
      </c>
      <c r="FE68" s="24">
        <f t="shared" si="441"/>
        <v>-376175.44339030795</v>
      </c>
      <c r="FF68" s="24">
        <f t="shared" si="441"/>
        <v>-273762.80484076159</v>
      </c>
      <c r="FG68" s="24">
        <f>SUM(FG62:FG67)</f>
        <v>-353291.34572513989</v>
      </c>
      <c r="FH68" s="24">
        <f>SUM(FH62:FH67)</f>
        <v>-285615.16168762773</v>
      </c>
      <c r="FI68" s="24">
        <f>SUM(FI62:FI67)</f>
        <v>-325082.52345248777</v>
      </c>
      <c r="FJ68" s="24">
        <f>SUM(FJ62:FJ67)</f>
        <v>-414443.95305637491</v>
      </c>
      <c r="FK68" s="455">
        <f>SUM(FK62:FK67)</f>
        <v>-225689.82327658881</v>
      </c>
      <c r="FL68" s="12"/>
      <c r="FM68" s="12"/>
      <c r="FO68" s="421"/>
    </row>
    <row r="69" spans="2:171" x14ac:dyDescent="0.35">
      <c r="D69" t="s">
        <v>130</v>
      </c>
      <c r="F69" s="19"/>
      <c r="G69" s="19"/>
      <c r="H69" s="19">
        <f t="shared" si="409"/>
        <v>289829</v>
      </c>
      <c r="I69" s="19">
        <f t="shared" si="410"/>
        <v>475120</v>
      </c>
      <c r="J69" s="19">
        <f t="shared" si="413"/>
        <v>368610.3</v>
      </c>
      <c r="K69" s="19"/>
      <c r="L69" s="20">
        <f>SUM(DN69:DY69)</f>
        <v>312501.14717000216</v>
      </c>
      <c r="M69" s="19">
        <f ca="1">SUM(AP69:AS69)</f>
        <v>176829.86540142511</v>
      </c>
      <c r="N69" s="19">
        <f ca="1">SUM(AT69:AW69)</f>
        <v>384054.73176973953</v>
      </c>
      <c r="O69" s="19">
        <f t="shared" si="320"/>
        <v>-465675.74004083674</v>
      </c>
      <c r="P69" s="19">
        <f>SUM($FJ69:FK69)</f>
        <v>-49646.317999802915</v>
      </c>
      <c r="Q69" s="20"/>
      <c r="R69" s="20"/>
      <c r="S69" s="20"/>
      <c r="T69" s="20"/>
      <c r="U69" s="20"/>
      <c r="V69" s="20">
        <f>SUM(BR69:BT69)</f>
        <v>0</v>
      </c>
      <c r="W69" s="20">
        <f>SUM(BU69:BW69)</f>
        <v>0</v>
      </c>
      <c r="X69" s="20">
        <f>SUM(BX69:BZ69)</f>
        <v>0</v>
      </c>
      <c r="Y69" s="20">
        <f>SUM(CA69:CC69)</f>
        <v>289829</v>
      </c>
      <c r="Z69" s="20">
        <f>SUM(CD69:CF69)</f>
        <v>0</v>
      </c>
      <c r="AA69" s="20">
        <f>SUM(CG69:CI69)</f>
        <v>0</v>
      </c>
      <c r="AB69" s="20">
        <f>SUM(CJ69:CL69)</f>
        <v>0</v>
      </c>
      <c r="AC69" s="20">
        <f>SUM(CM69:CO69)</f>
        <v>475120</v>
      </c>
      <c r="AD69" s="20">
        <f t="shared" si="411"/>
        <v>0</v>
      </c>
      <c r="AE69" s="20">
        <f>SUM(CS69:CU69)</f>
        <v>0</v>
      </c>
      <c r="AF69" s="20">
        <f>SUM(CV69:CX69)</f>
        <v>0</v>
      </c>
      <c r="AG69" s="20">
        <f>SUM(CY69:DA69)</f>
        <v>368610.3</v>
      </c>
      <c r="AH69" s="20">
        <f>SUM(DB69:DD69)</f>
        <v>0</v>
      </c>
      <c r="AI69" s="20">
        <f>SUM(DE69:DG69)</f>
        <v>0</v>
      </c>
      <c r="AJ69" s="20">
        <f>SUM(DH69:DJ69)</f>
        <v>-3378.398102847435</v>
      </c>
      <c r="AK69" s="20">
        <f>SUM(DK69:DM69)</f>
        <v>253029.45000000004</v>
      </c>
      <c r="AL69" s="20">
        <f>SUM(DN69:DP69)</f>
        <v>0</v>
      </c>
      <c r="AM69" s="20">
        <f>SUM(DQ69:DS69)</f>
        <v>0</v>
      </c>
      <c r="AN69" s="20">
        <f>SUM(DT69:DV69)</f>
        <v>0</v>
      </c>
      <c r="AO69" s="20">
        <f>SUM(DW69:DY69)</f>
        <v>312501.14717000216</v>
      </c>
      <c r="AP69" s="20">
        <f>SUM(DZ69:EB69)</f>
        <v>-37321.807202628464</v>
      </c>
      <c r="AQ69" s="12">
        <f ca="1">OFFSET($DZ69,0,AQ$4)+OFFSET($EA69,0,AQ$4)+OFFSET($EB69,0,AQ$4)</f>
        <v>-107527.7037573881</v>
      </c>
      <c r="AR69" s="12">
        <f ca="1">OFFSET($DZ69,0,AR$4)+OFFSET($EA69,0,AR$4)+OFFSET($EB69,0,AR$4)</f>
        <v>-92328.32283965651</v>
      </c>
      <c r="AS69" s="12">
        <f ca="1">OFFSET($DZ69,0,AS$4)+OFFSET($EA69,0,AS$4)+OFFSET($EB69,0,AS$4)</f>
        <v>414007.69920109818</v>
      </c>
      <c r="AT69" s="12">
        <f t="shared" si="11"/>
        <v>-92030.750905002176</v>
      </c>
      <c r="AU69" s="12">
        <f t="shared" ca="1" si="300"/>
        <v>-59634.596262664047</v>
      </c>
      <c r="AV69" s="12">
        <f t="shared" ca="1" si="300"/>
        <v>-164434.08336946281</v>
      </c>
      <c r="AW69" s="12">
        <f t="shared" ca="1" si="300"/>
        <v>700154.16230686859</v>
      </c>
      <c r="AX69" s="12">
        <f>SUM(EX69:EZ69)</f>
        <v>-107878.97000328684</v>
      </c>
      <c r="AY69" s="12">
        <f>SUM(FA69:FC69)</f>
        <v>-174961.40633272822</v>
      </c>
      <c r="AZ69" s="12">
        <f t="shared" si="352"/>
        <v>-83271.896445483755</v>
      </c>
      <c r="BA69" s="12">
        <f t="shared" si="353"/>
        <v>-99563.467259337893</v>
      </c>
      <c r="BB69" s="12">
        <f t="shared" si="301"/>
        <v>-49646.317999802915</v>
      </c>
      <c r="BC69" s="12"/>
      <c r="BD69" s="12"/>
      <c r="BE69" s="12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>
        <v>0</v>
      </c>
      <c r="BS69" s="20">
        <v>0</v>
      </c>
      <c r="BT69" s="20">
        <v>0</v>
      </c>
      <c r="BU69" s="20">
        <v>0</v>
      </c>
      <c r="BV69" s="20">
        <v>0</v>
      </c>
      <c r="BW69" s="20">
        <v>0</v>
      </c>
      <c r="BX69" s="20">
        <v>0</v>
      </c>
      <c r="BY69" s="20">
        <v>0</v>
      </c>
      <c r="BZ69" s="20"/>
      <c r="CA69" s="20">
        <v>0</v>
      </c>
      <c r="CB69" s="20">
        <v>0</v>
      </c>
      <c r="CC69" s="20">
        <v>289829</v>
      </c>
      <c r="CO69" s="20">
        <v>475120</v>
      </c>
      <c r="CP69" s="54"/>
      <c r="CQ69" s="54"/>
      <c r="CR69" s="54"/>
      <c r="CS69" s="54"/>
      <c r="CT69" s="54"/>
      <c r="CU69" s="54"/>
      <c r="CV69" s="54"/>
      <c r="CW69" s="54"/>
      <c r="CX69" s="54"/>
      <c r="CY69" s="54"/>
      <c r="CZ69" s="54"/>
      <c r="DA69" s="20">
        <v>368610.3</v>
      </c>
      <c r="DB69" s="54"/>
      <c r="DC69" s="54"/>
      <c r="DD69" s="54"/>
      <c r="DE69" s="54"/>
      <c r="DF69" s="54"/>
      <c r="DG69" s="54"/>
      <c r="DH69" s="20">
        <v>-3378.398102847435</v>
      </c>
      <c r="DI69" s="54"/>
      <c r="DJ69" s="54"/>
      <c r="DK69" s="54"/>
      <c r="DL69" s="54"/>
      <c r="DM69" s="20">
        <v>253029.45000000004</v>
      </c>
      <c r="DN69" s="221">
        <v>0</v>
      </c>
      <c r="DO69" s="221">
        <v>0</v>
      </c>
      <c r="DP69" s="221">
        <v>0</v>
      </c>
      <c r="DQ69" s="221">
        <v>0</v>
      </c>
      <c r="DR69" s="221">
        <v>0</v>
      </c>
      <c r="DS69" s="221">
        <v>0</v>
      </c>
      <c r="DT69" s="221">
        <v>0</v>
      </c>
      <c r="DU69" s="221">
        <v>0</v>
      </c>
      <c r="DV69" s="221">
        <v>0</v>
      </c>
      <c r="DW69" s="20">
        <v>-213141.76000000001</v>
      </c>
      <c r="DX69" s="20">
        <v>-50697.3</v>
      </c>
      <c r="DY69" s="469">
        <v>576340.20717000216</v>
      </c>
      <c r="DZ69" s="221">
        <v>0</v>
      </c>
      <c r="EA69" s="20">
        <v>-37321.807202628464</v>
      </c>
      <c r="EB69" s="82">
        <v>0</v>
      </c>
      <c r="EC69" s="20">
        <v>-37175.522890245462</v>
      </c>
      <c r="ED69" s="20">
        <v>-35179.558231509298</v>
      </c>
      <c r="EE69" s="20">
        <v>-35172.622635633335</v>
      </c>
      <c r="EF69" s="20">
        <v>-46440.555902166481</v>
      </c>
      <c r="EG69" s="20">
        <v>-45887.766937490029</v>
      </c>
      <c r="EH69" s="82">
        <v>0</v>
      </c>
      <c r="EI69" s="20">
        <v>0</v>
      </c>
      <c r="EJ69" s="20">
        <v>0</v>
      </c>
      <c r="EK69" s="469">
        <v>414007.69920109818</v>
      </c>
      <c r="EL69" s="469">
        <v>-46247.774614527108</v>
      </c>
      <c r="EM69" s="469">
        <v>-45782.976290475068</v>
      </c>
      <c r="EN69" s="469">
        <f>-249374.370418552+249374.370418552</f>
        <v>0</v>
      </c>
      <c r="EO69" s="469">
        <v>0</v>
      </c>
      <c r="EP69" s="469">
        <v>-59634.596262664047</v>
      </c>
      <c r="EQ69" s="469"/>
      <c r="ER69" s="20">
        <v>-55592.850907515436</v>
      </c>
      <c r="ES69" s="20">
        <v>-29320.239161473761</v>
      </c>
      <c r="ET69" s="20">
        <v>-79520.993300473594</v>
      </c>
      <c r="EU69" s="20">
        <v>-69098.753475371952</v>
      </c>
      <c r="EV69" s="20">
        <v>-32150.464217759469</v>
      </c>
      <c r="EW69" s="20">
        <v>801403.38</v>
      </c>
      <c r="EX69" s="20"/>
      <c r="EY69" s="20">
        <v>-81875.467773184864</v>
      </c>
      <c r="EZ69" s="20">
        <v>-26003.502230101971</v>
      </c>
      <c r="FA69" s="20">
        <v>-75516.469141573223</v>
      </c>
      <c r="FB69" s="20">
        <v>-75515.469141573194</v>
      </c>
      <c r="FC69" s="20">
        <v>-23929.468049581799</v>
      </c>
      <c r="FD69" s="20">
        <v>-26459.478226620326</v>
      </c>
      <c r="FE69" s="20">
        <v>-26756.178700740198</v>
      </c>
      <c r="FF69" s="20">
        <v>-30056.239518123235</v>
      </c>
      <c r="FG69" s="20">
        <v>-26733.757161842088</v>
      </c>
      <c r="FH69" s="20">
        <v>-37959.957821728109</v>
      </c>
      <c r="FI69" s="20">
        <v>-34869.7522757677</v>
      </c>
      <c r="FJ69" s="20">
        <v>-34868.7522757677</v>
      </c>
      <c r="FK69" s="454">
        <v>-14777.565724035214</v>
      </c>
      <c r="FL69" s="20"/>
      <c r="FM69" s="20"/>
    </row>
    <row r="70" spans="2:171" x14ac:dyDescent="0.35">
      <c r="C70" s="21" t="s">
        <v>131</v>
      </c>
      <c r="D70" s="22"/>
      <c r="E70" s="22"/>
      <c r="F70" s="23">
        <f>SUM(F68:F69)</f>
        <v>-2384000</v>
      </c>
      <c r="G70" s="23">
        <f>SUM(G68:G69)</f>
        <v>-2239302</v>
      </c>
      <c r="H70" s="115">
        <f>SUM(H68:H69)</f>
        <v>-1821175</v>
      </c>
      <c r="I70" s="115">
        <f>SUM(I68:I69)</f>
        <v>-3152814</v>
      </c>
      <c r="J70" s="23">
        <f t="shared" si="413"/>
        <v>-2918285.6399999987</v>
      </c>
      <c r="K70" s="23">
        <f>SUM(AH70:AK70)</f>
        <v>-5199745.3234808454</v>
      </c>
      <c r="L70" s="23">
        <f t="shared" ref="L70:AK70" si="442">SUM(L68:L69)</f>
        <v>-5535082.2201770982</v>
      </c>
      <c r="M70" s="23">
        <f t="shared" ca="1" si="442"/>
        <v>-4684203.9548580414</v>
      </c>
      <c r="N70" s="23">
        <f ca="1">SUM(AT70:AW70)</f>
        <v>-4646129.3843427822</v>
      </c>
      <c r="O70" s="23">
        <f t="shared" si="320"/>
        <v>-5174953.7451340146</v>
      </c>
      <c r="P70" s="23">
        <f>SUM($FJ70:FK70)</f>
        <v>-689780.0943327666</v>
      </c>
      <c r="Q70" s="24">
        <f t="shared" si="442"/>
        <v>0</v>
      </c>
      <c r="R70" s="24">
        <f t="shared" si="442"/>
        <v>-581777</v>
      </c>
      <c r="S70" s="24">
        <f t="shared" si="442"/>
        <v>-803574</v>
      </c>
      <c r="T70" s="24">
        <f t="shared" si="442"/>
        <v>-640347</v>
      </c>
      <c r="U70" s="24">
        <f t="shared" si="442"/>
        <v>-213604</v>
      </c>
      <c r="V70" s="24">
        <f t="shared" si="442"/>
        <v>-455258</v>
      </c>
      <c r="W70" s="24">
        <f t="shared" si="442"/>
        <v>-532560</v>
      </c>
      <c r="X70" s="24">
        <f t="shared" si="442"/>
        <v>-486495</v>
      </c>
      <c r="Y70" s="24">
        <f t="shared" si="442"/>
        <v>-346862</v>
      </c>
      <c r="Z70" s="24">
        <f t="shared" si="442"/>
        <v>-810215</v>
      </c>
      <c r="AA70" s="24">
        <f t="shared" si="442"/>
        <v>-977854</v>
      </c>
      <c r="AB70" s="24">
        <f t="shared" si="442"/>
        <v>-910985</v>
      </c>
      <c r="AC70" s="24">
        <f t="shared" si="442"/>
        <v>-453760</v>
      </c>
      <c r="AD70" s="24">
        <f t="shared" si="442"/>
        <v>-703869</v>
      </c>
      <c r="AE70" s="24">
        <f t="shared" si="442"/>
        <v>-498295</v>
      </c>
      <c r="AF70" s="24">
        <f t="shared" si="442"/>
        <v>-1009363.9699999993</v>
      </c>
      <c r="AG70" s="24">
        <f t="shared" si="442"/>
        <v>-706757.66999999923</v>
      </c>
      <c r="AH70" s="24">
        <f t="shared" si="442"/>
        <v>-1028073.82</v>
      </c>
      <c r="AI70" s="24">
        <f t="shared" si="442"/>
        <v>-1142819.4699999997</v>
      </c>
      <c r="AJ70" s="24">
        <f t="shared" si="442"/>
        <v>-1291122.0334808461</v>
      </c>
      <c r="AK70" s="24">
        <f t="shared" si="442"/>
        <v>-1737730.0000000002</v>
      </c>
      <c r="AL70" s="24">
        <f t="shared" ref="AL70:AQ70" si="443">SUM(AL68:AL69)</f>
        <v>-1620698.5000000005</v>
      </c>
      <c r="AM70" s="24">
        <f t="shared" si="443"/>
        <v>-1583943.7700000007</v>
      </c>
      <c r="AN70" s="24">
        <f t="shared" si="443"/>
        <v>-1403066.1353602123</v>
      </c>
      <c r="AO70" s="24">
        <f t="shared" si="443"/>
        <v>-927373.8148168847</v>
      </c>
      <c r="AP70" s="24">
        <f t="shared" si="443"/>
        <v>-1160434.3156796573</v>
      </c>
      <c r="AQ70" s="24">
        <f t="shared" ca="1" si="443"/>
        <v>-1219180.4901427852</v>
      </c>
      <c r="AR70" s="24">
        <f t="shared" ref="AR70:AS70" ca="1" si="444">SUM(AR68:AR69)</f>
        <v>-1047894.7924987664</v>
      </c>
      <c r="AS70" s="24">
        <f t="shared" ca="1" si="444"/>
        <v>-1256694.3565368322</v>
      </c>
      <c r="AT70" s="24">
        <f>SUM(EL70:EN70)</f>
        <v>-1204419.8575154373</v>
      </c>
      <c r="AU70" s="24">
        <f t="shared" ca="1" si="300"/>
        <v>-1171861.5138309379</v>
      </c>
      <c r="AV70" s="24">
        <f t="shared" ca="1" si="300"/>
        <v>-1363289.7066575533</v>
      </c>
      <c r="AW70" s="24">
        <f t="shared" ca="1" si="300"/>
        <v>-906558.30633885413</v>
      </c>
      <c r="AX70" s="24">
        <f>SUM(EX70:EZ70)</f>
        <v>-1535340.7300870321</v>
      </c>
      <c r="AY70" s="24">
        <f>SUM(FA70:FC70)</f>
        <v>-1573738.0794756936</v>
      </c>
      <c r="AZ70" s="24">
        <f t="shared" si="352"/>
        <v>-1002322.4374466958</v>
      </c>
      <c r="BA70" s="24">
        <f t="shared" si="353"/>
        <v>-1063552.4981245934</v>
      </c>
      <c r="BB70" s="24">
        <f t="shared" si="301"/>
        <v>-689780.0943327666</v>
      </c>
      <c r="BC70" s="24"/>
      <c r="BD70" s="24"/>
      <c r="BE70" s="24"/>
      <c r="BF70" s="24">
        <f t="shared" ref="BF70:BY70" si="445">SUM(BF68:BF69)</f>
        <v>28183</v>
      </c>
      <c r="BG70" s="24">
        <f t="shared" si="445"/>
        <v>-284994</v>
      </c>
      <c r="BH70" s="24">
        <f t="shared" si="445"/>
        <v>-324966</v>
      </c>
      <c r="BI70" s="24">
        <f t="shared" si="445"/>
        <v>-347432</v>
      </c>
      <c r="BJ70" s="24">
        <f t="shared" si="445"/>
        <v>-234409</v>
      </c>
      <c r="BK70" s="24">
        <f t="shared" si="445"/>
        <v>-221733</v>
      </c>
      <c r="BL70" s="24">
        <f t="shared" si="445"/>
        <v>-241951</v>
      </c>
      <c r="BM70" s="24">
        <f t="shared" si="445"/>
        <v>-121798</v>
      </c>
      <c r="BN70" s="24">
        <f t="shared" si="445"/>
        <v>-276598</v>
      </c>
      <c r="BO70" s="24">
        <f t="shared" si="445"/>
        <v>98422</v>
      </c>
      <c r="BP70" s="24">
        <f t="shared" si="445"/>
        <v>-155341</v>
      </c>
      <c r="BQ70" s="24">
        <f t="shared" si="445"/>
        <v>-156685</v>
      </c>
      <c r="BR70" s="24">
        <f t="shared" si="445"/>
        <v>-193734</v>
      </c>
      <c r="BS70" s="24">
        <f t="shared" si="445"/>
        <v>-78325</v>
      </c>
      <c r="BT70" s="24">
        <f t="shared" si="445"/>
        <v>-183199</v>
      </c>
      <c r="BU70" s="24">
        <f t="shared" si="445"/>
        <v>-175816</v>
      </c>
      <c r="BV70" s="24">
        <f t="shared" si="445"/>
        <v>-179160</v>
      </c>
      <c r="BW70" s="24">
        <f t="shared" si="445"/>
        <v>-177584</v>
      </c>
      <c r="BX70" s="24">
        <f t="shared" si="445"/>
        <v>-127540</v>
      </c>
      <c r="BY70" s="24">
        <f t="shared" si="445"/>
        <v>-186046</v>
      </c>
      <c r="BZ70" s="24">
        <f t="shared" ref="BZ70:CF70" si="446">SUM(BZ68:BZ69)</f>
        <v>-172909</v>
      </c>
      <c r="CA70" s="24">
        <f t="shared" si="446"/>
        <v>-134407</v>
      </c>
      <c r="CB70" s="24">
        <f t="shared" si="446"/>
        <v>-222512</v>
      </c>
      <c r="CC70" s="24">
        <f t="shared" si="446"/>
        <v>10057</v>
      </c>
      <c r="CD70" s="24">
        <f t="shared" si="446"/>
        <v>-238479</v>
      </c>
      <c r="CE70" s="24">
        <f t="shared" si="446"/>
        <v>-297099</v>
      </c>
      <c r="CF70" s="24">
        <f t="shared" si="446"/>
        <v>-274637</v>
      </c>
      <c r="CG70" s="24">
        <f t="shared" ref="CG70:DC70" si="447">SUM(CG68:CG69)</f>
        <v>-305878</v>
      </c>
      <c r="CH70" s="24">
        <f t="shared" si="447"/>
        <v>-332807</v>
      </c>
      <c r="CI70" s="24">
        <f t="shared" si="447"/>
        <v>-339169</v>
      </c>
      <c r="CJ70" s="24">
        <f t="shared" si="447"/>
        <v>-352629</v>
      </c>
      <c r="CK70" s="24">
        <f t="shared" si="447"/>
        <v>-310509</v>
      </c>
      <c r="CL70" s="24">
        <f t="shared" si="447"/>
        <v>-247847</v>
      </c>
      <c r="CM70" s="24">
        <f t="shared" si="447"/>
        <v>-264738</v>
      </c>
      <c r="CN70" s="24">
        <f t="shared" si="447"/>
        <v>-277900</v>
      </c>
      <c r="CO70" s="24">
        <f t="shared" si="447"/>
        <v>88878</v>
      </c>
      <c r="CP70" s="24">
        <f t="shared" si="447"/>
        <v>-211145</v>
      </c>
      <c r="CQ70" s="24">
        <f t="shared" si="447"/>
        <v>-274643</v>
      </c>
      <c r="CR70" s="24">
        <f t="shared" si="447"/>
        <v>-218081</v>
      </c>
      <c r="CS70" s="24">
        <f t="shared" si="447"/>
        <v>-177428</v>
      </c>
      <c r="CT70" s="24">
        <f t="shared" si="447"/>
        <v>-156015</v>
      </c>
      <c r="CU70" s="24">
        <f t="shared" si="447"/>
        <v>-164852</v>
      </c>
      <c r="CV70" s="24">
        <f t="shared" si="447"/>
        <v>-156689</v>
      </c>
      <c r="CW70" s="24">
        <f t="shared" si="447"/>
        <v>-221625.01000000021</v>
      </c>
      <c r="CX70" s="24">
        <f t="shared" si="447"/>
        <v>-631049.95999999973</v>
      </c>
      <c r="CY70" s="24">
        <f t="shared" si="447"/>
        <v>-244071.41999999993</v>
      </c>
      <c r="CZ70" s="24">
        <f t="shared" si="447"/>
        <v>-244672.55999999976</v>
      </c>
      <c r="DA70" s="24">
        <f t="shared" si="447"/>
        <v>-218013.68999999954</v>
      </c>
      <c r="DB70" s="24">
        <f t="shared" si="447"/>
        <v>-323797.86</v>
      </c>
      <c r="DC70" s="24">
        <f t="shared" si="447"/>
        <v>-330840.0400000005</v>
      </c>
      <c r="DD70" s="24">
        <f>SUM(DD68:DD69)</f>
        <v>-373435.91999999987</v>
      </c>
      <c r="DE70" s="24">
        <f>SUM(DE68:DE69)</f>
        <v>-369017.02999999985</v>
      </c>
      <c r="DF70" s="24">
        <f t="shared" ref="DF70:DK70" si="448">SUM(DF68:DF69)</f>
        <v>-393358.77999999985</v>
      </c>
      <c r="DG70" s="24">
        <f t="shared" si="448"/>
        <v>-380443.66000000032</v>
      </c>
      <c r="DH70" s="24">
        <f t="shared" si="448"/>
        <v>-409767.26810284721</v>
      </c>
      <c r="DI70" s="24">
        <f t="shared" si="448"/>
        <v>-410980.43999999983</v>
      </c>
      <c r="DJ70" s="24">
        <f t="shared" si="448"/>
        <v>-470374.32537799946</v>
      </c>
      <c r="DK70" s="24">
        <f t="shared" si="448"/>
        <v>-499024.89999999997</v>
      </c>
      <c r="DL70" s="24">
        <f t="shared" ref="DL70:DQ70" si="449">SUM(DL68:DL69)</f>
        <v>-448641.74999999994</v>
      </c>
      <c r="DM70" s="24">
        <f t="shared" si="449"/>
        <v>-790063.35000000009</v>
      </c>
      <c r="DN70" s="24">
        <f t="shared" si="449"/>
        <v>-532652.42000000016</v>
      </c>
      <c r="DO70" s="24">
        <f t="shared" si="449"/>
        <v>-608564.29</v>
      </c>
      <c r="DP70" s="24">
        <f t="shared" si="449"/>
        <v>-479481.79000000015</v>
      </c>
      <c r="DQ70" s="24">
        <f t="shared" si="449"/>
        <v>-577262.0299999998</v>
      </c>
      <c r="DR70" s="24">
        <f t="shared" ref="DR70:DS70" si="450">SUM(DR68:DR69)</f>
        <v>-486280.22000000038</v>
      </c>
      <c r="DS70" s="24">
        <f t="shared" si="450"/>
        <v>-520401.52000000025</v>
      </c>
      <c r="DT70" s="24">
        <f t="shared" ref="DT70:DV70" si="451">SUM(DT68:DT69)</f>
        <v>-589956.9361721772</v>
      </c>
      <c r="DU70" s="24">
        <f t="shared" si="451"/>
        <v>-432853.48918803525</v>
      </c>
      <c r="DV70" s="24">
        <f t="shared" si="451"/>
        <v>-380255.71</v>
      </c>
      <c r="DW70" s="24">
        <f t="shared" ref="DW70:DZ70" si="452">SUM(DW68:DW69)</f>
        <v>-689113.67132873437</v>
      </c>
      <c r="DX70" s="24">
        <f t="shared" si="452"/>
        <v>-461984.59</v>
      </c>
      <c r="DY70" s="548">
        <f t="shared" si="452"/>
        <v>223724.44651184976</v>
      </c>
      <c r="DZ70" s="24">
        <f t="shared" si="452"/>
        <v>-393601.67211259692</v>
      </c>
      <c r="EA70" s="24">
        <f t="shared" ref="EA70:EB70" si="453">SUM(EA68:EA69)</f>
        <v>-353751.13495900272</v>
      </c>
      <c r="EB70" s="24">
        <f t="shared" si="453"/>
        <v>-413081.50860805809</v>
      </c>
      <c r="EC70" s="24">
        <f t="shared" ref="EC70:EE70" si="454">SUM(EC68:EC69)</f>
        <v>-334339.6298669402</v>
      </c>
      <c r="ED70" s="24">
        <f t="shared" si="454"/>
        <v>-350570.64924733399</v>
      </c>
      <c r="EE70" s="24">
        <f t="shared" si="454"/>
        <v>-534270.21102851024</v>
      </c>
      <c r="EF70" s="24">
        <f t="shared" ref="EF70:EG70" si="455">SUM(EF68:EF69)</f>
        <v>-470031.14641103003</v>
      </c>
      <c r="EG70" s="24">
        <f t="shared" si="455"/>
        <v>-342495.11863294768</v>
      </c>
      <c r="EH70" s="24">
        <f t="shared" ref="EH70:EI70" si="456">SUM(EH68:EH69)</f>
        <v>-235368.52745478894</v>
      </c>
      <c r="EI70" s="24">
        <f t="shared" si="456"/>
        <v>-304548.91392035712</v>
      </c>
      <c r="EJ70" s="24">
        <f t="shared" ref="EJ70:EN70" si="457">SUM(EJ68:EJ69)</f>
        <v>-330558.42188814166</v>
      </c>
      <c r="EK70" s="548">
        <f t="shared" si="457"/>
        <v>-621587.02072833339</v>
      </c>
      <c r="EL70" s="548">
        <f t="shared" si="457"/>
        <v>-383184.96165205649</v>
      </c>
      <c r="EM70" s="548">
        <f t="shared" si="457"/>
        <v>-407092.38135635899</v>
      </c>
      <c r="EN70" s="548">
        <f t="shared" si="457"/>
        <v>-414142.51450702175</v>
      </c>
      <c r="EO70" s="548">
        <f t="shared" ref="EO70:EP70" si="458">SUM(EO68:EO69)</f>
        <v>-405886.03924178466</v>
      </c>
      <c r="EP70" s="548">
        <f t="shared" si="458"/>
        <v>-369758.7467439801</v>
      </c>
      <c r="EQ70" s="548">
        <f t="shared" ref="EQ70:ES70" si="459">SUM(EQ68:EQ69)</f>
        <v>-396216.72784517315</v>
      </c>
      <c r="ER70" s="24">
        <f t="shared" si="459"/>
        <v>-414011.91318935284</v>
      </c>
      <c r="ES70" s="24">
        <f t="shared" si="459"/>
        <v>-396888.79990474659</v>
      </c>
      <c r="ET70" s="24">
        <f t="shared" ref="ET70:EU70" si="460">SUM(ET68:ET69)</f>
        <v>-552388.9935634539</v>
      </c>
      <c r="EU70" s="24">
        <f t="shared" si="460"/>
        <v>-682496.80631233146</v>
      </c>
      <c r="EV70" s="24">
        <f t="shared" ref="EV70" si="461">SUM(EV68:EV69)</f>
        <v>-567749.35002652253</v>
      </c>
      <c r="EW70" s="24">
        <f>SUM(EW68:EW69)</f>
        <v>343687.84999999992</v>
      </c>
      <c r="EX70" s="24">
        <f>SUM(EX68:EX69)</f>
        <v>-451897.08736677485</v>
      </c>
      <c r="EY70" s="24">
        <f t="shared" ref="EY70:FA70" si="462">SUM(EY68:EY69)</f>
        <v>-548579.95530155848</v>
      </c>
      <c r="EZ70" s="24">
        <f t="shared" si="462"/>
        <v>-534863.6874186988</v>
      </c>
      <c r="FA70" s="24">
        <f t="shared" si="462"/>
        <v>-590542.21375454066</v>
      </c>
      <c r="FB70" s="24">
        <f t="shared" ref="FB70:FF70" si="463">SUM(FB68:FB69)</f>
        <v>-555917.52914559422</v>
      </c>
      <c r="FC70" s="24">
        <f t="shared" si="463"/>
        <v>-427278.33657555864</v>
      </c>
      <c r="FD70" s="24">
        <f t="shared" si="463"/>
        <v>-295571.77099676279</v>
      </c>
      <c r="FE70" s="24">
        <f t="shared" si="463"/>
        <v>-402931.62209104816</v>
      </c>
      <c r="FF70" s="24">
        <f t="shared" si="463"/>
        <v>-303819.0443588848</v>
      </c>
      <c r="FG70" s="24">
        <f>SUM(FG68:FG69)</f>
        <v>-380025.10288698197</v>
      </c>
      <c r="FH70" s="24">
        <f>SUM(FH68:FH69)</f>
        <v>-323575.11950935586</v>
      </c>
      <c r="FI70" s="24">
        <f>SUM(FI68:FI69)</f>
        <v>-359952.27572825545</v>
      </c>
      <c r="FJ70" s="24">
        <f>SUM(FJ68:FJ69)</f>
        <v>-449312.70533214259</v>
      </c>
      <c r="FK70" s="455">
        <f>SUM(FK68:FK69)</f>
        <v>-240467.38900062401</v>
      </c>
      <c r="FL70" s="12"/>
      <c r="FM70" s="12"/>
    </row>
    <row r="71" spans="2:171" x14ac:dyDescent="0.35">
      <c r="F71" s="19"/>
      <c r="G71" s="19"/>
      <c r="H71" s="19"/>
      <c r="I71" s="19"/>
      <c r="J71" s="19"/>
      <c r="K71" s="19"/>
      <c r="L71" s="20"/>
      <c r="M71" s="20"/>
      <c r="N71" s="20"/>
      <c r="O71" s="20"/>
      <c r="P71" s="20"/>
      <c r="Q71" s="20"/>
      <c r="R71" s="20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20"/>
      <c r="BB71" s="20">
        <f t="shared" si="42"/>
        <v>0</v>
      </c>
      <c r="BC71" s="20"/>
      <c r="BD71" s="20"/>
      <c r="BE71" s="20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84"/>
      <c r="BS71" s="84"/>
      <c r="BT71" s="84"/>
      <c r="BU71" s="84"/>
      <c r="BV71" s="35"/>
      <c r="BW71" s="35"/>
      <c r="BX71" s="35"/>
      <c r="BY71" s="35"/>
      <c r="BZ71" s="35"/>
      <c r="CV71" s="277"/>
      <c r="CX71" s="319"/>
      <c r="DB71" s="116"/>
      <c r="DC71" s="116"/>
      <c r="DD71" s="116"/>
      <c r="DE71" s="116"/>
      <c r="DF71" s="116"/>
      <c r="DG71" s="116"/>
      <c r="DH71" s="116"/>
      <c r="DI71" s="116"/>
      <c r="DJ71" s="116"/>
      <c r="DK71" s="116"/>
      <c r="DL71" s="116"/>
      <c r="DM71" s="221"/>
      <c r="DN71" s="20"/>
      <c r="DO71" s="20"/>
      <c r="DP71" s="111"/>
      <c r="DQ71" s="111"/>
      <c r="DR71" s="20"/>
      <c r="DS71" s="20"/>
      <c r="DT71" s="221"/>
      <c r="DU71" s="221"/>
      <c r="DV71" s="221"/>
      <c r="DW71" s="221"/>
      <c r="DX71" s="221"/>
      <c r="DY71" s="598"/>
      <c r="EB71" s="82"/>
      <c r="EC71" s="82"/>
      <c r="ED71" s="82"/>
      <c r="EE71" s="12"/>
      <c r="EU71" s="54"/>
      <c r="EV71" s="54"/>
      <c r="EW71" s="54"/>
      <c r="FK71" s="384"/>
    </row>
    <row r="72" spans="2:171" x14ac:dyDescent="0.35">
      <c r="B72" s="3" t="s">
        <v>132</v>
      </c>
      <c r="F72" s="19"/>
      <c r="G72" s="19"/>
      <c r="H72" s="19"/>
      <c r="I72" s="19"/>
      <c r="J72" s="19"/>
      <c r="K72" s="19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>
        <f t="shared" si="42"/>
        <v>0</v>
      </c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82"/>
      <c r="BY72" s="20"/>
      <c r="BZ72" s="82"/>
      <c r="CA72" s="119"/>
      <c r="CB72" s="286"/>
      <c r="CC72" s="116"/>
      <c r="CD72" s="116"/>
      <c r="CE72" s="116"/>
      <c r="CF72" s="116"/>
      <c r="CG72" s="116"/>
      <c r="CH72" s="200"/>
      <c r="CI72" s="207"/>
      <c r="CJ72" s="207"/>
      <c r="CK72" s="219"/>
      <c r="CM72" s="116"/>
      <c r="CN72" s="285"/>
      <c r="CO72" s="116"/>
      <c r="CP72" s="116"/>
      <c r="CQ72" s="116"/>
      <c r="CR72" s="207"/>
      <c r="CS72" s="116"/>
      <c r="CT72" s="116"/>
      <c r="CU72" s="116"/>
      <c r="CV72" s="116"/>
      <c r="CW72" s="116"/>
      <c r="CX72" s="318"/>
      <c r="CY72" s="116"/>
      <c r="CZ72" s="315"/>
      <c r="DA72" s="315"/>
      <c r="DB72" s="315"/>
      <c r="DC72" s="315"/>
      <c r="DD72" s="349"/>
      <c r="DE72" s="349"/>
      <c r="DF72" s="349"/>
      <c r="DG72" s="349"/>
      <c r="DH72" s="349"/>
      <c r="DI72" s="349"/>
      <c r="DJ72" s="378"/>
      <c r="DK72" s="378"/>
      <c r="DL72" s="378"/>
      <c r="DM72" s="221"/>
      <c r="DN72" s="20"/>
      <c r="DO72" s="82"/>
      <c r="DP72" s="20"/>
      <c r="DQ72" s="20"/>
      <c r="DR72" s="20"/>
      <c r="DS72" s="20"/>
      <c r="DT72" s="221"/>
      <c r="DU72" s="221"/>
      <c r="DV72" s="221"/>
      <c r="DW72" s="221"/>
      <c r="DX72" s="20"/>
      <c r="DY72" s="599"/>
      <c r="DZ72" s="315"/>
      <c r="EA72" s="315"/>
      <c r="EB72" s="315"/>
      <c r="EC72" s="315"/>
      <c r="ED72" s="315"/>
      <c r="EE72" s="315"/>
      <c r="EF72" s="315"/>
      <c r="EG72" s="315"/>
      <c r="EH72" s="315"/>
      <c r="EI72" s="315"/>
      <c r="EJ72" s="315"/>
      <c r="EU72" s="54"/>
      <c r="EV72" s="54"/>
      <c r="EW72" s="54"/>
      <c r="FK72" s="384"/>
    </row>
    <row r="73" spans="2:171" x14ac:dyDescent="0.35">
      <c r="C73" s="10" t="s">
        <v>133</v>
      </c>
      <c r="F73" s="52"/>
      <c r="G73" s="52">
        <f>U73</f>
        <v>1427037</v>
      </c>
      <c r="H73" s="11">
        <f>Y73</f>
        <v>1488326</v>
      </c>
      <c r="I73" s="11">
        <f>AC73</f>
        <v>2103439</v>
      </c>
      <c r="J73" s="11">
        <f>AE73</f>
        <v>2198377</v>
      </c>
      <c r="K73" s="11">
        <f>DM73</f>
        <v>3798669.8699999987</v>
      </c>
      <c r="L73" s="11">
        <f>DY73</f>
        <v>4399256.6082366873</v>
      </c>
      <c r="M73" s="11">
        <f>AS73</f>
        <v>5113923.7776811868</v>
      </c>
      <c r="N73" s="11">
        <f>AW73</f>
        <v>6230621.8000000007</v>
      </c>
      <c r="O73" s="11">
        <f>FG73</f>
        <v>6172805.2128268555</v>
      </c>
      <c r="P73" s="11">
        <f>FK73</f>
        <v>6276671.368303393</v>
      </c>
      <c r="Q73" s="20"/>
      <c r="R73" s="12">
        <v>1409000</v>
      </c>
      <c r="S73" s="12">
        <v>1449000</v>
      </c>
      <c r="T73" s="12">
        <v>1448000</v>
      </c>
      <c r="U73" s="12">
        <v>1427037</v>
      </c>
      <c r="V73" s="12">
        <f>BT73</f>
        <v>1398930</v>
      </c>
      <c r="W73" s="12">
        <f>BW73</f>
        <v>1379715</v>
      </c>
      <c r="X73" s="12">
        <f>BZ73</f>
        <v>1456688</v>
      </c>
      <c r="Y73" s="12">
        <f>CC73</f>
        <v>1488326</v>
      </c>
      <c r="Z73" s="12">
        <f>CF73</f>
        <v>1527684</v>
      </c>
      <c r="AA73" s="12">
        <f>CI73</f>
        <v>1568741</v>
      </c>
      <c r="AB73" s="12">
        <f>CL73</f>
        <v>1567452</v>
      </c>
      <c r="AC73" s="12">
        <f>CO73</f>
        <v>2103439</v>
      </c>
      <c r="AD73" s="12">
        <f>CR73</f>
        <v>2175439</v>
      </c>
      <c r="AE73" s="12">
        <f>CU73</f>
        <v>2198377</v>
      </c>
      <c r="AF73" s="12">
        <f>CX73</f>
        <v>2217046.1500000004</v>
      </c>
      <c r="AG73" s="12">
        <f>DA73</f>
        <v>2584233.3400000003</v>
      </c>
      <c r="AH73" s="12">
        <f>DD73</f>
        <v>2735279.57</v>
      </c>
      <c r="AI73" s="12">
        <f>DG73</f>
        <v>2932247.08</v>
      </c>
      <c r="AJ73" s="12">
        <f>DJ73</f>
        <v>3105711.59</v>
      </c>
      <c r="AK73" s="12">
        <f>DM73</f>
        <v>3798669.8699999987</v>
      </c>
      <c r="AL73" s="12">
        <f>DP73</f>
        <v>4080644.51</v>
      </c>
      <c r="AM73" s="12">
        <f>DS73</f>
        <v>4234559.67</v>
      </c>
      <c r="AN73" s="12">
        <f>DV73</f>
        <v>4310062.9799999995</v>
      </c>
      <c r="AO73" s="12">
        <f>DY73</f>
        <v>4399256.6082366873</v>
      </c>
      <c r="AP73" s="12">
        <f>EB73</f>
        <v>4562408.397093826</v>
      </c>
      <c r="AQ73" s="12">
        <f>EE73</f>
        <v>4624711.3046220206</v>
      </c>
      <c r="AR73" s="12">
        <f>EH73</f>
        <v>4783744.4852017704</v>
      </c>
      <c r="AS73" s="12">
        <f>EK73</f>
        <v>5113923.7776811868</v>
      </c>
      <c r="AT73" s="12">
        <f>EN73</f>
        <v>5468417.2542896383</v>
      </c>
      <c r="AU73" s="12">
        <f>EQ73</f>
        <v>5754651.6521892948</v>
      </c>
      <c r="AV73" s="12">
        <f>ET73</f>
        <v>5982956.3742226157</v>
      </c>
      <c r="AW73" s="12">
        <f>EW73</f>
        <v>6230621.8000000007</v>
      </c>
      <c r="AX73" s="11">
        <f>EZ73</f>
        <v>6179959.2797205588</v>
      </c>
      <c r="AY73" s="11">
        <f>FC73</f>
        <v>6051180.5817533722</v>
      </c>
      <c r="AZ73" s="11">
        <f>FF73</f>
        <v>6120529.4799256362</v>
      </c>
      <c r="BA73" s="11">
        <f>FI73</f>
        <v>6223838.5093538221</v>
      </c>
      <c r="BB73" s="11">
        <f>FK73</f>
        <v>6276671.368303393</v>
      </c>
      <c r="BC73" s="11"/>
      <c r="BD73" s="11"/>
      <c r="BE73" s="11"/>
      <c r="BF73" s="83"/>
      <c r="BG73" s="83"/>
      <c r="BH73" s="83"/>
      <c r="BI73" s="83"/>
      <c r="BJ73" s="83"/>
      <c r="BK73" s="83"/>
      <c r="BL73" s="83"/>
      <c r="BM73" s="83"/>
      <c r="BN73" s="83"/>
      <c r="BO73" s="83"/>
      <c r="BP73" s="83"/>
      <c r="BQ73" s="83"/>
      <c r="BR73" s="12">
        <f>U73-BR105+BR66</f>
        <v>1434311</v>
      </c>
      <c r="BS73" s="12">
        <f t="shared" ref="BS73:BX73" si="464">BR73-BS105+BS66</f>
        <v>1392251</v>
      </c>
      <c r="BT73" s="12">
        <f t="shared" si="464"/>
        <v>1398930</v>
      </c>
      <c r="BU73" s="12">
        <f t="shared" si="464"/>
        <v>1383486</v>
      </c>
      <c r="BV73" s="12">
        <f t="shared" si="464"/>
        <v>1398560</v>
      </c>
      <c r="BW73" s="12">
        <f t="shared" si="464"/>
        <v>1379715</v>
      </c>
      <c r="BX73" s="12">
        <f t="shared" si="464"/>
        <v>1410344</v>
      </c>
      <c r="BY73" s="12">
        <f>BX73-BY105+BY66</f>
        <v>1431097</v>
      </c>
      <c r="BZ73" s="12">
        <f>BY73-BZ105+BZ66</f>
        <v>1456688</v>
      </c>
      <c r="CA73" s="12">
        <f>BZ73-CA105+CA66</f>
        <v>1469792</v>
      </c>
      <c r="CB73" s="12">
        <f>CA73-CB105+CB66</f>
        <v>1500414</v>
      </c>
      <c r="CC73" s="12">
        <f>CB73-CC105+CC66</f>
        <v>1488326</v>
      </c>
      <c r="CD73" s="12">
        <f>CC73-CD105+CD66-13000</f>
        <v>1480551</v>
      </c>
      <c r="CE73" s="12">
        <f>CD73-CE105+CE66+40000-3000</f>
        <v>1520707</v>
      </c>
      <c r="CF73" s="12">
        <f>CE73-CF105+CF66-9000</f>
        <v>1527684</v>
      </c>
      <c r="CG73" s="12">
        <f>CF73-CG105+CG66-12000</f>
        <v>1513132</v>
      </c>
      <c r="CH73" s="12">
        <f>CG73-CH105+CH66-12000</f>
        <v>1508928</v>
      </c>
      <c r="CI73" s="12">
        <f>CH73-CI105+CI66+3000</f>
        <v>1568741</v>
      </c>
      <c r="CJ73" s="12">
        <f>CI73-CJ105+CJ66</f>
        <v>1572181</v>
      </c>
      <c r="CK73" s="12">
        <f>CJ73-CK105+CK66-6000</f>
        <v>1559807</v>
      </c>
      <c r="CL73" s="12">
        <f>CK73-CL105+CL66</f>
        <v>1567452</v>
      </c>
      <c r="CM73" s="12">
        <f>CL73-CM105+CM66+80000-21000</f>
        <v>1618898</v>
      </c>
      <c r="CN73" s="12">
        <f>CM73-CN105+CN66+200000-54000</f>
        <v>1792655</v>
      </c>
      <c r="CO73" s="12">
        <f>CN73-CO105+CO66+212000</f>
        <v>2103439</v>
      </c>
      <c r="CP73" s="12">
        <f t="shared" ref="CP73:CU73" si="465">CO73-CP105+CP66</f>
        <v>2085710</v>
      </c>
      <c r="CQ73" s="12">
        <f t="shared" si="465"/>
        <v>2127779</v>
      </c>
      <c r="CR73" s="12">
        <f t="shared" si="465"/>
        <v>2175439</v>
      </c>
      <c r="CS73" s="12">
        <f t="shared" si="465"/>
        <v>2230529</v>
      </c>
      <c r="CT73" s="12">
        <f t="shared" si="465"/>
        <v>2199830</v>
      </c>
      <c r="CU73" s="12">
        <f t="shared" si="465"/>
        <v>2198377</v>
      </c>
      <c r="CV73" s="12">
        <f>CU73-CV105+CV66</f>
        <v>2199312</v>
      </c>
      <c r="CW73" s="12">
        <f>CV73-CW105+CW66</f>
        <v>2225353.3200000003</v>
      </c>
      <c r="CX73" s="12">
        <f>CW73-CX105+CX66</f>
        <v>2217046.1500000004</v>
      </c>
      <c r="CY73" s="12">
        <f>CX73-CY105+CY66</f>
        <v>2281503.0500000003</v>
      </c>
      <c r="CZ73" s="12">
        <f>CY73-CZ105+CZ66-CZ137+CY137</f>
        <v>2454970.6900000004</v>
      </c>
      <c r="DA73" s="12">
        <f>CZ73-DA105+DA66-DA137+CZ137</f>
        <v>2584233.3400000003</v>
      </c>
      <c r="DB73" s="12">
        <f>DA73-DB105+DB66-DB137+DA137</f>
        <v>2508133.5100000002</v>
      </c>
      <c r="DC73" s="12">
        <f>DB73-DC105+DC66-DC137+DB137</f>
        <v>2630409.1600000006</v>
      </c>
      <c r="DD73" s="12">
        <f t="shared" ref="DD73:DI73" si="466">DC73-DD105+DD66-DD137+DC137</f>
        <v>2735279.57</v>
      </c>
      <c r="DE73" s="12">
        <f t="shared" si="466"/>
        <v>2802741.73</v>
      </c>
      <c r="DF73" s="12">
        <f>DE73-DF105+DF66-DF137+DE137</f>
        <v>2838869.89</v>
      </c>
      <c r="DG73" s="12">
        <f>DF73-DG105+DG66-DG137+DF137</f>
        <v>2932247.08</v>
      </c>
      <c r="DH73" s="12">
        <f t="shared" si="466"/>
        <v>2932653</v>
      </c>
      <c r="DI73" s="12">
        <f t="shared" si="466"/>
        <v>3040587.44</v>
      </c>
      <c r="DJ73" s="12">
        <f t="shared" ref="DJ73:DM73" si="467">DI73-DJ105+DJ66-DJ137+DI137</f>
        <v>3105711.59</v>
      </c>
      <c r="DK73" s="12">
        <f t="shared" si="467"/>
        <v>3149762.6599999997</v>
      </c>
      <c r="DL73" s="12">
        <f t="shared" si="467"/>
        <v>3502514.4099999988</v>
      </c>
      <c r="DM73" s="12">
        <f t="shared" si="467"/>
        <v>3798669.8699999987</v>
      </c>
      <c r="DN73" s="12">
        <f>DM73-DN105+DN66-DN137+DM137</f>
        <v>3882904.73</v>
      </c>
      <c r="DO73" s="12">
        <f>DN73-DO105+DO66-DO137+DN137</f>
        <v>3992407.73</v>
      </c>
      <c r="DP73" s="12">
        <f t="shared" ref="DP73" si="468">DO73-DP105+DP66-DP137+DO137</f>
        <v>4080644.51</v>
      </c>
      <c r="DQ73" s="12">
        <f t="shared" ref="DQ73:DV73" si="469">DP73-DQ105+DQ66-DQ137+DP137</f>
        <v>4084635.99</v>
      </c>
      <c r="DR73" s="12">
        <f t="shared" si="469"/>
        <v>4075227.4499999997</v>
      </c>
      <c r="DS73" s="12">
        <f t="shared" si="469"/>
        <v>4234559.67</v>
      </c>
      <c r="DT73" s="12">
        <f t="shared" si="469"/>
        <v>4251504.5699999984</v>
      </c>
      <c r="DU73" s="12">
        <f t="shared" si="469"/>
        <v>4290159.22</v>
      </c>
      <c r="DV73" s="12">
        <f t="shared" si="469"/>
        <v>4310062.9799999995</v>
      </c>
      <c r="DW73" s="12">
        <f t="shared" ref="DW73:EB73" si="470">DV73-DW105+DW66-DW137+DV137</f>
        <v>4374254.3100000005</v>
      </c>
      <c r="DX73" s="12">
        <f t="shared" si="470"/>
        <v>4348725.2799999993</v>
      </c>
      <c r="DY73" s="511">
        <f t="shared" si="470"/>
        <v>4399256.6082366873</v>
      </c>
      <c r="DZ73" s="12">
        <f>DY73-DZ105+DZ66-DZ137+DY137</f>
        <v>4458129.7899507424</v>
      </c>
      <c r="EA73" s="12">
        <f t="shared" si="470"/>
        <v>4493804.4190395484</v>
      </c>
      <c r="EB73" s="12">
        <f t="shared" si="470"/>
        <v>4562408.397093826</v>
      </c>
      <c r="EC73" s="12">
        <f>EB73-EC105+EC66-EC137+EB137</f>
        <v>4576973.7305691382</v>
      </c>
      <c r="ED73" s="12">
        <f>EC73-ED105+ED66-ED137+EC137</f>
        <v>4573098.7728587072</v>
      </c>
      <c r="EE73" s="12">
        <f>ED73-EE105+EE66-EE137+ED137</f>
        <v>4624711.3046220206</v>
      </c>
      <c r="EF73" s="12">
        <f>EE73-EF105+EF66-EF137+EE137</f>
        <v>4748581.1939722784</v>
      </c>
      <c r="EG73" s="12">
        <f>EF73-EG105+EG66-EG137+EF137</f>
        <v>4764776.8487381237</v>
      </c>
      <c r="EH73" s="12">
        <v>4783744.4852017704</v>
      </c>
      <c r="EI73" s="12">
        <v>4841236.444891681</v>
      </c>
      <c r="EJ73" s="12">
        <v>5069791.78</v>
      </c>
      <c r="EK73" s="511">
        <v>5113923.7776811868</v>
      </c>
      <c r="EL73" s="511">
        <v>5186782.3261228623</v>
      </c>
      <c r="EM73" s="511">
        <v>5343438.0904865339</v>
      </c>
      <c r="EN73" s="511">
        <v>5468417.2542896383</v>
      </c>
      <c r="EO73" s="511">
        <v>5549316.6086663874</v>
      </c>
      <c r="EP73" s="511">
        <v>5654636.1146415165</v>
      </c>
      <c r="EQ73" s="511">
        <v>5754651.6521892948</v>
      </c>
      <c r="ER73" s="12">
        <v>5840604.2108841632</v>
      </c>
      <c r="ES73" s="12">
        <v>5892947.1547338022</v>
      </c>
      <c r="ET73" s="12">
        <v>5982956.3742226157</v>
      </c>
      <c r="EU73" s="12">
        <v>6069094.4201513734</v>
      </c>
      <c r="EV73" s="12">
        <v>6162865.4115029089</v>
      </c>
      <c r="EW73" s="12">
        <v>6230621.8000000007</v>
      </c>
      <c r="EX73" s="12">
        <v>6257537.3906155024</v>
      </c>
      <c r="EY73" s="12">
        <v>6223337.4867509184</v>
      </c>
      <c r="EZ73" s="12">
        <v>6179959.2797205588</v>
      </c>
      <c r="FA73" s="12">
        <v>6130224.6152544403</v>
      </c>
      <c r="FB73" s="12">
        <v>6087501.6355909025</v>
      </c>
      <c r="FC73" s="12">
        <v>6051180.5817533722</v>
      </c>
      <c r="FD73" s="12">
        <v>6033448.3946028911</v>
      </c>
      <c r="FE73" s="12">
        <v>6052626.0221336894</v>
      </c>
      <c r="FF73" s="12">
        <v>6120529.4799256362</v>
      </c>
      <c r="FG73" s="12">
        <v>6172805.2128268555</v>
      </c>
      <c r="FH73" s="12">
        <v>6205534.9711086769</v>
      </c>
      <c r="FI73" s="12">
        <v>6223838.5093538221</v>
      </c>
      <c r="FJ73" s="12">
        <v>6232709.6216651369</v>
      </c>
      <c r="FK73" s="451">
        <v>6276671.368303393</v>
      </c>
      <c r="FL73" s="12"/>
      <c r="FM73" s="12"/>
    </row>
    <row r="74" spans="2:171" ht="14.25" customHeight="1" x14ac:dyDescent="0.35">
      <c r="D74" s="10"/>
      <c r="F74" s="19"/>
      <c r="G74" s="19">
        <f t="shared" ref="G74:G79" si="471">U74</f>
        <v>0</v>
      </c>
      <c r="H74" s="19">
        <f t="shared" ref="H74:I79" si="472">Y74</f>
        <v>0</v>
      </c>
      <c r="I74" s="19">
        <f t="shared" si="472"/>
        <v>0</v>
      </c>
      <c r="J74" s="19"/>
      <c r="K74" s="19"/>
      <c r="L74" s="19"/>
      <c r="M74" s="19"/>
      <c r="N74" s="19"/>
      <c r="O74" s="19"/>
      <c r="P74" s="19">
        <f t="shared" ref="P74" si="473">FJ74</f>
        <v>0</v>
      </c>
      <c r="Q74" s="20"/>
      <c r="R74" s="20"/>
      <c r="S74" s="20"/>
      <c r="T74" s="20"/>
      <c r="U74" s="20"/>
      <c r="V74" s="20"/>
      <c r="W74" s="20"/>
      <c r="X74" s="20"/>
      <c r="AX74" s="19"/>
      <c r="AY74" s="19"/>
      <c r="AZ74" s="19"/>
      <c r="BA74" s="19"/>
      <c r="BB74" s="19">
        <f t="shared" si="42"/>
        <v>0</v>
      </c>
      <c r="BC74" s="19"/>
      <c r="BD74" s="19"/>
      <c r="BE74" s="19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54"/>
      <c r="CO74" s="54"/>
      <c r="CU74" s="54"/>
      <c r="CV74" s="54"/>
      <c r="DA74" s="54"/>
      <c r="DB74" s="54"/>
      <c r="DC74" s="54"/>
      <c r="DH74" s="349"/>
      <c r="DI74" s="349"/>
      <c r="DK74" s="12"/>
      <c r="DL74" s="12"/>
      <c r="DM74" s="221"/>
      <c r="DN74" s="221"/>
      <c r="DO74" s="221"/>
      <c r="DP74" s="221"/>
      <c r="DQ74" s="221"/>
      <c r="DR74" s="221"/>
      <c r="DS74" s="221"/>
      <c r="DT74" s="221"/>
      <c r="DU74" s="221"/>
      <c r="DV74" s="221"/>
      <c r="DW74" s="221"/>
      <c r="DX74" s="221"/>
      <c r="DY74" s="598"/>
      <c r="EB74" s="82"/>
      <c r="EC74" s="82"/>
      <c r="ED74" s="82"/>
      <c r="EE74" s="12"/>
      <c r="EV74" s="20"/>
      <c r="EW74" s="20"/>
      <c r="EX74" s="20"/>
      <c r="EY74" s="20"/>
      <c r="FK74" s="384"/>
    </row>
    <row r="75" spans="2:171" x14ac:dyDescent="0.35">
      <c r="D75" t="s">
        <v>134</v>
      </c>
      <c r="F75" s="19"/>
      <c r="G75" s="19">
        <f t="shared" si="471"/>
        <v>272439</v>
      </c>
      <c r="H75" s="19">
        <f t="shared" si="472"/>
        <v>370046</v>
      </c>
      <c r="I75" s="19">
        <f>AC75</f>
        <v>374696</v>
      </c>
      <c r="J75" s="19">
        <f>AE75</f>
        <v>346220</v>
      </c>
      <c r="K75" s="19">
        <f t="shared" ref="K75:K79" si="474">DM75</f>
        <v>1197538.19</v>
      </c>
      <c r="L75" s="19">
        <f>DY75</f>
        <v>1145752.7400000002</v>
      </c>
      <c r="M75" s="19">
        <f>AS75</f>
        <v>1252883.1683831564</v>
      </c>
      <c r="N75" s="19">
        <f t="shared" ref="N75:N95" si="475">AW75</f>
        <v>972274.84999999986</v>
      </c>
      <c r="O75" s="19">
        <f t="shared" ref="O75:O95" si="476">FG75</f>
        <v>782857.28719544434</v>
      </c>
      <c r="P75" s="19">
        <f t="shared" ref="P75:P95" si="477">FK75</f>
        <v>912917.5626049944</v>
      </c>
      <c r="Q75" s="20"/>
      <c r="R75" s="20">
        <v>418000</v>
      </c>
      <c r="S75" s="20">
        <v>277000</v>
      </c>
      <c r="T75" s="20">
        <v>276000</v>
      </c>
      <c r="U75" s="20">
        <v>272439</v>
      </c>
      <c r="V75" s="20">
        <f>BT75</f>
        <v>370038</v>
      </c>
      <c r="W75" s="20">
        <f>BW75</f>
        <v>495792</v>
      </c>
      <c r="X75" s="20">
        <f>BZ75</f>
        <v>515569</v>
      </c>
      <c r="Y75" s="20">
        <f t="shared" ref="Y75:Z78" si="478">CC75</f>
        <v>370046</v>
      </c>
      <c r="Z75" s="20">
        <f>CF75</f>
        <v>525715</v>
      </c>
      <c r="AA75" s="20">
        <f>CI75</f>
        <v>378442</v>
      </c>
      <c r="AB75" s="20">
        <f>CL75</f>
        <v>414224</v>
      </c>
      <c r="AC75" s="20">
        <f>CO75</f>
        <v>374696</v>
      </c>
      <c r="AD75" s="20">
        <f>CR75</f>
        <v>352268</v>
      </c>
      <c r="AE75" s="20">
        <f>CU75</f>
        <v>346220</v>
      </c>
      <c r="AF75" s="20">
        <f>CX75</f>
        <v>320801.46999999997</v>
      </c>
      <c r="AG75" s="20">
        <f>DA75</f>
        <v>550531.74</v>
      </c>
      <c r="AH75" s="20">
        <f>DD75</f>
        <v>784117.87</v>
      </c>
      <c r="AI75" s="20">
        <f>DG75</f>
        <v>1001159.7900000002</v>
      </c>
      <c r="AJ75" s="20">
        <f>DJ75</f>
        <v>1023563.9800000001</v>
      </c>
      <c r="AK75" s="20">
        <f>DM75</f>
        <v>1197538.19</v>
      </c>
      <c r="AL75" s="20">
        <f t="shared" ref="AL75:AL95" si="479">DP75</f>
        <v>1326672.43</v>
      </c>
      <c r="AM75" s="20">
        <f t="shared" ref="AM75:AM95" si="480">DS75</f>
        <v>1331262.5800000003</v>
      </c>
      <c r="AN75" s="20">
        <f>DV75</f>
        <v>1370081.87</v>
      </c>
      <c r="AO75" s="20">
        <f t="shared" ref="AO75:AQ95" si="481">DY75</f>
        <v>1145752.7400000002</v>
      </c>
      <c r="AP75" s="20">
        <f t="shared" ref="AP75:AP79" si="482">EB75</f>
        <v>1197520.3400000001</v>
      </c>
      <c r="AQ75" s="20">
        <f t="shared" ref="AQ75:AQ79" si="483">EE75</f>
        <v>1144708.8700000001</v>
      </c>
      <c r="AR75" s="20">
        <f t="shared" ref="AR75:AR95" si="484">EH75</f>
        <v>1255789.8358874752</v>
      </c>
      <c r="AS75" s="20">
        <f>EK75</f>
        <v>1252883.1683831564</v>
      </c>
      <c r="AT75" s="20">
        <f t="shared" ref="AT75:AT95" si="485">EN75</f>
        <v>1090621.3362151759</v>
      </c>
      <c r="AU75" s="20">
        <f t="shared" ref="AU75:AU95" si="486">EQ75</f>
        <v>1033955.4679589716</v>
      </c>
      <c r="AV75" s="20">
        <f>ET75</f>
        <v>904191.28687334154</v>
      </c>
      <c r="AW75" s="20">
        <f t="shared" ref="AW75:AW95" si="487">EW75</f>
        <v>972274.84999999986</v>
      </c>
      <c r="AX75" s="19">
        <f t="shared" ref="AX75:AX95" si="488">EZ75</f>
        <v>1201714.1399999999</v>
      </c>
      <c r="AY75" s="19">
        <f>FC75</f>
        <v>959881.83350542467</v>
      </c>
      <c r="AZ75" s="19">
        <f t="shared" ref="AZ75:AZ95" si="489">FF75</f>
        <v>953451.38630726538</v>
      </c>
      <c r="BA75" s="19">
        <f t="shared" ref="BA75:BA95" si="490">FI75</f>
        <v>792988.90253179893</v>
      </c>
      <c r="BB75" s="19">
        <f t="shared" ref="BB75:BB95" si="491">FK75</f>
        <v>912917.5626049944</v>
      </c>
      <c r="BC75" s="19"/>
      <c r="BD75" s="19"/>
      <c r="BE75" s="19"/>
      <c r="BF75" s="54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>
        <v>407022</v>
      </c>
      <c r="BS75" s="20">
        <v>363134</v>
      </c>
      <c r="BT75" s="20">
        <f>370038</f>
        <v>370038</v>
      </c>
      <c r="BU75" s="20">
        <v>301673</v>
      </c>
      <c r="BV75" s="20">
        <v>418926</v>
      </c>
      <c r="BW75" s="20">
        <v>495792</v>
      </c>
      <c r="BX75" s="20">
        <v>468436</v>
      </c>
      <c r="BY75" s="20">
        <v>490403</v>
      </c>
      <c r="BZ75" s="20">
        <v>515569</v>
      </c>
      <c r="CA75" s="20">
        <v>465886</v>
      </c>
      <c r="CB75" s="20">
        <v>454847</v>
      </c>
      <c r="CC75" s="20">
        <v>370046</v>
      </c>
      <c r="CD75" s="20">
        <v>306887</v>
      </c>
      <c r="CE75" s="20">
        <v>429043</v>
      </c>
      <c r="CF75" s="20">
        <v>525715</v>
      </c>
      <c r="CG75" s="20">
        <f>471292-99500</f>
        <v>371792</v>
      </c>
      <c r="CH75" s="20">
        <v>359452</v>
      </c>
      <c r="CI75" s="20">
        <v>378442</v>
      </c>
      <c r="CJ75" s="20">
        <v>348362</v>
      </c>
      <c r="CK75" s="20">
        <v>301421</v>
      </c>
      <c r="CL75" s="20">
        <v>414224</v>
      </c>
      <c r="CM75" s="20">
        <v>449680</v>
      </c>
      <c r="CN75" s="20">
        <v>481827</v>
      </c>
      <c r="CO75" s="20">
        <v>374696</v>
      </c>
      <c r="CP75" s="20">
        <v>278631</v>
      </c>
      <c r="CQ75" s="20">
        <v>281865</v>
      </c>
      <c r="CR75" s="20">
        <v>352268</v>
      </c>
      <c r="CS75" s="20">
        <v>486643</v>
      </c>
      <c r="CT75" s="20">
        <v>412589</v>
      </c>
      <c r="CU75" s="20">
        <v>346220</v>
      </c>
      <c r="CV75" s="20">
        <v>304855</v>
      </c>
      <c r="CW75" s="20">
        <v>286853.71000000002</v>
      </c>
      <c r="CX75" s="20">
        <v>320801.46999999997</v>
      </c>
      <c r="CY75" s="20">
        <v>263021.81</v>
      </c>
      <c r="CZ75" s="20">
        <v>488666.33</v>
      </c>
      <c r="DA75" s="20">
        <v>550531.74</v>
      </c>
      <c r="DB75" s="20">
        <v>514332.8</v>
      </c>
      <c r="DC75" s="20">
        <v>567018.79999999993</v>
      </c>
      <c r="DD75" s="20">
        <v>784117.87</v>
      </c>
      <c r="DE75" s="20">
        <v>794424.7300000001</v>
      </c>
      <c r="DF75" s="20">
        <v>899700.88</v>
      </c>
      <c r="DG75" s="20">
        <v>1001159.7900000002</v>
      </c>
      <c r="DH75" s="20">
        <v>908138.42</v>
      </c>
      <c r="DI75" s="20">
        <v>987696.67</v>
      </c>
      <c r="DJ75" s="20">
        <v>1023563.9800000001</v>
      </c>
      <c r="DK75" s="20">
        <v>1218735.57</v>
      </c>
      <c r="DL75" s="20">
        <v>1160916.1599999999</v>
      </c>
      <c r="DM75" s="20">
        <v>1197538.19</v>
      </c>
      <c r="DN75" s="20">
        <v>1218478.2899999998</v>
      </c>
      <c r="DO75" s="20">
        <v>1439477.3800000001</v>
      </c>
      <c r="DP75" s="20">
        <v>1326672.43</v>
      </c>
      <c r="DQ75" s="20">
        <v>1460583.83</v>
      </c>
      <c r="DR75" s="20">
        <v>1451019.1099999999</v>
      </c>
      <c r="DS75" s="20">
        <v>1331262.5800000003</v>
      </c>
      <c r="DT75" s="20">
        <v>1251103.1800000002</v>
      </c>
      <c r="DU75" s="20">
        <v>1195506.75</v>
      </c>
      <c r="DV75" s="20">
        <v>1370081.87</v>
      </c>
      <c r="DW75" s="20">
        <v>1300212.97</v>
      </c>
      <c r="DX75" s="20">
        <v>1199848</v>
      </c>
      <c r="DY75" s="469">
        <v>1145752.7400000002</v>
      </c>
      <c r="DZ75" s="20">
        <v>1255073.1499999999</v>
      </c>
      <c r="EA75" s="20">
        <v>1303300.3499999999</v>
      </c>
      <c r="EB75" s="20">
        <v>1197520.3400000001</v>
      </c>
      <c r="EC75" s="20">
        <v>1182413.4300000002</v>
      </c>
      <c r="ED75" s="20">
        <v>1199195.76</v>
      </c>
      <c r="EE75" s="20">
        <v>1144708.8700000001</v>
      </c>
      <c r="EF75" s="20">
        <v>1076630.5690427516</v>
      </c>
      <c r="EG75" s="20">
        <v>1328785.1784867963</v>
      </c>
      <c r="EH75" s="20">
        <v>1255789.8358874752</v>
      </c>
      <c r="EI75" s="20">
        <v>1258201.8341260792</v>
      </c>
      <c r="EJ75" s="20">
        <v>1179286.5</v>
      </c>
      <c r="EK75" s="469">
        <v>1252883.1683831564</v>
      </c>
      <c r="EL75" s="469">
        <v>1212632.5145014371</v>
      </c>
      <c r="EM75" s="469">
        <v>1266062.2474810062</v>
      </c>
      <c r="EN75" s="469">
        <v>1090621.3362151759</v>
      </c>
      <c r="EO75" s="469">
        <v>1164734.2067409004</v>
      </c>
      <c r="EP75" s="469">
        <v>1033344.3976500839</v>
      </c>
      <c r="EQ75" s="469">
        <v>1033955.4679589716</v>
      </c>
      <c r="ER75" s="20">
        <v>951385.38264865335</v>
      </c>
      <c r="ES75" s="20">
        <v>999992.52343314211</v>
      </c>
      <c r="ET75" s="20">
        <v>904191.28687334154</v>
      </c>
      <c r="EU75" s="20">
        <v>1075173.1974356486</v>
      </c>
      <c r="EV75" s="20">
        <v>1014689.2395781326</v>
      </c>
      <c r="EW75" s="20">
        <v>972274.84999999986</v>
      </c>
      <c r="EX75" s="20">
        <v>1091329.5429182239</v>
      </c>
      <c r="EY75" s="20">
        <v>1059240.3679524378</v>
      </c>
      <c r="EZ75" s="20">
        <v>1201714.1399999999</v>
      </c>
      <c r="FA75" s="20">
        <v>1090316.596281539</v>
      </c>
      <c r="FB75" s="20">
        <v>935216.1657865782</v>
      </c>
      <c r="FC75" s="20">
        <v>959881.83350542467</v>
      </c>
      <c r="FD75" s="20">
        <v>938429.28526072414</v>
      </c>
      <c r="FE75" s="20">
        <v>842963.52945290483</v>
      </c>
      <c r="FF75" s="20">
        <v>953451.38630726538</v>
      </c>
      <c r="FG75" s="20">
        <v>782857.28719544434</v>
      </c>
      <c r="FH75" s="20">
        <v>835809.16904970957</v>
      </c>
      <c r="FI75" s="20">
        <v>792988.90253179893</v>
      </c>
      <c r="FJ75" s="20">
        <v>938223.26739026315</v>
      </c>
      <c r="FK75" s="454">
        <v>912917.5626049944</v>
      </c>
      <c r="FL75" s="20"/>
      <c r="FM75" s="20"/>
    </row>
    <row r="76" spans="2:171" x14ac:dyDescent="0.35">
      <c r="D76" t="s">
        <v>135</v>
      </c>
      <c r="F76" s="19"/>
      <c r="G76" s="19">
        <f t="shared" si="471"/>
        <v>1526048</v>
      </c>
      <c r="H76" s="19">
        <f t="shared" si="472"/>
        <v>2408867</v>
      </c>
      <c r="I76" s="19">
        <f>AC76</f>
        <v>2430609</v>
      </c>
      <c r="J76" s="19">
        <f>AE76</f>
        <v>1998945</v>
      </c>
      <c r="K76" s="19">
        <f t="shared" si="474"/>
        <v>2893161.3499999978</v>
      </c>
      <c r="L76" s="19">
        <f t="shared" ref="L76:L77" si="492">DY76</f>
        <v>3722297.0444132863</v>
      </c>
      <c r="M76" s="19">
        <f>AS76</f>
        <v>3774890.1501382566</v>
      </c>
      <c r="N76" s="19">
        <f t="shared" si="475"/>
        <v>4546706.41</v>
      </c>
      <c r="O76" s="19">
        <f t="shared" si="476"/>
        <v>4273907.7864150461</v>
      </c>
      <c r="P76" s="19">
        <f t="shared" si="477"/>
        <v>4231642.0621891916</v>
      </c>
      <c r="Q76" s="20"/>
      <c r="R76" s="20">
        <v>1225000</v>
      </c>
      <c r="S76" s="20">
        <v>1536000</v>
      </c>
      <c r="T76" s="20">
        <v>1450000</v>
      </c>
      <c r="U76" s="20">
        <v>1526048</v>
      </c>
      <c r="V76" s="20">
        <f>BT76</f>
        <v>1824907</v>
      </c>
      <c r="W76" s="20">
        <f>BW76</f>
        <v>1678996</v>
      </c>
      <c r="X76" s="20">
        <f>BZ76</f>
        <v>2104092</v>
      </c>
      <c r="Y76" s="20">
        <f t="shared" si="478"/>
        <v>2408867</v>
      </c>
      <c r="Z76" s="20">
        <f>CF76</f>
        <v>2007743</v>
      </c>
      <c r="AA76" s="20">
        <f>CI76</f>
        <v>1993903</v>
      </c>
      <c r="AB76" s="20">
        <f>CL76</f>
        <v>2312943</v>
      </c>
      <c r="AC76" s="20">
        <f>CO76</f>
        <v>2430609</v>
      </c>
      <c r="AD76" s="20">
        <f>CR76</f>
        <v>2211054</v>
      </c>
      <c r="AE76" s="20">
        <f>CU76</f>
        <v>1998945</v>
      </c>
      <c r="AF76" s="20">
        <f>CX76</f>
        <v>2043836</v>
      </c>
      <c r="AG76" s="20">
        <f>DA76</f>
        <v>1708661.21</v>
      </c>
      <c r="AH76" s="20">
        <f>DD76</f>
        <v>1712261.1300000008</v>
      </c>
      <c r="AI76" s="20">
        <f t="shared" ref="AI76:AI95" si="493">DG76</f>
        <v>2349779.19</v>
      </c>
      <c r="AJ76" s="20">
        <f t="shared" ref="AJ76:AJ95" si="494">DJ76</f>
        <v>2507630.9899999998</v>
      </c>
      <c r="AK76" s="20">
        <f>DM76</f>
        <v>2893161.3499999978</v>
      </c>
      <c r="AL76" s="20">
        <f t="shared" si="479"/>
        <v>2677300.66</v>
      </c>
      <c r="AM76" s="20">
        <f t="shared" si="480"/>
        <v>3212031.03</v>
      </c>
      <c r="AN76" s="20">
        <f>DV76</f>
        <v>3510765.1799999997</v>
      </c>
      <c r="AO76" s="20">
        <f t="shared" si="481"/>
        <v>3722297.0444132863</v>
      </c>
      <c r="AP76" s="20">
        <f t="shared" si="482"/>
        <v>3463065.14</v>
      </c>
      <c r="AQ76" s="20">
        <f t="shared" si="483"/>
        <v>3620038.04</v>
      </c>
      <c r="AR76" s="20">
        <f t="shared" si="484"/>
        <v>4045800.6790387458</v>
      </c>
      <c r="AS76" s="20">
        <f t="shared" ref="AS76:AS78" si="495">EK76</f>
        <v>3774890.1501382566</v>
      </c>
      <c r="AT76" s="20">
        <f t="shared" si="485"/>
        <v>3704064.4450223278</v>
      </c>
      <c r="AU76" s="20">
        <f t="shared" si="486"/>
        <v>3900367.6305712759</v>
      </c>
      <c r="AV76" s="20">
        <f>ET76</f>
        <v>3611889.752152659</v>
      </c>
      <c r="AW76" s="20">
        <f t="shared" si="487"/>
        <v>4546706.41</v>
      </c>
      <c r="AX76" s="19">
        <f t="shared" si="488"/>
        <v>4079335.1256074375</v>
      </c>
      <c r="AY76" s="19">
        <f t="shared" ref="AY76:AY95" si="496">FC76</f>
        <v>4241733.845074771</v>
      </c>
      <c r="AZ76" s="19">
        <f t="shared" si="489"/>
        <v>4311141.6278647278</v>
      </c>
      <c r="BA76" s="19">
        <f t="shared" si="490"/>
        <v>4814493.2490913197</v>
      </c>
      <c r="BB76" s="19">
        <f t="shared" si="491"/>
        <v>4231642.0621891916</v>
      </c>
      <c r="BC76" s="19"/>
      <c r="BD76" s="19"/>
      <c r="BE76" s="19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>
        <f>1339434+141544-20000</f>
        <v>1460978</v>
      </c>
      <c r="BS76" s="20">
        <f>1440838+133730-21257</f>
        <v>1553311</v>
      </c>
      <c r="BT76" s="20">
        <f>1739877+129524-13237-21257-10000</f>
        <v>1824907</v>
      </c>
      <c r="BU76" s="20">
        <f>1636028+127495-21257-10000-10000</f>
        <v>1722266</v>
      </c>
      <c r="BV76" s="20">
        <f>1630680+146383-21257</f>
        <v>1755806</v>
      </c>
      <c r="BW76" s="20">
        <f>1543282+156971-21257</f>
        <v>1678996</v>
      </c>
      <c r="BX76" s="20">
        <f>1956809-21257+172478+6181-13</f>
        <v>2114198</v>
      </c>
      <c r="BY76" s="20">
        <f>1884281+183073+11214-21257-21</f>
        <v>2057290</v>
      </c>
      <c r="BZ76" s="20">
        <f>1925430+188436+11488-21257-5</f>
        <v>2104092</v>
      </c>
      <c r="CA76" s="20">
        <f>1899600+25779+197082-21257+2</f>
        <v>2101206</v>
      </c>
      <c r="CB76" s="20">
        <f>1968796+204311-21257-23+5000</f>
        <v>2156827</v>
      </c>
      <c r="CC76" s="82">
        <f>2220150+150841+51980-21257-28+7181</f>
        <v>2408867</v>
      </c>
      <c r="CD76" s="20">
        <f>2034354+126245+68849-21257-3+1</f>
        <v>2208189</v>
      </c>
      <c r="CE76" s="20">
        <f>2133641-21257+122982+69188+1-5</f>
        <v>2304550</v>
      </c>
      <c r="CF76" s="20">
        <f>1934796-21257+119442+69765+1-4-95000</f>
        <v>2007743</v>
      </c>
      <c r="CG76" s="20">
        <f>2017447-21257+77147+119790+9</f>
        <v>2193136</v>
      </c>
      <c r="CH76" s="20">
        <f>1690461-21257+56874+121845-7</f>
        <v>1847916</v>
      </c>
      <c r="CI76" s="20">
        <f>1810898-21257+79003+125261-2+359606-359606</f>
        <v>1993903</v>
      </c>
      <c r="CJ76" s="20">
        <f>1933105+133021+84616-21257-9</f>
        <v>2129476</v>
      </c>
      <c r="CK76" s="20">
        <f>1923103+121903+67230-21257+2</f>
        <v>2090981</v>
      </c>
      <c r="CL76" s="20">
        <f>2152190+99004+83010-21257-4</f>
        <v>2312943</v>
      </c>
      <c r="CM76" s="20">
        <f>1880898+99066+75329-21257+4</f>
        <v>2034040</v>
      </c>
      <c r="CN76" s="20">
        <f>2190980+30114+80426-2-21257</f>
        <v>2280261</v>
      </c>
      <c r="CO76" s="20">
        <f>2126572+217270+86768-1</f>
        <v>2430609</v>
      </c>
      <c r="CP76" s="20">
        <f>2543699+183416+77636-21257-4001-7</f>
        <v>2779486</v>
      </c>
      <c r="CQ76" s="20">
        <f>1908789+57390+83900-27941+3</f>
        <v>2022141</v>
      </c>
      <c r="CR76" s="20">
        <f>2072636+51213+87204+1</f>
        <v>2211054</v>
      </c>
      <c r="CS76" s="20">
        <f>2237005+52729+82593-6</f>
        <v>2372321</v>
      </c>
      <c r="CT76" s="20">
        <f>2463611+79337+49908+3</f>
        <v>2592859</v>
      </c>
      <c r="CU76" s="20">
        <f>1863620+49444+85917-36</f>
        <v>1998945</v>
      </c>
      <c r="CV76" s="20">
        <v>1881847</v>
      </c>
      <c r="CW76" s="20">
        <v>1918045.78</v>
      </c>
      <c r="CX76" s="20">
        <v>2043836</v>
      </c>
      <c r="CY76" s="20">
        <v>1679568.6700000004</v>
      </c>
      <c r="CZ76" s="20">
        <v>1764280.2600000002</v>
      </c>
      <c r="DA76" s="20">
        <v>1708661.21</v>
      </c>
      <c r="DB76" s="20">
        <v>2152892.0099999998</v>
      </c>
      <c r="DC76" s="20">
        <v>2183204.0299999998</v>
      </c>
      <c r="DD76" s="20">
        <v>1712261.1300000008</v>
      </c>
      <c r="DE76" s="20">
        <v>1820129.290000001</v>
      </c>
      <c r="DF76" s="20">
        <v>2017438.3100000012</v>
      </c>
      <c r="DG76" s="20">
        <v>2349779.19</v>
      </c>
      <c r="DH76" s="20">
        <v>2422334.59</v>
      </c>
      <c r="DI76" s="20">
        <v>2625521.13</v>
      </c>
      <c r="DJ76" s="20">
        <v>2507630.9899999998</v>
      </c>
      <c r="DK76" s="20">
        <v>2808618.06</v>
      </c>
      <c r="DL76" s="20">
        <v>2524727.4899999993</v>
      </c>
      <c r="DM76" s="20">
        <v>2893161.3499999978</v>
      </c>
      <c r="DN76" s="20">
        <v>2801695.9399999995</v>
      </c>
      <c r="DO76" s="20">
        <v>2767695.959999999</v>
      </c>
      <c r="DP76" s="20">
        <v>2677300.66</v>
      </c>
      <c r="DQ76" s="20">
        <v>3113961.4599999995</v>
      </c>
      <c r="DR76" s="20">
        <v>3001640.8400000003</v>
      </c>
      <c r="DS76" s="20">
        <v>3212031.03</v>
      </c>
      <c r="DT76" s="20">
        <v>3278947.0700000003</v>
      </c>
      <c r="DU76" s="20">
        <v>2871589.5700000003</v>
      </c>
      <c r="DV76" s="20">
        <v>3510765.1799999997</v>
      </c>
      <c r="DW76" s="20">
        <v>3390886.46</v>
      </c>
      <c r="DX76" s="20">
        <v>3354952.42</v>
      </c>
      <c r="DY76" s="469">
        <v>3722297.0444132863</v>
      </c>
      <c r="DZ76" s="20">
        <f>3202132.33+123974</f>
        <v>3326106.33</v>
      </c>
      <c r="EA76" s="20">
        <f>3425417.36+123974</f>
        <v>3549391.36</v>
      </c>
      <c r="EB76" s="20">
        <f>3339091.14+123974</f>
        <v>3463065.14</v>
      </c>
      <c r="EC76" s="20">
        <f>3546605.53+123974</f>
        <v>3670579.53</v>
      </c>
      <c r="ED76" s="20">
        <f>3292465.6+123974</f>
        <v>3416439.6</v>
      </c>
      <c r="EE76" s="20">
        <v>3620038.04</v>
      </c>
      <c r="EF76" s="20">
        <v>3538474.53</v>
      </c>
      <c r="EG76" s="20">
        <v>3603519.7619117969</v>
      </c>
      <c r="EH76" s="20">
        <v>4045800.6790387458</v>
      </c>
      <c r="EI76" s="20">
        <v>3975709.7095810366</v>
      </c>
      <c r="EJ76" s="20">
        <v>3847572.25</v>
      </c>
      <c r="EK76" s="469">
        <v>3774890.1501382566</v>
      </c>
      <c r="EL76" s="469">
        <v>3189931.3941347916</v>
      </c>
      <c r="EM76" s="469">
        <v>3418674.0159446183</v>
      </c>
      <c r="EN76" s="469">
        <v>3704064.4450223278</v>
      </c>
      <c r="EO76" s="469">
        <v>3604712.961999523</v>
      </c>
      <c r="EP76" s="469">
        <v>3368564.2940273425</v>
      </c>
      <c r="EQ76" s="469">
        <v>3900367.6305712759</v>
      </c>
      <c r="ER76" s="20">
        <v>3561048.7138355537</v>
      </c>
      <c r="ES76" s="20">
        <v>3630703.5939677688</v>
      </c>
      <c r="ET76" s="20">
        <v>3611889.752152659</v>
      </c>
      <c r="EU76" s="20">
        <v>3546239.0196240656</v>
      </c>
      <c r="EV76" s="20">
        <v>4233470.180842991</v>
      </c>
      <c r="EW76" s="20">
        <v>4546706.41</v>
      </c>
      <c r="EX76" s="20">
        <v>4684579.5474413168</v>
      </c>
      <c r="EY76" s="20">
        <v>4770415.6711798646</v>
      </c>
      <c r="EZ76" s="20">
        <v>4079335.1256074375</v>
      </c>
      <c r="FA76" s="20">
        <v>4078485.4838543772</v>
      </c>
      <c r="FB76" s="20">
        <v>4244326.9493123433</v>
      </c>
      <c r="FC76" s="20">
        <v>4241733.845074771</v>
      </c>
      <c r="FD76" s="20">
        <v>4487337.4569058632</v>
      </c>
      <c r="FE76" s="20">
        <v>3861467.3330688118</v>
      </c>
      <c r="FF76" s="20">
        <v>4311141.6278647278</v>
      </c>
      <c r="FG76" s="20">
        <v>4273907.7864150461</v>
      </c>
      <c r="FH76" s="20">
        <v>5284125.2738473574</v>
      </c>
      <c r="FI76" s="20">
        <v>4814493.2490913197</v>
      </c>
      <c r="FJ76" s="20">
        <v>4296170.2977463864</v>
      </c>
      <c r="FK76" s="454">
        <v>4231642.0621891916</v>
      </c>
      <c r="FL76" s="20"/>
      <c r="FM76" s="20"/>
    </row>
    <row r="77" spans="2:171" x14ac:dyDescent="0.35">
      <c r="D77" t="s">
        <v>136</v>
      </c>
      <c r="F77" s="19"/>
      <c r="G77" s="19">
        <f t="shared" si="471"/>
        <v>292653</v>
      </c>
      <c r="H77" s="19">
        <f t="shared" si="472"/>
        <v>285730</v>
      </c>
      <c r="I77" s="19">
        <f>AC77</f>
        <v>655728</v>
      </c>
      <c r="J77" s="19">
        <f>AE77</f>
        <v>952447</v>
      </c>
      <c r="K77" s="19">
        <f t="shared" si="474"/>
        <v>1712448.1600000001</v>
      </c>
      <c r="L77" s="19">
        <f t="shared" si="492"/>
        <v>1841259.1938665947</v>
      </c>
      <c r="M77" s="19">
        <f>AS77</f>
        <v>2267599.3751699659</v>
      </c>
      <c r="N77" s="19">
        <f t="shared" si="475"/>
        <v>2055378.06</v>
      </c>
      <c r="O77" s="19">
        <f t="shared" si="476"/>
        <v>2323243.6686909362</v>
      </c>
      <c r="P77" s="19">
        <f t="shared" si="477"/>
        <v>2584988.9349546279</v>
      </c>
      <c r="Q77" s="20"/>
      <c r="R77" s="20">
        <v>332000</v>
      </c>
      <c r="S77" s="20">
        <v>387000</v>
      </c>
      <c r="T77" s="20">
        <v>389000</v>
      </c>
      <c r="U77" s="20">
        <v>292653</v>
      </c>
      <c r="V77" s="20">
        <f>BT77</f>
        <v>322768</v>
      </c>
      <c r="W77" s="20">
        <f>BW77</f>
        <v>294648</v>
      </c>
      <c r="X77" s="20">
        <f>BZ77</f>
        <v>343700</v>
      </c>
      <c r="Y77" s="20">
        <f t="shared" si="478"/>
        <v>285730</v>
      </c>
      <c r="Z77" s="20">
        <f>CF77</f>
        <v>433102</v>
      </c>
      <c r="AA77" s="20">
        <f>CI77</f>
        <v>782559</v>
      </c>
      <c r="AB77" s="20">
        <f>CL77</f>
        <v>710222</v>
      </c>
      <c r="AC77" s="20">
        <f>CO77</f>
        <v>655728</v>
      </c>
      <c r="AD77" s="20">
        <f>CR77</f>
        <v>926341</v>
      </c>
      <c r="AE77" s="20">
        <f>CU77</f>
        <v>952447</v>
      </c>
      <c r="AF77" s="20">
        <f>CX77</f>
        <v>1388310.8199999998</v>
      </c>
      <c r="AG77" s="20">
        <f>DA77</f>
        <v>1308793.1800000002</v>
      </c>
      <c r="AH77" s="20">
        <f>DD77</f>
        <v>1188487.2700000003</v>
      </c>
      <c r="AI77" s="20">
        <f t="shared" si="493"/>
        <v>1258101.26</v>
      </c>
      <c r="AJ77" s="20">
        <f t="shared" si="494"/>
        <v>1494271.93</v>
      </c>
      <c r="AK77" s="20">
        <f>DM77</f>
        <v>1712448.1600000001</v>
      </c>
      <c r="AL77" s="20">
        <f t="shared" si="479"/>
        <v>1928542.25</v>
      </c>
      <c r="AM77" s="20">
        <f t="shared" si="480"/>
        <v>1751761.55</v>
      </c>
      <c r="AN77" s="20">
        <f>DV77</f>
        <v>1967503.84</v>
      </c>
      <c r="AO77" s="20">
        <f t="shared" si="481"/>
        <v>1841259.1938665947</v>
      </c>
      <c r="AP77" s="20">
        <f t="shared" si="482"/>
        <v>2256503.0100000002</v>
      </c>
      <c r="AQ77" s="20">
        <f t="shared" si="483"/>
        <v>2086849.0299999998</v>
      </c>
      <c r="AR77" s="20">
        <f>EH77</f>
        <v>1680347.7343328057</v>
      </c>
      <c r="AS77" s="20">
        <f t="shared" si="495"/>
        <v>2267599.3751699659</v>
      </c>
      <c r="AT77" s="20">
        <f t="shared" si="485"/>
        <v>2536239.1604338535</v>
      </c>
      <c r="AU77" s="20">
        <f t="shared" si="486"/>
        <v>2651549.8921979191</v>
      </c>
      <c r="AV77" s="20">
        <f t="shared" ref="AV77:AV95" si="497">ET77</f>
        <v>2547345.407106583</v>
      </c>
      <c r="AW77" s="20">
        <f t="shared" si="487"/>
        <v>2055378.06</v>
      </c>
      <c r="AX77" s="19">
        <f t="shared" si="488"/>
        <v>2160372.5070399004</v>
      </c>
      <c r="AY77" s="19">
        <f t="shared" si="496"/>
        <v>2055205.2621275212</v>
      </c>
      <c r="AZ77" s="19">
        <f t="shared" si="489"/>
        <v>2335284.8390908237</v>
      </c>
      <c r="BA77" s="19">
        <f t="shared" si="490"/>
        <v>2033204.6064123546</v>
      </c>
      <c r="BB77" s="19">
        <f t="shared" si="491"/>
        <v>2584988.9349546279</v>
      </c>
      <c r="BC77" s="19"/>
      <c r="BD77" s="19"/>
      <c r="BE77" s="19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>
        <f>412170-150570</f>
        <v>261600</v>
      </c>
      <c r="BS77" s="20">
        <f>450471-150570</f>
        <v>299901</v>
      </c>
      <c r="BT77" s="20">
        <f>473338-150570</f>
        <v>322768</v>
      </c>
      <c r="BU77" s="20">
        <f>461455-150570</f>
        <v>310885</v>
      </c>
      <c r="BV77" s="20">
        <f>459134-150570</f>
        <v>308564</v>
      </c>
      <c r="BW77" s="20">
        <f>445218-150570</f>
        <v>294648</v>
      </c>
      <c r="BX77" s="20">
        <f>454147-150570</f>
        <v>303577</v>
      </c>
      <c r="BY77" s="20">
        <f>418094-150570</f>
        <v>267524</v>
      </c>
      <c r="BZ77" s="20">
        <f>494270-150570</f>
        <v>343700</v>
      </c>
      <c r="CA77" s="20">
        <f>491876-150570</f>
        <v>341306</v>
      </c>
      <c r="CB77" s="20">
        <v>285750</v>
      </c>
      <c r="CC77" s="20">
        <v>285730</v>
      </c>
      <c r="CD77" s="20">
        <v>329217</v>
      </c>
      <c r="CE77" s="20">
        <v>342210</v>
      </c>
      <c r="CF77" s="20">
        <v>433102</v>
      </c>
      <c r="CG77" s="20">
        <v>618800</v>
      </c>
      <c r="CH77" s="20">
        <v>635080</v>
      </c>
      <c r="CI77" s="20">
        <v>782559</v>
      </c>
      <c r="CJ77" s="20">
        <v>575478</v>
      </c>
      <c r="CK77" s="20">
        <v>699173</v>
      </c>
      <c r="CL77" s="20">
        <v>710222</v>
      </c>
      <c r="CM77" s="20">
        <v>759364</v>
      </c>
      <c r="CN77" s="20">
        <v>824679</v>
      </c>
      <c r="CO77" s="20">
        <v>655728</v>
      </c>
      <c r="CP77" s="20">
        <v>693257</v>
      </c>
      <c r="CQ77" s="20">
        <v>705423</v>
      </c>
      <c r="CR77" s="20">
        <v>926341</v>
      </c>
      <c r="CS77" s="20">
        <v>797545</v>
      </c>
      <c r="CT77" s="20">
        <v>855395</v>
      </c>
      <c r="CU77" s="20">
        <v>952447</v>
      </c>
      <c r="CV77" s="20">
        <v>1259561</v>
      </c>
      <c r="CW77" s="20">
        <v>1303987.8500000001</v>
      </c>
      <c r="CX77" s="20">
        <v>1388310.8199999998</v>
      </c>
      <c r="CY77" s="20">
        <v>1310766.1800000002</v>
      </c>
      <c r="CZ77" s="20">
        <v>1218713.6399999999</v>
      </c>
      <c r="DA77" s="20">
        <v>1308793.1800000002</v>
      </c>
      <c r="DB77" s="20">
        <v>1154714.5999999999</v>
      </c>
      <c r="DC77" s="20">
        <v>1136941.06</v>
      </c>
      <c r="DD77" s="20">
        <v>1188487.2700000003</v>
      </c>
      <c r="DE77" s="20">
        <v>1135137.27</v>
      </c>
      <c r="DF77" s="20">
        <v>1318833.6000000001</v>
      </c>
      <c r="DG77" s="20">
        <v>1258101.26</v>
      </c>
      <c r="DH77" s="20">
        <v>1518752.35</v>
      </c>
      <c r="DI77" s="20">
        <v>1552270.62</v>
      </c>
      <c r="DJ77" s="20">
        <v>1494271.93</v>
      </c>
      <c r="DK77" s="20">
        <v>1421688.98</v>
      </c>
      <c r="DL77" s="20">
        <v>1706551.3699999999</v>
      </c>
      <c r="DM77" s="20">
        <v>1712448.1600000001</v>
      </c>
      <c r="DN77" s="20">
        <v>1712206.0799999998</v>
      </c>
      <c r="DO77" s="20">
        <v>1742431.9600000002</v>
      </c>
      <c r="DP77" s="20">
        <v>1928542.25</v>
      </c>
      <c r="DQ77" s="20">
        <v>1903812.07</v>
      </c>
      <c r="DR77" s="20">
        <v>1868617.74</v>
      </c>
      <c r="DS77" s="20">
        <v>1751761.55</v>
      </c>
      <c r="DT77" s="20">
        <v>1594999.94</v>
      </c>
      <c r="DU77" s="20">
        <v>1599879.2800000003</v>
      </c>
      <c r="DV77" s="20">
        <v>1967503.84</v>
      </c>
      <c r="DW77" s="20">
        <v>1836086.13</v>
      </c>
      <c r="DX77" s="20">
        <v>1799077</v>
      </c>
      <c r="DY77" s="469">
        <v>1841259.1938665947</v>
      </c>
      <c r="DZ77" s="20">
        <v>1752974.4500000002</v>
      </c>
      <c r="EA77" s="20">
        <v>1736218.38</v>
      </c>
      <c r="EB77" s="20">
        <v>2256503.0100000002</v>
      </c>
      <c r="EC77" s="20">
        <v>2180131.04</v>
      </c>
      <c r="ED77" s="20">
        <v>2075128.42</v>
      </c>
      <c r="EE77" s="20">
        <v>2086849.0299999998</v>
      </c>
      <c r="EF77" s="20">
        <v>1814215.7819656299</v>
      </c>
      <c r="EG77" s="20">
        <v>1722721.6689789337</v>
      </c>
      <c r="EH77" s="20">
        <v>1680347.7343328057</v>
      </c>
      <c r="EI77" s="20">
        <v>2179286.9532762538</v>
      </c>
      <c r="EJ77" s="20">
        <v>2130428.88</v>
      </c>
      <c r="EK77" s="469">
        <v>2267599.3751699659</v>
      </c>
      <c r="EL77" s="469">
        <v>2168972.2736380794</v>
      </c>
      <c r="EM77" s="469">
        <v>2530528.8471901771</v>
      </c>
      <c r="EN77" s="469">
        <v>2536239.1604338535</v>
      </c>
      <c r="EO77" s="469">
        <v>2785739.3163306112</v>
      </c>
      <c r="EP77" s="469">
        <v>2841634.2504359158</v>
      </c>
      <c r="EQ77" s="469">
        <v>2651549.8921979191</v>
      </c>
      <c r="ER77" s="20">
        <v>2503013.721959712</v>
      </c>
      <c r="ES77" s="20">
        <v>2448693.3854470975</v>
      </c>
      <c r="ET77" s="20">
        <v>2547345.407106583</v>
      </c>
      <c r="EU77" s="20">
        <v>2494730.6626271959</v>
      </c>
      <c r="EV77" s="20">
        <v>2197160.545239347</v>
      </c>
      <c r="EW77" s="20">
        <v>2055378.06</v>
      </c>
      <c r="EX77" s="20">
        <v>1940998.1445000907</v>
      </c>
      <c r="EY77" s="20">
        <v>1942674.5229913108</v>
      </c>
      <c r="EZ77" s="20">
        <v>2160372.5070399004</v>
      </c>
      <c r="FA77" s="20">
        <v>2104338.2868547621</v>
      </c>
      <c r="FB77" s="20">
        <v>2023055.8180874351</v>
      </c>
      <c r="FC77" s="20">
        <v>2055205.2621275212</v>
      </c>
      <c r="FD77" s="20">
        <v>2231913.0917306831</v>
      </c>
      <c r="FE77" s="20">
        <v>2435789.7595743835</v>
      </c>
      <c r="FF77" s="20">
        <v>2335284.8390908237</v>
      </c>
      <c r="FG77" s="20">
        <v>2323243.6686909362</v>
      </c>
      <c r="FH77" s="20">
        <v>2085968.625358352</v>
      </c>
      <c r="FI77" s="20">
        <v>2033204.6064123546</v>
      </c>
      <c r="FJ77" s="20">
        <v>1975568.1721488968</v>
      </c>
      <c r="FK77" s="454">
        <v>2584988.9349546279</v>
      </c>
      <c r="FL77" s="20"/>
      <c r="FM77" s="20"/>
    </row>
    <row r="78" spans="2:171" x14ac:dyDescent="0.35">
      <c r="C78" s="36"/>
      <c r="D78" s="36" t="s">
        <v>137</v>
      </c>
      <c r="E78" s="36"/>
      <c r="F78" s="37"/>
      <c r="G78" s="37">
        <f t="shared" si="471"/>
        <v>363620</v>
      </c>
      <c r="H78" s="37">
        <f t="shared" si="472"/>
        <v>317100</v>
      </c>
      <c r="I78" s="37">
        <f>AC78</f>
        <v>545200</v>
      </c>
      <c r="J78" s="37">
        <f>AE78</f>
        <v>448784</v>
      </c>
      <c r="K78" s="37">
        <f t="shared" si="474"/>
        <v>525747.17000000004</v>
      </c>
      <c r="L78" s="37">
        <f t="shared" ref="L78" si="498">DY78</f>
        <v>1319079.6100000001</v>
      </c>
      <c r="M78" s="19">
        <f>AS78</f>
        <v>777530.52</v>
      </c>
      <c r="N78" s="19">
        <f t="shared" si="475"/>
        <v>879798.01</v>
      </c>
      <c r="O78" s="19">
        <f t="shared" si="476"/>
        <v>1003675.5563678389</v>
      </c>
      <c r="P78" s="19">
        <f t="shared" si="477"/>
        <v>270760.93356836907</v>
      </c>
      <c r="Q78" s="38"/>
      <c r="R78" s="38">
        <v>324000</v>
      </c>
      <c r="S78" s="38">
        <v>324000</v>
      </c>
      <c r="T78" s="38">
        <v>324000</v>
      </c>
      <c r="U78" s="38">
        <v>363620</v>
      </c>
      <c r="V78" s="38">
        <f>BT78</f>
        <v>363620</v>
      </c>
      <c r="W78" s="38">
        <f>BW78</f>
        <v>363620</v>
      </c>
      <c r="X78" s="38">
        <f>BZ78</f>
        <v>0</v>
      </c>
      <c r="Y78" s="38">
        <f t="shared" si="478"/>
        <v>317100</v>
      </c>
      <c r="Z78" s="38">
        <f t="shared" si="478"/>
        <v>317100</v>
      </c>
      <c r="AA78" s="38">
        <f>CI78</f>
        <v>317100</v>
      </c>
      <c r="AB78" s="38">
        <f>CL78</f>
        <v>317100</v>
      </c>
      <c r="AC78" s="38">
        <f>CO78</f>
        <v>545200</v>
      </c>
      <c r="AD78" s="38">
        <f>CR78</f>
        <v>448784</v>
      </c>
      <c r="AE78" s="38">
        <f>CU78</f>
        <v>448784</v>
      </c>
      <c r="AF78" s="38">
        <f>CX78</f>
        <v>1.58</v>
      </c>
      <c r="AG78" s="38">
        <f>DA78</f>
        <v>427376.58</v>
      </c>
      <c r="AH78" s="38">
        <f>DD78</f>
        <v>427376.58</v>
      </c>
      <c r="AI78" s="38">
        <f t="shared" si="493"/>
        <v>427376.58</v>
      </c>
      <c r="AJ78" s="38">
        <f t="shared" si="494"/>
        <v>1.58</v>
      </c>
      <c r="AK78" s="20">
        <f>DM78</f>
        <v>525747.17000000004</v>
      </c>
      <c r="AL78" s="38">
        <f t="shared" si="479"/>
        <v>525747.17000000004</v>
      </c>
      <c r="AM78" s="38">
        <f t="shared" si="480"/>
        <v>525747.17000000004</v>
      </c>
      <c r="AN78" s="38">
        <f t="shared" ref="AN78:AN95" si="499">DV78</f>
        <v>525747.17000000004</v>
      </c>
      <c r="AO78" s="20">
        <f t="shared" si="481"/>
        <v>1319079.6100000001</v>
      </c>
      <c r="AP78" s="20">
        <f t="shared" si="482"/>
        <v>826174</v>
      </c>
      <c r="AQ78" s="20">
        <f t="shared" si="483"/>
        <v>826174</v>
      </c>
      <c r="AR78" s="20">
        <f t="shared" si="484"/>
        <v>-0.48000000000000004</v>
      </c>
      <c r="AS78" s="20">
        <f t="shared" si="495"/>
        <v>777530.52</v>
      </c>
      <c r="AT78" s="20">
        <f t="shared" si="485"/>
        <v>777530.52</v>
      </c>
      <c r="AU78" s="20">
        <f t="shared" si="486"/>
        <v>777530.52</v>
      </c>
      <c r="AV78" s="20">
        <f t="shared" si="497"/>
        <v>777530.52</v>
      </c>
      <c r="AW78" s="20">
        <f t="shared" si="487"/>
        <v>879798.01</v>
      </c>
      <c r="AX78" s="19">
        <f t="shared" si="488"/>
        <v>879798.01</v>
      </c>
      <c r="AY78" s="19">
        <f t="shared" si="496"/>
        <v>871773.21122367238</v>
      </c>
      <c r="AZ78" s="19">
        <f t="shared" si="489"/>
        <v>1000480.59863618</v>
      </c>
      <c r="BA78" s="19">
        <f t="shared" si="490"/>
        <v>992947.21727154031</v>
      </c>
      <c r="BB78" s="19">
        <f t="shared" si="491"/>
        <v>270760.93356836907</v>
      </c>
      <c r="BC78" s="19"/>
      <c r="BD78" s="19"/>
      <c r="BE78" s="19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>
        <v>363620</v>
      </c>
      <c r="BS78" s="38">
        <v>363620</v>
      </c>
      <c r="BT78" s="38">
        <v>363620</v>
      </c>
      <c r="BU78" s="38">
        <v>363620</v>
      </c>
      <c r="BV78" s="38">
        <v>363620</v>
      </c>
      <c r="BW78" s="38">
        <v>363620</v>
      </c>
      <c r="BX78" s="38">
        <v>363620</v>
      </c>
      <c r="BY78" s="38">
        <v>363620</v>
      </c>
      <c r="BZ78" s="38">
        <v>0</v>
      </c>
      <c r="CA78" s="38">
        <v>0</v>
      </c>
      <c r="CB78" s="38">
        <v>0</v>
      </c>
      <c r="CC78" s="38">
        <v>317100</v>
      </c>
      <c r="CD78" s="38">
        <v>317100</v>
      </c>
      <c r="CE78" s="38">
        <v>317100</v>
      </c>
      <c r="CF78" s="38">
        <v>317100</v>
      </c>
      <c r="CG78" s="38">
        <v>317100</v>
      </c>
      <c r="CH78" s="38">
        <v>317100</v>
      </c>
      <c r="CI78" s="38">
        <v>317100</v>
      </c>
      <c r="CJ78" s="38">
        <v>317100</v>
      </c>
      <c r="CK78" s="38">
        <v>317100</v>
      </c>
      <c r="CL78" s="38">
        <v>317100</v>
      </c>
      <c r="CM78" s="38">
        <v>317100</v>
      </c>
      <c r="CN78" s="38">
        <v>317100</v>
      </c>
      <c r="CO78" s="38">
        <v>545200</v>
      </c>
      <c r="CP78" s="38">
        <f>1043+447741</f>
        <v>448784</v>
      </c>
      <c r="CQ78" s="38">
        <f>1043+447741</f>
        <v>448784</v>
      </c>
      <c r="CR78" s="38">
        <f>1043+447741</f>
        <v>448784</v>
      </c>
      <c r="CS78" s="38">
        <f>1043+447741</f>
        <v>448784</v>
      </c>
      <c r="CT78" s="38">
        <f>1043+447741</f>
        <v>448784</v>
      </c>
      <c r="CU78" s="38">
        <v>448784</v>
      </c>
      <c r="CV78" s="38">
        <v>448784</v>
      </c>
      <c r="CW78" s="38">
        <v>448783.58</v>
      </c>
      <c r="CX78" s="38">
        <v>1.58</v>
      </c>
      <c r="CY78" s="38">
        <v>1.58</v>
      </c>
      <c r="CZ78" s="38">
        <v>1.58</v>
      </c>
      <c r="DA78" s="38">
        <v>427376.58</v>
      </c>
      <c r="DB78" s="38">
        <v>427376.58</v>
      </c>
      <c r="DC78" s="38">
        <v>427376.58</v>
      </c>
      <c r="DD78" s="38">
        <v>427376.58</v>
      </c>
      <c r="DE78" s="38">
        <v>427376.58</v>
      </c>
      <c r="DF78" s="38">
        <v>427376.58</v>
      </c>
      <c r="DG78" s="38">
        <v>427376.58</v>
      </c>
      <c r="DH78" s="38">
        <v>427376.58</v>
      </c>
      <c r="DI78" s="38">
        <v>427376.58</v>
      </c>
      <c r="DJ78" s="38">
        <v>1.58</v>
      </c>
      <c r="DK78" s="38">
        <v>1.58</v>
      </c>
      <c r="DL78" s="38">
        <v>1.58</v>
      </c>
      <c r="DM78" s="20">
        <v>525747.17000000004</v>
      </c>
      <c r="DN78" s="20">
        <v>525747.17000000004</v>
      </c>
      <c r="DO78" s="20">
        <v>525747.17000000004</v>
      </c>
      <c r="DP78" s="20">
        <v>525747.17000000004</v>
      </c>
      <c r="DQ78" s="20">
        <v>525747.17000000004</v>
      </c>
      <c r="DR78" s="20">
        <v>525747.17000000004</v>
      </c>
      <c r="DS78" s="20">
        <v>525747.17000000004</v>
      </c>
      <c r="DT78" s="20">
        <v>525747.17000000004</v>
      </c>
      <c r="DU78" s="20">
        <v>525747.17000000004</v>
      </c>
      <c r="DV78" s="20">
        <v>525747.17000000004</v>
      </c>
      <c r="DW78" s="20">
        <v>525747.17000000004</v>
      </c>
      <c r="DX78" s="20">
        <v>525747</v>
      </c>
      <c r="DY78" s="469">
        <v>1319079.6100000001</v>
      </c>
      <c r="DZ78" s="20">
        <v>826174</v>
      </c>
      <c r="EA78" s="20">
        <v>826174</v>
      </c>
      <c r="EB78" s="20">
        <v>826174</v>
      </c>
      <c r="EC78" s="20">
        <v>826174</v>
      </c>
      <c r="ED78" s="20">
        <v>826174</v>
      </c>
      <c r="EE78" s="20">
        <v>826174</v>
      </c>
      <c r="EF78" s="20">
        <v>826174</v>
      </c>
      <c r="EG78" s="20">
        <v>-0.48000000000000004</v>
      </c>
      <c r="EH78" s="20">
        <v>-0.48000000000000004</v>
      </c>
      <c r="EI78" s="20">
        <v>-0.48000000000000004</v>
      </c>
      <c r="EJ78" s="20">
        <v>-0.48000000000000004</v>
      </c>
      <c r="EK78" s="469">
        <v>777530.52</v>
      </c>
      <c r="EL78" s="469">
        <f>549999.52+227531</f>
        <v>777530.52</v>
      </c>
      <c r="EM78" s="469">
        <v>777530.52</v>
      </c>
      <c r="EN78" s="469">
        <v>777530.52</v>
      </c>
      <c r="EO78" s="469">
        <v>777530.52</v>
      </c>
      <c r="EP78" s="469">
        <f t="shared" ref="EP78" si="500">549999.52+227531</f>
        <v>777530.52</v>
      </c>
      <c r="EQ78" s="469">
        <v>777530.52</v>
      </c>
      <c r="ER78" s="20">
        <v>777530.52</v>
      </c>
      <c r="ES78" s="20">
        <v>777530.52</v>
      </c>
      <c r="ET78" s="20">
        <v>777530.52</v>
      </c>
      <c r="EU78" s="20">
        <v>777530.52</v>
      </c>
      <c r="EV78" s="20">
        <v>777530.52</v>
      </c>
      <c r="EW78" s="20">
        <v>879798.01</v>
      </c>
      <c r="EX78" s="20">
        <v>879798.01</v>
      </c>
      <c r="EY78" s="20">
        <v>879798.01</v>
      </c>
      <c r="EZ78" s="20">
        <v>879798.01</v>
      </c>
      <c r="FA78" s="20">
        <v>879798.01</v>
      </c>
      <c r="FB78" s="20">
        <v>868551.91546402453</v>
      </c>
      <c r="FC78" s="20">
        <v>871773.21122367238</v>
      </c>
      <c r="FD78" s="20">
        <v>869853.23384322971</v>
      </c>
      <c r="FE78" s="20">
        <v>994506.86704840197</v>
      </c>
      <c r="FF78" s="20">
        <v>1000480.59863618</v>
      </c>
      <c r="FG78" s="20">
        <v>1003675.5563678389</v>
      </c>
      <c r="FH78" s="20">
        <v>1003990.4606027995</v>
      </c>
      <c r="FI78" s="20">
        <v>992947.21727154031</v>
      </c>
      <c r="FJ78" s="20">
        <v>261569.50348476495</v>
      </c>
      <c r="FK78" s="454">
        <v>270760.93356836907</v>
      </c>
      <c r="FL78" s="20"/>
      <c r="FM78" s="20"/>
    </row>
    <row r="79" spans="2:171" x14ac:dyDescent="0.35">
      <c r="C79" s="10" t="s">
        <v>138</v>
      </c>
      <c r="F79" s="11"/>
      <c r="G79" s="11">
        <f t="shared" si="471"/>
        <v>2454760</v>
      </c>
      <c r="H79" s="11">
        <f t="shared" si="472"/>
        <v>3381743</v>
      </c>
      <c r="I79" s="11">
        <f>AC79</f>
        <v>4006233</v>
      </c>
      <c r="J79" s="11">
        <f>AE79</f>
        <v>3746396</v>
      </c>
      <c r="K79" s="11">
        <f t="shared" si="474"/>
        <v>6328894.8699999973</v>
      </c>
      <c r="L79" s="11">
        <f>DY79</f>
        <v>8028388.5882798815</v>
      </c>
      <c r="M79" s="463">
        <f>AS79</f>
        <v>8072903.213691378</v>
      </c>
      <c r="N79" s="463">
        <f t="shared" si="475"/>
        <v>8454157.3300000001</v>
      </c>
      <c r="O79" s="463">
        <f t="shared" si="476"/>
        <v>8383684.2986692656</v>
      </c>
      <c r="P79" s="463">
        <f t="shared" si="477"/>
        <v>8000309.4933171822</v>
      </c>
      <c r="Q79" s="20"/>
      <c r="R79" s="12">
        <f t="shared" ref="R79:Z79" si="501">SUM(R75:R78)</f>
        <v>2299000</v>
      </c>
      <c r="S79" s="12">
        <f t="shared" si="501"/>
        <v>2524000</v>
      </c>
      <c r="T79" s="12">
        <f t="shared" si="501"/>
        <v>2439000</v>
      </c>
      <c r="U79" s="12">
        <f t="shared" si="501"/>
        <v>2454760</v>
      </c>
      <c r="V79" s="12">
        <f t="shared" si="501"/>
        <v>2881333</v>
      </c>
      <c r="W79" s="12">
        <f t="shared" si="501"/>
        <v>2833056</v>
      </c>
      <c r="X79" s="12">
        <f t="shared" si="501"/>
        <v>2963361</v>
      </c>
      <c r="Y79" s="12">
        <f t="shared" si="501"/>
        <v>3381743</v>
      </c>
      <c r="Z79" s="12">
        <f t="shared" si="501"/>
        <v>3283660</v>
      </c>
      <c r="AA79" s="12">
        <f t="shared" ref="AA79:AG79" si="502">SUM(AA75:AA78)</f>
        <v>3472004</v>
      </c>
      <c r="AB79" s="12">
        <f t="shared" si="502"/>
        <v>3754489</v>
      </c>
      <c r="AC79" s="12">
        <f t="shared" si="502"/>
        <v>4006233</v>
      </c>
      <c r="AD79" s="12">
        <f t="shared" si="502"/>
        <v>3938447</v>
      </c>
      <c r="AE79" s="12">
        <f t="shared" si="502"/>
        <v>3746396</v>
      </c>
      <c r="AF79" s="12">
        <f t="shared" si="502"/>
        <v>3752949.8699999996</v>
      </c>
      <c r="AG79" s="12">
        <f t="shared" si="502"/>
        <v>3995362.7100000004</v>
      </c>
      <c r="AH79" s="12">
        <f>DD79</f>
        <v>4112242.8500000015</v>
      </c>
      <c r="AI79" s="12">
        <f t="shared" si="493"/>
        <v>5036416.82</v>
      </c>
      <c r="AJ79" s="12">
        <f>DJ79</f>
        <v>5025468.4799999995</v>
      </c>
      <c r="AK79" s="382">
        <f>DM79</f>
        <v>6328894.8699999973</v>
      </c>
      <c r="AL79" s="12">
        <f t="shared" si="479"/>
        <v>6458262.5099999998</v>
      </c>
      <c r="AM79" s="12">
        <f>DS79</f>
        <v>6820802.3300000001</v>
      </c>
      <c r="AN79" s="12">
        <f t="shared" si="499"/>
        <v>7374098.0599999996</v>
      </c>
      <c r="AO79" s="382">
        <f>DY79</f>
        <v>8028388.5882798815</v>
      </c>
      <c r="AP79" s="382">
        <f t="shared" si="482"/>
        <v>7743262.4900000002</v>
      </c>
      <c r="AQ79" s="382">
        <f t="shared" si="483"/>
        <v>7677769.9399999995</v>
      </c>
      <c r="AR79" s="382">
        <f t="shared" si="484"/>
        <v>6981937.7692590263</v>
      </c>
      <c r="AS79" s="382">
        <f>EK79</f>
        <v>8072903.213691378</v>
      </c>
      <c r="AT79" s="382">
        <f t="shared" si="485"/>
        <v>8108455.4616713561</v>
      </c>
      <c r="AU79" s="382">
        <f t="shared" si="486"/>
        <v>8363403.5107281674</v>
      </c>
      <c r="AV79" s="382">
        <f t="shared" si="497"/>
        <v>7840956.9661325831</v>
      </c>
      <c r="AW79" s="382">
        <f t="shared" si="487"/>
        <v>8454157.3300000001</v>
      </c>
      <c r="AX79" s="463">
        <f t="shared" si="488"/>
        <v>8321219.7826473378</v>
      </c>
      <c r="AY79" s="463">
        <f t="shared" si="496"/>
        <v>8128594.1519313892</v>
      </c>
      <c r="AZ79" s="463">
        <f t="shared" si="489"/>
        <v>8600358.4518989976</v>
      </c>
      <c r="BA79" s="463">
        <f t="shared" si="490"/>
        <v>8633633.9753070138</v>
      </c>
      <c r="BB79" s="463">
        <f t="shared" si="491"/>
        <v>8000309.4933171822</v>
      </c>
      <c r="BC79" s="463"/>
      <c r="BD79" s="463"/>
      <c r="BE79" s="463"/>
      <c r="BF79" s="12"/>
      <c r="BG79" s="20"/>
      <c r="BH79" s="12"/>
      <c r="BI79" s="20"/>
      <c r="BJ79" s="12"/>
      <c r="BK79" s="20"/>
      <c r="BL79" s="12"/>
      <c r="BM79" s="20"/>
      <c r="BN79" s="12"/>
      <c r="BO79" s="20"/>
      <c r="BP79" s="12"/>
      <c r="BQ79" s="20"/>
      <c r="BR79" s="12">
        <f>SUM(BR75:BR78)</f>
        <v>2493220</v>
      </c>
      <c r="BS79" s="12">
        <f>SUM(BS75:BS78)</f>
        <v>2579966</v>
      </c>
      <c r="BT79" s="12">
        <f t="shared" ref="BT79:DF79" si="503">SUM(BT75:BT78)</f>
        <v>2881333</v>
      </c>
      <c r="BU79" s="12">
        <f t="shared" si="503"/>
        <v>2698444</v>
      </c>
      <c r="BV79" s="12">
        <f t="shared" si="503"/>
        <v>2846916</v>
      </c>
      <c r="BW79" s="12">
        <f t="shared" si="503"/>
        <v>2833056</v>
      </c>
      <c r="BX79" s="12">
        <f t="shared" si="503"/>
        <v>3249831</v>
      </c>
      <c r="BY79" s="12">
        <f t="shared" si="503"/>
        <v>3178837</v>
      </c>
      <c r="BZ79" s="12">
        <f t="shared" si="503"/>
        <v>2963361</v>
      </c>
      <c r="CA79" s="12">
        <f t="shared" si="503"/>
        <v>2908398</v>
      </c>
      <c r="CB79" s="12">
        <f t="shared" si="503"/>
        <v>2897424</v>
      </c>
      <c r="CC79" s="12">
        <f t="shared" si="503"/>
        <v>3381743</v>
      </c>
      <c r="CD79" s="12">
        <f t="shared" si="503"/>
        <v>3161393</v>
      </c>
      <c r="CE79" s="12">
        <f t="shared" si="503"/>
        <v>3392903</v>
      </c>
      <c r="CF79" s="12">
        <f t="shared" si="503"/>
        <v>3283660</v>
      </c>
      <c r="CG79" s="12">
        <f t="shared" si="503"/>
        <v>3500828</v>
      </c>
      <c r="CH79" s="12">
        <f t="shared" si="503"/>
        <v>3159548</v>
      </c>
      <c r="CI79" s="12">
        <f t="shared" si="503"/>
        <v>3472004</v>
      </c>
      <c r="CJ79" s="12">
        <f t="shared" si="503"/>
        <v>3370416</v>
      </c>
      <c r="CK79" s="12">
        <f t="shared" si="503"/>
        <v>3408675</v>
      </c>
      <c r="CL79" s="12">
        <f t="shared" si="503"/>
        <v>3754489</v>
      </c>
      <c r="CM79" s="12">
        <f t="shared" si="503"/>
        <v>3560184</v>
      </c>
      <c r="CN79" s="12">
        <f t="shared" si="503"/>
        <v>3903867</v>
      </c>
      <c r="CO79" s="12">
        <f t="shared" si="503"/>
        <v>4006233</v>
      </c>
      <c r="CP79" s="12">
        <f t="shared" si="503"/>
        <v>4200158</v>
      </c>
      <c r="CQ79" s="12">
        <f t="shared" si="503"/>
        <v>3458213</v>
      </c>
      <c r="CR79" s="12">
        <f t="shared" si="503"/>
        <v>3938447</v>
      </c>
      <c r="CS79" s="12">
        <f t="shared" si="503"/>
        <v>4105293</v>
      </c>
      <c r="CT79" s="12">
        <f t="shared" si="503"/>
        <v>4309627</v>
      </c>
      <c r="CU79" s="12">
        <f t="shared" si="503"/>
        <v>3746396</v>
      </c>
      <c r="CV79" s="12">
        <f t="shared" si="503"/>
        <v>3895047</v>
      </c>
      <c r="CW79" s="12">
        <f t="shared" si="503"/>
        <v>3957670.9200000004</v>
      </c>
      <c r="CX79" s="12">
        <f t="shared" si="503"/>
        <v>3752949.8699999996</v>
      </c>
      <c r="CY79" s="12">
        <f t="shared" si="503"/>
        <v>3253358.2400000007</v>
      </c>
      <c r="CZ79" s="12">
        <f t="shared" si="503"/>
        <v>3471661.8100000005</v>
      </c>
      <c r="DA79" s="12">
        <f t="shared" si="503"/>
        <v>3995362.7100000004</v>
      </c>
      <c r="DB79" s="12">
        <f t="shared" si="503"/>
        <v>4249315.9899999993</v>
      </c>
      <c r="DC79" s="12">
        <f t="shared" si="503"/>
        <v>4314540.47</v>
      </c>
      <c r="DD79" s="12">
        <f t="shared" si="503"/>
        <v>4112242.8500000015</v>
      </c>
      <c r="DE79" s="12">
        <f t="shared" si="503"/>
        <v>4177067.870000001</v>
      </c>
      <c r="DF79" s="12">
        <f t="shared" si="503"/>
        <v>4663349.370000001</v>
      </c>
      <c r="DG79" s="12">
        <f t="shared" ref="DG79:DM79" si="504">SUM(DG75:DG78)</f>
        <v>5036416.82</v>
      </c>
      <c r="DH79" s="12">
        <f t="shared" si="504"/>
        <v>5276601.9399999995</v>
      </c>
      <c r="DI79" s="12">
        <f t="shared" si="504"/>
        <v>5592865</v>
      </c>
      <c r="DJ79" s="12">
        <f t="shared" si="504"/>
        <v>5025468.4799999995</v>
      </c>
      <c r="DK79" s="12">
        <f t="shared" si="504"/>
        <v>5449044.1899999995</v>
      </c>
      <c r="DL79" s="12">
        <f t="shared" si="504"/>
        <v>5392196.5999999996</v>
      </c>
      <c r="DM79" s="382">
        <f t="shared" si="504"/>
        <v>6328894.8699999973</v>
      </c>
      <c r="DN79" s="382">
        <f>SUM(DN75:DN78)</f>
        <v>6258127.4799999995</v>
      </c>
      <c r="DO79" s="382">
        <f t="shared" ref="DO79:DP79" si="505">SUM(DO75:DO78)</f>
        <v>6475352.4699999988</v>
      </c>
      <c r="DP79" s="382">
        <f t="shared" si="505"/>
        <v>6458262.5099999998</v>
      </c>
      <c r="DQ79" s="382">
        <f t="shared" ref="DQ79:DR79" si="506">SUM(DQ75:DQ78)</f>
        <v>7004104.5299999993</v>
      </c>
      <c r="DR79" s="382">
        <f t="shared" si="506"/>
        <v>6847024.8600000003</v>
      </c>
      <c r="DS79" s="382">
        <f t="shared" ref="DS79:DT79" si="507">SUM(DS75:DS78)</f>
        <v>6820802.3300000001</v>
      </c>
      <c r="DT79" s="382">
        <f t="shared" si="507"/>
        <v>6650797.3599999994</v>
      </c>
      <c r="DU79" s="382">
        <f t="shared" ref="DU79:DV79" si="508">SUM(DU75:DU78)</f>
        <v>6192722.7700000005</v>
      </c>
      <c r="DV79" s="382">
        <f t="shared" si="508"/>
        <v>7374098.0599999996</v>
      </c>
      <c r="DW79" s="382">
        <f t="shared" ref="DW79:DZ79" si="509">SUM(DW75:DW78)</f>
        <v>7052932.7299999995</v>
      </c>
      <c r="DX79" s="382">
        <f t="shared" si="509"/>
        <v>6879624.4199999999</v>
      </c>
      <c r="DY79" s="589">
        <f t="shared" si="509"/>
        <v>8028388.5882798815</v>
      </c>
      <c r="DZ79" s="382">
        <f t="shared" si="509"/>
        <v>7160327.9300000006</v>
      </c>
      <c r="EA79" s="382">
        <f t="shared" ref="EA79:EB79" si="510">SUM(EA75:EA78)</f>
        <v>7415084.0899999999</v>
      </c>
      <c r="EB79" s="382">
        <f t="shared" si="510"/>
        <v>7743262.4900000002</v>
      </c>
      <c r="EC79" s="382">
        <f t="shared" ref="EC79:EE79" si="511">SUM(EC75:EC78)</f>
        <v>7859298</v>
      </c>
      <c r="ED79" s="382">
        <f t="shared" si="511"/>
        <v>7516937.7800000003</v>
      </c>
      <c r="EE79" s="382">
        <f t="shared" si="511"/>
        <v>7677769.9399999995</v>
      </c>
      <c r="EF79" s="382">
        <f t="shared" ref="EF79:EG79" si="512">SUM(EF75:EF78)</f>
        <v>7255494.881008381</v>
      </c>
      <c r="EG79" s="382">
        <f t="shared" si="512"/>
        <v>6655026.1293775272</v>
      </c>
      <c r="EH79" s="382">
        <f t="shared" ref="EH79" si="513">SUM(EH75:EH78)</f>
        <v>6981937.7692590263</v>
      </c>
      <c r="EI79" s="382">
        <f t="shared" ref="EI79:EQ79" si="514">SUM(EI75:EI78)</f>
        <v>7413198.0169833694</v>
      </c>
      <c r="EJ79" s="382">
        <f t="shared" si="514"/>
        <v>7157287.1499999994</v>
      </c>
      <c r="EK79" s="589">
        <f t="shared" si="514"/>
        <v>8072903.213691378</v>
      </c>
      <c r="EL79" s="589">
        <f t="shared" si="514"/>
        <v>7349066.7022743076</v>
      </c>
      <c r="EM79" s="589">
        <f t="shared" si="514"/>
        <v>7992795.6306158006</v>
      </c>
      <c r="EN79" s="589">
        <f t="shared" si="514"/>
        <v>8108455.4616713561</v>
      </c>
      <c r="EO79" s="589">
        <f t="shared" si="514"/>
        <v>8332717.0050710347</v>
      </c>
      <c r="EP79" s="589">
        <f t="shared" si="514"/>
        <v>8021073.4621133413</v>
      </c>
      <c r="EQ79" s="589">
        <f t="shared" si="514"/>
        <v>8363403.5107281674</v>
      </c>
      <c r="ER79" s="589">
        <f t="shared" ref="ER79:ET79" si="515">SUM(ER75:ER78)</f>
        <v>7792978.3384439182</v>
      </c>
      <c r="ES79" s="589">
        <f t="shared" si="515"/>
        <v>7856920.0228480082</v>
      </c>
      <c r="ET79" s="589">
        <f t="shared" si="515"/>
        <v>7840956.9661325831</v>
      </c>
      <c r="EU79" s="589">
        <f t="shared" ref="EU79:FA79" si="516">SUM(EU75:EU78)</f>
        <v>7893673.3996869102</v>
      </c>
      <c r="EV79" s="589">
        <f t="shared" si="516"/>
        <v>8222850.485660471</v>
      </c>
      <c r="EW79" s="589">
        <f t="shared" si="516"/>
        <v>8454157.3300000001</v>
      </c>
      <c r="EX79" s="589">
        <f t="shared" si="516"/>
        <v>8596705.2448596321</v>
      </c>
      <c r="EY79" s="589">
        <f t="shared" si="516"/>
        <v>8652128.5721236132</v>
      </c>
      <c r="EZ79" s="589">
        <f t="shared" si="516"/>
        <v>8321219.7826473378</v>
      </c>
      <c r="FA79" s="589">
        <f t="shared" si="516"/>
        <v>8152938.3769906778</v>
      </c>
      <c r="FB79" s="589">
        <f>SUM(FB75:FB78)</f>
        <v>8071150.848650381</v>
      </c>
      <c r="FC79" s="589">
        <f>SUM(FC75:FC78)</f>
        <v>8128594.1519313892</v>
      </c>
      <c r="FD79" s="589">
        <f>SUM(FD75:FD78)</f>
        <v>8527533.0677405</v>
      </c>
      <c r="FE79" s="589">
        <f>SUM(FE75:FE78)</f>
        <v>8134727.4891445022</v>
      </c>
      <c r="FF79" s="589">
        <f>SUM(FF75:FF78)</f>
        <v>8600358.4518989976</v>
      </c>
      <c r="FG79" s="589">
        <f t="shared" ref="FG79:FK79" si="517">SUM(FG75:FG78)</f>
        <v>8383684.2986692656</v>
      </c>
      <c r="FH79" s="589">
        <f t="shared" si="517"/>
        <v>9209893.5288582183</v>
      </c>
      <c r="FI79" s="589">
        <f t="shared" si="517"/>
        <v>8633633.9753070138</v>
      </c>
      <c r="FJ79" s="589">
        <f t="shared" si="517"/>
        <v>7471531.240770312</v>
      </c>
      <c r="FK79" s="770">
        <f t="shared" si="517"/>
        <v>8000309.4933171822</v>
      </c>
      <c r="FL79" s="511"/>
      <c r="FM79" s="511"/>
    </row>
    <row r="80" spans="2:171" ht="6" customHeight="1" x14ac:dyDescent="0.35">
      <c r="D80" s="10"/>
      <c r="F80" s="19"/>
      <c r="G80" s="19"/>
      <c r="H80" s="19"/>
      <c r="I80" s="19"/>
      <c r="J80" s="19"/>
      <c r="K80" s="19"/>
      <c r="L80" s="19"/>
      <c r="M80" s="19"/>
      <c r="N80" s="19">
        <f t="shared" si="475"/>
        <v>0</v>
      </c>
      <c r="O80" s="19">
        <f t="shared" si="476"/>
        <v>0</v>
      </c>
      <c r="P80" s="19">
        <f t="shared" si="477"/>
        <v>0</v>
      </c>
      <c r="Q80" s="20"/>
      <c r="R80" s="20"/>
      <c r="S80" s="20"/>
      <c r="T80" s="20"/>
      <c r="U80" s="20"/>
      <c r="V80" s="20"/>
      <c r="W80" s="20"/>
      <c r="X80" s="20"/>
      <c r="AX80" s="19">
        <f t="shared" si="488"/>
        <v>0</v>
      </c>
      <c r="AY80" s="19">
        <f t="shared" si="496"/>
        <v>0</v>
      </c>
      <c r="AZ80" s="19">
        <f t="shared" si="489"/>
        <v>0</v>
      </c>
      <c r="BA80" s="19">
        <f t="shared" si="490"/>
        <v>0</v>
      </c>
      <c r="BB80" s="19">
        <f t="shared" si="491"/>
        <v>0</v>
      </c>
      <c r="BC80" s="19"/>
      <c r="BD80" s="19"/>
      <c r="BE80" s="19"/>
      <c r="BG80" s="20"/>
      <c r="BI80" s="20"/>
      <c r="BK80" s="20"/>
      <c r="BM80" s="20"/>
      <c r="BO80" s="20"/>
      <c r="BQ80" s="20"/>
      <c r="BR80" s="20"/>
      <c r="BS80" s="54"/>
      <c r="BT80" s="20"/>
      <c r="BU80" s="54"/>
      <c r="BV80" s="20"/>
      <c r="BW80" s="54"/>
      <c r="BX80" s="20"/>
      <c r="BZ80" s="20"/>
      <c r="CB80" s="20"/>
      <c r="CO80" s="54"/>
      <c r="CU80" s="54"/>
      <c r="CV80" s="54"/>
      <c r="DA80" s="54"/>
      <c r="DB80" s="54"/>
      <c r="DC80" s="54"/>
      <c r="DD80" s="54"/>
      <c r="DE80" s="54"/>
      <c r="DF80" s="54"/>
      <c r="DG80" s="54"/>
      <c r="DH80" s="54"/>
      <c r="DI80" s="349"/>
      <c r="DJ80" s="349"/>
      <c r="DK80" s="380"/>
      <c r="DL80" s="380"/>
      <c r="DM80" s="380"/>
      <c r="DN80" s="380"/>
      <c r="DO80" s="380"/>
      <c r="DP80" s="380"/>
      <c r="DQ80" s="380"/>
      <c r="DR80" s="380"/>
      <c r="DS80" s="380"/>
      <c r="DT80" s="380"/>
      <c r="DU80" s="380"/>
      <c r="DV80" s="380"/>
      <c r="DW80" s="380"/>
      <c r="DX80" s="380"/>
      <c r="DY80" s="600"/>
      <c r="EI80" s="44"/>
      <c r="EJ80" s="44"/>
      <c r="EK80" s="551"/>
      <c r="EL80" s="551"/>
      <c r="EM80" s="551"/>
      <c r="EN80" s="551"/>
      <c r="EO80" s="551"/>
      <c r="EP80" s="551"/>
      <c r="EQ80" s="551"/>
      <c r="ER80" s="551"/>
      <c r="ES80" s="44"/>
      <c r="ET80" s="44"/>
      <c r="EU80" s="44"/>
      <c r="EV80" s="44"/>
      <c r="EW80" s="44"/>
      <c r="FA80" s="423"/>
      <c r="FB80" s="423"/>
      <c r="FC80" s="423"/>
      <c r="FD80" s="423"/>
      <c r="FE80" s="423"/>
      <c r="FF80" s="423"/>
      <c r="FG80" s="423"/>
      <c r="FH80" s="423"/>
      <c r="FI80" s="423"/>
      <c r="FJ80" s="423"/>
      <c r="FK80" s="686"/>
      <c r="FL80" s="423"/>
      <c r="FM80" s="423"/>
    </row>
    <row r="81" spans="3:177" x14ac:dyDescent="0.35">
      <c r="C81" s="21" t="s">
        <v>139</v>
      </c>
      <c r="D81" s="22"/>
      <c r="E81" s="22"/>
      <c r="F81" s="23"/>
      <c r="G81" s="23">
        <f>U81</f>
        <v>1150398</v>
      </c>
      <c r="H81" s="23">
        <f>Y81</f>
        <v>903850</v>
      </c>
      <c r="I81" s="23">
        <f>AC81</f>
        <v>1049830</v>
      </c>
      <c r="J81" s="23">
        <f>AE81</f>
        <v>3104267</v>
      </c>
      <c r="K81" s="23">
        <f>DM81</f>
        <v>12171162.170000004</v>
      </c>
      <c r="L81" s="23">
        <f>DY81</f>
        <v>8442636.9970905259</v>
      </c>
      <c r="M81" s="23">
        <f>AS81</f>
        <v>4143324.3771296595</v>
      </c>
      <c r="N81" s="23">
        <f t="shared" si="475"/>
        <v>4672940.0999999996</v>
      </c>
      <c r="O81" s="23">
        <f t="shared" si="476"/>
        <v>2430217.6833325624</v>
      </c>
      <c r="P81" s="23">
        <f t="shared" si="477"/>
        <v>4773852.065736643</v>
      </c>
      <c r="Q81" s="34"/>
      <c r="R81" s="24">
        <v>841800</v>
      </c>
      <c r="S81" s="24">
        <v>666800</v>
      </c>
      <c r="T81" s="24">
        <v>556800</v>
      </c>
      <c r="U81" s="24">
        <v>1150398</v>
      </c>
      <c r="V81" s="24">
        <f>BT81</f>
        <v>516015</v>
      </c>
      <c r="W81" s="24">
        <f>BW81</f>
        <v>730017</v>
      </c>
      <c r="X81" s="24">
        <f>BZ81</f>
        <v>680510</v>
      </c>
      <c r="Y81" s="24">
        <f>CC81</f>
        <v>903850</v>
      </c>
      <c r="Z81" s="34">
        <f>CF81</f>
        <v>1198409</v>
      </c>
      <c r="AA81" s="34">
        <f>CI81</f>
        <v>2518462</v>
      </c>
      <c r="AB81" s="24">
        <f>CL81</f>
        <v>1814205</v>
      </c>
      <c r="AC81" s="24">
        <f>CO81</f>
        <v>1049830</v>
      </c>
      <c r="AD81" s="24">
        <f>CR81</f>
        <v>2326307</v>
      </c>
      <c r="AE81" s="24">
        <f>CU81</f>
        <v>3104267</v>
      </c>
      <c r="AF81" s="24">
        <f>CX81</f>
        <v>1862349.87</v>
      </c>
      <c r="AG81" s="24">
        <f>DA81</f>
        <v>16244488.270000001</v>
      </c>
      <c r="AH81" s="24">
        <f>DD81</f>
        <v>13513986.57</v>
      </c>
      <c r="AI81" s="24">
        <f t="shared" si="493"/>
        <v>11668910.18</v>
      </c>
      <c r="AJ81" s="24">
        <f t="shared" si="494"/>
        <v>14657634.539999999</v>
      </c>
      <c r="AK81" s="24">
        <f>DM81</f>
        <v>12171162.170000004</v>
      </c>
      <c r="AL81" s="24">
        <f>DP81</f>
        <v>9613613.3599999994</v>
      </c>
      <c r="AM81" s="24">
        <f t="shared" si="480"/>
        <v>8765841.25</v>
      </c>
      <c r="AN81" s="24">
        <f t="shared" si="499"/>
        <v>10392750.890000001</v>
      </c>
      <c r="AO81" s="24">
        <f t="shared" si="481"/>
        <v>8442636.9970905259</v>
      </c>
      <c r="AP81" s="24">
        <f>EB81</f>
        <v>7017717.7000000002</v>
      </c>
      <c r="AQ81" s="24">
        <f>EE81</f>
        <v>5559138.8300000001</v>
      </c>
      <c r="AR81" s="24">
        <f t="shared" si="484"/>
        <v>5295596.6294021904</v>
      </c>
      <c r="AS81" s="24">
        <f t="shared" ref="AS81:AS89" si="518">EK81</f>
        <v>4143324.3771296595</v>
      </c>
      <c r="AT81" s="24">
        <f t="shared" si="485"/>
        <v>2605792.4845970962</v>
      </c>
      <c r="AU81" s="24">
        <f t="shared" si="486"/>
        <v>2353140.2950251303</v>
      </c>
      <c r="AV81" s="24">
        <f t="shared" si="497"/>
        <v>3428321.736026403</v>
      </c>
      <c r="AW81" s="24">
        <f t="shared" si="487"/>
        <v>4672940.0999999996</v>
      </c>
      <c r="AX81" s="23">
        <f>EZ81</f>
        <v>2834130.6003760514</v>
      </c>
      <c r="AY81" s="23">
        <f t="shared" si="496"/>
        <v>2537064.2252016263</v>
      </c>
      <c r="AZ81" s="23">
        <f t="shared" si="489"/>
        <v>2603949.8638108419</v>
      </c>
      <c r="BA81" s="23">
        <f t="shared" si="490"/>
        <v>3096169.7488773288</v>
      </c>
      <c r="BB81" s="23">
        <f t="shared" si="491"/>
        <v>4773852.065736643</v>
      </c>
      <c r="BC81" s="23"/>
      <c r="BD81" s="23"/>
      <c r="BE81" s="23"/>
      <c r="BF81" s="24"/>
      <c r="BG81" s="34"/>
      <c r="BH81" s="24"/>
      <c r="BI81" s="34"/>
      <c r="BJ81" s="24"/>
      <c r="BK81" s="34"/>
      <c r="BL81" s="24"/>
      <c r="BM81" s="34"/>
      <c r="BN81" s="24"/>
      <c r="BO81" s="34"/>
      <c r="BP81" s="24"/>
      <c r="BQ81" s="34"/>
      <c r="BR81" s="24">
        <f>BR117</f>
        <v>1163323</v>
      </c>
      <c r="BS81" s="24">
        <f>BS117</f>
        <v>787372</v>
      </c>
      <c r="BT81" s="24">
        <f>BT117</f>
        <v>516015</v>
      </c>
      <c r="BU81" s="24">
        <f t="shared" ref="BU81:CH81" si="519">BU117</f>
        <v>609038</v>
      </c>
      <c r="BV81" s="24">
        <f t="shared" si="519"/>
        <v>482329</v>
      </c>
      <c r="BW81" s="24">
        <f t="shared" si="519"/>
        <v>730017</v>
      </c>
      <c r="BX81" s="24">
        <f t="shared" si="519"/>
        <v>274252</v>
      </c>
      <c r="BY81" s="24">
        <f t="shared" si="519"/>
        <v>685169</v>
      </c>
      <c r="BZ81" s="24">
        <f t="shared" si="519"/>
        <v>680510</v>
      </c>
      <c r="CA81" s="24">
        <f t="shared" si="519"/>
        <v>841213</v>
      </c>
      <c r="CB81" s="24">
        <f t="shared" si="519"/>
        <v>565918</v>
      </c>
      <c r="CC81" s="24">
        <f t="shared" si="519"/>
        <v>903850</v>
      </c>
      <c r="CD81" s="24">
        <f t="shared" si="519"/>
        <v>1593333</v>
      </c>
      <c r="CE81" s="24">
        <f t="shared" si="519"/>
        <v>1055991</v>
      </c>
      <c r="CF81" s="24">
        <f t="shared" si="519"/>
        <v>1198409</v>
      </c>
      <c r="CG81" s="24">
        <f t="shared" si="519"/>
        <v>1020309</v>
      </c>
      <c r="CH81" s="24">
        <f t="shared" si="519"/>
        <v>3422604</v>
      </c>
      <c r="CI81" s="24">
        <f t="shared" ref="CI81:DB81" si="520">CI117</f>
        <v>2518462</v>
      </c>
      <c r="CJ81" s="24">
        <f t="shared" si="520"/>
        <v>2456488</v>
      </c>
      <c r="CK81" s="24">
        <f t="shared" si="520"/>
        <v>1957620</v>
      </c>
      <c r="CL81" s="24">
        <f t="shared" si="520"/>
        <v>1814205</v>
      </c>
      <c r="CM81" s="24">
        <f t="shared" si="520"/>
        <v>1778150</v>
      </c>
      <c r="CN81" s="24">
        <f t="shared" si="520"/>
        <v>1091588</v>
      </c>
      <c r="CO81" s="24">
        <f t="shared" si="520"/>
        <v>1049830</v>
      </c>
      <c r="CP81" s="24">
        <f t="shared" si="520"/>
        <v>809364</v>
      </c>
      <c r="CQ81" s="24">
        <f t="shared" si="520"/>
        <v>1018625</v>
      </c>
      <c r="CR81" s="24">
        <f t="shared" si="520"/>
        <v>2326307</v>
      </c>
      <c r="CS81" s="24">
        <f t="shared" si="520"/>
        <v>2371052</v>
      </c>
      <c r="CT81" s="24">
        <f t="shared" si="520"/>
        <v>2564295</v>
      </c>
      <c r="CU81" s="24">
        <f t="shared" si="520"/>
        <v>3104267</v>
      </c>
      <c r="CV81" s="24">
        <f t="shared" si="520"/>
        <v>2200819</v>
      </c>
      <c r="CW81" s="24">
        <f t="shared" si="520"/>
        <v>1880413.7100000002</v>
      </c>
      <c r="CX81" s="24">
        <f t="shared" si="520"/>
        <v>1862349.87</v>
      </c>
      <c r="CY81" s="24">
        <f t="shared" si="520"/>
        <v>2094684.67</v>
      </c>
      <c r="CZ81" s="24">
        <f t="shared" si="520"/>
        <v>1478972.91</v>
      </c>
      <c r="DA81" s="24">
        <f t="shared" si="520"/>
        <v>16244488.270000001</v>
      </c>
      <c r="DB81" s="24">
        <f t="shared" si="520"/>
        <v>14508405.91</v>
      </c>
      <c r="DC81" s="24">
        <f>DC117</f>
        <v>13554211.710000001</v>
      </c>
      <c r="DD81" s="24">
        <f>DD117</f>
        <v>13513986.57</v>
      </c>
      <c r="DE81" s="24">
        <f>DE117</f>
        <v>12733605.9</v>
      </c>
      <c r="DF81" s="24">
        <f>DF117</f>
        <v>11946238.789999999</v>
      </c>
      <c r="DG81" s="24">
        <f>DG117</f>
        <v>11668910.18</v>
      </c>
      <c r="DH81" s="24">
        <f t="shared" ref="DH81:DM81" si="521">DH117</f>
        <v>10625697.26</v>
      </c>
      <c r="DI81" s="24">
        <f t="shared" si="521"/>
        <v>9741402.1877967548</v>
      </c>
      <c r="DJ81" s="24">
        <f t="shared" si="521"/>
        <v>14657634.539999999</v>
      </c>
      <c r="DK81" s="24">
        <f t="shared" si="521"/>
        <v>13372565.02</v>
      </c>
      <c r="DL81" s="24">
        <f t="shared" si="521"/>
        <v>12983481.699999999</v>
      </c>
      <c r="DM81" s="24">
        <f t="shared" si="521"/>
        <v>12171162.170000004</v>
      </c>
      <c r="DN81" s="24">
        <f>DN117</f>
        <v>10616371.91</v>
      </c>
      <c r="DO81" s="24">
        <f t="shared" ref="DO81:DP81" si="522">DO117</f>
        <v>10026678.109999999</v>
      </c>
      <c r="DP81" s="24">
        <f t="shared" si="522"/>
        <v>9613613.3599999994</v>
      </c>
      <c r="DQ81" s="24">
        <f t="shared" ref="DQ81:DV81" si="523">DQ117</f>
        <v>8505448.3900000006</v>
      </c>
      <c r="DR81" s="24">
        <f t="shared" si="523"/>
        <v>7927932.2400000002</v>
      </c>
      <c r="DS81" s="24">
        <f t="shared" si="523"/>
        <v>8765841.25</v>
      </c>
      <c r="DT81" s="24">
        <f t="shared" si="523"/>
        <v>8310817.6399999997</v>
      </c>
      <c r="DU81" s="24">
        <f t="shared" si="523"/>
        <v>12024752.77</v>
      </c>
      <c r="DV81" s="24">
        <f t="shared" si="523"/>
        <v>10392750.890000001</v>
      </c>
      <c r="DW81" s="24">
        <f t="shared" ref="DW81:DZ81" si="524">DW117</f>
        <v>9923628</v>
      </c>
      <c r="DX81" s="24">
        <f t="shared" si="524"/>
        <v>9047234</v>
      </c>
      <c r="DY81" s="548">
        <f t="shared" si="524"/>
        <v>8442636.9970905259</v>
      </c>
      <c r="DZ81" s="24">
        <f t="shared" si="524"/>
        <v>9129620.5600000005</v>
      </c>
      <c r="EA81" s="24">
        <f t="shared" ref="EA81:EB81" si="525">EA117</f>
        <v>7920374.9900000002</v>
      </c>
      <c r="EB81" s="24">
        <f t="shared" si="525"/>
        <v>7017717.7000000002</v>
      </c>
      <c r="EC81" s="24">
        <f t="shared" ref="EC81:EE81" si="526">EC117</f>
        <v>6130834.8700000001</v>
      </c>
      <c r="ED81" s="24">
        <f t="shared" si="526"/>
        <v>6464107.8099999996</v>
      </c>
      <c r="EE81" s="24">
        <f t="shared" si="526"/>
        <v>5559138.8300000001</v>
      </c>
      <c r="EF81" s="24">
        <f t="shared" ref="EF81" si="527">EF117</f>
        <v>6089186.7224634904</v>
      </c>
      <c r="EG81" s="24">
        <f t="shared" ref="EG81:EM81" si="528">EG117</f>
        <v>5673591.8027059296</v>
      </c>
      <c r="EH81" s="24">
        <f t="shared" si="528"/>
        <v>5295596.6294021904</v>
      </c>
      <c r="EI81" s="24">
        <f t="shared" si="528"/>
        <v>4633664.0963715902</v>
      </c>
      <c r="EJ81" s="24">
        <f t="shared" si="528"/>
        <v>4671824.5761107868</v>
      </c>
      <c r="EK81" s="548">
        <f>EK117</f>
        <v>4143324.3771296595</v>
      </c>
      <c r="EL81" s="548">
        <f>EL117</f>
        <v>4385626.7420543507</v>
      </c>
      <c r="EM81" s="548">
        <f t="shared" si="528"/>
        <v>3197701.6310328082</v>
      </c>
      <c r="EN81" s="548">
        <f>2632362.18754199-26569.7029448939</f>
        <v>2605792.4845970962</v>
      </c>
      <c r="EO81" s="548">
        <f>2778751.83676858-19576.14832496</f>
        <v>2759175.6884436202</v>
      </c>
      <c r="EP81" s="548">
        <f>2468183.92044976+580.129159906559</f>
        <v>2468764.0496096662</v>
      </c>
      <c r="EQ81" s="548">
        <f>2388036.28720759-34895.9921824599</f>
        <v>2353140.2950251303</v>
      </c>
      <c r="ER81" s="548">
        <f>3155573.23121543-25262.6779948433</f>
        <v>3130310.5532205869</v>
      </c>
      <c r="ES81" s="548">
        <f>4269667.93261626-14555.9015540332</f>
        <v>4255112.0310622267</v>
      </c>
      <c r="ET81" s="24">
        <f>3406425.12143667+21896.6145897333</f>
        <v>3428321.736026403</v>
      </c>
      <c r="EU81" s="24">
        <f>3016552.97697381+29189.2927231315</f>
        <v>3045742.2696969411</v>
      </c>
      <c r="EV81" s="24">
        <f>2356157.46871165-4974.52859474681</f>
        <v>2351182.9401169033</v>
      </c>
      <c r="EW81" s="24">
        <f>4672940.1</f>
        <v>4672940.0999999996</v>
      </c>
      <c r="EX81" s="24">
        <f>3851685.54+54346.2234248561</f>
        <v>3906031.7634248561</v>
      </c>
      <c r="EY81" s="24">
        <f>3015164.28335278+83951.0033543529</f>
        <v>3099115.2867071331</v>
      </c>
      <c r="EZ81" s="24">
        <f>2774034.22490301+60096.3754730415</f>
        <v>2834130.6003760514</v>
      </c>
      <c r="FA81" s="24">
        <f>2344040.07819684+123058.413756386</f>
        <v>2467098.4919532258</v>
      </c>
      <c r="FB81" s="24">
        <f>2301913.54+125718.321697984</f>
        <v>2427631.8616979839</v>
      </c>
      <c r="FC81" s="24">
        <f>2408045.9174616+129018.307740026</f>
        <v>2537064.2252016263</v>
      </c>
      <c r="FD81" s="24">
        <f>3335424.00407999-33799.0584686127</f>
        <v>3301624.9456113772</v>
      </c>
      <c r="FE81" s="24">
        <f>3312472.15583401-27259.2285961048</f>
        <v>3285212.9272379051</v>
      </c>
      <c r="FF81" s="24">
        <f>2633537.84306776-29587.979256918</f>
        <v>2603949.8638108419</v>
      </c>
      <c r="FG81" s="24">
        <f>2453004.44205656-22786.7587239975</f>
        <v>2430217.6833325624</v>
      </c>
      <c r="FH81" s="24">
        <f>1799802.9878651-24301.1411787807</f>
        <v>1775501.8466863192</v>
      </c>
      <c r="FI81" s="24">
        <f>3117120.11618585-20950.3673085214</f>
        <v>3096169.7488773288</v>
      </c>
      <c r="FJ81" s="24">
        <f>3157101.03614932-10745.72</f>
        <v>3146355.31614932</v>
      </c>
      <c r="FK81" s="455">
        <f>4792915.84-19063.7742633564</f>
        <v>4773852.065736643</v>
      </c>
      <c r="FL81" s="12"/>
      <c r="FM81" s="12"/>
    </row>
    <row r="82" spans="3:177" ht="6" customHeight="1" x14ac:dyDescent="0.35">
      <c r="D82" s="10"/>
      <c r="F82" s="19"/>
      <c r="G82" s="19"/>
      <c r="H82" s="19"/>
      <c r="I82" s="19"/>
      <c r="J82" s="19"/>
      <c r="K82" s="19"/>
      <c r="L82" s="19"/>
      <c r="M82" s="19"/>
      <c r="N82" s="19">
        <f t="shared" si="475"/>
        <v>0</v>
      </c>
      <c r="O82" s="19">
        <f t="shared" si="476"/>
        <v>0</v>
      </c>
      <c r="P82" s="19">
        <f t="shared" si="477"/>
        <v>0</v>
      </c>
      <c r="Q82" s="20"/>
      <c r="R82" s="20"/>
      <c r="S82" s="20"/>
      <c r="T82" s="20"/>
      <c r="U82" s="20"/>
      <c r="V82" s="20"/>
      <c r="W82" s="20"/>
      <c r="X82" s="20"/>
      <c r="AX82" s="19">
        <f t="shared" si="488"/>
        <v>0</v>
      </c>
      <c r="AY82" s="19">
        <f t="shared" si="496"/>
        <v>0</v>
      </c>
      <c r="AZ82" s="19">
        <f t="shared" si="489"/>
        <v>0</v>
      </c>
      <c r="BA82" s="19">
        <f t="shared" si="490"/>
        <v>0</v>
      </c>
      <c r="BB82" s="19">
        <f t="shared" si="491"/>
        <v>0</v>
      </c>
      <c r="BC82" s="19"/>
      <c r="BD82" s="19"/>
      <c r="BE82" s="19"/>
      <c r="BG82" s="20"/>
      <c r="BI82" s="20"/>
      <c r="BK82" s="20"/>
      <c r="BM82" s="20"/>
      <c r="BO82" s="20"/>
      <c r="BQ82" s="20"/>
      <c r="BR82" s="20"/>
      <c r="BS82" s="54"/>
      <c r="BT82" s="20"/>
      <c r="BU82" s="54"/>
      <c r="BV82" s="20"/>
      <c r="BW82" s="54"/>
      <c r="BX82" s="20"/>
      <c r="BZ82" s="20"/>
      <c r="CB82" s="20"/>
      <c r="CO82" s="54"/>
      <c r="CU82" s="54"/>
      <c r="CV82" s="54"/>
      <c r="DA82" s="54"/>
      <c r="DB82" s="54"/>
      <c r="DC82" s="54"/>
      <c r="DD82" s="54"/>
      <c r="DE82" s="54"/>
      <c r="DF82" s="54"/>
      <c r="DG82" s="54"/>
      <c r="DH82" s="54"/>
      <c r="DI82" s="349"/>
      <c r="DJ82" s="349"/>
      <c r="DK82" s="12"/>
      <c r="DL82" s="54"/>
      <c r="DM82" s="54"/>
      <c r="DN82" s="54"/>
      <c r="DO82" s="54"/>
      <c r="DP82" s="54"/>
      <c r="DQ82" s="54"/>
      <c r="DR82" s="54"/>
      <c r="DS82" s="54"/>
      <c r="DT82" s="54"/>
      <c r="DU82" s="54"/>
      <c r="DV82" s="54"/>
      <c r="DW82" s="54"/>
      <c r="DX82" s="12"/>
      <c r="DY82" s="511"/>
      <c r="EI82" s="20"/>
      <c r="EW82" s="382"/>
      <c r="FA82" s="423"/>
      <c r="FB82" s="423"/>
      <c r="FC82" s="423"/>
      <c r="FD82" s="423"/>
      <c r="FE82" s="423"/>
      <c r="FF82" s="423"/>
      <c r="FG82" s="423"/>
      <c r="FH82" s="423"/>
      <c r="FI82" s="423"/>
      <c r="FJ82" s="423"/>
      <c r="FK82" s="686"/>
      <c r="FL82" s="423"/>
      <c r="FM82" s="423"/>
    </row>
    <row r="83" spans="3:177" x14ac:dyDescent="0.35">
      <c r="D83" t="s">
        <v>140</v>
      </c>
      <c r="F83" s="19"/>
      <c r="G83" s="19">
        <f>U83</f>
        <v>-1836074</v>
      </c>
      <c r="H83" s="19">
        <f>Y83</f>
        <v>-1545040</v>
      </c>
      <c r="I83" s="19">
        <f>AC83</f>
        <v>-1965591</v>
      </c>
      <c r="J83" s="19">
        <f>AE83</f>
        <v>-2110595</v>
      </c>
      <c r="K83" s="19">
        <f t="shared" ref="K83:K87" si="529">DM83</f>
        <v>-2866024.4199999995</v>
      </c>
      <c r="L83" s="19">
        <f>DY83</f>
        <v>-2651977.8782990486</v>
      </c>
      <c r="M83" s="19">
        <f>AS83</f>
        <v>-2889805.6199959498</v>
      </c>
      <c r="N83" s="19">
        <f t="shared" si="475"/>
        <v>-4381818.2700000005</v>
      </c>
      <c r="O83" s="19">
        <f t="shared" si="476"/>
        <v>-4120073.5168208689</v>
      </c>
      <c r="P83" s="19">
        <f t="shared" si="477"/>
        <v>-4228544.7223546635</v>
      </c>
      <c r="Q83" s="20"/>
      <c r="R83" s="20">
        <v>-1658000</v>
      </c>
      <c r="S83" s="20">
        <v>-1944000</v>
      </c>
      <c r="T83" s="20">
        <v>-2336000</v>
      </c>
      <c r="U83" s="20">
        <v>-1836074</v>
      </c>
      <c r="V83" s="20">
        <f>BT83</f>
        <v>-1778117</v>
      </c>
      <c r="W83" s="20">
        <f>BW83</f>
        <v>-1699743</v>
      </c>
      <c r="X83" s="20">
        <f>BZ83</f>
        <v>-1579639</v>
      </c>
      <c r="Y83" s="20">
        <f>CC83</f>
        <v>-1545040</v>
      </c>
      <c r="Z83" s="20">
        <f>CF83</f>
        <v>-1734340</v>
      </c>
      <c r="AA83" s="20">
        <f>CI83</f>
        <v>-1635868</v>
      </c>
      <c r="AB83" s="20">
        <f>CL83</f>
        <v>-2018267</v>
      </c>
      <c r="AC83" s="20">
        <f>CO83</f>
        <v>-1965591</v>
      </c>
      <c r="AD83" s="20">
        <f>CR83</f>
        <v>-2510655</v>
      </c>
      <c r="AE83" s="20">
        <f>CU83</f>
        <v>-2110595</v>
      </c>
      <c r="AF83" s="20">
        <f>CX83</f>
        <v>-1860863</v>
      </c>
      <c r="AG83" s="20">
        <f>DA83</f>
        <v>-2522470.5</v>
      </c>
      <c r="AH83" s="20">
        <f>DD83</f>
        <v>-2121007.83</v>
      </c>
      <c r="AI83" s="20">
        <f t="shared" si="493"/>
        <v>-2593488.0099999998</v>
      </c>
      <c r="AJ83" s="20">
        <f t="shared" si="494"/>
        <v>-2792404.26</v>
      </c>
      <c r="AK83" s="20">
        <f>DM83</f>
        <v>-2866024.4199999995</v>
      </c>
      <c r="AL83" s="20">
        <f t="shared" si="479"/>
        <v>-2593796.71</v>
      </c>
      <c r="AM83" s="20">
        <f t="shared" si="480"/>
        <v>-2771222.1100000003</v>
      </c>
      <c r="AN83" s="20">
        <f t="shared" si="499"/>
        <v>-2618390.5</v>
      </c>
      <c r="AO83" s="20">
        <f t="shared" si="481"/>
        <v>-2651977.8782990486</v>
      </c>
      <c r="AP83" s="20">
        <f t="shared" ref="AP83:AP87" si="530">EB83</f>
        <v>-2726074.4382366901</v>
      </c>
      <c r="AQ83" s="20">
        <f t="shared" ref="AQ83:AQ87" si="531">EE83</f>
        <v>-2784174.07</v>
      </c>
      <c r="AR83" s="20">
        <f t="shared" si="484"/>
        <v>-2980622.5185937895</v>
      </c>
      <c r="AS83" s="20">
        <f>EK83</f>
        <v>-2889805.6199959498</v>
      </c>
      <c r="AT83" s="20">
        <f t="shared" si="485"/>
        <v>-3519581.1152969562</v>
      </c>
      <c r="AU83" s="20">
        <f t="shared" si="486"/>
        <v>-3969283.5365101504</v>
      </c>
      <c r="AV83" s="20">
        <f t="shared" si="497"/>
        <v>-4058918.9498229031</v>
      </c>
      <c r="AW83" s="20">
        <f t="shared" si="487"/>
        <v>-4381818.2700000005</v>
      </c>
      <c r="AX83" s="19">
        <f t="shared" si="488"/>
        <v>-4220495.5217263075</v>
      </c>
      <c r="AY83" s="19">
        <f t="shared" si="496"/>
        <v>-4754249.1567503121</v>
      </c>
      <c r="AZ83" s="19">
        <f t="shared" si="489"/>
        <v>-4097355.8026383882</v>
      </c>
      <c r="BA83" s="19">
        <f t="shared" si="490"/>
        <v>-4185025.1949402285</v>
      </c>
      <c r="BB83" s="19">
        <f t="shared" si="491"/>
        <v>-4228544.7223546635</v>
      </c>
      <c r="BC83" s="19"/>
      <c r="BD83" s="19"/>
      <c r="BE83" s="19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>
        <v>-1872326</v>
      </c>
      <c r="BS83" s="20">
        <v>-1720789</v>
      </c>
      <c r="BT83" s="20">
        <v>-1778117</v>
      </c>
      <c r="BU83" s="20">
        <v>-1804013</v>
      </c>
      <c r="BV83" s="20">
        <v>-2005719</v>
      </c>
      <c r="BW83" s="20">
        <f>-1699738-5</f>
        <v>-1699743</v>
      </c>
      <c r="BX83" s="20">
        <v>-1890282</v>
      </c>
      <c r="BY83" s="20">
        <v>-1794131</v>
      </c>
      <c r="BZ83" s="20">
        <v>-1579639</v>
      </c>
      <c r="CA83" s="20">
        <v>-1375446</v>
      </c>
      <c r="CB83" s="20">
        <v>-1372689</v>
      </c>
      <c r="CC83" s="20">
        <v>-1545040</v>
      </c>
      <c r="CD83" s="20">
        <f>-1447284</f>
        <v>-1447284</v>
      </c>
      <c r="CE83" s="20">
        <v>-1544781</v>
      </c>
      <c r="CF83" s="20">
        <f>-1734340</f>
        <v>-1734340</v>
      </c>
      <c r="CG83" s="20">
        <f>-2139209+99500</f>
        <v>-2039709</v>
      </c>
      <c r="CH83" s="20">
        <f>-1845498-29648-81179</f>
        <v>-1956325</v>
      </c>
      <c r="CI83" s="20">
        <f>-1588440-75811+28383</f>
        <v>-1635868</v>
      </c>
      <c r="CJ83" s="20">
        <f>-1904575+29505</f>
        <v>-1875070</v>
      </c>
      <c r="CK83" s="20">
        <f>-1628199+25967-65406</f>
        <v>-1667638</v>
      </c>
      <c r="CL83" s="20">
        <f>-2048855+30588</f>
        <v>-2018267</v>
      </c>
      <c r="CM83" s="20">
        <f>-2053904-103854+25914</f>
        <v>-2131844</v>
      </c>
      <c r="CN83" s="20">
        <f>-1873228-162956+25270</f>
        <v>-2010914</v>
      </c>
      <c r="CO83" s="20">
        <v>-1965591</v>
      </c>
      <c r="CP83" s="20">
        <f>-2315978-75996+30458</f>
        <v>-2361516</v>
      </c>
      <c r="CQ83" s="20">
        <f>-2295922+6356+58895+22888</f>
        <v>-2207783</v>
      </c>
      <c r="CR83" s="20">
        <f>-2535713+6356+18702</f>
        <v>-2510655</v>
      </c>
      <c r="CS83" s="20">
        <f>-2685804+6356+11637</f>
        <v>-2667811</v>
      </c>
      <c r="CT83" s="20">
        <f>-2537140+6977</f>
        <v>-2530163</v>
      </c>
      <c r="CU83" s="20">
        <f>-2109886-709</f>
        <v>-2110595</v>
      </c>
      <c r="CV83" s="20">
        <v>-1991205</v>
      </c>
      <c r="CW83" s="20">
        <f>-2028619.62</f>
        <v>-2028619.62</v>
      </c>
      <c r="CX83" s="20">
        <f>-1886424+25561</f>
        <v>-1860863</v>
      </c>
      <c r="CY83" s="20">
        <f>-2290830.01+4008</f>
        <v>-2286822.0099999998</v>
      </c>
      <c r="CZ83" s="20">
        <f>-2122474.44+1035</f>
        <v>-2121439.44</v>
      </c>
      <c r="DA83" s="20">
        <v>-2522470.5</v>
      </c>
      <c r="DB83" s="20">
        <f>-2512434.9+11764</f>
        <v>-2500670.9</v>
      </c>
      <c r="DC83" s="20">
        <f>-1928700.37-15355</f>
        <v>-1944055.37</v>
      </c>
      <c r="DD83" s="20">
        <f>-2089375.83-31632</f>
        <v>-2121007.83</v>
      </c>
      <c r="DE83" s="20">
        <f>-2212515.85+20709</f>
        <v>-2191806.85</v>
      </c>
      <c r="DF83" s="20">
        <f>-2376378.93+29675</f>
        <v>-2346703.9300000002</v>
      </c>
      <c r="DG83" s="20">
        <f>-2612576.01+19088</f>
        <v>-2593488.0099999998</v>
      </c>
      <c r="DH83" s="20">
        <f>-2619510.76+12025</f>
        <v>-2607485.7599999998</v>
      </c>
      <c r="DI83" s="20">
        <f>-2442077.49+39316.5022032448</f>
        <v>-2402760.9877967555</v>
      </c>
      <c r="DJ83" s="20">
        <f>-2825176.26+32772</f>
        <v>-2792404.26</v>
      </c>
      <c r="DK83" s="20">
        <f>-2594090.7+33673</f>
        <v>-2560417.7000000002</v>
      </c>
      <c r="DL83" s="20">
        <f>-2812599.67+34000</f>
        <v>-2778599.67</v>
      </c>
      <c r="DM83" s="20">
        <v>-2866024.4199999995</v>
      </c>
      <c r="DN83" s="20">
        <f>-2942224.63+44899.09</f>
        <v>-2897325.54</v>
      </c>
      <c r="DO83" s="20">
        <f>-2627735.09+26274.18</f>
        <v>-2601460.9099999997</v>
      </c>
      <c r="DP83" s="20">
        <f>-2586504.36-7292.35</f>
        <v>-2593796.71</v>
      </c>
      <c r="DQ83" s="20">
        <f>-2682401.01+23325.95</f>
        <v>-2659075.0599999996</v>
      </c>
      <c r="DR83" s="20">
        <f>-2665804.01+41204</f>
        <v>-2624600.0099999998</v>
      </c>
      <c r="DS83" s="20">
        <f>-2800572.91+29350.8</f>
        <v>-2771222.1100000003</v>
      </c>
      <c r="DT83" s="20">
        <f>-2245986.74+2415</f>
        <v>-2243571.7400000002</v>
      </c>
      <c r="DU83" s="20">
        <f>-2686991.88+77678</f>
        <v>-2609313.88</v>
      </c>
      <c r="DV83" s="20">
        <f>-2668994.5+27728+22876</f>
        <v>-2618390.5</v>
      </c>
      <c r="DW83" s="20">
        <f>-2745236.06+22766</f>
        <v>-2722470.06</v>
      </c>
      <c r="DX83" s="20">
        <f>-2169239.7+18284</f>
        <v>-2150955.7000000002</v>
      </c>
      <c r="DY83" s="469">
        <v>-2651977.8782990486</v>
      </c>
      <c r="DZ83" s="20">
        <f>-2917159.93+40539+149083.01176331</f>
        <v>-2727537.9182366901</v>
      </c>
      <c r="EA83" s="20">
        <f>-2618966.5+26728+149083.01176331</f>
        <v>-2443155.4882366899</v>
      </c>
      <c r="EB83" s="20">
        <f>-2907693.45+32536+149083.01176331</f>
        <v>-2726074.4382366901</v>
      </c>
      <c r="EC83" s="20">
        <f>-2355818.51+9196+149083.01176331</f>
        <v>-2197539.4982366897</v>
      </c>
      <c r="ED83" s="20">
        <f>-2695849.51+2313+149083.01176331</f>
        <v>-2544453.4982366897</v>
      </c>
      <c r="EE83" s="469">
        <f>-2780285.07-3889</f>
        <v>-2784174.07</v>
      </c>
      <c r="EF83" s="20">
        <f>-3506847.99265804-2263</f>
        <v>-3509110.99265804</v>
      </c>
      <c r="EG83" s="20">
        <v>-2811890.92710343</v>
      </c>
      <c r="EH83" s="20">
        <f>-2949109.84270885-31512.6758849399</f>
        <v>-2980622.5185937895</v>
      </c>
      <c r="EI83" s="20">
        <f>-3102420.94851458-51710.9</f>
        <v>-3154131.8485145797</v>
      </c>
      <c r="EJ83" s="20">
        <f>-2591746.60757249-26506.1820300563</f>
        <v>-2618252.789602546</v>
      </c>
      <c r="EK83" s="469">
        <f>-2884082.37336596-5723.24662998971</f>
        <v>-2889805.6199959498</v>
      </c>
      <c r="EL83" s="469">
        <f>-3179852.04843719+35539.2091236794</f>
        <v>-3144312.8393135103</v>
      </c>
      <c r="EM83" s="469">
        <f>-3694303.00818554+56531.7489671917</f>
        <v>-3637771.2592183482</v>
      </c>
      <c r="EN83" s="469">
        <f>-3546150.81824185+26569.7029448939</f>
        <v>-3519581.1152969562</v>
      </c>
      <c r="EO83" s="469">
        <f>-4406715.14319828+19576.14832496</f>
        <v>-4387138.9948733198</v>
      </c>
      <c r="EP83" s="469">
        <f>-3835648.11621522-580.129159906559</f>
        <v>-3836228.2453751266</v>
      </c>
      <c r="EQ83" s="469">
        <f>-4004179.52869261+34895.9921824599</f>
        <v>-3969283.5365101504</v>
      </c>
      <c r="ER83" s="20">
        <f>-4697830.0499271+25262.6779948433</f>
        <v>-4672567.371932256</v>
      </c>
      <c r="ES83" s="20">
        <f>-3937363.82787576+14555.9015540332</f>
        <v>-3922807.9263217268</v>
      </c>
      <c r="ET83" s="20">
        <f>-4037022.33523317-21896.6145897333</f>
        <v>-4058918.9498229031</v>
      </c>
      <c r="EU83" s="20">
        <f>-4404652.36693368-29189.2927231315</f>
        <v>-4433841.6596568115</v>
      </c>
      <c r="EV83" s="20">
        <f>-4723355.92946604+4974.52859474681</f>
        <v>-4718381.4008712927</v>
      </c>
      <c r="EW83" s="20">
        <v>-4381818.2700000005</v>
      </c>
      <c r="EX83" s="20">
        <f>-3946586.84781045-54346.2234248561</f>
        <v>-4000933.0712353061</v>
      </c>
      <c r="EY83" s="20">
        <f>-4341106.46916961-83951.0033543529</f>
        <v>-4425057.4725239631</v>
      </c>
      <c r="EZ83" s="20">
        <f>-4168389.14625327-60096.3754730415+7990.00000000373</f>
        <v>-4220495.5217263075</v>
      </c>
      <c r="FA83" s="20">
        <v>-4197500.0292523624</v>
      </c>
      <c r="FB83" s="20">
        <v>-4424737.58300333</v>
      </c>
      <c r="FC83" s="20">
        <v>-4754249.1567503121</v>
      </c>
      <c r="FD83" s="20">
        <v>-4238577.8991956934</v>
      </c>
      <c r="FE83" s="20">
        <v>-4191248.1985819107</v>
      </c>
      <c r="FF83" s="20">
        <v>-4097355.8026383882</v>
      </c>
      <c r="FG83" s="20">
        <v>-4120073.5168208689</v>
      </c>
      <c r="FH83" s="20">
        <v>-4112169.3292991756</v>
      </c>
      <c r="FI83" s="20">
        <f>-4205975.56224875+20950.3673085214</f>
        <v>-4185025.1949402285</v>
      </c>
      <c r="FJ83" s="20">
        <f>-3739365.02889979+10745.72</f>
        <v>-3728619.3088997896</v>
      </c>
      <c r="FK83" s="454">
        <f>-4247608.49661802+19063.7742633564</f>
        <v>-4228544.7223546635</v>
      </c>
      <c r="FL83" s="20"/>
      <c r="FM83" s="20"/>
    </row>
    <row r="84" spans="3:177" x14ac:dyDescent="0.35">
      <c r="D84" t="s">
        <v>141</v>
      </c>
      <c r="F84" s="19"/>
      <c r="G84" s="19">
        <f>U84</f>
        <v>-769627</v>
      </c>
      <c r="H84" s="19">
        <f>Y84</f>
        <v>-585512</v>
      </c>
      <c r="I84" s="19">
        <f>AC84</f>
        <v>-1111666</v>
      </c>
      <c r="J84" s="19">
        <f>AE84</f>
        <v>-1141158</v>
      </c>
      <c r="K84" s="19">
        <f t="shared" si="529"/>
        <v>-2275087.5300000003</v>
      </c>
      <c r="L84" s="19">
        <f t="shared" ref="L84:L85" si="532">DY84</f>
        <v>-1898218.9515452539</v>
      </c>
      <c r="M84" s="19">
        <f>AS84</f>
        <v>-2168704.9906521784</v>
      </c>
      <c r="N84" s="19">
        <f t="shared" si="475"/>
        <v>-2541112.46</v>
      </c>
      <c r="O84" s="19">
        <f t="shared" si="476"/>
        <v>-2617656.958147686</v>
      </c>
      <c r="P84" s="19">
        <f t="shared" si="477"/>
        <v>-2392084.169862512</v>
      </c>
      <c r="Q84" s="20"/>
      <c r="R84" s="20">
        <v>-944000</v>
      </c>
      <c r="S84" s="20">
        <v>-883000</v>
      </c>
      <c r="T84" s="20">
        <v>-1017000</v>
      </c>
      <c r="U84" s="20">
        <v>-769627</v>
      </c>
      <c r="V84" s="20">
        <f>BT84</f>
        <v>-809726</v>
      </c>
      <c r="W84" s="20">
        <f>BW84</f>
        <v>-917857</v>
      </c>
      <c r="X84" s="20">
        <f>BZ84</f>
        <v>-1017121</v>
      </c>
      <c r="Y84" s="20">
        <f>CC84</f>
        <v>-585512</v>
      </c>
      <c r="Z84" s="20">
        <f>CF84</f>
        <v>-814312</v>
      </c>
      <c r="AA84" s="20">
        <f>CI84</f>
        <v>-702166</v>
      </c>
      <c r="AB84" s="20">
        <f>CL84</f>
        <v>-682772</v>
      </c>
      <c r="AC84" s="20">
        <f>CO84</f>
        <v>-1111666</v>
      </c>
      <c r="AD84" s="20">
        <f>CR84</f>
        <v>-881062</v>
      </c>
      <c r="AE84" s="20">
        <f>CU84</f>
        <v>-1141158</v>
      </c>
      <c r="AF84" s="20">
        <f>CX84</f>
        <v>-1192896.47</v>
      </c>
      <c r="AG84" s="20">
        <f>DA84</f>
        <v>-1656484.65</v>
      </c>
      <c r="AH84" s="20">
        <f>DD84</f>
        <v>-1066222.1499999999</v>
      </c>
      <c r="AI84" s="20">
        <f t="shared" si="493"/>
        <v>-1264429.6200000003</v>
      </c>
      <c r="AJ84" s="20">
        <f t="shared" si="494"/>
        <v>-1462148.1399999997</v>
      </c>
      <c r="AK84" s="20">
        <f>DM84</f>
        <v>-2275087.5300000003</v>
      </c>
      <c r="AL84" s="20">
        <f t="shared" si="479"/>
        <v>-2036467.9399999997</v>
      </c>
      <c r="AM84" s="20">
        <f>DS84</f>
        <v>-1683081.3</v>
      </c>
      <c r="AN84" s="20">
        <f>DV84</f>
        <v>-2190455.5200000005</v>
      </c>
      <c r="AO84" s="20">
        <f>DY84</f>
        <v>-1898218.9515452539</v>
      </c>
      <c r="AP84" s="20">
        <f t="shared" si="530"/>
        <v>-1854967.38</v>
      </c>
      <c r="AQ84" s="20">
        <f t="shared" si="531"/>
        <v>-1908393.3499999999</v>
      </c>
      <c r="AR84" s="20">
        <f t="shared" si="484"/>
        <v>-2079841.5217740841</v>
      </c>
      <c r="AS84" s="20">
        <f t="shared" si="518"/>
        <v>-2168704.9906521784</v>
      </c>
      <c r="AT84" s="20">
        <f t="shared" si="485"/>
        <v>-1715996.0962486309</v>
      </c>
      <c r="AU84" s="20">
        <f t="shared" si="486"/>
        <v>-1864052.2983293792</v>
      </c>
      <c r="AV84" s="20">
        <f t="shared" si="497"/>
        <v>-1992129.8360866127</v>
      </c>
      <c r="AW84" s="20">
        <f t="shared" si="487"/>
        <v>-2541112.46</v>
      </c>
      <c r="AX84" s="19">
        <f t="shared" si="488"/>
        <v>-2522815.1664308649</v>
      </c>
      <c r="AY84" s="19">
        <f t="shared" si="496"/>
        <v>-2832173.98561273</v>
      </c>
      <c r="AZ84" s="19">
        <f t="shared" si="489"/>
        <v>-2793983.7519515171</v>
      </c>
      <c r="BA84" s="19">
        <f t="shared" si="490"/>
        <v>-3139344.6321853623</v>
      </c>
      <c r="BB84" s="19">
        <f t="shared" si="491"/>
        <v>-2392084.169862512</v>
      </c>
      <c r="BC84" s="19"/>
      <c r="BD84" s="19"/>
      <c r="BE84" s="19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>
        <f>-762611-83630</f>
        <v>-846241</v>
      </c>
      <c r="BS84" s="20">
        <v>-690167</v>
      </c>
      <c r="BT84" s="20">
        <v>-809726</v>
      </c>
      <c r="BU84" s="20">
        <v>-821634</v>
      </c>
      <c r="BV84" s="20">
        <v>-797566</v>
      </c>
      <c r="BW84" s="20">
        <v>-917857</v>
      </c>
      <c r="BX84" s="20">
        <v>-788685</v>
      </c>
      <c r="BY84" s="20">
        <f>-954248-20000</f>
        <v>-974248</v>
      </c>
      <c r="BZ84" s="20">
        <f>-1017121</f>
        <v>-1017121</v>
      </c>
      <c r="CA84" s="20">
        <v>-908004</v>
      </c>
      <c r="CB84" s="20">
        <f>-841846-52742+130000</f>
        <v>-764588</v>
      </c>
      <c r="CC84" s="20">
        <v>-585512</v>
      </c>
      <c r="CD84" s="20">
        <f>-780420-67922-22000-45000-15000</f>
        <v>-930342</v>
      </c>
      <c r="CE84" s="82">
        <f>-698045-67922-22000-45000-15000+36000+17000-11000+60000</f>
        <v>-745967</v>
      </c>
      <c r="CF84" s="20">
        <f>-746390-67922</f>
        <v>-814312</v>
      </c>
      <c r="CG84" s="20">
        <f>-727956-67922</f>
        <v>-795878</v>
      </c>
      <c r="CH84" s="20">
        <f>-800265-67922+120000</f>
        <v>-748187</v>
      </c>
      <c r="CI84" s="20">
        <f>-822166+120000</f>
        <v>-702166</v>
      </c>
      <c r="CJ84" s="20">
        <f>-705807+120000</f>
        <v>-585807</v>
      </c>
      <c r="CK84" s="20">
        <f>-776251+120000+40000</f>
        <v>-616251</v>
      </c>
      <c r="CL84" s="20">
        <f>-802772+120000</f>
        <v>-682772</v>
      </c>
      <c r="CM84" s="20">
        <f>-808277+120000</f>
        <v>-688277</v>
      </c>
      <c r="CN84" s="20">
        <v>-863166</v>
      </c>
      <c r="CO84" s="20">
        <v>-1111666</v>
      </c>
      <c r="CP84" s="20">
        <f>-732290-174225</f>
        <v>-906515</v>
      </c>
      <c r="CQ84" s="20">
        <v>-819467</v>
      </c>
      <c r="CR84" s="20">
        <v>-881062</v>
      </c>
      <c r="CS84" s="20">
        <v>-851357</v>
      </c>
      <c r="CT84" s="20">
        <f>-728374-189836</f>
        <v>-918210</v>
      </c>
      <c r="CU84" s="20">
        <v>-1141158</v>
      </c>
      <c r="CV84" s="20">
        <v>-905747</v>
      </c>
      <c r="CW84" s="20">
        <v>-864823.48</v>
      </c>
      <c r="CX84" s="20">
        <v>-1192896.47</v>
      </c>
      <c r="CY84" s="20">
        <v>-1135956.0699999998</v>
      </c>
      <c r="CZ84" s="20">
        <f>-1287200.17</f>
        <v>-1287200.17</v>
      </c>
      <c r="DA84" s="20">
        <v>-1656484.65</v>
      </c>
      <c r="DB84" s="20">
        <v>-876016.05999999994</v>
      </c>
      <c r="DC84" s="20">
        <v>-953656.31</v>
      </c>
      <c r="DD84" s="20">
        <v>-1066222.1499999999</v>
      </c>
      <c r="DE84" s="20">
        <v>-946426.32000000007</v>
      </c>
      <c r="DF84" s="20">
        <v>-1070398.96</v>
      </c>
      <c r="DG84" s="20">
        <v>-1264429.6200000003</v>
      </c>
      <c r="DH84" s="20">
        <v>-1214406.6700000004</v>
      </c>
      <c r="DI84" s="20">
        <v>-1342257.81</v>
      </c>
      <c r="DJ84" s="20">
        <v>-1462148.1399999997</v>
      </c>
      <c r="DK84" s="20">
        <v>-1806014.15</v>
      </c>
      <c r="DL84" s="20">
        <v>-1777603.5399999998</v>
      </c>
      <c r="DM84" s="20">
        <v>-2275087.5300000003</v>
      </c>
      <c r="DN84" s="20">
        <v>-1502652.8299999998</v>
      </c>
      <c r="DO84" s="20">
        <v>-2093116</v>
      </c>
      <c r="DP84" s="20">
        <v>-2036467.9399999997</v>
      </c>
      <c r="DQ84" s="20">
        <v>-2092550.75</v>
      </c>
      <c r="DR84" s="20">
        <v>-1771451.7200000002</v>
      </c>
      <c r="DS84" s="20">
        <v>-1683081.3</v>
      </c>
      <c r="DT84" s="20">
        <v>-2179425.13</v>
      </c>
      <c r="DU84" s="20">
        <v>-1826386.44</v>
      </c>
      <c r="DV84" s="20">
        <v>-2190455.5200000005</v>
      </c>
      <c r="DW84" s="20">
        <v>-2037631.0700000003</v>
      </c>
      <c r="DX84" s="20">
        <v>-2073144.3599999996</v>
      </c>
      <c r="DY84" s="469">
        <v>-1898218.9515452539</v>
      </c>
      <c r="DZ84" s="20">
        <v>-2039574.7199999997</v>
      </c>
      <c r="EA84" s="20">
        <v>-1702997.4699999997</v>
      </c>
      <c r="EB84" s="20">
        <v>-1854967.38</v>
      </c>
      <c r="EC84" s="20">
        <v>-1905517.82</v>
      </c>
      <c r="ED84" s="20">
        <v>-1860313.8197386265</v>
      </c>
      <c r="EE84" s="20">
        <v>-1908393.3499999999</v>
      </c>
      <c r="EF84" s="20">
        <v>-1834514.2795637916</v>
      </c>
      <c r="EG84" s="20">
        <v>-1895805.3387407653</v>
      </c>
      <c r="EH84" s="20">
        <v>-2079841.5217740841</v>
      </c>
      <c r="EI84" s="20">
        <v>-1957916.6051166044</v>
      </c>
      <c r="EJ84" s="20">
        <v>-2145597.9800000004</v>
      </c>
      <c r="EK84" s="469">
        <v>-2168704.9906521784</v>
      </c>
      <c r="EL84" s="469">
        <v>-1899068.1803826848</v>
      </c>
      <c r="EM84" s="469">
        <v>-1544740.8040886219</v>
      </c>
      <c r="EN84" s="469">
        <v>-1715996.0962486309</v>
      </c>
      <c r="EO84" s="469">
        <v>-1621898.4937555459</v>
      </c>
      <c r="EP84" s="469">
        <v>-1734618.8238616472</v>
      </c>
      <c r="EQ84" s="469">
        <v>-1864052.2983293792</v>
      </c>
      <c r="ER84" s="20">
        <f>-1886673.51121764+43000</f>
        <v>-1843673.51121764</v>
      </c>
      <c r="ES84" s="20">
        <v>-1901546.3743982574</v>
      </c>
      <c r="ET84" s="20">
        <v>-1992129.8360866127</v>
      </c>
      <c r="EU84" s="20">
        <v>-1999845.6024085144</v>
      </c>
      <c r="EV84" s="20">
        <v>-2080150.6085107403</v>
      </c>
      <c r="EW84" s="20">
        <v>-2541112.46</v>
      </c>
      <c r="EX84" s="20">
        <v>-2502493.5662177172</v>
      </c>
      <c r="EY84" s="20">
        <v>-2452113.9985728771</v>
      </c>
      <c r="EZ84" s="20">
        <v>-2522815.1664308649</v>
      </c>
      <c r="FA84" s="20">
        <v>-2535198.654828026</v>
      </c>
      <c r="FB84" s="20">
        <f>-2757318.79959342+30192</f>
        <v>-2727126.7995934198</v>
      </c>
      <c r="FC84" s="20">
        <v>-2832173.98561273</v>
      </c>
      <c r="FD84" s="20">
        <v>-2771481.1114499499</v>
      </c>
      <c r="FE84" s="20">
        <v>-2716800.4625200415</v>
      </c>
      <c r="FF84" s="20">
        <v>-2793983.7519515171</v>
      </c>
      <c r="FG84" s="20">
        <v>-2617656.958147686</v>
      </c>
      <c r="FH84" s="20">
        <v>-2720362.4563416862</v>
      </c>
      <c r="FI84" s="20">
        <v>-3139344.6321853623</v>
      </c>
      <c r="FJ84" s="20">
        <v>-2718812.7629185407</v>
      </c>
      <c r="FK84" s="454">
        <v>-2392084.169862512</v>
      </c>
      <c r="FL84" s="20"/>
      <c r="FM84" s="20"/>
    </row>
    <row r="85" spans="3:177" x14ac:dyDescent="0.35">
      <c r="C85" s="36"/>
      <c r="D85" s="36" t="s">
        <v>142</v>
      </c>
      <c r="E85" s="36"/>
      <c r="F85" s="37"/>
      <c r="G85" s="37">
        <f>U85</f>
        <v>-2529327</v>
      </c>
      <c r="H85" s="37">
        <f>Y85</f>
        <v>-3708790</v>
      </c>
      <c r="I85" s="37">
        <f>AC85</f>
        <v>-1227010</v>
      </c>
      <c r="J85" s="37">
        <f>AE85</f>
        <v>-1422227</v>
      </c>
      <c r="K85" s="37">
        <f t="shared" si="529"/>
        <v>-235136.93999999994</v>
      </c>
      <c r="L85" s="37">
        <f t="shared" si="532"/>
        <v>-173280.84999999963</v>
      </c>
      <c r="M85" s="19">
        <f>AS85</f>
        <v>-264960.87999999989</v>
      </c>
      <c r="N85" s="19">
        <f t="shared" si="475"/>
        <v>-901124.75</v>
      </c>
      <c r="O85" s="19">
        <f t="shared" si="476"/>
        <v>-1014436.8000000007</v>
      </c>
      <c r="P85" s="19">
        <f t="shared" si="477"/>
        <v>-1810104</v>
      </c>
      <c r="Q85" s="38"/>
      <c r="R85" s="38">
        <v>-714000</v>
      </c>
      <c r="S85" s="38">
        <v>-1391000</v>
      </c>
      <c r="T85" s="38">
        <v>-1467000</v>
      </c>
      <c r="U85" s="38">
        <v>-2529327</v>
      </c>
      <c r="V85" s="38">
        <f>BT85</f>
        <v>-2716328</v>
      </c>
      <c r="W85" s="38">
        <f>BW85</f>
        <v>-3372745</v>
      </c>
      <c r="X85" s="38">
        <f>BZ85</f>
        <v>-3508262</v>
      </c>
      <c r="Y85" s="38">
        <f>CC85</f>
        <v>-3708790</v>
      </c>
      <c r="Z85" s="38">
        <f>CF85</f>
        <v>-3852250</v>
      </c>
      <c r="AA85" s="38">
        <f>CI85</f>
        <v>-1008841</v>
      </c>
      <c r="AB85" s="38">
        <f>CL85</f>
        <v>-1154683</v>
      </c>
      <c r="AC85" s="38">
        <f>CO85</f>
        <v>-1227010</v>
      </c>
      <c r="AD85" s="38">
        <f>CR85</f>
        <v>-1350629</v>
      </c>
      <c r="AE85" s="38">
        <f>CU85</f>
        <v>-1422227</v>
      </c>
      <c r="AF85" s="38">
        <f>CX85</f>
        <v>-1509615.2599999998</v>
      </c>
      <c r="AG85" s="38">
        <f>DA85</f>
        <v>-455623.7200000002</v>
      </c>
      <c r="AH85" s="38">
        <f>DD85</f>
        <v>-457240.98</v>
      </c>
      <c r="AI85" s="38">
        <f t="shared" si="493"/>
        <v>-458363.95999999996</v>
      </c>
      <c r="AJ85" s="38">
        <f t="shared" si="494"/>
        <v>-272675</v>
      </c>
      <c r="AK85" s="20">
        <f>DM85</f>
        <v>-235136.93999999994</v>
      </c>
      <c r="AL85" s="38">
        <f t="shared" si="479"/>
        <v>-234758.68000000017</v>
      </c>
      <c r="AM85" s="38">
        <f t="shared" si="480"/>
        <v>-156247.14000000013</v>
      </c>
      <c r="AN85" s="38">
        <f t="shared" si="499"/>
        <v>-160398.25999999978</v>
      </c>
      <c r="AO85" s="20">
        <f t="shared" si="481"/>
        <v>-173280.84999999963</v>
      </c>
      <c r="AP85" s="20">
        <f t="shared" si="530"/>
        <v>-178991.38999999966</v>
      </c>
      <c r="AQ85" s="20">
        <f t="shared" si="531"/>
        <v>-186667.86000000034</v>
      </c>
      <c r="AR85" s="20">
        <f t="shared" si="484"/>
        <v>-194391.25999999978</v>
      </c>
      <c r="AS85" s="20">
        <f t="shared" si="518"/>
        <v>-264960.87999999989</v>
      </c>
      <c r="AT85" s="20">
        <f t="shared" si="485"/>
        <v>-267173.83000000007</v>
      </c>
      <c r="AU85" s="20">
        <f t="shared" si="486"/>
        <v>-1284802.1000000001</v>
      </c>
      <c r="AV85" s="20">
        <f t="shared" si="497"/>
        <v>-803971.06</v>
      </c>
      <c r="AW85" s="20">
        <f t="shared" si="487"/>
        <v>-901124.75</v>
      </c>
      <c r="AX85" s="19">
        <f t="shared" si="488"/>
        <v>-536725.5</v>
      </c>
      <c r="AY85" s="19">
        <f t="shared" si="496"/>
        <v>-686711.91999999993</v>
      </c>
      <c r="AZ85" s="19">
        <f t="shared" si="489"/>
        <v>-886045.75</v>
      </c>
      <c r="BA85" s="19">
        <f t="shared" si="490"/>
        <v>-2226037.1999999993</v>
      </c>
      <c r="BB85" s="19">
        <f t="shared" si="491"/>
        <v>-1810104</v>
      </c>
      <c r="BC85" s="19"/>
      <c r="BD85" s="19"/>
      <c r="BE85" s="19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>
        <f>U85-BR134-BR110</f>
        <v>-2813967</v>
      </c>
      <c r="BS85" s="38">
        <f>BR85-BS134-BS110</f>
        <v>-2845935</v>
      </c>
      <c r="BT85" s="38">
        <f>BS85-BT134-BT110+165000</f>
        <v>-2716328</v>
      </c>
      <c r="BU85" s="38">
        <f t="shared" ref="BU85:CA85" si="533">BT85-BU134-BU110</f>
        <v>-2750580</v>
      </c>
      <c r="BV85" s="38">
        <f t="shared" si="533"/>
        <v>-2785973</v>
      </c>
      <c r="BW85" s="38">
        <f t="shared" si="533"/>
        <v>-3372745</v>
      </c>
      <c r="BX85" s="38">
        <f t="shared" si="533"/>
        <v>-3416420</v>
      </c>
      <c r="BY85" s="38">
        <f t="shared" si="533"/>
        <v>-3462013</v>
      </c>
      <c r="BZ85" s="38">
        <f t="shared" si="533"/>
        <v>-3508262</v>
      </c>
      <c r="CA85" s="38">
        <f t="shared" si="533"/>
        <v>-3546033</v>
      </c>
      <c r="CB85" s="38">
        <f>-3783475+165000</f>
        <v>-3618475</v>
      </c>
      <c r="CC85" s="38">
        <f>-3607199-101591</f>
        <v>-3708790</v>
      </c>
      <c r="CD85" s="38">
        <f>-3550704-101591</f>
        <v>-3652295</v>
      </c>
      <c r="CE85" s="38">
        <f>-3705441-101591</f>
        <v>-3807032</v>
      </c>
      <c r="CF85" s="38">
        <f>-3750659-101591</f>
        <v>-3852250</v>
      </c>
      <c r="CG85" s="38">
        <f>-3789230-101591</f>
        <v>-3890821</v>
      </c>
      <c r="CH85" s="38">
        <f>-6307750-101591+2500000+2935000</f>
        <v>-974341</v>
      </c>
      <c r="CI85" s="38">
        <f>-6342250-101591+2500000+2935000</f>
        <v>-1008841</v>
      </c>
      <c r="CJ85" s="38">
        <f>-6385931-101591+2500000+2935000</f>
        <v>-1052522</v>
      </c>
      <c r="CK85" s="38">
        <f>-6437833-101591+2500000+2935000</f>
        <v>-1104424</v>
      </c>
      <c r="CL85" s="38">
        <f>-6488092-101591+2500000+2935000</f>
        <v>-1154683</v>
      </c>
      <c r="CM85" s="38">
        <f>-6484752-101591+2500000+2935000</f>
        <v>-1151343</v>
      </c>
      <c r="CN85" s="38">
        <f>-3600335-101591+2500000</f>
        <v>-1201926</v>
      </c>
      <c r="CO85" s="38">
        <f>-3625419-101591+2500000</f>
        <v>-1227010</v>
      </c>
      <c r="CP85" s="38">
        <f>-3648933-101591+2500000</f>
        <v>-1250524</v>
      </c>
      <c r="CQ85" s="38">
        <f>-3697114-101591+2500000</f>
        <v>-1298705</v>
      </c>
      <c r="CR85" s="38">
        <f>-5519038-101591+2500000+270000+1500000</f>
        <v>-1350629</v>
      </c>
      <c r="CS85" s="38">
        <f>-5204381-101591+4000000</f>
        <v>-1305972</v>
      </c>
      <c r="CT85" s="38">
        <f>-5263461-101591+4000000</f>
        <v>-1365052</v>
      </c>
      <c r="CU85" s="38">
        <f>-5320636-101591+4000000</f>
        <v>-1422227</v>
      </c>
      <c r="CV85" s="38">
        <f>-5227211+3733333+100000</f>
        <v>-1393878</v>
      </c>
      <c r="CW85" s="38">
        <f>-5186028.4+3733333</f>
        <v>-1452695.4000000004</v>
      </c>
      <c r="CX85" s="38">
        <f>-5242948.26+3733333</f>
        <v>-1509615.2599999998</v>
      </c>
      <c r="CY85" s="38">
        <f>-4948449.56+3466666</f>
        <v>-1481783.5599999996</v>
      </c>
      <c r="CZ85" s="38">
        <f>-5000149.29+3466666</f>
        <v>-1533483.29</v>
      </c>
      <c r="DA85" s="38">
        <f>-3922289.72+3466666</f>
        <v>-455623.7200000002</v>
      </c>
      <c r="DB85" s="38">
        <f>-4771098.47+3199999+1225396</f>
        <v>-345703.46999999974</v>
      </c>
      <c r="DC85" s="38">
        <f>-3633847.81+3199999</f>
        <v>-433848.81000000006</v>
      </c>
      <c r="DD85" s="38">
        <f>-3657239.98+3199999</f>
        <v>-457240.98</v>
      </c>
      <c r="DE85" s="38">
        <f>-3349058.29+2933332</f>
        <v>-415726.29000000004</v>
      </c>
      <c r="DF85" s="38">
        <f>-3370726.61+2933332</f>
        <v>-437394.60999999987</v>
      </c>
      <c r="DG85" s="38">
        <f>-3391695.96+2933332</f>
        <v>-458363.95999999996</v>
      </c>
      <c r="DH85" s="38">
        <f>-3086928.28+2666665</f>
        <v>-420263.2799999998</v>
      </c>
      <c r="DI85" s="38">
        <f>-3107356.33+2666665</f>
        <v>-440691.33000000007</v>
      </c>
      <c r="DJ85" s="38">
        <f>-2939340+2666665</f>
        <v>-272675</v>
      </c>
      <c r="DK85" s="38">
        <f>-2637140.36+0.97+2399998</f>
        <v>-237141.38999999966</v>
      </c>
      <c r="DL85" s="38">
        <f>-2654183.63+0.97+2399998</f>
        <v>-254184.65999999968</v>
      </c>
      <c r="DM85" s="20">
        <f>-2635134.94+2399998</f>
        <v>-235136.93999999994</v>
      </c>
      <c r="DN85" s="20">
        <f>-2336174.66+2133331</f>
        <v>-202843.66000000015</v>
      </c>
      <c r="DO85" s="20">
        <f>-2351290.03+2133331</f>
        <v>-217959.0299999998</v>
      </c>
      <c r="DP85" s="20">
        <f>-2368089.68+2133331</f>
        <v>-234758.68000000017</v>
      </c>
      <c r="DQ85" s="20">
        <f>-2073523.36+1866664</f>
        <v>-206859.3600000001</v>
      </c>
      <c r="DR85" s="20">
        <f>-2089190.58+1866664</f>
        <v>-222526.58000000007</v>
      </c>
      <c r="DS85" s="20">
        <f>-3656247.14+3500000</f>
        <v>-156247.14000000013</v>
      </c>
      <c r="DT85" s="20">
        <f>-3670487.53+3500000</f>
        <v>-170487.5299999998</v>
      </c>
      <c r="DU85" s="20">
        <f>-7194053.27+7000000</f>
        <v>-194053.26999999955</v>
      </c>
      <c r="DV85" s="20">
        <f>-6787065.26+6626667</f>
        <v>-160398.25999999978</v>
      </c>
      <c r="DW85" s="20">
        <f>-6847953.32+6626667</f>
        <v>-221286.3200000003</v>
      </c>
      <c r="DX85" s="20">
        <f>-6906877+6626667</f>
        <v>-280210</v>
      </c>
      <c r="DY85" s="469">
        <f>-6426614.85+6253334</f>
        <v>-173280.84999999963</v>
      </c>
      <c r="DZ85" s="20">
        <f>-6485234.65+6253334</f>
        <v>-231900.65000000037</v>
      </c>
      <c r="EA85" s="20">
        <f>-6538389.1+6253334</f>
        <v>-285055.09999999963</v>
      </c>
      <c r="EB85" s="20">
        <f>-6058992.39+5880001</f>
        <v>-178991.38999999966</v>
      </c>
      <c r="EC85" s="20">
        <f>-6112619.09+5880001</f>
        <v>-232618.08999999985</v>
      </c>
      <c r="ED85" s="20">
        <f>-6167995.49+5880001</f>
        <v>-287994.49000000022</v>
      </c>
      <c r="EE85" s="20">
        <f>-5693335.86+5506668</f>
        <v>-186667.86000000034</v>
      </c>
      <c r="EF85" s="20">
        <v>-242044.26999999955</v>
      </c>
      <c r="EG85" s="20">
        <v>-290717.66000000015</v>
      </c>
      <c r="EH85" s="20">
        <v>-194391.25999999978</v>
      </c>
      <c r="EI85" s="20">
        <v>-243064.65000000037</v>
      </c>
      <c r="EJ85" s="20">
        <v>-182481.94000000041</v>
      </c>
      <c r="EK85" s="469">
        <v>-264960.87999999989</v>
      </c>
      <c r="EL85" s="469">
        <f>-277763.88-32927.08</f>
        <v>-310690.96000000002</v>
      </c>
      <c r="EM85" s="469">
        <v>-219167.94000000041</v>
      </c>
      <c r="EN85" s="469">
        <v>-267173.83000000007</v>
      </c>
      <c r="EO85" s="469">
        <v>-313659.6799999997</v>
      </c>
      <c r="EP85" s="469">
        <f>-232562.83-500000</f>
        <v>-732562.83</v>
      </c>
      <c r="EQ85" s="469">
        <f>-284802.1-1000000</f>
        <v>-1284802.1000000001</v>
      </c>
      <c r="ER85" s="20">
        <f>-340841.01-1000000</f>
        <v>-1340841.01</v>
      </c>
      <c r="ES85" s="20">
        <f>-2749212.14+2500000-1000000</f>
        <v>-1249212.1400000001</v>
      </c>
      <c r="ET85" s="20">
        <f>-2803971.06+2500000-500000</f>
        <v>-803971.06</v>
      </c>
      <c r="EU85" s="20">
        <f>-2882054.65+2500000-500000</f>
        <v>-882054.64999999991</v>
      </c>
      <c r="EV85" s="20">
        <f>-2813869.56+2500000-500000</f>
        <v>-813869.56</v>
      </c>
      <c r="EW85" s="20">
        <f>-11451124.75+6000000+4550000</f>
        <v>-901124.75</v>
      </c>
      <c r="EX85" s="20">
        <f>-11579986.73+6000000+4580000</f>
        <v>-999986.73000000045</v>
      </c>
      <c r="EY85" s="20">
        <f>-11023195.72+6000000+4580000</f>
        <v>-443195.72000000067</v>
      </c>
      <c r="EZ85" s="20">
        <f>-11116725.5+6000000+4580000</f>
        <v>-536725.5</v>
      </c>
      <c r="FA85" s="20">
        <f>-11214816.87+6000000+4580000</f>
        <v>-634816.86999999918</v>
      </c>
      <c r="FB85" s="20">
        <f>-11180094.58+6000000+4580000</f>
        <v>-600094.58000000007</v>
      </c>
      <c r="FC85" s="20">
        <f>-11266711.92+6000000+4580000</f>
        <v>-686711.91999999993</v>
      </c>
      <c r="FD85" s="20">
        <f>-13056582.8+6000000+6270000</f>
        <v>-786582.80000000075</v>
      </c>
      <c r="FE85" s="20">
        <f>-13052065.34+6000000+6270000</f>
        <v>-782065.33999999985</v>
      </c>
      <c r="FF85" s="20">
        <f>-13156045.75+6000000+6270000</f>
        <v>-886045.75</v>
      </c>
      <c r="FG85" s="20">
        <f>-13284436.8+6000000+6270000</f>
        <v>-1014436.8000000007</v>
      </c>
      <c r="FH85" s="20">
        <f>-13758701.75+6000000+6270000</f>
        <v>-1488701.75</v>
      </c>
      <c r="FI85" s="20">
        <f>-14496037.2+6000000+6270000</f>
        <v>-2226037.1999999993</v>
      </c>
      <c r="FJ85" s="20">
        <f>-14613219.75+6000000+6270000</f>
        <v>-2343219.75</v>
      </c>
      <c r="FK85" s="454">
        <f>-16780104+6000000+6270000+2700000</f>
        <v>-1810104</v>
      </c>
      <c r="FL85" s="20"/>
      <c r="FM85" s="20"/>
    </row>
    <row r="86" spans="3:177" x14ac:dyDescent="0.35">
      <c r="C86" s="10" t="s">
        <v>143</v>
      </c>
      <c r="F86" s="11"/>
      <c r="G86" s="11">
        <f>U86</f>
        <v>-5135028</v>
      </c>
      <c r="H86" s="11">
        <f>Y86</f>
        <v>-5839342</v>
      </c>
      <c r="I86" s="11">
        <f>AC86</f>
        <v>-4304267</v>
      </c>
      <c r="J86" s="11">
        <f>AE86</f>
        <v>-4673980</v>
      </c>
      <c r="K86" s="11">
        <f t="shared" si="529"/>
        <v>-5376248.8899999987</v>
      </c>
      <c r="L86" s="11">
        <f>DY86</f>
        <v>-4723477.6798443021</v>
      </c>
      <c r="M86" s="463">
        <f>AS86</f>
        <v>-5323471.4906481281</v>
      </c>
      <c r="N86" s="463">
        <f t="shared" si="475"/>
        <v>-7824055.4800000004</v>
      </c>
      <c r="O86" s="463">
        <f t="shared" si="476"/>
        <v>-7752167.2749685552</v>
      </c>
      <c r="P86" s="463">
        <f t="shared" si="477"/>
        <v>-8430732.892217176</v>
      </c>
      <c r="Q86" s="20"/>
      <c r="R86" s="12">
        <f t="shared" ref="R86:AF86" si="534">SUM(R83:R85)</f>
        <v>-3316000</v>
      </c>
      <c r="S86" s="12">
        <f t="shared" si="534"/>
        <v>-4218000</v>
      </c>
      <c r="T86" s="12">
        <f t="shared" si="534"/>
        <v>-4820000</v>
      </c>
      <c r="U86" s="12">
        <f t="shared" si="534"/>
        <v>-5135028</v>
      </c>
      <c r="V86" s="12">
        <f t="shared" si="534"/>
        <v>-5304171</v>
      </c>
      <c r="W86" s="12">
        <f t="shared" si="534"/>
        <v>-5990345</v>
      </c>
      <c r="X86" s="12">
        <f t="shared" si="534"/>
        <v>-6105022</v>
      </c>
      <c r="Y86" s="12">
        <f t="shared" si="534"/>
        <v>-5839342</v>
      </c>
      <c r="Z86" s="12">
        <f t="shared" si="534"/>
        <v>-6400902</v>
      </c>
      <c r="AA86" s="12">
        <f t="shared" si="534"/>
        <v>-3346875</v>
      </c>
      <c r="AB86" s="12">
        <f t="shared" si="534"/>
        <v>-3855722</v>
      </c>
      <c r="AC86" s="12">
        <f t="shared" si="534"/>
        <v>-4304267</v>
      </c>
      <c r="AD86" s="12">
        <f t="shared" si="534"/>
        <v>-4742346</v>
      </c>
      <c r="AE86" s="12">
        <f t="shared" si="534"/>
        <v>-4673980</v>
      </c>
      <c r="AF86" s="12">
        <f t="shared" si="534"/>
        <v>-4563374.7299999995</v>
      </c>
      <c r="AG86" s="12">
        <f>DA86</f>
        <v>-4634578.87</v>
      </c>
      <c r="AH86" s="12">
        <f>DD86</f>
        <v>-3644470.96</v>
      </c>
      <c r="AI86" s="12">
        <f t="shared" si="493"/>
        <v>-4316281.59</v>
      </c>
      <c r="AJ86" s="12">
        <f t="shared" si="494"/>
        <v>-4527227.3999999994</v>
      </c>
      <c r="AK86" s="382">
        <f>DM86</f>
        <v>-5376248.8899999987</v>
      </c>
      <c r="AL86" s="12">
        <f t="shared" si="479"/>
        <v>-4865023.33</v>
      </c>
      <c r="AM86" s="12">
        <f t="shared" si="480"/>
        <v>-4610550.5500000007</v>
      </c>
      <c r="AN86" s="12">
        <f t="shared" si="499"/>
        <v>-4969244.28</v>
      </c>
      <c r="AO86" s="382">
        <f t="shared" si="481"/>
        <v>-4723477.6798443021</v>
      </c>
      <c r="AP86" s="382">
        <f t="shared" si="530"/>
        <v>-4760033.2082366897</v>
      </c>
      <c r="AQ86" s="382">
        <f t="shared" si="531"/>
        <v>-4879235.28</v>
      </c>
      <c r="AR86" s="382">
        <f t="shared" si="484"/>
        <v>-5254855.3003678732</v>
      </c>
      <c r="AS86" s="382">
        <f t="shared" si="518"/>
        <v>-5323471.4906481281</v>
      </c>
      <c r="AT86" s="382">
        <f t="shared" si="485"/>
        <v>-5502751.0415455867</v>
      </c>
      <c r="AU86" s="382">
        <f t="shared" si="486"/>
        <v>-7118137.9348395299</v>
      </c>
      <c r="AV86" s="382">
        <f t="shared" si="497"/>
        <v>-6855019.8459095154</v>
      </c>
      <c r="AW86" s="382">
        <f t="shared" si="487"/>
        <v>-7824055.4800000004</v>
      </c>
      <c r="AX86" s="463">
        <f t="shared" si="488"/>
        <v>-7280036.1881571729</v>
      </c>
      <c r="AY86" s="463">
        <f t="shared" si="496"/>
        <v>-8273135.0623630416</v>
      </c>
      <c r="AZ86" s="463">
        <f t="shared" si="489"/>
        <v>-7777385.3045899048</v>
      </c>
      <c r="BA86" s="463">
        <f t="shared" si="490"/>
        <v>-9550407.0271255895</v>
      </c>
      <c r="BB86" s="463">
        <f t="shared" si="491"/>
        <v>-8430732.892217176</v>
      </c>
      <c r="BC86" s="463"/>
      <c r="BD86" s="463"/>
      <c r="BE86" s="463"/>
      <c r="BF86" s="12"/>
      <c r="BG86" s="20"/>
      <c r="BH86" s="12"/>
      <c r="BI86" s="20"/>
      <c r="BJ86" s="12"/>
      <c r="BK86" s="20"/>
      <c r="BL86" s="12"/>
      <c r="BM86" s="20"/>
      <c r="BN86" s="12"/>
      <c r="BO86" s="20"/>
      <c r="BP86" s="12"/>
      <c r="BQ86" s="20"/>
      <c r="BR86" s="12">
        <f t="shared" ref="BR86:DI86" si="535">SUM(BR83:BR85)</f>
        <v>-5532534</v>
      </c>
      <c r="BS86" s="12">
        <f t="shared" si="535"/>
        <v>-5256891</v>
      </c>
      <c r="BT86" s="12">
        <f t="shared" si="535"/>
        <v>-5304171</v>
      </c>
      <c r="BU86" s="12">
        <f t="shared" si="535"/>
        <v>-5376227</v>
      </c>
      <c r="BV86" s="12">
        <f t="shared" si="535"/>
        <v>-5589258</v>
      </c>
      <c r="BW86" s="12">
        <f t="shared" si="535"/>
        <v>-5990345</v>
      </c>
      <c r="BX86" s="12">
        <f t="shared" si="535"/>
        <v>-6095387</v>
      </c>
      <c r="BY86" s="12">
        <f t="shared" si="535"/>
        <v>-6230392</v>
      </c>
      <c r="BZ86" s="12">
        <f t="shared" si="535"/>
        <v>-6105022</v>
      </c>
      <c r="CA86" s="12">
        <f t="shared" si="535"/>
        <v>-5829483</v>
      </c>
      <c r="CB86" s="12">
        <f t="shared" si="535"/>
        <v>-5755752</v>
      </c>
      <c r="CC86" s="12">
        <f t="shared" si="535"/>
        <v>-5839342</v>
      </c>
      <c r="CD86" s="12">
        <f t="shared" si="535"/>
        <v>-6029921</v>
      </c>
      <c r="CE86" s="12">
        <f t="shared" si="535"/>
        <v>-6097780</v>
      </c>
      <c r="CF86" s="12">
        <f t="shared" si="535"/>
        <v>-6400902</v>
      </c>
      <c r="CG86" s="12">
        <f t="shared" si="535"/>
        <v>-6726408</v>
      </c>
      <c r="CH86" s="12">
        <f t="shared" si="535"/>
        <v>-3678853</v>
      </c>
      <c r="CI86" s="12">
        <f t="shared" si="535"/>
        <v>-3346875</v>
      </c>
      <c r="CJ86" s="12">
        <f t="shared" si="535"/>
        <v>-3513399</v>
      </c>
      <c r="CK86" s="12">
        <f t="shared" si="535"/>
        <v>-3388313</v>
      </c>
      <c r="CL86" s="12">
        <f t="shared" si="535"/>
        <v>-3855722</v>
      </c>
      <c r="CM86" s="12">
        <f t="shared" si="535"/>
        <v>-3971464</v>
      </c>
      <c r="CN86" s="12">
        <f t="shared" si="535"/>
        <v>-4076006</v>
      </c>
      <c r="CO86" s="12">
        <f t="shared" si="535"/>
        <v>-4304267</v>
      </c>
      <c r="CP86" s="12">
        <f t="shared" si="535"/>
        <v>-4518555</v>
      </c>
      <c r="CQ86" s="12">
        <f t="shared" si="535"/>
        <v>-4325955</v>
      </c>
      <c r="CR86" s="12">
        <f t="shared" si="535"/>
        <v>-4742346</v>
      </c>
      <c r="CS86" s="12">
        <f t="shared" si="535"/>
        <v>-4825140</v>
      </c>
      <c r="CT86" s="12">
        <f t="shared" si="535"/>
        <v>-4813425</v>
      </c>
      <c r="CU86" s="12">
        <f t="shared" si="535"/>
        <v>-4673980</v>
      </c>
      <c r="CV86" s="12">
        <f t="shared" si="535"/>
        <v>-4290830</v>
      </c>
      <c r="CW86" s="12">
        <f t="shared" si="535"/>
        <v>-4346138.5</v>
      </c>
      <c r="CX86" s="12">
        <f t="shared" si="535"/>
        <v>-4563374.7299999995</v>
      </c>
      <c r="CY86" s="12">
        <f t="shared" si="535"/>
        <v>-4904561.6399999987</v>
      </c>
      <c r="CZ86" s="12">
        <f t="shared" si="535"/>
        <v>-4942122.9000000004</v>
      </c>
      <c r="DA86" s="12">
        <f t="shared" si="535"/>
        <v>-4634578.87</v>
      </c>
      <c r="DB86" s="12">
        <f t="shared" si="535"/>
        <v>-3722390.4299999997</v>
      </c>
      <c r="DC86" s="12">
        <f t="shared" si="535"/>
        <v>-3331560.49</v>
      </c>
      <c r="DD86" s="12">
        <f t="shared" si="535"/>
        <v>-3644470.96</v>
      </c>
      <c r="DE86" s="12">
        <f t="shared" si="535"/>
        <v>-3553959.46</v>
      </c>
      <c r="DF86" s="12">
        <f t="shared" si="535"/>
        <v>-3854497.5</v>
      </c>
      <c r="DG86" s="12">
        <f t="shared" si="535"/>
        <v>-4316281.59</v>
      </c>
      <c r="DH86" s="12">
        <f t="shared" si="535"/>
        <v>-4242155.71</v>
      </c>
      <c r="DI86" s="12">
        <f t="shared" si="535"/>
        <v>-4185710.1277967556</v>
      </c>
      <c r="DJ86" s="12">
        <f t="shared" ref="DJ86:DU86" si="536">SUM(DJ83:DJ85)</f>
        <v>-4527227.3999999994</v>
      </c>
      <c r="DK86" s="12">
        <f t="shared" si="536"/>
        <v>-4603573.2399999993</v>
      </c>
      <c r="DL86" s="12">
        <f t="shared" si="536"/>
        <v>-4810387.8699999992</v>
      </c>
      <c r="DM86" s="382">
        <f t="shared" si="536"/>
        <v>-5376248.8899999987</v>
      </c>
      <c r="DN86" s="382">
        <f t="shared" si="536"/>
        <v>-4602822.03</v>
      </c>
      <c r="DO86" s="382">
        <f t="shared" si="536"/>
        <v>-4912535.9399999995</v>
      </c>
      <c r="DP86" s="382">
        <f t="shared" si="536"/>
        <v>-4865023.33</v>
      </c>
      <c r="DQ86" s="382">
        <f t="shared" si="536"/>
        <v>-4958485.17</v>
      </c>
      <c r="DR86" s="382">
        <f t="shared" si="536"/>
        <v>-4618578.3100000005</v>
      </c>
      <c r="DS86" s="382">
        <f t="shared" si="536"/>
        <v>-4610550.5500000007</v>
      </c>
      <c r="DT86" s="382">
        <f t="shared" si="536"/>
        <v>-4593484.4000000004</v>
      </c>
      <c r="DU86" s="382">
        <f t="shared" si="536"/>
        <v>-4629753.59</v>
      </c>
      <c r="DV86" s="382">
        <f t="shared" ref="DV86:EB86" si="537">SUM(DV83:DV85)</f>
        <v>-4969244.28</v>
      </c>
      <c r="DW86" s="382">
        <f t="shared" si="537"/>
        <v>-4981387.4500000011</v>
      </c>
      <c r="DX86" s="382">
        <f t="shared" si="537"/>
        <v>-4504310.0599999996</v>
      </c>
      <c r="DY86" s="589">
        <f t="shared" si="537"/>
        <v>-4723477.6798443021</v>
      </c>
      <c r="DZ86" s="382">
        <f t="shared" si="537"/>
        <v>-4999013.2882366907</v>
      </c>
      <c r="EA86" s="382">
        <f t="shared" si="537"/>
        <v>-4431208.0582366893</v>
      </c>
      <c r="EB86" s="382">
        <f t="shared" si="537"/>
        <v>-4760033.2082366897</v>
      </c>
      <c r="EC86" s="382">
        <f t="shared" ref="EC86:EG86" si="538">SUM(EC83:EC85)</f>
        <v>-4335675.4082366899</v>
      </c>
      <c r="ED86" s="382">
        <f t="shared" si="538"/>
        <v>-4692761.8079753164</v>
      </c>
      <c r="EE86" s="382">
        <f>SUM(EE83:EE85)</f>
        <v>-4879235.28</v>
      </c>
      <c r="EF86" s="382">
        <f t="shared" si="538"/>
        <v>-5585669.5422218312</v>
      </c>
      <c r="EG86" s="382">
        <f t="shared" si="538"/>
        <v>-4998413.9258441953</v>
      </c>
      <c r="EH86" s="382">
        <f t="shared" ref="EH86:EI86" si="539">SUM(EH83:EH85)</f>
        <v>-5254855.3003678732</v>
      </c>
      <c r="EI86" s="382">
        <f t="shared" si="539"/>
        <v>-5355113.1036311844</v>
      </c>
      <c r="EJ86" s="382">
        <f t="shared" ref="EJ86:ER86" si="540">SUM(EJ83:EJ85)</f>
        <v>-4946332.7096025469</v>
      </c>
      <c r="EK86" s="589">
        <f t="shared" si="540"/>
        <v>-5323471.4906481281</v>
      </c>
      <c r="EL86" s="589">
        <f t="shared" si="540"/>
        <v>-5354071.9796961946</v>
      </c>
      <c r="EM86" s="589">
        <f t="shared" si="540"/>
        <v>-5401680.0033069709</v>
      </c>
      <c r="EN86" s="589">
        <f t="shared" si="540"/>
        <v>-5502751.0415455867</v>
      </c>
      <c r="EO86" s="589">
        <f t="shared" si="540"/>
        <v>-6322697.1686288659</v>
      </c>
      <c r="EP86" s="589">
        <f t="shared" si="540"/>
        <v>-6303409.8992367741</v>
      </c>
      <c r="EQ86" s="589">
        <f t="shared" si="540"/>
        <v>-7118137.9348395299</v>
      </c>
      <c r="ER86" s="382">
        <f t="shared" si="540"/>
        <v>-7857081.8931498956</v>
      </c>
      <c r="ES86" s="382">
        <f t="shared" ref="ES86" si="541">SUM(ES83:ES85)</f>
        <v>-7073566.4407199845</v>
      </c>
      <c r="ET86" s="382">
        <f t="shared" ref="ET86:FF86" si="542">SUM(ET83:ET85)</f>
        <v>-6855019.8459095154</v>
      </c>
      <c r="EU86" s="382">
        <f t="shared" si="542"/>
        <v>-7315741.9120653253</v>
      </c>
      <c r="EV86" s="382">
        <f t="shared" si="542"/>
        <v>-7612401.5693820324</v>
      </c>
      <c r="EW86" s="382">
        <f t="shared" si="542"/>
        <v>-7824055.4800000004</v>
      </c>
      <c r="EX86" s="382">
        <f t="shared" si="542"/>
        <v>-7503413.3674530238</v>
      </c>
      <c r="EY86" s="382">
        <f t="shared" si="542"/>
        <v>-7320367.1910968404</v>
      </c>
      <c r="EZ86" s="382">
        <f t="shared" si="542"/>
        <v>-7280036.1881571729</v>
      </c>
      <c r="FA86" s="382">
        <f t="shared" si="542"/>
        <v>-7367515.5540803876</v>
      </c>
      <c r="FB86" s="382">
        <f t="shared" si="542"/>
        <v>-7751958.9625967499</v>
      </c>
      <c r="FC86" s="382">
        <f t="shared" si="542"/>
        <v>-8273135.0623630416</v>
      </c>
      <c r="FD86" s="382">
        <f t="shared" si="542"/>
        <v>-7796641.8106456436</v>
      </c>
      <c r="FE86" s="382">
        <f t="shared" si="542"/>
        <v>-7690114.001101952</v>
      </c>
      <c r="FF86" s="382">
        <f t="shared" si="542"/>
        <v>-7777385.3045899048</v>
      </c>
      <c r="FG86" s="382">
        <f t="shared" ref="FG86:FI86" si="543">SUM(FG83:FG85)</f>
        <v>-7752167.2749685552</v>
      </c>
      <c r="FH86" s="382">
        <f t="shared" si="543"/>
        <v>-8321233.5356408618</v>
      </c>
      <c r="FI86" s="382">
        <f t="shared" si="543"/>
        <v>-9550407.0271255895</v>
      </c>
      <c r="FJ86" s="382">
        <f t="shared" ref="FJ86:FK86" si="544">SUM(FJ83:FJ85)</f>
        <v>-8790651.8218183294</v>
      </c>
      <c r="FK86" s="774">
        <f t="shared" si="544"/>
        <v>-8430732.892217176</v>
      </c>
      <c r="FL86" s="12"/>
      <c r="FM86" s="12"/>
    </row>
    <row r="87" spans="3:177" x14ac:dyDescent="0.35">
      <c r="C87" t="s">
        <v>144</v>
      </c>
      <c r="F87" s="19"/>
      <c r="G87" s="19">
        <f>U87</f>
        <v>-980332</v>
      </c>
      <c r="H87" s="19">
        <f>Y87</f>
        <v>-969342</v>
      </c>
      <c r="I87" s="19">
        <f>AC87</f>
        <v>-2557941</v>
      </c>
      <c r="J87" s="19">
        <f>AE87</f>
        <v>-4057941</v>
      </c>
      <c r="K87" s="19">
        <f t="shared" si="529"/>
        <v>-2464927.0299999998</v>
      </c>
      <c r="L87" s="19">
        <f>DY87</f>
        <v>-6331533.9699999997</v>
      </c>
      <c r="M87" s="19">
        <f>AS87</f>
        <v>-6047512.4900000002</v>
      </c>
      <c r="N87" s="19">
        <f t="shared" si="475"/>
        <v>-10589034.559999999</v>
      </c>
      <c r="O87" s="19">
        <f t="shared" si="476"/>
        <v>-12315159.93</v>
      </c>
      <c r="P87" s="19">
        <f t="shared" si="477"/>
        <v>-15010035.190000001</v>
      </c>
      <c r="Q87" s="20"/>
      <c r="R87" s="20">
        <v>-916000</v>
      </c>
      <c r="S87" s="20">
        <v>-909000</v>
      </c>
      <c r="T87" s="20">
        <v>-905000</v>
      </c>
      <c r="U87" s="20">
        <v>-980332</v>
      </c>
      <c r="V87" s="20">
        <f>BT87</f>
        <v>-977128</v>
      </c>
      <c r="W87" s="20">
        <f>BW87</f>
        <v>-977083</v>
      </c>
      <c r="X87" s="20">
        <f>BZ87</f>
        <v>-979208</v>
      </c>
      <c r="Y87" s="20">
        <f>CC87</f>
        <v>-969342</v>
      </c>
      <c r="Z87" s="20">
        <f>CF87</f>
        <v>-970886</v>
      </c>
      <c r="AA87" s="20">
        <f>CI87</f>
        <v>-2533306</v>
      </c>
      <c r="AB87" s="20">
        <f>CL87</f>
        <v>-2524804</v>
      </c>
      <c r="AC87" s="20">
        <f>CO87</f>
        <v>-2557941</v>
      </c>
      <c r="AD87" s="20">
        <f>CR87</f>
        <v>-4057941</v>
      </c>
      <c r="AE87" s="20">
        <f>CU87</f>
        <v>-4057941</v>
      </c>
      <c r="AF87" s="20">
        <f>CX87</f>
        <v>-3977665.77</v>
      </c>
      <c r="AG87" s="20">
        <f>DA87</f>
        <v>-3700174.14</v>
      </c>
      <c r="AH87" s="20">
        <f>DD87</f>
        <v>-3433749.1</v>
      </c>
      <c r="AI87" s="20">
        <f t="shared" si="493"/>
        <v>-2993018.91</v>
      </c>
      <c r="AJ87" s="20">
        <f t="shared" si="494"/>
        <v>-2730227.95</v>
      </c>
      <c r="AK87" s="20">
        <f>DM87</f>
        <v>-2464927.0299999998</v>
      </c>
      <c r="AL87" s="20">
        <f t="shared" si="479"/>
        <v>-2200517.58</v>
      </c>
      <c r="AM87" s="20">
        <f t="shared" si="480"/>
        <v>-3570074.37</v>
      </c>
      <c r="AN87" s="20">
        <f t="shared" si="499"/>
        <v>-6701122.9500000002</v>
      </c>
      <c r="AO87" s="20">
        <f t="shared" si="481"/>
        <v>-6331533.9699999997</v>
      </c>
      <c r="AP87" s="20">
        <f t="shared" si="530"/>
        <v>-5959992.9800000004</v>
      </c>
      <c r="AQ87" s="20">
        <f t="shared" si="531"/>
        <v>-5588882.6299999999</v>
      </c>
      <c r="AR87" s="20">
        <f t="shared" si="484"/>
        <v>-5217747.68</v>
      </c>
      <c r="AS87" s="20">
        <f t="shared" si="518"/>
        <v>-6047512.4900000002</v>
      </c>
      <c r="AT87" s="20">
        <f t="shared" si="485"/>
        <v>-6049791.79</v>
      </c>
      <c r="AU87" s="20">
        <f t="shared" si="486"/>
        <v>-6052361.9000000004</v>
      </c>
      <c r="AV87" s="20">
        <f t="shared" si="497"/>
        <v>-8553366.370000001</v>
      </c>
      <c r="AW87" s="20">
        <f t="shared" si="487"/>
        <v>-10589034.559999999</v>
      </c>
      <c r="AX87" s="19">
        <f t="shared" si="488"/>
        <v>-10620765.059999999</v>
      </c>
      <c r="AY87" s="19">
        <f t="shared" si="496"/>
        <v>-10623018.640000001</v>
      </c>
      <c r="AZ87" s="19">
        <f t="shared" si="489"/>
        <v>-12315149.6</v>
      </c>
      <c r="BA87" s="19">
        <f t="shared" si="490"/>
        <v>-12309711.07</v>
      </c>
      <c r="BB87" s="19">
        <f t="shared" si="491"/>
        <v>-15010035.190000001</v>
      </c>
      <c r="BC87" s="19"/>
      <c r="BD87" s="19"/>
      <c r="BE87" s="19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>
        <v>-911003</v>
      </c>
      <c r="BS87" s="20">
        <v>-977682</v>
      </c>
      <c r="BT87" s="20">
        <v>-977128</v>
      </c>
      <c r="BU87" s="20">
        <v>-977028</v>
      </c>
      <c r="BV87" s="20">
        <v>-977122</v>
      </c>
      <c r="BW87" s="20">
        <v>-977083</v>
      </c>
      <c r="BX87" s="20">
        <v>-977998</v>
      </c>
      <c r="BY87" s="20">
        <v>-979292</v>
      </c>
      <c r="BZ87" s="20">
        <v>-979208</v>
      </c>
      <c r="CA87" s="20">
        <v>-980033</v>
      </c>
      <c r="CB87" s="20">
        <v>-967598</v>
      </c>
      <c r="CC87" s="20">
        <v>-969342</v>
      </c>
      <c r="CD87" s="20">
        <v>-1019035</v>
      </c>
      <c r="CE87" s="20">
        <v>-970032</v>
      </c>
      <c r="CF87" s="20">
        <v>-970886</v>
      </c>
      <c r="CG87" s="20">
        <v>-972414</v>
      </c>
      <c r="CH87" s="20">
        <f>-972232-2500000+939000</f>
        <v>-2533232</v>
      </c>
      <c r="CI87" s="20">
        <f>-972306-2500000+939000</f>
        <v>-2533306</v>
      </c>
      <c r="CJ87" s="20">
        <f>-962181-2500000+939000</f>
        <v>-2523181</v>
      </c>
      <c r="CK87" s="20">
        <f>-962525-2500000+939000</f>
        <v>-2523525</v>
      </c>
      <c r="CL87" s="20">
        <f>-963804-2500000+939000</f>
        <v>-2524804</v>
      </c>
      <c r="CM87" s="20">
        <f>-963648-2500000+939000</f>
        <v>-2524648</v>
      </c>
      <c r="CN87" s="20">
        <f>-55247-2500000</f>
        <v>-2555247</v>
      </c>
      <c r="CO87" s="20">
        <f>-57941-2500000</f>
        <v>-2557941</v>
      </c>
      <c r="CP87" s="20">
        <f>-57738-2500000</f>
        <v>-2557738</v>
      </c>
      <c r="CQ87" s="20">
        <f>-30000-2500000</f>
        <v>-2530000</v>
      </c>
      <c r="CR87" s="20">
        <f>-57941-2500000-1500000</f>
        <v>-4057941</v>
      </c>
      <c r="CS87" s="20">
        <f>-57941-4000000</f>
        <v>-4057941</v>
      </c>
      <c r="CT87" s="20">
        <f>-57941-4000000</f>
        <v>-4057941</v>
      </c>
      <c r="CU87" s="20">
        <f>-57941-4000000</f>
        <v>-4057941</v>
      </c>
      <c r="CV87" s="20">
        <f>-57941-3733333</f>
        <v>-3791274</v>
      </c>
      <c r="CW87" s="20">
        <f>-57940.77-3733333</f>
        <v>-3791273.77</v>
      </c>
      <c r="CX87" s="20">
        <f>-244332.77-3733333</f>
        <v>-3977665.77</v>
      </c>
      <c r="CY87" s="20">
        <f>-244332.77-3466666</f>
        <v>-3710998.77</v>
      </c>
      <c r="CZ87" s="20">
        <f>-244332.77-3466666</f>
        <v>-3710998.77</v>
      </c>
      <c r="DA87" s="20">
        <f>-233508.14-3466666</f>
        <v>-3700174.14</v>
      </c>
      <c r="DB87" s="20">
        <f>-234729.95-3199999</f>
        <v>-3434728.95</v>
      </c>
      <c r="DC87" s="20">
        <f>-233654.56-3199999</f>
        <v>-3433653.56</v>
      </c>
      <c r="DD87" s="20">
        <f>-233750.1-3199999</f>
        <v>-3433749.1</v>
      </c>
      <c r="DE87" s="20">
        <f>-233701.16-2933332</f>
        <v>-3167033.16</v>
      </c>
      <c r="DF87" s="20">
        <f>-57027.98-2933332</f>
        <v>-2990359.98</v>
      </c>
      <c r="DG87" s="20">
        <f>-59686.91-2933332</f>
        <v>-2993018.91</v>
      </c>
      <c r="DH87" s="20">
        <f>-62092.55-2666665</f>
        <v>-2728757.55</v>
      </c>
      <c r="DI87" s="20">
        <f>-63346.52-2666665</f>
        <v>-2730011.52</v>
      </c>
      <c r="DJ87" s="20">
        <f>-63562.95-2666665</f>
        <v>-2730227.95</v>
      </c>
      <c r="DK87" s="20">
        <f>-63702.55+-2399998</f>
        <v>-2463700.5499999998</v>
      </c>
      <c r="DL87" s="20">
        <f>-63895.1-2399998</f>
        <v>-2463893.1</v>
      </c>
      <c r="DM87" s="20">
        <f>-64929.03-2399998</f>
        <v>-2464927.0299999998</v>
      </c>
      <c r="DN87" s="20">
        <f>-65259.17-2133331</f>
        <v>-2198590.17</v>
      </c>
      <c r="DO87" s="20">
        <f>-65397.33-2133331</f>
        <v>-2198728.33</v>
      </c>
      <c r="DP87" s="20">
        <f>-67186.58-2133331</f>
        <v>-2200517.58</v>
      </c>
      <c r="DQ87" s="20">
        <f>-68523.64-1866664</f>
        <v>-1935187.64</v>
      </c>
      <c r="DR87" s="20">
        <f>-70002.21-1866664</f>
        <v>-1936666.21</v>
      </c>
      <c r="DS87" s="20">
        <f>-70074.37-3500000</f>
        <v>-3570074.37</v>
      </c>
      <c r="DT87" s="20">
        <f>-70111.02-3500000</f>
        <v>-3570111.02</v>
      </c>
      <c r="DU87" s="20">
        <f>-71459.68-7000000</f>
        <v>-7071459.6799999997</v>
      </c>
      <c r="DV87" s="20">
        <f>-74455.95-6626667</f>
        <v>-6701122.9500000002</v>
      </c>
      <c r="DW87" s="20">
        <f>-74579.82-6626667</f>
        <v>-6701246.8200000003</v>
      </c>
      <c r="DX87" s="20">
        <f>-75038-6626667</f>
        <v>-6701705</v>
      </c>
      <c r="DY87" s="469">
        <f>-78199.97-6253334</f>
        <v>-6331533.9699999997</v>
      </c>
      <c r="DZ87" s="20">
        <f>-78313.92-6253334</f>
        <v>-6331647.9199999999</v>
      </c>
      <c r="EA87" s="20">
        <f>-78341.12-6253334</f>
        <v>-6331675.1200000001</v>
      </c>
      <c r="EB87" s="20">
        <f>-79991.98-5880001</f>
        <v>-5959992.9800000004</v>
      </c>
      <c r="EC87" s="20">
        <f>-80441.11-5880001</f>
        <v>-5960442.1100000003</v>
      </c>
      <c r="ED87" s="20">
        <f>-80863.74-5880001</f>
        <v>-5960864.7400000002</v>
      </c>
      <c r="EE87" s="20">
        <f>-5506668-82214.63</f>
        <v>-5588882.6299999999</v>
      </c>
      <c r="EF87" s="20">
        <f>-5506668-83504.22</f>
        <v>-5590172.2199999997</v>
      </c>
      <c r="EG87" s="20">
        <v>-5590969.7800000003</v>
      </c>
      <c r="EH87" s="20">
        <v>-5217747.68</v>
      </c>
      <c r="EI87" s="20">
        <v>-5219246.7300000004</v>
      </c>
      <c r="EJ87" s="20">
        <v>-6087159.2300000004</v>
      </c>
      <c r="EK87" s="469">
        <v>-6047512.4900000002</v>
      </c>
      <c r="EL87" s="469">
        <v>-6047672.75</v>
      </c>
      <c r="EM87" s="469">
        <v>-6048060.79</v>
      </c>
      <c r="EN87" s="469">
        <v>-6049791.79</v>
      </c>
      <c r="EO87" s="469">
        <v>-6049898.4900000002</v>
      </c>
      <c r="EP87" s="469">
        <f>-6551004.01+500000</f>
        <v>-6051004.0099999998</v>
      </c>
      <c r="EQ87" s="469">
        <f>-7052361.9+1000000</f>
        <v>-6052361.9000000004</v>
      </c>
      <c r="ER87" s="20">
        <f>-7052572.96+1000000</f>
        <v>-6052572.96</v>
      </c>
      <c r="ES87" s="20">
        <f>-7053224.46-2500000+1000000</f>
        <v>-8553224.4600000009</v>
      </c>
      <c r="ET87" s="20">
        <f>-6553366.37-2500000+500000</f>
        <v>-8553366.370000001</v>
      </c>
      <c r="EU87" s="20">
        <f>-6553366.37-2500000+500000</f>
        <v>-8553366.370000001</v>
      </c>
      <c r="EV87" s="20">
        <f>-6554589.66-2500000+500000</f>
        <v>-8554589.6600000001</v>
      </c>
      <c r="EW87" s="20">
        <f>-39034.56-6000000-4550000</f>
        <v>-10589034.559999999</v>
      </c>
      <c r="EX87" s="20">
        <f>-39074.56-6000000-4580000</f>
        <v>-10619074.559999999</v>
      </c>
      <c r="EY87" s="20">
        <f>-40725.06-6000000-4580000</f>
        <v>-10620725.059999999</v>
      </c>
      <c r="EZ87" s="20">
        <f>-40765.06-6000000-4580000</f>
        <v>-10620765.059999999</v>
      </c>
      <c r="FA87" s="20">
        <f>-41181.33-6000000-4580000</f>
        <v>-10621181.33</v>
      </c>
      <c r="FB87" s="20">
        <f>-42936.79-6000000-4580000</f>
        <v>-10622936.789999999</v>
      </c>
      <c r="FC87" s="20">
        <f>-43018.64-6000000-4580000</f>
        <v>-10623018.640000001</v>
      </c>
      <c r="FD87" s="20">
        <f>-44936.48-6000000-6270000</f>
        <v>-12314936.48</v>
      </c>
      <c r="FE87" s="20">
        <f>-45035.18-6000000-6270000</f>
        <v>-12315035.18</v>
      </c>
      <c r="FF87" s="20">
        <f>-45149.6-6000000-6270000</f>
        <v>-12315149.6</v>
      </c>
      <c r="FG87" s="20">
        <f>-45159.93-6000000-6270000</f>
        <v>-12315159.93</v>
      </c>
      <c r="FH87" s="20">
        <f>-45199.93-6000000-6270000</f>
        <v>-12315199.93</v>
      </c>
      <c r="FI87" s="20">
        <f>-39711.07-6000000-6270000</f>
        <v>-12309711.07</v>
      </c>
      <c r="FJ87" s="20">
        <f>-39997.04-6000000-6270000</f>
        <v>-12309997.039999999</v>
      </c>
      <c r="FK87" s="454">
        <f>-40035.19-6000000-6270000-2700000</f>
        <v>-15010035.190000001</v>
      </c>
      <c r="FL87" s="20"/>
      <c r="FM87" s="20"/>
    </row>
    <row r="88" spans="3:177" ht="15" customHeight="1" x14ac:dyDescent="0.35">
      <c r="D88" s="10"/>
      <c r="F88" s="19"/>
      <c r="G88" s="19"/>
      <c r="H88" s="19"/>
      <c r="I88" s="19"/>
      <c r="J88" s="19"/>
      <c r="K88" s="19"/>
      <c r="L88" s="19"/>
      <c r="M88" s="19">
        <f t="shared" ref="M88" si="545">AQ88</f>
        <v>0</v>
      </c>
      <c r="N88" s="19">
        <f t="shared" si="475"/>
        <v>0</v>
      </c>
      <c r="O88" s="19">
        <f t="shared" si="476"/>
        <v>0</v>
      </c>
      <c r="P88" s="19">
        <f t="shared" si="477"/>
        <v>0</v>
      </c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>
        <f t="shared" si="493"/>
        <v>0</v>
      </c>
      <c r="AJ88" s="20">
        <f t="shared" si="494"/>
        <v>0</v>
      </c>
      <c r="AK88" s="20">
        <f>DK88</f>
        <v>0</v>
      </c>
      <c r="AL88" s="20">
        <f t="shared" si="479"/>
        <v>0</v>
      </c>
      <c r="AM88" s="20">
        <f t="shared" si="480"/>
        <v>0</v>
      </c>
      <c r="AN88" s="20">
        <f t="shared" si="499"/>
        <v>0</v>
      </c>
      <c r="AO88" s="20">
        <f t="shared" si="481"/>
        <v>0</v>
      </c>
      <c r="AP88" s="20">
        <f t="shared" si="481"/>
        <v>0</v>
      </c>
      <c r="AQ88" s="20">
        <f t="shared" si="481"/>
        <v>0</v>
      </c>
      <c r="AR88" s="20">
        <f t="shared" si="484"/>
        <v>0</v>
      </c>
      <c r="AS88" s="20">
        <f t="shared" si="518"/>
        <v>0</v>
      </c>
      <c r="AT88" s="20">
        <f t="shared" si="485"/>
        <v>0</v>
      </c>
      <c r="AU88" s="20">
        <f t="shared" si="486"/>
        <v>0</v>
      </c>
      <c r="AV88" s="20">
        <f t="shared" si="497"/>
        <v>0</v>
      </c>
      <c r="AW88" s="20">
        <f t="shared" si="487"/>
        <v>0</v>
      </c>
      <c r="AX88" s="19">
        <f t="shared" si="488"/>
        <v>0</v>
      </c>
      <c r="AY88" s="19">
        <f t="shared" si="496"/>
        <v>0</v>
      </c>
      <c r="AZ88" s="19">
        <f t="shared" si="489"/>
        <v>0</v>
      </c>
      <c r="BA88" s="19">
        <f t="shared" si="490"/>
        <v>0</v>
      </c>
      <c r="BB88" s="19">
        <f t="shared" si="491"/>
        <v>0</v>
      </c>
      <c r="BC88" s="19"/>
      <c r="BD88" s="19"/>
      <c r="BE88" s="19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349"/>
      <c r="DK88" s="12"/>
      <c r="DL88" s="12"/>
      <c r="DM88" s="54"/>
      <c r="DN88" s="54"/>
      <c r="DO88" s="54"/>
      <c r="DP88" s="54"/>
      <c r="DQ88" s="54"/>
      <c r="DR88" s="54"/>
      <c r="DS88" s="54"/>
      <c r="DT88" s="20"/>
      <c r="DU88" s="20"/>
      <c r="DV88" s="20"/>
      <c r="DW88" s="20"/>
      <c r="DX88" s="12"/>
      <c r="DY88" s="511"/>
      <c r="EB88" s="12"/>
      <c r="EC88" s="12"/>
      <c r="ED88" s="12"/>
      <c r="EE88" s="20"/>
      <c r="EI88" s="20"/>
      <c r="EW88" s="20"/>
      <c r="FA88" s="423"/>
      <c r="FB88" s="423"/>
      <c r="FC88" s="423"/>
      <c r="FD88" s="423"/>
      <c r="FE88" s="423"/>
      <c r="FF88" s="423"/>
      <c r="FG88" s="423"/>
      <c r="FH88" s="423"/>
      <c r="FI88" s="423"/>
      <c r="FJ88" s="423"/>
      <c r="FK88" s="686"/>
      <c r="FL88" s="423"/>
      <c r="FM88" s="423"/>
    </row>
    <row r="89" spans="3:177" ht="15" thickBot="1" x14ac:dyDescent="0.4">
      <c r="C89" s="39" t="s">
        <v>145</v>
      </c>
      <c r="D89" s="40"/>
      <c r="E89" s="40"/>
      <c r="F89" s="41"/>
      <c r="G89" s="41">
        <f>U89</f>
        <v>-1083165</v>
      </c>
      <c r="H89" s="41">
        <f>Y89</f>
        <v>-1034765</v>
      </c>
      <c r="I89" s="41">
        <f>AC89</f>
        <v>297294</v>
      </c>
      <c r="J89" s="41">
        <f>AE89</f>
        <v>317119</v>
      </c>
      <c r="K89" s="41">
        <f>DM89</f>
        <v>14457550.99</v>
      </c>
      <c r="L89" s="41">
        <f>DY89</f>
        <v>9815270.5437627919</v>
      </c>
      <c r="M89" s="41">
        <f>AS89</f>
        <v>5959167.3878540955</v>
      </c>
      <c r="N89" s="41">
        <f t="shared" si="475"/>
        <v>944629.19000000134</v>
      </c>
      <c r="O89" s="41">
        <f t="shared" si="476"/>
        <v>-3080620.0101398714</v>
      </c>
      <c r="P89" s="41">
        <f t="shared" si="477"/>
        <v>-4389935.1548599601</v>
      </c>
      <c r="Q89" s="42"/>
      <c r="R89" s="43">
        <f t="shared" ref="R89:X89" si="546">R86+R81+R79+R73+R87</f>
        <v>317800</v>
      </c>
      <c r="S89" s="43">
        <f t="shared" si="546"/>
        <v>-487200</v>
      </c>
      <c r="T89" s="43">
        <f t="shared" si="546"/>
        <v>-1281200</v>
      </c>
      <c r="U89" s="43">
        <f t="shared" si="546"/>
        <v>-1083165</v>
      </c>
      <c r="V89" s="43">
        <f t="shared" si="546"/>
        <v>-1485021</v>
      </c>
      <c r="W89" s="43">
        <f t="shared" si="546"/>
        <v>-2024640</v>
      </c>
      <c r="X89" s="43">
        <f t="shared" si="546"/>
        <v>-1983671</v>
      </c>
      <c r="Y89" s="43">
        <f t="shared" ref="Y89:AD89" si="547">Y86+Y81+Y79+Y73+Y87</f>
        <v>-1034765</v>
      </c>
      <c r="Z89" s="43">
        <f t="shared" si="547"/>
        <v>-1362035</v>
      </c>
      <c r="AA89" s="43">
        <f t="shared" si="547"/>
        <v>1679026</v>
      </c>
      <c r="AB89" s="43">
        <f t="shared" si="547"/>
        <v>755620</v>
      </c>
      <c r="AC89" s="43">
        <f t="shared" si="547"/>
        <v>297294</v>
      </c>
      <c r="AD89" s="43">
        <f t="shared" si="547"/>
        <v>-360094</v>
      </c>
      <c r="AE89" s="43">
        <f>AE86+AE81+AE79+AE73+AE87</f>
        <v>317119</v>
      </c>
      <c r="AF89" s="43">
        <f>AF86+AF81+AF79+AF73+AF87</f>
        <v>-708694.6099999994</v>
      </c>
      <c r="AG89" s="43">
        <f>AG86+AG81+AG79+AG73+AG87</f>
        <v>14489331.310000002</v>
      </c>
      <c r="AH89" s="43">
        <f>DD89</f>
        <v>13283288.930000002</v>
      </c>
      <c r="AI89" s="43">
        <f>DG89</f>
        <v>12328273.58</v>
      </c>
      <c r="AJ89" s="43">
        <f t="shared" si="494"/>
        <v>15531359.260000002</v>
      </c>
      <c r="AK89" s="43">
        <f>DM89</f>
        <v>14457550.99</v>
      </c>
      <c r="AL89" s="43">
        <f t="shared" si="479"/>
        <v>13086979.469999999</v>
      </c>
      <c r="AM89" s="43">
        <f t="shared" si="480"/>
        <v>11640578.329999998</v>
      </c>
      <c r="AN89" s="43">
        <f t="shared" si="499"/>
        <v>10406544.699999999</v>
      </c>
      <c r="AO89" s="43">
        <f t="shared" si="481"/>
        <v>9815270.5437627919</v>
      </c>
      <c r="AP89" s="43">
        <f>EB89</f>
        <v>8603362.3988571353</v>
      </c>
      <c r="AQ89" s="43">
        <f>EE89</f>
        <v>7393502.164622019</v>
      </c>
      <c r="AR89" s="43">
        <f t="shared" si="484"/>
        <v>6588675.9034951143</v>
      </c>
      <c r="AS89" s="43">
        <f t="shared" si="518"/>
        <v>5959167.3878540955</v>
      </c>
      <c r="AT89" s="43">
        <f t="shared" si="485"/>
        <v>4630122.3690125039</v>
      </c>
      <c r="AU89" s="43">
        <f t="shared" si="486"/>
        <v>3300695.6231030617</v>
      </c>
      <c r="AV89" s="43">
        <f t="shared" si="497"/>
        <v>1843848.860472085</v>
      </c>
      <c r="AW89" s="43">
        <f t="shared" si="487"/>
        <v>944629.19000000134</v>
      </c>
      <c r="AX89" s="41">
        <f t="shared" si="488"/>
        <v>-565491.585413225</v>
      </c>
      <c r="AY89" s="41">
        <f>FC89</f>
        <v>-2179314.7434766553</v>
      </c>
      <c r="AZ89" s="41">
        <f t="shared" si="489"/>
        <v>-2767697.1089544278</v>
      </c>
      <c r="BA89" s="41">
        <f t="shared" si="490"/>
        <v>-3906475.8635874242</v>
      </c>
      <c r="BB89" s="41">
        <f t="shared" si="491"/>
        <v>-4389935.1548599601</v>
      </c>
      <c r="BC89" s="41"/>
      <c r="BD89" s="41"/>
      <c r="BE89" s="41"/>
      <c r="BF89" s="43"/>
      <c r="BG89" s="42"/>
      <c r="BH89" s="43"/>
      <c r="BI89" s="42"/>
      <c r="BJ89" s="43"/>
      <c r="BK89" s="42"/>
      <c r="BL89" s="43"/>
      <c r="BM89" s="42"/>
      <c r="BN89" s="43"/>
      <c r="BO89" s="42"/>
      <c r="BP89" s="43"/>
      <c r="BQ89" s="42"/>
      <c r="BR89" s="43">
        <f t="shared" ref="BR89:CB89" si="548">BR86+BR81+BR79+BR73+BR87</f>
        <v>-1352683</v>
      </c>
      <c r="BS89" s="43">
        <f t="shared" si="548"/>
        <v>-1474984</v>
      </c>
      <c r="BT89" s="43">
        <f t="shared" si="548"/>
        <v>-1485021</v>
      </c>
      <c r="BU89" s="43">
        <f t="shared" si="548"/>
        <v>-1662287</v>
      </c>
      <c r="BV89" s="43">
        <f t="shared" si="548"/>
        <v>-1838575</v>
      </c>
      <c r="BW89" s="43">
        <f t="shared" si="548"/>
        <v>-2024640</v>
      </c>
      <c r="BX89" s="43">
        <f t="shared" si="548"/>
        <v>-2138958</v>
      </c>
      <c r="BY89" s="43">
        <f t="shared" si="548"/>
        <v>-1914581</v>
      </c>
      <c r="BZ89" s="43">
        <f t="shared" si="548"/>
        <v>-1983671</v>
      </c>
      <c r="CA89" s="43">
        <f>CA86+CA81+CA79+CA73+CA87</f>
        <v>-1590113</v>
      </c>
      <c r="CB89" s="43">
        <f t="shared" si="548"/>
        <v>-1759594</v>
      </c>
      <c r="CC89" s="43">
        <f t="shared" ref="CC89:CU89" si="549">CC86+CC81+CC79+CC73+CC87</f>
        <v>-1034765</v>
      </c>
      <c r="CD89" s="43">
        <f t="shared" si="549"/>
        <v>-813679</v>
      </c>
      <c r="CE89" s="43">
        <f t="shared" si="549"/>
        <v>-1098211</v>
      </c>
      <c r="CF89" s="43">
        <f t="shared" si="549"/>
        <v>-1362035</v>
      </c>
      <c r="CG89" s="43">
        <f t="shared" si="549"/>
        <v>-1664553</v>
      </c>
      <c r="CH89" s="43">
        <f t="shared" si="549"/>
        <v>1878995</v>
      </c>
      <c r="CI89" s="43">
        <f t="shared" si="549"/>
        <v>1679026</v>
      </c>
      <c r="CJ89" s="43">
        <f t="shared" si="549"/>
        <v>1362505</v>
      </c>
      <c r="CK89" s="43">
        <f t="shared" si="549"/>
        <v>1014264</v>
      </c>
      <c r="CL89" s="43">
        <f t="shared" si="549"/>
        <v>755620</v>
      </c>
      <c r="CM89" s="43">
        <f t="shared" si="549"/>
        <v>461120</v>
      </c>
      <c r="CN89" s="43">
        <f t="shared" si="549"/>
        <v>156857</v>
      </c>
      <c r="CO89" s="43">
        <f t="shared" si="549"/>
        <v>297294</v>
      </c>
      <c r="CP89" s="309">
        <f t="shared" si="549"/>
        <v>18939</v>
      </c>
      <c r="CQ89" s="43">
        <f t="shared" si="549"/>
        <v>-251338</v>
      </c>
      <c r="CR89" s="43">
        <f t="shared" si="549"/>
        <v>-360094</v>
      </c>
      <c r="CS89" s="43">
        <f t="shared" si="549"/>
        <v>-176207</v>
      </c>
      <c r="CT89" s="43">
        <f t="shared" si="549"/>
        <v>202386</v>
      </c>
      <c r="CU89" s="43">
        <f t="shared" si="549"/>
        <v>317119</v>
      </c>
      <c r="CV89" s="43">
        <f t="shared" ref="CV89:DH89" si="550">CV86+CV81+CV79+CV73+CV87</f>
        <v>213074</v>
      </c>
      <c r="CW89" s="43">
        <f t="shared" si="550"/>
        <v>-73974.319999999367</v>
      </c>
      <c r="CX89" s="43">
        <f t="shared" si="550"/>
        <v>-708694.6099999994</v>
      </c>
      <c r="CY89" s="43">
        <f t="shared" si="550"/>
        <v>-986014.44999999786</v>
      </c>
      <c r="CZ89" s="43">
        <f t="shared" si="550"/>
        <v>-1247516.2599999993</v>
      </c>
      <c r="DA89" s="43">
        <f>DA86+DA81+DA79+DA73+DA87</f>
        <v>14489331.310000002</v>
      </c>
      <c r="DB89" s="43">
        <f>DB86+DB81+DB79+DB73+DB87</f>
        <v>14108736.030000001</v>
      </c>
      <c r="DC89" s="43">
        <f t="shared" si="550"/>
        <v>13733947.290000001</v>
      </c>
      <c r="DD89" s="43">
        <f>DD86+DD81+DD79+DD73+DD87</f>
        <v>13283288.930000002</v>
      </c>
      <c r="DE89" s="43">
        <f t="shared" si="550"/>
        <v>12992422.880000003</v>
      </c>
      <c r="DF89" s="43">
        <f t="shared" si="550"/>
        <v>12603600.57</v>
      </c>
      <c r="DG89" s="43">
        <f t="shared" si="550"/>
        <v>12328273.58</v>
      </c>
      <c r="DH89" s="43">
        <f t="shared" si="550"/>
        <v>11864038.939999998</v>
      </c>
      <c r="DI89" s="43">
        <f t="shared" ref="DI89:DR89" si="551">DI86+DI81+DI79+DI73+DI87</f>
        <v>11459132.979999999</v>
      </c>
      <c r="DJ89" s="43">
        <f t="shared" si="551"/>
        <v>15531359.260000002</v>
      </c>
      <c r="DK89" s="43">
        <f t="shared" si="551"/>
        <v>14904098.079999998</v>
      </c>
      <c r="DL89" s="43">
        <f t="shared" si="551"/>
        <v>14603911.74</v>
      </c>
      <c r="DM89" s="43">
        <f t="shared" si="551"/>
        <v>14457550.99</v>
      </c>
      <c r="DN89" s="43">
        <f>DN86+DN81+DN79+DN73+DN87</f>
        <v>13955991.92</v>
      </c>
      <c r="DO89" s="43">
        <f t="shared" si="551"/>
        <v>13383174.039999999</v>
      </c>
      <c r="DP89" s="43">
        <f t="shared" si="551"/>
        <v>13086979.469999999</v>
      </c>
      <c r="DQ89" s="43">
        <f t="shared" si="551"/>
        <v>12700516.1</v>
      </c>
      <c r="DR89" s="43">
        <f t="shared" si="551"/>
        <v>12294940.029999997</v>
      </c>
      <c r="DS89" s="43">
        <f t="shared" ref="DS89:EB89" si="552">DS86+DS81+DS79+DS73+DS87</f>
        <v>11640578.329999998</v>
      </c>
      <c r="DT89" s="43">
        <f t="shared" si="552"/>
        <v>11049524.149999997</v>
      </c>
      <c r="DU89" s="43">
        <f t="shared" si="552"/>
        <v>10806421.489999998</v>
      </c>
      <c r="DV89" s="43">
        <f t="shared" si="552"/>
        <v>10406544.699999999</v>
      </c>
      <c r="DW89" s="43">
        <f t="shared" si="552"/>
        <v>9668180.7699999977</v>
      </c>
      <c r="DX89" s="43">
        <f t="shared" si="552"/>
        <v>9069568.6399999987</v>
      </c>
      <c r="DY89" s="590">
        <f t="shared" si="552"/>
        <v>9815270.5437627919</v>
      </c>
      <c r="DZ89" s="43">
        <f t="shared" si="552"/>
        <v>9417417.0717140529</v>
      </c>
      <c r="EA89" s="43">
        <f t="shared" si="552"/>
        <v>9066380.3208028562</v>
      </c>
      <c r="EB89" s="43">
        <f t="shared" si="552"/>
        <v>8603362.3988571353</v>
      </c>
      <c r="EC89" s="43">
        <f t="shared" ref="EC89:EI89" si="553">EC86+EC81+EC79+EC73+EC87</f>
        <v>8270989.08233245</v>
      </c>
      <c r="ED89" s="43">
        <f t="shared" si="553"/>
        <v>7900517.8148833904</v>
      </c>
      <c r="EE89" s="43">
        <f t="shared" si="553"/>
        <v>7393502.164622019</v>
      </c>
      <c r="EF89" s="43">
        <f t="shared" si="553"/>
        <v>6917421.035222319</v>
      </c>
      <c r="EG89" s="43">
        <f t="shared" si="553"/>
        <v>6504011.0749773839</v>
      </c>
      <c r="EH89" s="43">
        <f t="shared" si="553"/>
        <v>6588675.9034951143</v>
      </c>
      <c r="EI89" s="43">
        <f t="shared" si="553"/>
        <v>6313738.7246154547</v>
      </c>
      <c r="EJ89" s="43">
        <f t="shared" ref="EJ89:ER89" si="554">EJ86+EJ81+EJ79+EJ73+EJ87</f>
        <v>5865411.5665082391</v>
      </c>
      <c r="EK89" s="590">
        <f t="shared" si="554"/>
        <v>5959167.3878540955</v>
      </c>
      <c r="EL89" s="590">
        <f t="shared" si="554"/>
        <v>5519731.0407553259</v>
      </c>
      <c r="EM89" s="590">
        <f t="shared" si="554"/>
        <v>5084194.5588281723</v>
      </c>
      <c r="EN89" s="590">
        <f t="shared" si="554"/>
        <v>4630122.3690125039</v>
      </c>
      <c r="EO89" s="590">
        <f t="shared" si="554"/>
        <v>4268613.6435521748</v>
      </c>
      <c r="EP89" s="590">
        <f t="shared" si="554"/>
        <v>3790059.7171277497</v>
      </c>
      <c r="EQ89" s="590">
        <f t="shared" si="554"/>
        <v>3300695.6231030617</v>
      </c>
      <c r="ER89" s="43">
        <f t="shared" si="554"/>
        <v>2854238.2493987726</v>
      </c>
      <c r="ES89" s="43">
        <f t="shared" ref="ES89:FB89" si="555">ES86+ES81+ES79+ES73+ES87</f>
        <v>2378188.3079240508</v>
      </c>
      <c r="ET89" s="43">
        <f t="shared" si="555"/>
        <v>1843848.860472085</v>
      </c>
      <c r="EU89" s="43">
        <f t="shared" si="555"/>
        <v>1139401.8074698988</v>
      </c>
      <c r="EV89" s="43">
        <f t="shared" si="555"/>
        <v>569907.60789825022</v>
      </c>
      <c r="EW89" s="43">
        <f t="shared" si="555"/>
        <v>944629.19000000134</v>
      </c>
      <c r="EX89" s="43">
        <f t="shared" si="555"/>
        <v>637786.47144696862</v>
      </c>
      <c r="EY89" s="43">
        <f t="shared" si="555"/>
        <v>33489.094484824687</v>
      </c>
      <c r="EZ89" s="43">
        <f>EZ86+EZ81+EZ79+EZ73+EZ87</f>
        <v>-565491.585413225</v>
      </c>
      <c r="FA89" s="43">
        <f t="shared" si="555"/>
        <v>-1238435.3998820428</v>
      </c>
      <c r="FB89" s="43">
        <f t="shared" si="555"/>
        <v>-1788611.4066574816</v>
      </c>
      <c r="FC89" s="43">
        <f>FC86+FC81+FC79+FC73+FC87</f>
        <v>-2179314.7434766553</v>
      </c>
      <c r="FD89" s="43">
        <f>FD86+FD81+FD79+FD73+FD87</f>
        <v>-2248971.8826908767</v>
      </c>
      <c r="FE89" s="43">
        <f>FE86+FE81+FE79+FE73+FE87</f>
        <v>-2532582.7425858546</v>
      </c>
      <c r="FF89" s="43">
        <f>FF86+FF81+FF79+FF73+FF87</f>
        <v>-2767697.1089544278</v>
      </c>
      <c r="FG89" s="43">
        <f t="shared" ref="FG89" si="556">FG86+FG81+FG79+FG73+FG87</f>
        <v>-3080620.0101398714</v>
      </c>
      <c r="FH89" s="43">
        <f>FH86+FH81+FH79+FH73+FH87</f>
        <v>-3445503.118987646</v>
      </c>
      <c r="FI89" s="43">
        <f>FI86+FI81+FI79+FI73+FI87</f>
        <v>-3906475.8635874242</v>
      </c>
      <c r="FJ89" s="43">
        <f>FJ86+FJ81+FJ79+FJ73+FJ87</f>
        <v>-4250052.6832335591</v>
      </c>
      <c r="FK89" s="775">
        <f>FK86+FK81+FK79+FK73+FK87</f>
        <v>-4389935.1548599601</v>
      </c>
      <c r="FL89" s="12"/>
      <c r="FM89" s="12"/>
      <c r="FN89" s="521"/>
      <c r="FO89" s="738"/>
      <c r="FU89" s="735"/>
    </row>
    <row r="90" spans="3:177" x14ac:dyDescent="0.35">
      <c r="F90" s="19"/>
      <c r="G90" s="19"/>
      <c r="H90" s="19"/>
      <c r="I90" s="19"/>
      <c r="J90" s="19"/>
      <c r="K90" s="19"/>
      <c r="L90" s="19"/>
      <c r="M90" s="19"/>
      <c r="N90" s="19">
        <f t="shared" si="475"/>
        <v>0</v>
      </c>
      <c r="O90" s="19">
        <f t="shared" si="476"/>
        <v>0</v>
      </c>
      <c r="P90" s="19">
        <f t="shared" si="477"/>
        <v>0</v>
      </c>
      <c r="Q90" s="20"/>
      <c r="R90" s="20"/>
      <c r="S90" s="20"/>
      <c r="T90" s="20"/>
      <c r="U90" s="20"/>
      <c r="V90" s="20"/>
      <c r="W90" s="20"/>
      <c r="X90" s="20"/>
      <c r="AX90" s="19">
        <f t="shared" si="488"/>
        <v>0</v>
      </c>
      <c r="BG90" s="20"/>
      <c r="BI90" s="20"/>
      <c r="BK90" s="20"/>
      <c r="BM90" s="20"/>
      <c r="BO90" s="20"/>
      <c r="BQ90" s="20"/>
      <c r="BR90" s="20"/>
      <c r="BS90" s="54"/>
      <c r="BT90" s="20"/>
      <c r="BU90" s="54"/>
      <c r="BV90" s="20"/>
      <c r="BW90" s="54"/>
      <c r="BX90" s="20"/>
      <c r="BZ90" s="20"/>
      <c r="CB90" s="20"/>
      <c r="CO90" s="54"/>
      <c r="CU90" s="54"/>
      <c r="CV90" s="54"/>
      <c r="DA90" s="54"/>
      <c r="DB90" s="54"/>
      <c r="DC90" s="54"/>
      <c r="DD90" s="54"/>
      <c r="DE90" s="54"/>
      <c r="DF90" s="54"/>
      <c r="DG90" s="54"/>
      <c r="DH90" s="54"/>
      <c r="DI90" s="54"/>
      <c r="DJ90" s="349"/>
      <c r="DK90" s="83"/>
      <c r="DL90" s="83"/>
      <c r="DM90" s="54"/>
      <c r="DN90" s="54"/>
      <c r="DO90" s="54"/>
      <c r="DP90" s="54"/>
      <c r="DQ90" s="54"/>
      <c r="DR90" s="54"/>
      <c r="DS90" s="54"/>
      <c r="DT90" s="20"/>
      <c r="DU90" s="20"/>
      <c r="DV90" s="20"/>
      <c r="DW90" s="20"/>
      <c r="DX90" s="12"/>
      <c r="DY90" s="511"/>
      <c r="EB90" s="12"/>
      <c r="EC90" s="12"/>
      <c r="ED90" s="12"/>
      <c r="EE90" s="20"/>
      <c r="EI90" s="528"/>
      <c r="EW90" s="382"/>
      <c r="FK90" s="79"/>
      <c r="FN90" s="421"/>
    </row>
    <row r="91" spans="3:177" x14ac:dyDescent="0.35">
      <c r="D91" t="s">
        <v>146</v>
      </c>
      <c r="F91" s="19"/>
      <c r="G91" s="19">
        <f>U91</f>
        <v>7724615</v>
      </c>
      <c r="H91" s="19">
        <f>Y91</f>
        <v>9491345</v>
      </c>
      <c r="I91" s="19">
        <f>AC91</f>
        <v>13984517</v>
      </c>
      <c r="J91" s="19">
        <f>AE91</f>
        <v>15404457</v>
      </c>
      <c r="K91" s="19">
        <f t="shared" ref="K91:K95" si="557">DM91</f>
        <v>36220697.789999999</v>
      </c>
      <c r="L91" s="19">
        <f t="shared" ref="L91:L94" si="558">DY91</f>
        <v>36231908.990000002</v>
      </c>
      <c r="M91" s="19">
        <f>AS91</f>
        <v>36507776.990000002</v>
      </c>
      <c r="N91" s="19">
        <f t="shared" si="475"/>
        <v>36576736.990000002</v>
      </c>
      <c r="O91" s="19">
        <f t="shared" si="476"/>
        <v>36587948.189999998</v>
      </c>
      <c r="P91" s="19">
        <f t="shared" si="477"/>
        <v>36749548.189999998</v>
      </c>
      <c r="Q91" s="20"/>
      <c r="R91" s="20">
        <v>7716000</v>
      </c>
      <c r="S91" s="20">
        <v>7704000</v>
      </c>
      <c r="T91" s="20">
        <v>7678000</v>
      </c>
      <c r="U91" s="20">
        <v>7724615</v>
      </c>
      <c r="V91" s="20">
        <f>BT91</f>
        <v>7889615</v>
      </c>
      <c r="W91" s="20">
        <f>BW91</f>
        <v>7889615</v>
      </c>
      <c r="X91" s="20">
        <f>BZ91</f>
        <v>8430615</v>
      </c>
      <c r="Y91" s="20">
        <f>CC91</f>
        <v>9491345</v>
      </c>
      <c r="Z91" s="20">
        <f>CF91</f>
        <v>9991355</v>
      </c>
      <c r="AA91" s="20">
        <f>CI91</f>
        <v>13985355</v>
      </c>
      <c r="AB91" s="20">
        <f>CL91</f>
        <v>13985355</v>
      </c>
      <c r="AC91" s="20">
        <f>CO91</f>
        <v>13984517</v>
      </c>
      <c r="AD91" s="20">
        <f>CR91</f>
        <v>14254517</v>
      </c>
      <c r="AE91" s="20">
        <f>CU91</f>
        <v>15404457</v>
      </c>
      <c r="AF91" s="20">
        <f>CX91</f>
        <v>15494457</v>
      </c>
      <c r="AG91" s="20">
        <f>DA91</f>
        <v>31394849.810000002</v>
      </c>
      <c r="AH91" s="20">
        <f>DD91</f>
        <v>31394849.810000002</v>
      </c>
      <c r="AI91" s="20">
        <f t="shared" si="493"/>
        <v>31394849.810000002</v>
      </c>
      <c r="AJ91" s="20">
        <f t="shared" si="494"/>
        <v>35988901.810000002</v>
      </c>
      <c r="AK91" s="20">
        <f>DM91</f>
        <v>36220697.789999999</v>
      </c>
      <c r="AL91" s="20">
        <f t="shared" si="479"/>
        <v>36220697.789999999</v>
      </c>
      <c r="AM91" s="20">
        <f t="shared" si="480"/>
        <v>36231908.990000002</v>
      </c>
      <c r="AN91" s="20">
        <f t="shared" si="499"/>
        <v>36231908.990000002</v>
      </c>
      <c r="AO91" s="20">
        <f t="shared" si="481"/>
        <v>36231908.990000002</v>
      </c>
      <c r="AP91" s="20">
        <f t="shared" ref="AP91:AP95" si="559">EB91</f>
        <v>36231908.990000002</v>
      </c>
      <c r="AQ91" s="20">
        <f t="shared" ref="AQ91:AQ95" si="560">EE91</f>
        <v>36231908.990000002</v>
      </c>
      <c r="AR91" s="20">
        <f>EH91</f>
        <v>36507777</v>
      </c>
      <c r="AS91" s="20">
        <f>EK91</f>
        <v>36507776.990000002</v>
      </c>
      <c r="AT91" s="20">
        <f t="shared" si="485"/>
        <v>36507776.990000002</v>
      </c>
      <c r="AU91" s="20">
        <f t="shared" si="486"/>
        <v>36508896.990000002</v>
      </c>
      <c r="AV91" s="20">
        <f t="shared" si="497"/>
        <v>36576736.990000002</v>
      </c>
      <c r="AW91" s="20">
        <f t="shared" si="487"/>
        <v>36576736.990000002</v>
      </c>
      <c r="AX91" s="19">
        <f t="shared" si="488"/>
        <v>36576736.990000002</v>
      </c>
      <c r="AY91" s="19">
        <f t="shared" si="496"/>
        <v>36587948.189999998</v>
      </c>
      <c r="AZ91" s="19">
        <f t="shared" si="489"/>
        <v>36587948.189999998</v>
      </c>
      <c r="BA91" s="19">
        <f t="shared" si="490"/>
        <v>36587948.189999998</v>
      </c>
      <c r="BB91" s="19">
        <f t="shared" si="491"/>
        <v>36749548.189999998</v>
      </c>
      <c r="BC91" s="19"/>
      <c r="BD91" s="19"/>
      <c r="BE91" s="19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>
        <f>U91+BR111+BR132</f>
        <v>7724615</v>
      </c>
      <c r="BS91" s="20">
        <f>BR91+BS111+BS132</f>
        <v>7724615</v>
      </c>
      <c r="BT91" s="20">
        <f>BS91+BT111+BT132+165000</f>
        <v>7889615</v>
      </c>
      <c r="BU91" s="20">
        <f t="shared" ref="BU91:CB91" si="561">BT91+BU111+BU132</f>
        <v>7889615</v>
      </c>
      <c r="BV91" s="20">
        <f t="shared" si="561"/>
        <v>7889615</v>
      </c>
      <c r="BW91" s="20">
        <f t="shared" si="561"/>
        <v>7889615</v>
      </c>
      <c r="BX91" s="20">
        <f t="shared" si="561"/>
        <v>7889615</v>
      </c>
      <c r="BY91" s="20">
        <f t="shared" si="561"/>
        <v>8349615</v>
      </c>
      <c r="BZ91" s="20">
        <f t="shared" si="561"/>
        <v>8430615</v>
      </c>
      <c r="CA91" s="20">
        <f t="shared" si="561"/>
        <v>8860201</v>
      </c>
      <c r="CB91" s="20">
        <f t="shared" si="561"/>
        <v>8991401</v>
      </c>
      <c r="CC91" s="20">
        <v>9491345</v>
      </c>
      <c r="CD91" s="20">
        <f>CC91+CD111+CD132</f>
        <v>9991355</v>
      </c>
      <c r="CE91" s="20">
        <f>CD91+CE111+CE132</f>
        <v>9991355</v>
      </c>
      <c r="CF91" s="20">
        <f>CE91+CF111+CF132</f>
        <v>9991355</v>
      </c>
      <c r="CG91" s="20">
        <f>CF91+CG111+CG132</f>
        <v>9991355</v>
      </c>
      <c r="CH91" s="20">
        <f>CG91+CH111+CH132+2935000+939000+120000</f>
        <v>13985355</v>
      </c>
      <c r="CI91" s="20">
        <f t="shared" ref="CI91:CN91" si="562">CH91+CI111+CI132</f>
        <v>13985355</v>
      </c>
      <c r="CJ91" s="20">
        <f t="shared" si="562"/>
        <v>13985355</v>
      </c>
      <c r="CK91" s="20">
        <f t="shared" si="562"/>
        <v>13985355</v>
      </c>
      <c r="CL91" s="20">
        <f t="shared" si="562"/>
        <v>13985355</v>
      </c>
      <c r="CM91" s="20">
        <f t="shared" si="562"/>
        <v>13985355</v>
      </c>
      <c r="CN91" s="20">
        <f t="shared" si="562"/>
        <v>13985355</v>
      </c>
      <c r="CO91" s="20">
        <v>13984517</v>
      </c>
      <c r="CP91" s="20">
        <f>CO91+CP111+CP132</f>
        <v>13984517</v>
      </c>
      <c r="CQ91" s="20">
        <f>CP91+CQ111+CQ132</f>
        <v>13984517</v>
      </c>
      <c r="CR91" s="20">
        <f>CQ91+CR111+CR132</f>
        <v>14254517</v>
      </c>
      <c r="CS91" s="20">
        <f>CR91+CS111+CS132</f>
        <v>14614517</v>
      </c>
      <c r="CT91" s="20">
        <f>CS91+CT111+CT132-30000</f>
        <v>15134517</v>
      </c>
      <c r="CU91" s="82">
        <f>CT91+CU111+CU132-30000</f>
        <v>15404457</v>
      </c>
      <c r="CV91" s="20">
        <f>CU91+CV111+CV132-10000</f>
        <v>15494457</v>
      </c>
      <c r="CW91" s="20">
        <f>CV91+CW111+CW132</f>
        <v>15494457</v>
      </c>
      <c r="CX91" s="20">
        <f>CW91+CX111+CX132</f>
        <v>15494457</v>
      </c>
      <c r="CY91" s="20">
        <f>CX91+CY111+CY132</f>
        <v>15494457</v>
      </c>
      <c r="CZ91" s="20">
        <f>CY91+CZ111+CZ132</f>
        <v>15494457</v>
      </c>
      <c r="DA91" s="20">
        <f>CZ91+DA111+DA132-100000-225000+1225396-0.49</f>
        <v>31394849.810000002</v>
      </c>
      <c r="DB91" s="20">
        <f t="shared" ref="DB91:DH91" si="563">DA91+DB111+DB132</f>
        <v>31394849.810000002</v>
      </c>
      <c r="DC91" s="20">
        <f t="shared" si="563"/>
        <v>31394849.810000002</v>
      </c>
      <c r="DD91" s="20">
        <f t="shared" si="563"/>
        <v>31394849.810000002</v>
      </c>
      <c r="DE91" s="20">
        <f t="shared" si="563"/>
        <v>31394849.810000002</v>
      </c>
      <c r="DF91" s="20">
        <f t="shared" si="563"/>
        <v>31394849.810000002</v>
      </c>
      <c r="DG91" s="20">
        <f t="shared" si="563"/>
        <v>31394849.810000002</v>
      </c>
      <c r="DH91" s="20">
        <f t="shared" si="563"/>
        <v>31394849.810000002</v>
      </c>
      <c r="DI91" s="20">
        <f>DH91+DI111+DI132</f>
        <v>31394849.810000002</v>
      </c>
      <c r="DJ91" s="20">
        <f>DI91+DJ111+DJ132+194040</f>
        <v>35988901.810000002</v>
      </c>
      <c r="DK91" s="20">
        <f t="shared" ref="DK91:DP91" si="564">DJ91+DK111+DK132</f>
        <v>35988901.810000002</v>
      </c>
      <c r="DL91" s="20">
        <f t="shared" si="564"/>
        <v>36103141.890000001</v>
      </c>
      <c r="DM91" s="20">
        <f t="shared" si="564"/>
        <v>36220697.789999999</v>
      </c>
      <c r="DN91" s="20">
        <f t="shared" si="564"/>
        <v>36220697.789999999</v>
      </c>
      <c r="DO91" s="20">
        <f t="shared" si="564"/>
        <v>36220697.789999999</v>
      </c>
      <c r="DP91" s="20">
        <f t="shared" si="564"/>
        <v>36220697.789999999</v>
      </c>
      <c r="DQ91" s="20">
        <f t="shared" ref="DQ91:DU91" si="565">DP91+DQ111+DQ132</f>
        <v>36231908.990000002</v>
      </c>
      <c r="DR91" s="20">
        <f t="shared" si="565"/>
        <v>36231908.990000002</v>
      </c>
      <c r="DS91" s="20">
        <f t="shared" si="565"/>
        <v>36231908.990000002</v>
      </c>
      <c r="DT91" s="20">
        <f t="shared" si="565"/>
        <v>36231908.990000002</v>
      </c>
      <c r="DU91" s="20">
        <f t="shared" si="565"/>
        <v>36231908.990000002</v>
      </c>
      <c r="DV91" s="20">
        <f t="shared" ref="DV91:DZ91" si="566">DU91+DV111+DV132</f>
        <v>36231908.990000002</v>
      </c>
      <c r="DW91" s="20">
        <f t="shared" si="566"/>
        <v>36231908.990000002</v>
      </c>
      <c r="DX91" s="20">
        <f t="shared" si="566"/>
        <v>36231908.990000002</v>
      </c>
      <c r="DY91" s="469">
        <f t="shared" si="566"/>
        <v>36231908.990000002</v>
      </c>
      <c r="DZ91" s="20">
        <f t="shared" si="566"/>
        <v>36231908.990000002</v>
      </c>
      <c r="EA91" s="20">
        <f t="shared" ref="EA91:EE91" si="567">DZ91+EA111+EA132</f>
        <v>36231908.990000002</v>
      </c>
      <c r="EB91" s="20">
        <f t="shared" si="567"/>
        <v>36231908.990000002</v>
      </c>
      <c r="EC91" s="20">
        <f t="shared" si="567"/>
        <v>36231908.990000002</v>
      </c>
      <c r="ED91" s="20">
        <f t="shared" si="567"/>
        <v>36231908.990000002</v>
      </c>
      <c r="EE91" s="20">
        <f t="shared" si="567"/>
        <v>36231908.990000002</v>
      </c>
      <c r="EF91" s="20">
        <v>36241510.990000002</v>
      </c>
      <c r="EG91" s="20">
        <v>36241510.990000002</v>
      </c>
      <c r="EH91" s="20">
        <v>36507777</v>
      </c>
      <c r="EI91" s="20">
        <v>36507777</v>
      </c>
      <c r="EJ91" s="20">
        <v>36507776.990000002</v>
      </c>
      <c r="EK91" s="469">
        <v>36507776.990000002</v>
      </c>
      <c r="EL91" s="469">
        <v>36507776.990000002</v>
      </c>
      <c r="EM91" s="469">
        <v>36507776.990000002</v>
      </c>
      <c r="EN91" s="469">
        <v>36507776.990000002</v>
      </c>
      <c r="EO91" s="469">
        <v>36508896.990000002</v>
      </c>
      <c r="EP91" s="469">
        <v>36508896.990000002</v>
      </c>
      <c r="EQ91" s="469">
        <v>36508896.990000002</v>
      </c>
      <c r="ER91" s="469">
        <v>36576736.990000002</v>
      </c>
      <c r="ES91" s="469">
        <v>36576736.990000002</v>
      </c>
      <c r="ET91" s="469">
        <v>36576736.990000002</v>
      </c>
      <c r="EU91" s="469">
        <v>36576736.990000002</v>
      </c>
      <c r="EV91" s="469">
        <v>36576736.990000002</v>
      </c>
      <c r="EW91" s="469">
        <v>36576736.990000002</v>
      </c>
      <c r="EX91" s="469">
        <v>36576736.990000002</v>
      </c>
      <c r="EY91" s="469">
        <v>36576736.990000002</v>
      </c>
      <c r="EZ91" s="469">
        <v>36576736.990000002</v>
      </c>
      <c r="FA91" s="469">
        <v>36587948.189999998</v>
      </c>
      <c r="FB91" s="469">
        <v>36587948.189999998</v>
      </c>
      <c r="FC91" s="469">
        <v>36587948.189999998</v>
      </c>
      <c r="FD91" s="469">
        <v>36587948.189999998</v>
      </c>
      <c r="FE91" s="469">
        <v>36587948.189999998</v>
      </c>
      <c r="FF91" s="469">
        <v>36587948.189999998</v>
      </c>
      <c r="FG91" s="469">
        <v>36587948.189999998</v>
      </c>
      <c r="FH91" s="469">
        <v>36598479.210000001</v>
      </c>
      <c r="FI91" s="469">
        <v>36587948.189999998</v>
      </c>
      <c r="FJ91" s="469">
        <f>36587948.19+80800</f>
        <v>36668748.189999998</v>
      </c>
      <c r="FK91" s="745">
        <v>36749548.189999998</v>
      </c>
      <c r="FL91" s="469"/>
      <c r="FM91" s="469"/>
    </row>
    <row r="92" spans="3:177" x14ac:dyDescent="0.35">
      <c r="D92" t="s">
        <v>147</v>
      </c>
      <c r="F92" s="19"/>
      <c r="G92" s="19">
        <f>U92</f>
        <v>182454</v>
      </c>
      <c r="H92" s="19">
        <f>Y92</f>
        <v>233993</v>
      </c>
      <c r="I92" s="19">
        <f>AC92</f>
        <v>920952</v>
      </c>
      <c r="J92" s="19">
        <f>AE92</f>
        <v>920952</v>
      </c>
      <c r="K92" s="19">
        <f t="shared" si="557"/>
        <v>1782128</v>
      </c>
      <c r="L92" s="19">
        <f t="shared" si="558"/>
        <v>2366227</v>
      </c>
      <c r="M92" s="19">
        <f>AS92</f>
        <v>3051092</v>
      </c>
      <c r="N92" s="19">
        <f t="shared" si="475"/>
        <v>3244671</v>
      </c>
      <c r="O92" s="19">
        <f t="shared" si="476"/>
        <v>3244671</v>
      </c>
      <c r="P92" s="19">
        <f t="shared" si="477"/>
        <v>3244671</v>
      </c>
      <c r="Q92" s="20"/>
      <c r="R92" s="20">
        <v>66000</v>
      </c>
      <c r="S92" s="20">
        <v>66000</v>
      </c>
      <c r="T92" s="20">
        <v>66000</v>
      </c>
      <c r="U92" s="20">
        <v>182454</v>
      </c>
      <c r="V92" s="20">
        <f>BT92</f>
        <v>182454</v>
      </c>
      <c r="W92" s="20">
        <f>BW92</f>
        <v>182454</v>
      </c>
      <c r="X92" s="20">
        <f>BZ92</f>
        <v>182454</v>
      </c>
      <c r="Y92" s="20">
        <f>CC92</f>
        <v>233993</v>
      </c>
      <c r="Z92" s="20">
        <f>CF92</f>
        <v>233993</v>
      </c>
      <c r="AA92" s="20">
        <f>CI92</f>
        <v>233993</v>
      </c>
      <c r="AB92" s="20">
        <f>CL92</f>
        <v>233993</v>
      </c>
      <c r="AC92" s="20">
        <f>CO92</f>
        <v>920952</v>
      </c>
      <c r="AD92" s="20">
        <f>CR92</f>
        <v>920952</v>
      </c>
      <c r="AE92" s="20">
        <f>CU92</f>
        <v>920952</v>
      </c>
      <c r="AF92" s="20">
        <f>CX92</f>
        <v>920952</v>
      </c>
      <c r="AG92" s="20">
        <f>DA92</f>
        <v>1286834</v>
      </c>
      <c r="AH92" s="20">
        <f>DD92</f>
        <v>1286834</v>
      </c>
      <c r="AI92" s="20">
        <f t="shared" si="493"/>
        <v>1286834</v>
      </c>
      <c r="AJ92" s="20">
        <f t="shared" si="494"/>
        <v>1286834</v>
      </c>
      <c r="AK92" s="20">
        <f>DM92</f>
        <v>1782128</v>
      </c>
      <c r="AL92" s="20">
        <f t="shared" si="479"/>
        <v>1782128</v>
      </c>
      <c r="AM92" s="20">
        <f t="shared" si="480"/>
        <v>1782128</v>
      </c>
      <c r="AN92" s="20">
        <f t="shared" si="499"/>
        <v>1782128</v>
      </c>
      <c r="AO92" s="20">
        <f t="shared" si="481"/>
        <v>2366227</v>
      </c>
      <c r="AP92" s="20">
        <f t="shared" si="559"/>
        <v>2366227</v>
      </c>
      <c r="AQ92" s="20">
        <f t="shared" si="560"/>
        <v>2366227</v>
      </c>
      <c r="AR92" s="20">
        <f t="shared" si="484"/>
        <v>2366227</v>
      </c>
      <c r="AS92" s="20">
        <f t="shared" ref="AS92:AS94" si="568">EK92</f>
        <v>3051092</v>
      </c>
      <c r="AT92" s="20">
        <f t="shared" si="485"/>
        <v>3051092</v>
      </c>
      <c r="AU92" s="20">
        <f t="shared" si="486"/>
        <v>3051092</v>
      </c>
      <c r="AV92" s="20">
        <f t="shared" si="497"/>
        <v>3051092</v>
      </c>
      <c r="AW92" s="20">
        <f t="shared" si="487"/>
        <v>3244671</v>
      </c>
      <c r="AX92" s="19">
        <f t="shared" si="488"/>
        <v>3244671</v>
      </c>
      <c r="AY92" s="19">
        <f t="shared" si="496"/>
        <v>3244671</v>
      </c>
      <c r="AZ92" s="19">
        <f t="shared" si="489"/>
        <v>3244671</v>
      </c>
      <c r="BA92" s="19">
        <f t="shared" si="490"/>
        <v>3244671</v>
      </c>
      <c r="BB92" s="19">
        <f t="shared" si="491"/>
        <v>3244671</v>
      </c>
      <c r="BC92" s="19"/>
      <c r="BD92" s="19"/>
      <c r="BE92" s="19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>
        <f>U92</f>
        <v>182454</v>
      </c>
      <c r="BS92" s="20">
        <f t="shared" ref="BS92:BZ92" si="569">BR92</f>
        <v>182454</v>
      </c>
      <c r="BT92" s="20">
        <f t="shared" si="569"/>
        <v>182454</v>
      </c>
      <c r="BU92" s="20">
        <f t="shared" si="569"/>
        <v>182454</v>
      </c>
      <c r="BV92" s="20">
        <f t="shared" si="569"/>
        <v>182454</v>
      </c>
      <c r="BW92" s="20">
        <f t="shared" si="569"/>
        <v>182454</v>
      </c>
      <c r="BX92" s="20">
        <f t="shared" si="569"/>
        <v>182454</v>
      </c>
      <c r="BY92" s="20">
        <f t="shared" si="569"/>
        <v>182454</v>
      </c>
      <c r="BZ92" s="20">
        <f t="shared" si="569"/>
        <v>182454</v>
      </c>
      <c r="CA92" s="20">
        <f t="shared" ref="CA92:CG92" si="570">BZ92</f>
        <v>182454</v>
      </c>
      <c r="CB92" s="20">
        <f t="shared" si="570"/>
        <v>182454</v>
      </c>
      <c r="CC92" s="20">
        <v>233993</v>
      </c>
      <c r="CD92" s="20">
        <f>CC92</f>
        <v>233993</v>
      </c>
      <c r="CE92" s="20">
        <f t="shared" si="570"/>
        <v>233993</v>
      </c>
      <c r="CF92" s="20">
        <f t="shared" si="570"/>
        <v>233993</v>
      </c>
      <c r="CG92" s="20">
        <f t="shared" si="570"/>
        <v>233993</v>
      </c>
      <c r="CH92" s="20">
        <f>233993</f>
        <v>233993</v>
      </c>
      <c r="CI92" s="20">
        <f>233993</f>
        <v>233993</v>
      </c>
      <c r="CJ92" s="20">
        <v>233993</v>
      </c>
      <c r="CK92" s="20">
        <v>233993</v>
      </c>
      <c r="CL92" s="20">
        <v>233993</v>
      </c>
      <c r="CM92" s="20">
        <v>233993</v>
      </c>
      <c r="CN92" s="20">
        <v>233993</v>
      </c>
      <c r="CO92" s="20">
        <v>920952</v>
      </c>
      <c r="CP92" s="20">
        <f>1156329-235377</f>
        <v>920952</v>
      </c>
      <c r="CQ92" s="20">
        <v>920952</v>
      </c>
      <c r="CR92" s="20">
        <v>920952</v>
      </c>
      <c r="CS92" s="20">
        <v>920952</v>
      </c>
      <c r="CT92" s="20">
        <v>920952</v>
      </c>
      <c r="CU92" s="20">
        <v>920952</v>
      </c>
      <c r="CV92" s="20">
        <v>920952</v>
      </c>
      <c r="CW92" s="20">
        <v>920952</v>
      </c>
      <c r="CX92" s="20">
        <v>920952</v>
      </c>
      <c r="CY92" s="20">
        <v>920952</v>
      </c>
      <c r="CZ92" s="20">
        <v>920952</v>
      </c>
      <c r="DA92" s="20">
        <v>1286834</v>
      </c>
      <c r="DB92" s="20">
        <v>1286834</v>
      </c>
      <c r="DC92" s="20">
        <v>1286834</v>
      </c>
      <c r="DD92" s="20">
        <v>1286834</v>
      </c>
      <c r="DE92" s="20">
        <v>1286834</v>
      </c>
      <c r="DF92" s="20">
        <v>1286834</v>
      </c>
      <c r="DG92" s="20">
        <v>1286834</v>
      </c>
      <c r="DH92" s="20">
        <v>1286834</v>
      </c>
      <c r="DI92" s="20">
        <v>1286834</v>
      </c>
      <c r="DJ92" s="20">
        <v>1286834</v>
      </c>
      <c r="DK92" s="20">
        <v>1286834</v>
      </c>
      <c r="DL92" s="20">
        <v>1286834</v>
      </c>
      <c r="DM92" s="20">
        <v>1782128</v>
      </c>
      <c r="DN92" s="20">
        <v>1782128</v>
      </c>
      <c r="DO92" s="20">
        <v>1782128</v>
      </c>
      <c r="DP92" s="20">
        <v>1782128</v>
      </c>
      <c r="DQ92" s="20">
        <v>1782128</v>
      </c>
      <c r="DR92" s="20">
        <v>1782128</v>
      </c>
      <c r="DS92" s="20">
        <v>1782128</v>
      </c>
      <c r="DT92" s="20">
        <v>1782128</v>
      </c>
      <c r="DU92" s="20">
        <v>1782128</v>
      </c>
      <c r="DV92" s="20">
        <v>1782128</v>
      </c>
      <c r="DW92" s="20">
        <v>1782128</v>
      </c>
      <c r="DX92" s="20">
        <v>1782128</v>
      </c>
      <c r="DY92" s="469">
        <v>2366227</v>
      </c>
      <c r="DZ92" s="20">
        <v>2366227</v>
      </c>
      <c r="EA92" s="20">
        <v>2366227</v>
      </c>
      <c r="EB92" s="20">
        <v>2366227</v>
      </c>
      <c r="EC92" s="20">
        <v>2366227</v>
      </c>
      <c r="ED92" s="20">
        <v>2366227</v>
      </c>
      <c r="EE92" s="20">
        <v>2366227</v>
      </c>
      <c r="EF92" s="20">
        <v>2366227</v>
      </c>
      <c r="EG92" s="20">
        <v>2366227</v>
      </c>
      <c r="EH92" s="20">
        <v>2366227</v>
      </c>
      <c r="EI92" s="20">
        <v>2366227</v>
      </c>
      <c r="EJ92" s="20">
        <v>2366227</v>
      </c>
      <c r="EK92" s="469">
        <v>3051092</v>
      </c>
      <c r="EL92" s="469">
        <v>3051092</v>
      </c>
      <c r="EM92" s="469">
        <v>3051092</v>
      </c>
      <c r="EN92" s="469">
        <v>3051092</v>
      </c>
      <c r="EO92" s="469">
        <v>3051092</v>
      </c>
      <c r="EP92" s="469">
        <v>3051092</v>
      </c>
      <c r="EQ92" s="469">
        <v>3051092</v>
      </c>
      <c r="ER92" s="469">
        <v>3051092</v>
      </c>
      <c r="ES92" s="469">
        <v>3051092</v>
      </c>
      <c r="ET92" s="469">
        <v>3051092</v>
      </c>
      <c r="EU92" s="469">
        <v>3051092</v>
      </c>
      <c r="EV92" s="469">
        <v>3051092</v>
      </c>
      <c r="EW92" s="469">
        <v>3244671</v>
      </c>
      <c r="EX92" s="469">
        <v>3244671</v>
      </c>
      <c r="EY92" s="469">
        <v>3244671</v>
      </c>
      <c r="EZ92" s="469">
        <v>3244671</v>
      </c>
      <c r="FA92" s="469">
        <v>3244671</v>
      </c>
      <c r="FB92" s="469">
        <v>3244671</v>
      </c>
      <c r="FC92" s="469">
        <v>3244671</v>
      </c>
      <c r="FD92" s="469">
        <v>3244671</v>
      </c>
      <c r="FE92" s="469">
        <v>3244671</v>
      </c>
      <c r="FF92" s="469">
        <v>3244671</v>
      </c>
      <c r="FG92" s="469">
        <v>3244671</v>
      </c>
      <c r="FH92" s="469">
        <v>3244671</v>
      </c>
      <c r="FI92" s="469">
        <v>3244671</v>
      </c>
      <c r="FJ92" s="469">
        <v>3244671</v>
      </c>
      <c r="FK92" s="745">
        <v>3244671</v>
      </c>
      <c r="FL92" s="469"/>
      <c r="FM92" s="469"/>
    </row>
    <row r="93" spans="3:177" x14ac:dyDescent="0.35">
      <c r="D93" t="s">
        <v>148</v>
      </c>
      <c r="F93" s="19"/>
      <c r="G93" s="19">
        <f>U93</f>
        <v>0</v>
      </c>
      <c r="H93" s="19">
        <f>Y93</f>
        <v>-29540</v>
      </c>
      <c r="I93" s="19">
        <f>AC93</f>
        <v>48085</v>
      </c>
      <c r="J93" s="19">
        <f>AE93</f>
        <v>-149866</v>
      </c>
      <c r="K93" s="19">
        <f t="shared" si="557"/>
        <v>0</v>
      </c>
      <c r="L93" s="19">
        <f t="shared" si="558"/>
        <v>0</v>
      </c>
      <c r="M93" s="19">
        <f>AS93</f>
        <v>-132621.602145907</v>
      </c>
      <c r="N93" s="19">
        <f t="shared" si="475"/>
        <v>0</v>
      </c>
      <c r="O93" s="19">
        <f t="shared" si="476"/>
        <v>454970.799860125</v>
      </c>
      <c r="P93" s="19">
        <f t="shared" si="477"/>
        <v>357365.65514004201</v>
      </c>
      <c r="Q93" s="20"/>
      <c r="R93" s="20">
        <v>-68000</v>
      </c>
      <c r="S93" s="20">
        <v>-54000</v>
      </c>
      <c r="T93" s="20">
        <v>-82000</v>
      </c>
      <c r="U93" s="20">
        <v>0</v>
      </c>
      <c r="V93" s="20">
        <f>BT93</f>
        <v>-111598</v>
      </c>
      <c r="W93" s="20">
        <f>BW93</f>
        <v>-118657</v>
      </c>
      <c r="X93" s="20">
        <f>BZ93</f>
        <v>-132193</v>
      </c>
      <c r="Y93" s="20">
        <f>CC93</f>
        <v>-29540</v>
      </c>
      <c r="Z93" s="20">
        <f>CF93</f>
        <v>-46605</v>
      </c>
      <c r="AA93" s="20">
        <f>CI93</f>
        <v>-27633</v>
      </c>
      <c r="AB93" s="20">
        <f>CL93</f>
        <v>12614</v>
      </c>
      <c r="AC93" s="20">
        <f>CO93</f>
        <v>48085</v>
      </c>
      <c r="AD93" s="20">
        <f>CR93</f>
        <v>-175434</v>
      </c>
      <c r="AE93" s="20">
        <f>CU93</f>
        <v>-149866</v>
      </c>
      <c r="AF93" s="20">
        <f>CX93</f>
        <v>-256313.61</v>
      </c>
      <c r="AG93" s="20">
        <f>DA93</f>
        <v>0</v>
      </c>
      <c r="AH93" s="20">
        <f>DD93</f>
        <v>-177964.88</v>
      </c>
      <c r="AI93" s="20">
        <f t="shared" si="493"/>
        <v>9839.77</v>
      </c>
      <c r="AJ93" s="20">
        <f t="shared" si="494"/>
        <v>-90006.550000000745</v>
      </c>
      <c r="AK93" s="20">
        <f>DM93</f>
        <v>0</v>
      </c>
      <c r="AL93" s="20">
        <f t="shared" si="479"/>
        <v>250123.68</v>
      </c>
      <c r="AM93" s="20">
        <f t="shared" si="480"/>
        <v>376451.34</v>
      </c>
      <c r="AN93" s="20">
        <f t="shared" si="499"/>
        <v>545487.70999999705</v>
      </c>
      <c r="AO93" s="20">
        <f t="shared" si="481"/>
        <v>0</v>
      </c>
      <c r="AP93" s="20">
        <f t="shared" si="559"/>
        <v>-51473.591142866797</v>
      </c>
      <c r="AQ93" s="20">
        <f t="shared" si="560"/>
        <v>-42153.825377982997</v>
      </c>
      <c r="AR93" s="20">
        <f t="shared" si="484"/>
        <v>-74948.096504885703</v>
      </c>
      <c r="AS93" s="20">
        <f t="shared" si="568"/>
        <v>-132621.602145907</v>
      </c>
      <c r="AT93" s="20">
        <f t="shared" si="485"/>
        <v>-257256.6209874982</v>
      </c>
      <c r="AU93" s="20">
        <f t="shared" si="486"/>
        <v>-415933.3668969404</v>
      </c>
      <c r="AV93" s="20">
        <f t="shared" si="497"/>
        <v>-577330.12952791702</v>
      </c>
      <c r="AW93" s="20">
        <f t="shared" si="487"/>
        <v>0</v>
      </c>
      <c r="AX93" s="19">
        <f t="shared" si="488"/>
        <v>25220.424586769201</v>
      </c>
      <c r="AY93" s="19">
        <f t="shared" si="496"/>
        <v>-26073.933476656701</v>
      </c>
      <c r="AZ93" s="19">
        <f t="shared" si="489"/>
        <v>387863.70104557101</v>
      </c>
      <c r="BA93" s="19">
        <f t="shared" si="490"/>
        <v>312644.94641257799</v>
      </c>
      <c r="BB93" s="19">
        <f t="shared" si="491"/>
        <v>357365.65514004201</v>
      </c>
      <c r="BC93" s="19"/>
      <c r="BD93" s="19"/>
      <c r="BE93" s="19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>
        <f>-139297+349+BR135</f>
        <v>-75784</v>
      </c>
      <c r="BS93" s="20">
        <f>-100490-946+BS135</f>
        <v>-119760</v>
      </c>
      <c r="BT93" s="20">
        <f>-112683+1084+BT135</f>
        <v>-111598</v>
      </c>
      <c r="BU93" s="20">
        <f>-107764+224+BU135</f>
        <v>-113048</v>
      </c>
      <c r="BV93" s="20">
        <f>-41578-11540+BV135</f>
        <v>-110176</v>
      </c>
      <c r="BW93" s="20">
        <f>-43501-15009+BW135</f>
        <v>-118657</v>
      </c>
      <c r="BX93" s="20">
        <f>-19669-13949+BX135</f>
        <v>-105435</v>
      </c>
      <c r="BY93" s="20">
        <f>-25189-37828+BY135</f>
        <v>-155012</v>
      </c>
      <c r="BZ93" s="20">
        <f>-20755-26977+BZ135</f>
        <v>-132193</v>
      </c>
      <c r="CA93" s="20">
        <f>67979+2210+CA135</f>
        <v>-33814</v>
      </c>
      <c r="CB93" s="20">
        <f>47622-13302+CB135</f>
        <v>-111983</v>
      </c>
      <c r="CC93" s="20">
        <f>5678-39308+4090</f>
        <v>-29540</v>
      </c>
      <c r="CD93" s="20">
        <f t="shared" ref="CD93:CM93" si="571">CD89-CD91-CD92-CD94</f>
        <v>-69985</v>
      </c>
      <c r="CE93" s="20">
        <f t="shared" si="571"/>
        <v>-57418</v>
      </c>
      <c r="CF93" s="20">
        <f t="shared" si="571"/>
        <v>-46605</v>
      </c>
      <c r="CG93" s="20">
        <f t="shared" si="571"/>
        <v>-43245</v>
      </c>
      <c r="CH93" s="20">
        <f t="shared" si="571"/>
        <v>13176</v>
      </c>
      <c r="CI93" s="20">
        <f t="shared" si="571"/>
        <v>-27633</v>
      </c>
      <c r="CJ93" s="20">
        <f t="shared" si="571"/>
        <v>100203</v>
      </c>
      <c r="CK93" s="20">
        <f t="shared" si="571"/>
        <v>50584</v>
      </c>
      <c r="CL93" s="20">
        <f t="shared" si="571"/>
        <v>12614</v>
      </c>
      <c r="CM93" s="20">
        <f t="shared" si="571"/>
        <v>-117454</v>
      </c>
      <c r="CN93" s="20">
        <f>CN89-CN91-CN92-CN94</f>
        <v>-108126</v>
      </c>
      <c r="CO93" s="20">
        <v>48085</v>
      </c>
      <c r="CP93" s="20">
        <v>-19125</v>
      </c>
      <c r="CQ93" s="20">
        <v>-14759</v>
      </c>
      <c r="CR93" s="20">
        <v>-175434</v>
      </c>
      <c r="CS93" s="20">
        <v>-174119</v>
      </c>
      <c r="CT93" s="20">
        <v>-159511</v>
      </c>
      <c r="CU93" s="20">
        <v>-149866</v>
      </c>
      <c r="CV93" s="20">
        <v>-187222</v>
      </c>
      <c r="CW93" s="20">
        <f>-252643.32</f>
        <v>-252643.32</v>
      </c>
      <c r="CX93" s="20">
        <v>-256313.61</v>
      </c>
      <c r="CY93" s="20">
        <v>-289563.45</v>
      </c>
      <c r="CZ93" s="20">
        <f>-306395.26</f>
        <v>-306395.26</v>
      </c>
      <c r="DA93" s="20">
        <v>0</v>
      </c>
      <c r="DB93" s="20">
        <v>-56797.78</v>
      </c>
      <c r="DC93" s="20">
        <v>-100746.52</v>
      </c>
      <c r="DD93" s="20">
        <v>-177964.88</v>
      </c>
      <c r="DE93" s="20">
        <v>-99810.93</v>
      </c>
      <c r="DF93" s="20">
        <v>-95273.24</v>
      </c>
      <c r="DG93" s="20">
        <v>9839.77</v>
      </c>
      <c r="DH93" s="20">
        <v>-44624.870000004768</v>
      </c>
      <c r="DI93" s="20">
        <v>-38550.8300000038</v>
      </c>
      <c r="DJ93" s="20">
        <v>-90006.550000000745</v>
      </c>
      <c r="DK93" s="20">
        <v>-218247.73000000417</v>
      </c>
      <c r="DL93" s="20">
        <v>-184034.15000000037</v>
      </c>
      <c r="DM93" s="20">
        <v>0</v>
      </c>
      <c r="DN93" s="20">
        <v>31096.13</v>
      </c>
      <c r="DO93" s="20">
        <v>66838.25</v>
      </c>
      <c r="DP93" s="20">
        <v>250123.68</v>
      </c>
      <c r="DQ93" s="20">
        <v>429709.11</v>
      </c>
      <c r="DR93" s="20">
        <v>510413.03999999497</v>
      </c>
      <c r="DS93" s="20">
        <v>376451.34</v>
      </c>
      <c r="DT93" s="20">
        <v>375357.159999998</v>
      </c>
      <c r="DU93" s="20">
        <v>565104.49999999604</v>
      </c>
      <c r="DV93" s="20">
        <v>545487.70999999705</v>
      </c>
      <c r="DW93" s="20">
        <v>496233.77999999898</v>
      </c>
      <c r="DX93" s="20">
        <v>359601.64999999898</v>
      </c>
      <c r="DY93" s="469">
        <v>0</v>
      </c>
      <c r="DZ93" s="20">
        <v>-4248.9182859491602</v>
      </c>
      <c r="EA93" s="20">
        <v>-1535.6691971458499</v>
      </c>
      <c r="EB93" s="20">
        <v>-51473.591142866797</v>
      </c>
      <c r="EC93" s="20">
        <v>-49506.907667552099</v>
      </c>
      <c r="ED93" s="20">
        <v>-69408.175116611601</v>
      </c>
      <c r="EE93" s="20">
        <v>-42153.825377982997</v>
      </c>
      <c r="EF93" s="20">
        <v>-57806.954777683102</v>
      </c>
      <c r="EG93" s="20">
        <v>-128716.91502261801</v>
      </c>
      <c r="EH93" s="20">
        <v>-74948.096504885703</v>
      </c>
      <c r="EI93" s="20">
        <v>-45335.275384545297</v>
      </c>
      <c r="EJ93" s="20">
        <v>-163102.42349176301</v>
      </c>
      <c r="EK93" s="469">
        <v>-132621.602145907</v>
      </c>
      <c r="EL93" s="469">
        <v>-188877.94924467601</v>
      </c>
      <c r="EM93" s="469">
        <v>-217324.43117182981</v>
      </c>
      <c r="EN93" s="469">
        <v>-257256.6209874982</v>
      </c>
      <c r="EO93" s="469">
        <v>-213995.34644782729</v>
      </c>
      <c r="EP93" s="469">
        <v>-322789.27287225239</v>
      </c>
      <c r="EQ93" s="469">
        <v>-415933.3668969404</v>
      </c>
      <c r="ER93" s="469">
        <v>-516220.74060122902</v>
      </c>
      <c r="ES93" s="469">
        <v>-595380.68207594298</v>
      </c>
      <c r="ET93" s="469">
        <v>-577330.12952791702</v>
      </c>
      <c r="EU93" s="469">
        <v>-599277.18253010139</v>
      </c>
      <c r="EV93" s="469">
        <v>-601021.38210175198</v>
      </c>
      <c r="EW93" s="469">
        <v>0</v>
      </c>
      <c r="EX93" s="469">
        <v>145058.48144696699</v>
      </c>
      <c r="EY93" s="469">
        <v>89341.104484822601</v>
      </c>
      <c r="EZ93" s="469">
        <v>25220.424586769201</v>
      </c>
      <c r="FA93" s="469">
        <v>-68394.589882044107</v>
      </c>
      <c r="FB93" s="469">
        <v>-62650.5966574829</v>
      </c>
      <c r="FC93" s="469">
        <v>-26073.933476656701</v>
      </c>
      <c r="FD93" s="469">
        <v>199838.92730911801</v>
      </c>
      <c r="FE93" s="469">
        <v>319158.067414144</v>
      </c>
      <c r="FF93" s="469">
        <v>387863.70104557101</v>
      </c>
      <c r="FG93" s="469">
        <v>454970.799860125</v>
      </c>
      <c r="FH93" s="469">
        <v>403136.67101234198</v>
      </c>
      <c r="FI93" s="469">
        <v>312644.94641257799</v>
      </c>
      <c r="FJ93" s="469">
        <v>337578.12676644302</v>
      </c>
      <c r="FK93" s="745">
        <v>357365.65514004201</v>
      </c>
      <c r="FL93" s="469"/>
      <c r="FM93" s="469"/>
    </row>
    <row r="94" spans="3:177" x14ac:dyDescent="0.35">
      <c r="D94" t="s">
        <v>149</v>
      </c>
      <c r="F94" s="19"/>
      <c r="G94" s="19">
        <f>U94</f>
        <v>-8990234</v>
      </c>
      <c r="H94" s="19">
        <f>Y94</f>
        <v>-10730563</v>
      </c>
      <c r="I94" s="19">
        <f>AC94</f>
        <v>-14656260</v>
      </c>
      <c r="J94" s="19">
        <f>AE94</f>
        <v>-15858424</v>
      </c>
      <c r="K94" s="19">
        <f t="shared" si="557"/>
        <v>-23545274.800000001</v>
      </c>
      <c r="L94" s="19">
        <f t="shared" si="558"/>
        <v>-28782865.44623721</v>
      </c>
      <c r="M94" s="19">
        <f>AS94</f>
        <v>-33467080</v>
      </c>
      <c r="N94" s="19">
        <f t="shared" si="475"/>
        <v>-38876778.799999997</v>
      </c>
      <c r="O94" s="19">
        <f t="shared" si="476"/>
        <v>-43368210</v>
      </c>
      <c r="P94" s="19">
        <f t="shared" si="477"/>
        <v>-44741520</v>
      </c>
      <c r="Q94" s="20"/>
      <c r="R94" s="20">
        <v>-7396000</v>
      </c>
      <c r="S94" s="20">
        <v>-8203000</v>
      </c>
      <c r="T94" s="20">
        <v>-8943000</v>
      </c>
      <c r="U94" s="20">
        <v>-8990234</v>
      </c>
      <c r="V94" s="20">
        <f>BT94</f>
        <v>-9445492</v>
      </c>
      <c r="W94" s="20">
        <f>BW94</f>
        <v>-9978052</v>
      </c>
      <c r="X94" s="20">
        <f>BZ94</f>
        <v>-10464547</v>
      </c>
      <c r="Y94" s="20">
        <f>CC94</f>
        <v>-10730563</v>
      </c>
      <c r="Z94" s="20">
        <f>CF94</f>
        <v>-11540778</v>
      </c>
      <c r="AA94" s="20">
        <f>CI94</f>
        <v>-12512689</v>
      </c>
      <c r="AB94" s="20">
        <f>CL94</f>
        <v>-13476342</v>
      </c>
      <c r="AC94" s="20">
        <f>CO94</f>
        <v>-14656260</v>
      </c>
      <c r="AD94" s="20">
        <f>CR94</f>
        <v>-15360129</v>
      </c>
      <c r="AE94" s="20">
        <f>CU94</f>
        <v>-15858424</v>
      </c>
      <c r="AF94" s="20">
        <f>CX94</f>
        <v>-16867790</v>
      </c>
      <c r="AG94" s="20">
        <f>DA94</f>
        <v>-18192352.5</v>
      </c>
      <c r="AH94" s="20">
        <f>DD94</f>
        <v>-19220430</v>
      </c>
      <c r="AI94" s="20">
        <f t="shared" si="493"/>
        <v>-20363250</v>
      </c>
      <c r="AJ94" s="20">
        <f t="shared" si="494"/>
        <v>-21654370</v>
      </c>
      <c r="AK94" s="20">
        <f>DM94</f>
        <v>-23545274.800000001</v>
      </c>
      <c r="AL94" s="20">
        <f t="shared" si="479"/>
        <v>-25165970</v>
      </c>
      <c r="AM94" s="20">
        <f t="shared" si="480"/>
        <v>-26749910</v>
      </c>
      <c r="AN94" s="20">
        <f t="shared" si="499"/>
        <v>-28152980</v>
      </c>
      <c r="AO94" s="20">
        <f t="shared" si="481"/>
        <v>-28782865.44623721</v>
      </c>
      <c r="AP94" s="20">
        <f t="shared" si="559"/>
        <v>-29943300</v>
      </c>
      <c r="AQ94" s="20">
        <f t="shared" si="560"/>
        <v>-31162480</v>
      </c>
      <c r="AR94" s="20">
        <f t="shared" si="484"/>
        <v>-32210380</v>
      </c>
      <c r="AS94" s="20">
        <f t="shared" si="568"/>
        <v>-33467080</v>
      </c>
      <c r="AT94" s="20">
        <f t="shared" si="485"/>
        <v>-34671490</v>
      </c>
      <c r="AU94" s="20">
        <f t="shared" si="486"/>
        <v>-35843360</v>
      </c>
      <c r="AV94" s="20">
        <f t="shared" si="497"/>
        <v>-37206650</v>
      </c>
      <c r="AW94" s="20">
        <f t="shared" si="487"/>
        <v>-38876778.799999997</v>
      </c>
      <c r="AX94" s="19">
        <f t="shared" si="488"/>
        <v>-40412120</v>
      </c>
      <c r="AY94" s="19">
        <f t="shared" si="496"/>
        <v>-41985860</v>
      </c>
      <c r="AZ94" s="19">
        <f t="shared" si="489"/>
        <v>-42988180</v>
      </c>
      <c r="BA94" s="19">
        <f t="shared" si="490"/>
        <v>-44051740</v>
      </c>
      <c r="BB94" s="19">
        <f t="shared" si="491"/>
        <v>-44741520</v>
      </c>
      <c r="BC94" s="19"/>
      <c r="BD94" s="19"/>
      <c r="BE94" s="19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>
        <f>U94+BR68+BR133</f>
        <v>-9183968</v>
      </c>
      <c r="BS94" s="20">
        <f t="shared" ref="BS94:BY94" si="572">BR94+BS68+BS133</f>
        <v>-9262293</v>
      </c>
      <c r="BT94" s="20">
        <f t="shared" si="572"/>
        <v>-9445492</v>
      </c>
      <c r="BU94" s="20">
        <f t="shared" si="572"/>
        <v>-9621308</v>
      </c>
      <c r="BV94" s="20">
        <f t="shared" si="572"/>
        <v>-9800468</v>
      </c>
      <c r="BW94" s="20">
        <f t="shared" si="572"/>
        <v>-9978052</v>
      </c>
      <c r="BX94" s="20">
        <f t="shared" si="572"/>
        <v>-10105592</v>
      </c>
      <c r="BY94" s="20">
        <f t="shared" si="572"/>
        <v>-10291638</v>
      </c>
      <c r="BZ94" s="20">
        <f>BY94+BZ70+BZ133</f>
        <v>-10464547</v>
      </c>
      <c r="CA94" s="20">
        <f>BZ94+CA70+CA133</f>
        <v>-10598954</v>
      </c>
      <c r="CB94" s="20">
        <f>CA94+CB70+CB133</f>
        <v>-10821466</v>
      </c>
      <c r="CC94" s="20">
        <f>-10730563</f>
        <v>-10730563</v>
      </c>
      <c r="CD94" s="20">
        <f>CC94+CD70+CD133</f>
        <v>-10969042</v>
      </c>
      <c r="CE94" s="20">
        <f>CD94+CE70+CE133</f>
        <v>-11266141</v>
      </c>
      <c r="CF94" s="20">
        <f>CE94+CF70+CF133</f>
        <v>-11540778</v>
      </c>
      <c r="CG94" s="20">
        <f>CF94+CG70+CG133</f>
        <v>-11846656</v>
      </c>
      <c r="CH94" s="20">
        <f>-12713135+359606</f>
        <v>-12353529</v>
      </c>
      <c r="CI94" s="20">
        <f>-12512689</f>
        <v>-12512689</v>
      </c>
      <c r="CJ94" s="20">
        <v>-12957046</v>
      </c>
      <c r="CK94" s="20">
        <f>-13295668+40000</f>
        <v>-13255668</v>
      </c>
      <c r="CL94" s="20">
        <v>-13476342</v>
      </c>
      <c r="CM94" s="20">
        <f>-13656200+15426</f>
        <v>-13640774</v>
      </c>
      <c r="CN94" s="20">
        <f>-13954365</f>
        <v>-13954365</v>
      </c>
      <c r="CO94" s="20">
        <v>-14656260</v>
      </c>
      <c r="CP94" s="20">
        <f t="shared" ref="CP94:CU94" si="573">CO94+CP70</f>
        <v>-14867405</v>
      </c>
      <c r="CQ94" s="20">
        <f t="shared" si="573"/>
        <v>-15142048</v>
      </c>
      <c r="CR94" s="20">
        <f t="shared" si="573"/>
        <v>-15360129</v>
      </c>
      <c r="CS94" s="20">
        <f t="shared" si="573"/>
        <v>-15537557</v>
      </c>
      <c r="CT94" s="20">
        <f t="shared" si="573"/>
        <v>-15693572</v>
      </c>
      <c r="CU94" s="20">
        <f t="shared" si="573"/>
        <v>-15858424</v>
      </c>
      <c r="CV94" s="20">
        <f>CU94+CV70</f>
        <v>-16015113</v>
      </c>
      <c r="CW94" s="20">
        <f>ROUND(CV94+CW70,-1)</f>
        <v>-16236740</v>
      </c>
      <c r="CX94" s="20">
        <f>ROUND(CW94+CX70,-1)</f>
        <v>-16867790</v>
      </c>
      <c r="CY94" s="20">
        <f>ROUND(CX94+CY70,-1)</f>
        <v>-17111860</v>
      </c>
      <c r="CZ94" s="20">
        <f>ROUND(CY94+CZ70,-1)</f>
        <v>-17356530</v>
      </c>
      <c r="DA94" s="20">
        <v>-18192352.5</v>
      </c>
      <c r="DB94" s="20">
        <f>ROUND(DA94+DB70,-1)</f>
        <v>-18516150</v>
      </c>
      <c r="DC94" s="20">
        <f t="shared" ref="DC94:DH94" si="574">ROUND(DB94+DC70,-1)</f>
        <v>-18846990</v>
      </c>
      <c r="DD94" s="20">
        <f t="shared" si="574"/>
        <v>-19220430</v>
      </c>
      <c r="DE94" s="20">
        <f>ROUND(DD94+DE70,-1)</f>
        <v>-19589450</v>
      </c>
      <c r="DF94" s="20">
        <f t="shared" si="574"/>
        <v>-19982810</v>
      </c>
      <c r="DG94" s="20">
        <f t="shared" si="574"/>
        <v>-20363250</v>
      </c>
      <c r="DH94" s="20">
        <f t="shared" si="574"/>
        <v>-20773020</v>
      </c>
      <c r="DI94" s="20">
        <f t="shared" ref="DI94:DL94" si="575">ROUND(DH94+DI70,-1)</f>
        <v>-21184000</v>
      </c>
      <c r="DJ94" s="20">
        <f t="shared" si="575"/>
        <v>-21654370</v>
      </c>
      <c r="DK94" s="20">
        <f t="shared" si="575"/>
        <v>-22153390</v>
      </c>
      <c r="DL94" s="20">
        <f t="shared" si="575"/>
        <v>-22602030</v>
      </c>
      <c r="DM94" s="20">
        <v>-23545274.800000001</v>
      </c>
      <c r="DN94" s="20">
        <f>ROUND(DM94+DN70,-1)</f>
        <v>-24077930</v>
      </c>
      <c r="DO94" s="20">
        <f>ROUND(DN94+DO70,-1)</f>
        <v>-24686490</v>
      </c>
      <c r="DP94" s="20">
        <f t="shared" ref="DP94" si="576">ROUND(DO94+DP70,-1)</f>
        <v>-25165970</v>
      </c>
      <c r="DQ94" s="20">
        <f t="shared" ref="DQ94:DU94" si="577">ROUND(DP94+DQ70,-1)</f>
        <v>-25743230</v>
      </c>
      <c r="DR94" s="20">
        <f t="shared" si="577"/>
        <v>-26229510</v>
      </c>
      <c r="DS94" s="20">
        <f t="shared" si="577"/>
        <v>-26749910</v>
      </c>
      <c r="DT94" s="20">
        <f t="shared" si="577"/>
        <v>-27339870</v>
      </c>
      <c r="DU94" s="20">
        <f t="shared" si="577"/>
        <v>-27772720</v>
      </c>
      <c r="DV94" s="20">
        <f t="shared" ref="DV94:DW94" si="578">ROUND(DU94+DV70,-1)</f>
        <v>-28152980</v>
      </c>
      <c r="DW94" s="20">
        <f t="shared" si="578"/>
        <v>-28842090</v>
      </c>
      <c r="DX94" s="20">
        <f>ROUND(DW94+DX70,-1)</f>
        <v>-29304070</v>
      </c>
      <c r="DY94" s="469">
        <v>-28782865.44623721</v>
      </c>
      <c r="DZ94" s="20">
        <f>ROUND(DY94+DZ70,-1)</f>
        <v>-29176470</v>
      </c>
      <c r="EA94" s="20">
        <f t="shared" ref="EA94:ED94" si="579">ROUND(DZ94+EA70,-1)</f>
        <v>-29530220</v>
      </c>
      <c r="EB94" s="20">
        <f t="shared" si="579"/>
        <v>-29943300</v>
      </c>
      <c r="EC94" s="20">
        <f t="shared" si="579"/>
        <v>-30277640</v>
      </c>
      <c r="ED94" s="20">
        <f t="shared" si="579"/>
        <v>-30628210</v>
      </c>
      <c r="EE94" s="20">
        <f>ROUND(ED94+EE70,-1)</f>
        <v>-31162480</v>
      </c>
      <c r="EF94" s="20">
        <f>ROUND(EE94+EF70,-1)</f>
        <v>-31632510</v>
      </c>
      <c r="EG94" s="20">
        <f t="shared" ref="EG94:EH94" si="580">ROUND(EF94+EG70,-1)</f>
        <v>-31975010</v>
      </c>
      <c r="EH94" s="20">
        <f t="shared" si="580"/>
        <v>-32210380</v>
      </c>
      <c r="EI94" s="20">
        <f t="shared" ref="EI94" si="581">ROUND(EH94+EI70,-1)</f>
        <v>-32514930</v>
      </c>
      <c r="EJ94" s="20">
        <f t="shared" ref="EJ94:EV94" si="582">ROUND(EI94+EJ70,-1)</f>
        <v>-32845490</v>
      </c>
      <c r="EK94" s="469">
        <f>ROUND(EJ94+EK70,-1)</f>
        <v>-33467080</v>
      </c>
      <c r="EL94" s="469">
        <f t="shared" si="582"/>
        <v>-33850260</v>
      </c>
      <c r="EM94" s="469">
        <f t="shared" si="582"/>
        <v>-34257350</v>
      </c>
      <c r="EN94" s="469">
        <f t="shared" si="582"/>
        <v>-34671490</v>
      </c>
      <c r="EO94" s="469">
        <f t="shared" si="582"/>
        <v>-35077380</v>
      </c>
      <c r="EP94" s="469">
        <f t="shared" si="582"/>
        <v>-35447140</v>
      </c>
      <c r="EQ94" s="469">
        <f t="shared" si="582"/>
        <v>-35843360</v>
      </c>
      <c r="ER94" s="469">
        <f t="shared" si="582"/>
        <v>-36257370</v>
      </c>
      <c r="ES94" s="469">
        <f t="shared" si="582"/>
        <v>-36654260</v>
      </c>
      <c r="ET94" s="469">
        <f t="shared" si="582"/>
        <v>-37206650</v>
      </c>
      <c r="EU94" s="469">
        <f t="shared" si="582"/>
        <v>-37889150</v>
      </c>
      <c r="EV94" s="469">
        <f t="shared" si="582"/>
        <v>-38456900</v>
      </c>
      <c r="EW94" s="469">
        <v>-38876778.799999997</v>
      </c>
      <c r="EX94" s="469">
        <f t="shared" ref="EX94:FF94" si="583">ROUND(EW94+EX70,-1)</f>
        <v>-39328680</v>
      </c>
      <c r="EY94" s="469">
        <f t="shared" si="583"/>
        <v>-39877260</v>
      </c>
      <c r="EZ94" s="469">
        <f t="shared" si="583"/>
        <v>-40412120</v>
      </c>
      <c r="FA94" s="469">
        <f t="shared" si="583"/>
        <v>-41002660</v>
      </c>
      <c r="FB94" s="469">
        <f t="shared" si="583"/>
        <v>-41558580</v>
      </c>
      <c r="FC94" s="469">
        <f>ROUND(FB94+FC70,-1)</f>
        <v>-41985860</v>
      </c>
      <c r="FD94" s="469">
        <f t="shared" si="583"/>
        <v>-42281430</v>
      </c>
      <c r="FE94" s="469">
        <f t="shared" si="583"/>
        <v>-42684360</v>
      </c>
      <c r="FF94" s="469">
        <f t="shared" si="583"/>
        <v>-42988180</v>
      </c>
      <c r="FG94" s="469">
        <f t="shared" ref="FG94:FI94" si="584">ROUND(FF94+FG70,-1)</f>
        <v>-43368210</v>
      </c>
      <c r="FH94" s="469">
        <f t="shared" si="584"/>
        <v>-43691790</v>
      </c>
      <c r="FI94" s="469">
        <f t="shared" si="584"/>
        <v>-44051740</v>
      </c>
      <c r="FJ94" s="469">
        <f>ROUND(FI94+FJ70,-1)</f>
        <v>-44501050</v>
      </c>
      <c r="FK94" s="745">
        <f t="shared" ref="FK94" si="585">ROUND(FJ94+FK70,-1)</f>
        <v>-44741520</v>
      </c>
      <c r="FL94" s="469"/>
      <c r="FM94" s="469"/>
    </row>
    <row r="95" spans="3:177" ht="15" thickBot="1" x14ac:dyDescent="0.4">
      <c r="C95" s="39" t="s">
        <v>150</v>
      </c>
      <c r="D95" s="40"/>
      <c r="E95" s="40"/>
      <c r="F95" s="41"/>
      <c r="G95" s="41">
        <f>U95</f>
        <v>-1083165</v>
      </c>
      <c r="H95" s="41">
        <f>Y95</f>
        <v>-1034765</v>
      </c>
      <c r="I95" s="368">
        <f>AC95</f>
        <v>297294</v>
      </c>
      <c r="J95" s="41">
        <f>AE95</f>
        <v>317119</v>
      </c>
      <c r="K95" s="41">
        <f t="shared" si="557"/>
        <v>14457550.989999998</v>
      </c>
      <c r="L95" s="41">
        <f>DY95</f>
        <v>9815270.5437627919</v>
      </c>
      <c r="M95" s="41">
        <f>AS95</f>
        <v>5959167.3878540918</v>
      </c>
      <c r="N95" s="41">
        <f t="shared" si="475"/>
        <v>944629.19000000507</v>
      </c>
      <c r="O95" s="41">
        <f t="shared" si="476"/>
        <v>-3080620.0101398751</v>
      </c>
      <c r="P95" s="41">
        <f t="shared" si="477"/>
        <v>-4389935.1548599601</v>
      </c>
      <c r="Q95" s="42"/>
      <c r="R95" s="43">
        <f t="shared" ref="R95:Z95" si="586">SUM(R91:R94)</f>
        <v>318000</v>
      </c>
      <c r="S95" s="43">
        <f t="shared" si="586"/>
        <v>-487000</v>
      </c>
      <c r="T95" s="43">
        <f t="shared" si="586"/>
        <v>-1281000</v>
      </c>
      <c r="U95" s="43">
        <f t="shared" si="586"/>
        <v>-1083165</v>
      </c>
      <c r="V95" s="43">
        <f t="shared" si="586"/>
        <v>-1485021</v>
      </c>
      <c r="W95" s="43">
        <f t="shared" si="586"/>
        <v>-2024640</v>
      </c>
      <c r="X95" s="43">
        <f t="shared" si="586"/>
        <v>-1983671</v>
      </c>
      <c r="Y95" s="43">
        <f t="shared" si="586"/>
        <v>-1034765</v>
      </c>
      <c r="Z95" s="43">
        <f t="shared" si="586"/>
        <v>-1362035</v>
      </c>
      <c r="AA95" s="43">
        <f t="shared" ref="AA95:AG95" si="587">SUM(AA91:AA94)</f>
        <v>1679026</v>
      </c>
      <c r="AB95" s="43">
        <f t="shared" si="587"/>
        <v>755620</v>
      </c>
      <c r="AC95" s="43">
        <f t="shared" si="587"/>
        <v>297294</v>
      </c>
      <c r="AD95" s="43">
        <f t="shared" si="587"/>
        <v>-360094</v>
      </c>
      <c r="AE95" s="43">
        <f t="shared" si="587"/>
        <v>317119</v>
      </c>
      <c r="AF95" s="43">
        <f t="shared" si="587"/>
        <v>-708694.6099999994</v>
      </c>
      <c r="AG95" s="43">
        <f t="shared" si="587"/>
        <v>14489331.310000002</v>
      </c>
      <c r="AH95" s="43">
        <f>DD95</f>
        <v>13283288.930000003</v>
      </c>
      <c r="AI95" s="43">
        <f t="shared" si="493"/>
        <v>12328273.580000002</v>
      </c>
      <c r="AJ95" s="43">
        <f t="shared" si="494"/>
        <v>15531359.260000005</v>
      </c>
      <c r="AK95" s="43">
        <f>DM95</f>
        <v>14457550.989999998</v>
      </c>
      <c r="AL95" s="43">
        <f t="shared" si="479"/>
        <v>13086979.469999999</v>
      </c>
      <c r="AM95" s="43">
        <f t="shared" si="480"/>
        <v>11640578.330000006</v>
      </c>
      <c r="AN95" s="43">
        <f t="shared" si="499"/>
        <v>10406544.699999996</v>
      </c>
      <c r="AO95" s="43">
        <f t="shared" si="481"/>
        <v>9815270.5437627919</v>
      </c>
      <c r="AP95" s="43">
        <f t="shared" si="559"/>
        <v>8603362.3988571316</v>
      </c>
      <c r="AQ95" s="43">
        <f t="shared" si="560"/>
        <v>7393502.1646220163</v>
      </c>
      <c r="AR95" s="43">
        <f t="shared" si="484"/>
        <v>6588675.903495118</v>
      </c>
      <c r="AS95" s="43">
        <f>EK95</f>
        <v>5959167.3878540918</v>
      </c>
      <c r="AT95" s="43">
        <f t="shared" si="485"/>
        <v>4630122.3690125048</v>
      </c>
      <c r="AU95" s="43">
        <f t="shared" si="486"/>
        <v>3300695.6231030598</v>
      </c>
      <c r="AV95" s="43">
        <f t="shared" si="497"/>
        <v>1843848.8604720831</v>
      </c>
      <c r="AW95" s="43">
        <f t="shared" si="487"/>
        <v>944629.19000000507</v>
      </c>
      <c r="AX95" s="41">
        <f t="shared" si="488"/>
        <v>-565491.585413225</v>
      </c>
      <c r="AY95" s="41">
        <f t="shared" si="496"/>
        <v>-2179314.7434766591</v>
      </c>
      <c r="AZ95" s="41">
        <f t="shared" si="489"/>
        <v>-2767697.1089544296</v>
      </c>
      <c r="BA95" s="41">
        <f t="shared" si="490"/>
        <v>-3906475.8635874242</v>
      </c>
      <c r="BB95" s="41">
        <f t="shared" si="491"/>
        <v>-4389935.1548599601</v>
      </c>
      <c r="BC95" s="41"/>
      <c r="BD95" s="41"/>
      <c r="BE95" s="41"/>
      <c r="BF95" s="43"/>
      <c r="BG95" s="42"/>
      <c r="BH95" s="43"/>
      <c r="BI95" s="42"/>
      <c r="BJ95" s="43"/>
      <c r="BK95" s="42"/>
      <c r="BL95" s="43"/>
      <c r="BM95" s="42"/>
      <c r="BN95" s="43"/>
      <c r="BO95" s="42"/>
      <c r="BP95" s="43"/>
      <c r="BQ95" s="42"/>
      <c r="BR95" s="43">
        <f>SUM(BR91:BR94)</f>
        <v>-1352683</v>
      </c>
      <c r="BS95" s="43">
        <f>SUM(BS91:BS94)</f>
        <v>-1474984</v>
      </c>
      <c r="BT95" s="43">
        <f>SUM(BT91:BT94)</f>
        <v>-1485021</v>
      </c>
      <c r="BU95" s="43">
        <f t="shared" ref="BU95:CC95" si="588">SUM(BU91:BU94)</f>
        <v>-1662287</v>
      </c>
      <c r="BV95" s="43">
        <f t="shared" si="588"/>
        <v>-1838575</v>
      </c>
      <c r="BW95" s="43">
        <f t="shared" si="588"/>
        <v>-2024640</v>
      </c>
      <c r="BX95" s="43">
        <f t="shared" si="588"/>
        <v>-2138958</v>
      </c>
      <c r="BY95" s="43">
        <f t="shared" si="588"/>
        <v>-1914581</v>
      </c>
      <c r="BZ95" s="43">
        <f t="shared" si="588"/>
        <v>-1983671</v>
      </c>
      <c r="CA95" s="43">
        <f t="shared" si="588"/>
        <v>-1590113</v>
      </c>
      <c r="CB95" s="43">
        <f t="shared" si="588"/>
        <v>-1759594</v>
      </c>
      <c r="CC95" s="43">
        <f t="shared" si="588"/>
        <v>-1034765</v>
      </c>
      <c r="CD95" s="43">
        <f>SUM(CD91:CD94)</f>
        <v>-813679</v>
      </c>
      <c r="CE95" s="43">
        <f t="shared" ref="CE95:CU95" si="589">SUM(CE91:CE94)</f>
        <v>-1098211</v>
      </c>
      <c r="CF95" s="43">
        <f t="shared" si="589"/>
        <v>-1362035</v>
      </c>
      <c r="CG95" s="43">
        <f t="shared" si="589"/>
        <v>-1664553</v>
      </c>
      <c r="CH95" s="43">
        <f t="shared" si="589"/>
        <v>1878995</v>
      </c>
      <c r="CI95" s="43">
        <f t="shared" si="589"/>
        <v>1679026</v>
      </c>
      <c r="CJ95" s="43">
        <f t="shared" si="589"/>
        <v>1362505</v>
      </c>
      <c r="CK95" s="43">
        <f t="shared" si="589"/>
        <v>1014264</v>
      </c>
      <c r="CL95" s="43">
        <f t="shared" si="589"/>
        <v>755620</v>
      </c>
      <c r="CM95" s="43">
        <f t="shared" si="589"/>
        <v>461120</v>
      </c>
      <c r="CN95" s="43">
        <f t="shared" si="589"/>
        <v>156857</v>
      </c>
      <c r="CO95" s="43">
        <f t="shared" si="589"/>
        <v>297294</v>
      </c>
      <c r="CP95" s="43">
        <f>SUM(CP91:CP94)</f>
        <v>18939</v>
      </c>
      <c r="CQ95" s="43">
        <f t="shared" si="589"/>
        <v>-251338</v>
      </c>
      <c r="CR95" s="43">
        <f t="shared" si="589"/>
        <v>-360094</v>
      </c>
      <c r="CS95" s="43">
        <f t="shared" si="589"/>
        <v>-176207</v>
      </c>
      <c r="CT95" s="43">
        <f t="shared" si="589"/>
        <v>202386</v>
      </c>
      <c r="CU95" s="43">
        <f t="shared" si="589"/>
        <v>317119</v>
      </c>
      <c r="CV95" s="43">
        <f t="shared" ref="CV95:DE95" si="590">SUM(CV91:CV94)</f>
        <v>213074</v>
      </c>
      <c r="CW95" s="43">
        <f t="shared" si="590"/>
        <v>-73974.320000000298</v>
      </c>
      <c r="CX95" s="43">
        <f t="shared" si="590"/>
        <v>-708694.6099999994</v>
      </c>
      <c r="CY95" s="43">
        <f t="shared" si="590"/>
        <v>-986014.44999999925</v>
      </c>
      <c r="CZ95" s="43">
        <f t="shared" si="590"/>
        <v>-1247516.2599999998</v>
      </c>
      <c r="DA95" s="43">
        <f>SUM(DA91:DA94)</f>
        <v>14489331.310000002</v>
      </c>
      <c r="DB95" s="43">
        <f>SUM(DB91:DB94)</f>
        <v>14108736.030000001</v>
      </c>
      <c r="DC95" s="43">
        <f t="shared" si="590"/>
        <v>13733947.290000003</v>
      </c>
      <c r="DD95" s="43">
        <f t="shared" si="590"/>
        <v>13283288.930000003</v>
      </c>
      <c r="DE95" s="43">
        <f t="shared" si="590"/>
        <v>12992422.880000003</v>
      </c>
      <c r="DF95" s="43">
        <f>SUM(DF91:DF94)</f>
        <v>12603600.570000004</v>
      </c>
      <c r="DG95" s="43">
        <f>SUM(DG91:DG94)</f>
        <v>12328273.580000002</v>
      </c>
      <c r="DH95" s="43">
        <f t="shared" ref="DH95:DL95" si="591">SUM(DH91:DH94)</f>
        <v>11864038.939999998</v>
      </c>
      <c r="DI95" s="43">
        <f t="shared" si="591"/>
        <v>11459132.979999997</v>
      </c>
      <c r="DJ95" s="43">
        <f t="shared" si="591"/>
        <v>15531359.260000005</v>
      </c>
      <c r="DK95" s="43">
        <f t="shared" si="591"/>
        <v>14904098.079999998</v>
      </c>
      <c r="DL95" s="43">
        <f t="shared" si="591"/>
        <v>14603911.740000002</v>
      </c>
      <c r="DM95" s="43">
        <f>SUM(DM91:DM94)</f>
        <v>14457550.989999998</v>
      </c>
      <c r="DN95" s="43">
        <f>SUM(DN91:DN94)</f>
        <v>13955991.920000002</v>
      </c>
      <c r="DO95" s="43">
        <f t="shared" ref="DO95:DT95" si="592">SUM(DO91:DO94)</f>
        <v>13383174.039999999</v>
      </c>
      <c r="DP95" s="43">
        <f t="shared" si="592"/>
        <v>13086979.469999999</v>
      </c>
      <c r="DQ95" s="43">
        <f t="shared" si="592"/>
        <v>12700516.100000001</v>
      </c>
      <c r="DR95" s="43">
        <f t="shared" si="592"/>
        <v>12294940.029999994</v>
      </c>
      <c r="DS95" s="43">
        <f t="shared" si="592"/>
        <v>11640578.330000006</v>
      </c>
      <c r="DT95" s="43">
        <f t="shared" si="592"/>
        <v>11049524.149999999</v>
      </c>
      <c r="DU95" s="43">
        <f t="shared" ref="DU95:DV95" si="593">SUM(DU91:DU94)</f>
        <v>10806421.489999995</v>
      </c>
      <c r="DV95" s="43">
        <f t="shared" si="593"/>
        <v>10406544.699999996</v>
      </c>
      <c r="DW95" s="43">
        <f t="shared" ref="DW95:EB95" si="594">SUM(DW91:DW94)</f>
        <v>9668180.7700000033</v>
      </c>
      <c r="DX95" s="43">
        <f t="shared" si="594"/>
        <v>9069568.6400000006</v>
      </c>
      <c r="DY95" s="590">
        <f t="shared" si="594"/>
        <v>9815270.5437627919</v>
      </c>
      <c r="DZ95" s="43">
        <f>SUM(DZ91:DZ94)</f>
        <v>9417417.0717140511</v>
      </c>
      <c r="EA95" s="43">
        <f>SUM(EA91:EA94)</f>
        <v>9066380.3208028525</v>
      </c>
      <c r="EB95" s="43">
        <f t="shared" si="594"/>
        <v>8603362.3988571316</v>
      </c>
      <c r="EC95" s="43">
        <f t="shared" ref="EC95:EE95" si="595">SUM(EC91:EC94)</f>
        <v>8270989.0823324472</v>
      </c>
      <c r="ED95" s="43">
        <f t="shared" si="595"/>
        <v>7900517.8148833886</v>
      </c>
      <c r="EE95" s="43">
        <f t="shared" si="595"/>
        <v>7393502.1646220163</v>
      </c>
      <c r="EF95" s="43">
        <f>SUM(EF91:EF94)</f>
        <v>6917421.0352223217</v>
      </c>
      <c r="EG95" s="43">
        <f t="shared" ref="EG95:EH95" si="596">SUM(EG91:EG94)</f>
        <v>6504011.074977383</v>
      </c>
      <c r="EH95" s="43">
        <f t="shared" si="596"/>
        <v>6588675.903495118</v>
      </c>
      <c r="EI95" s="43">
        <f t="shared" ref="EI95:EJ95" si="597">SUM(EI91:EI94)</f>
        <v>6313738.7246154547</v>
      </c>
      <c r="EJ95" s="43">
        <f t="shared" si="597"/>
        <v>5865411.566508241</v>
      </c>
      <c r="EK95" s="590">
        <f t="shared" ref="EK95:EP95" si="598">SUM(EK91:EK94)</f>
        <v>5959167.3878540918</v>
      </c>
      <c r="EL95" s="590">
        <f t="shared" si="598"/>
        <v>5519731.0407553241</v>
      </c>
      <c r="EM95" s="590">
        <f t="shared" si="598"/>
        <v>5084194.5588281751</v>
      </c>
      <c r="EN95" s="590">
        <f t="shared" si="598"/>
        <v>4630122.3690125048</v>
      </c>
      <c r="EO95" s="590">
        <f t="shared" si="598"/>
        <v>4268613.6435521767</v>
      </c>
      <c r="EP95" s="590">
        <f t="shared" si="598"/>
        <v>3790059.7171277478</v>
      </c>
      <c r="EQ95" s="590">
        <f t="shared" ref="EQ95:ER95" si="599">SUM(EQ91:EQ94)</f>
        <v>3300695.6231030598</v>
      </c>
      <c r="ER95" s="590">
        <f t="shared" si="599"/>
        <v>2854238.2493987754</v>
      </c>
      <c r="ES95" s="590">
        <f t="shared" ref="ES95:ET95" si="600">SUM(ES91:ES94)</f>
        <v>2378188.307924062</v>
      </c>
      <c r="ET95" s="590">
        <f t="shared" si="600"/>
        <v>1843848.8604720831</v>
      </c>
      <c r="EU95" s="590">
        <f t="shared" ref="EU95:EV95" si="601">SUM(EU91:EU94)</f>
        <v>1139401.8074699044</v>
      </c>
      <c r="EV95" s="590">
        <f t="shared" si="601"/>
        <v>569907.60789825022</v>
      </c>
      <c r="EW95" s="590">
        <f t="shared" ref="EW95:FC95" si="602">SUM(EW91:EW94)</f>
        <v>944629.19000000507</v>
      </c>
      <c r="EX95" s="590">
        <f t="shared" si="602"/>
        <v>637786.47144696862</v>
      </c>
      <c r="EY95" s="590">
        <f t="shared" si="602"/>
        <v>33489.094484820962</v>
      </c>
      <c r="EZ95" s="590">
        <f t="shared" si="602"/>
        <v>-565491.585413225</v>
      </c>
      <c r="FA95" s="590">
        <f t="shared" si="602"/>
        <v>-1238435.3998820484</v>
      </c>
      <c r="FB95" s="590">
        <f t="shared" si="602"/>
        <v>-1788611.4066574872</v>
      </c>
      <c r="FC95" s="590">
        <f t="shared" si="602"/>
        <v>-2179314.7434766591</v>
      </c>
      <c r="FD95" s="590">
        <f t="shared" ref="FD95:FF95" si="603">SUM(FD91:FD94)</f>
        <v>-2248971.8826908842</v>
      </c>
      <c r="FE95" s="590">
        <f t="shared" si="603"/>
        <v>-2532582.7425858602</v>
      </c>
      <c r="FF95" s="590">
        <f t="shared" si="603"/>
        <v>-2767697.1089544296</v>
      </c>
      <c r="FG95" s="590">
        <f t="shared" ref="FG95:FI95" si="604">SUM(FG91:FG94)</f>
        <v>-3080620.0101398751</v>
      </c>
      <c r="FH95" s="590">
        <f t="shared" si="604"/>
        <v>-3445503.1189876571</v>
      </c>
      <c r="FI95" s="590">
        <f t="shared" si="604"/>
        <v>-3906475.8635874242</v>
      </c>
      <c r="FJ95" s="590">
        <f t="shared" ref="FJ95:FK95" si="605">SUM(FJ91:FJ94)</f>
        <v>-4250052.6832335591</v>
      </c>
      <c r="FK95" s="791">
        <f t="shared" si="605"/>
        <v>-4389935.1548599601</v>
      </c>
      <c r="FL95" s="511"/>
      <c r="FM95" s="511"/>
    </row>
    <row r="96" spans="3:177" x14ac:dyDescent="0.35">
      <c r="F96" s="19"/>
      <c r="G96" s="19"/>
      <c r="H96" s="19"/>
      <c r="I96" s="19"/>
      <c r="J96" s="19"/>
      <c r="K96" s="19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>
        <f t="shared" ref="BB96:BB102" si="606">FJ96</f>
        <v>0</v>
      </c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82"/>
      <c r="BX96" s="20"/>
      <c r="BY96" s="20"/>
      <c r="BZ96" s="20"/>
      <c r="CA96" s="20"/>
      <c r="CB96" s="20"/>
      <c r="CC96" s="20"/>
      <c r="CD96" s="20"/>
      <c r="CE96" s="20"/>
      <c r="DJ96" s="82"/>
      <c r="DK96" s="12"/>
      <c r="DL96" s="12"/>
      <c r="DM96" s="54"/>
      <c r="DN96" s="54"/>
      <c r="DO96" s="54"/>
      <c r="DP96" s="54"/>
      <c r="DQ96" s="54"/>
      <c r="DR96" s="54"/>
      <c r="DS96" s="54"/>
      <c r="DT96" s="20"/>
      <c r="DU96" s="20"/>
      <c r="DV96" s="20"/>
      <c r="DW96" s="20"/>
      <c r="DX96" s="12"/>
      <c r="DY96" s="511"/>
      <c r="EE96" s="12"/>
      <c r="FK96" s="79"/>
    </row>
    <row r="97" spans="2:169" x14ac:dyDescent="0.35">
      <c r="C97" t="s">
        <v>151</v>
      </c>
      <c r="F97" s="19"/>
      <c r="G97" s="19"/>
      <c r="H97" s="19"/>
      <c r="I97" s="19"/>
      <c r="J97" s="19"/>
      <c r="K97" s="19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20"/>
      <c r="BB97" s="20">
        <f t="shared" si="606"/>
        <v>0</v>
      </c>
      <c r="BC97" s="20"/>
      <c r="BD97" s="20"/>
      <c r="BE97" s="20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82">
        <f>BR95-BR89</f>
        <v>0</v>
      </c>
      <c r="BS97" s="20">
        <f t="shared" ref="BS97:CC97" si="607">BS95-BS89</f>
        <v>0</v>
      </c>
      <c r="BT97" s="20">
        <f t="shared" si="607"/>
        <v>0</v>
      </c>
      <c r="BU97" s="20">
        <f t="shared" si="607"/>
        <v>0</v>
      </c>
      <c r="BV97" s="82">
        <f t="shared" si="607"/>
        <v>0</v>
      </c>
      <c r="BW97" s="82">
        <f t="shared" si="607"/>
        <v>0</v>
      </c>
      <c r="BX97" s="82">
        <f t="shared" si="607"/>
        <v>0</v>
      </c>
      <c r="BY97" s="82">
        <f t="shared" si="607"/>
        <v>0</v>
      </c>
      <c r="BZ97" s="82">
        <f t="shared" si="607"/>
        <v>0</v>
      </c>
      <c r="CA97" s="82">
        <f t="shared" si="607"/>
        <v>0</v>
      </c>
      <c r="CB97" s="111">
        <f t="shared" si="607"/>
        <v>0</v>
      </c>
      <c r="CC97" s="111">
        <f t="shared" si="607"/>
        <v>0</v>
      </c>
      <c r="CD97" s="111">
        <f t="shared" ref="CD97:CU97" si="608">CD95-CD89</f>
        <v>0</v>
      </c>
      <c r="CE97" s="111">
        <f t="shared" si="608"/>
        <v>0</v>
      </c>
      <c r="CF97" s="82">
        <f t="shared" si="608"/>
        <v>0</v>
      </c>
      <c r="CG97" s="82">
        <f t="shared" si="608"/>
        <v>0</v>
      </c>
      <c r="CH97" s="82">
        <f t="shared" si="608"/>
        <v>0</v>
      </c>
      <c r="CI97" s="82">
        <f t="shared" si="608"/>
        <v>0</v>
      </c>
      <c r="CJ97" s="82">
        <f t="shared" si="608"/>
        <v>0</v>
      </c>
      <c r="CK97" s="82">
        <f t="shared" si="608"/>
        <v>0</v>
      </c>
      <c r="CL97" s="221">
        <f t="shared" si="608"/>
        <v>0</v>
      </c>
      <c r="CM97" s="221">
        <f>CM95-CM89</f>
        <v>0</v>
      </c>
      <c r="CN97" s="221">
        <f t="shared" si="608"/>
        <v>0</v>
      </c>
      <c r="CO97" s="82">
        <f t="shared" si="608"/>
        <v>0</v>
      </c>
      <c r="CP97" s="221">
        <f t="shared" si="608"/>
        <v>0</v>
      </c>
      <c r="CQ97" s="82">
        <f t="shared" si="608"/>
        <v>0</v>
      </c>
      <c r="CR97" s="221">
        <f t="shared" si="608"/>
        <v>0</v>
      </c>
      <c r="CS97" s="221">
        <f t="shared" si="608"/>
        <v>0</v>
      </c>
      <c r="CT97" s="221">
        <f t="shared" si="608"/>
        <v>0</v>
      </c>
      <c r="CU97" s="221">
        <f t="shared" si="608"/>
        <v>0</v>
      </c>
      <c r="CV97" s="221">
        <f t="shared" ref="CV97:DC97" si="609">CV95-CV89</f>
        <v>0</v>
      </c>
      <c r="CW97" s="20">
        <f t="shared" si="609"/>
        <v>-9.3132257461547852E-10</v>
      </c>
      <c r="CX97" s="307">
        <f t="shared" si="609"/>
        <v>0</v>
      </c>
      <c r="CY97" s="20">
        <f t="shared" si="609"/>
        <v>-1.3969838619232178E-9</v>
      </c>
      <c r="CZ97" s="316">
        <f t="shared" si="609"/>
        <v>0</v>
      </c>
      <c r="DA97" s="321">
        <f>DA95-DA89</f>
        <v>0</v>
      </c>
      <c r="DB97" s="221">
        <f t="shared" si="609"/>
        <v>0</v>
      </c>
      <c r="DC97" s="221">
        <f t="shared" si="609"/>
        <v>0</v>
      </c>
      <c r="DD97" s="221">
        <f>DD95-DD89</f>
        <v>0</v>
      </c>
      <c r="DE97" s="221">
        <f>DE95-DE89</f>
        <v>0</v>
      </c>
      <c r="DF97" s="221">
        <f>DF95-DF89</f>
        <v>0</v>
      </c>
      <c r="DG97" s="221">
        <f>DG95-DG89</f>
        <v>0</v>
      </c>
      <c r="DH97" s="221">
        <f>DH95-DH89</f>
        <v>0</v>
      </c>
      <c r="DI97" s="221">
        <f t="shared" ref="DI97:DN97" si="610">DI95-DI89</f>
        <v>0</v>
      </c>
      <c r="DJ97" s="51">
        <f t="shared" si="610"/>
        <v>0</v>
      </c>
      <c r="DK97" s="84">
        <f t="shared" si="610"/>
        <v>0</v>
      </c>
      <c r="DL97" s="381">
        <f t="shared" si="610"/>
        <v>0</v>
      </c>
      <c r="DM97" s="381">
        <f t="shared" si="610"/>
        <v>0</v>
      </c>
      <c r="DN97" s="381">
        <f t="shared" si="610"/>
        <v>0</v>
      </c>
      <c r="DO97" s="381">
        <f>DO95-DO89</f>
        <v>0</v>
      </c>
      <c r="DP97" s="381">
        <f t="shared" ref="DP97" si="611">DP95-DP89</f>
        <v>0</v>
      </c>
      <c r="DQ97" s="381">
        <f t="shared" ref="DQ97:DV97" si="612">DQ95-DQ89</f>
        <v>0</v>
      </c>
      <c r="DR97" s="381">
        <f t="shared" si="612"/>
        <v>0</v>
      </c>
      <c r="DS97" s="381">
        <f t="shared" si="612"/>
        <v>0</v>
      </c>
      <c r="DT97" s="434">
        <f t="shared" si="612"/>
        <v>0</v>
      </c>
      <c r="DU97" s="434">
        <f t="shared" si="612"/>
        <v>0</v>
      </c>
      <c r="DV97" s="434">
        <f t="shared" si="612"/>
        <v>0</v>
      </c>
      <c r="DW97" s="434">
        <f t="shared" ref="DW97:EA97" si="613">DW95-DW89</f>
        <v>0</v>
      </c>
      <c r="DX97" s="434">
        <f t="shared" si="613"/>
        <v>0</v>
      </c>
      <c r="DY97" s="601">
        <f t="shared" si="613"/>
        <v>0</v>
      </c>
      <c r="DZ97" s="464">
        <f t="shared" si="613"/>
        <v>0</v>
      </c>
      <c r="EA97" s="434">
        <f t="shared" si="613"/>
        <v>0</v>
      </c>
      <c r="EB97" s="434">
        <f t="shared" ref="EB97:FB97" si="614">EB95-EB89</f>
        <v>0</v>
      </c>
      <c r="EC97" s="434">
        <f t="shared" si="614"/>
        <v>0</v>
      </c>
      <c r="ED97" s="450">
        <f t="shared" si="614"/>
        <v>0</v>
      </c>
      <c r="EE97" s="471">
        <f>EE95-EE89</f>
        <v>0</v>
      </c>
      <c r="EF97" s="471">
        <f t="shared" si="614"/>
        <v>0</v>
      </c>
      <c r="EG97" s="471">
        <f t="shared" si="614"/>
        <v>0</v>
      </c>
      <c r="EH97" s="51">
        <f t="shared" si="614"/>
        <v>0</v>
      </c>
      <c r="EI97" s="51">
        <f t="shared" si="614"/>
        <v>0</v>
      </c>
      <c r="EJ97" s="51">
        <f t="shared" si="614"/>
        <v>0</v>
      </c>
      <c r="EK97" s="591">
        <f t="shared" si="614"/>
        <v>0</v>
      </c>
      <c r="EL97" s="604">
        <f t="shared" si="614"/>
        <v>0</v>
      </c>
      <c r="EM97" s="591">
        <f t="shared" si="614"/>
        <v>0</v>
      </c>
      <c r="EN97" s="591">
        <f t="shared" si="614"/>
        <v>0</v>
      </c>
      <c r="EO97" s="591">
        <f t="shared" si="614"/>
        <v>0</v>
      </c>
      <c r="EP97" s="591">
        <f t="shared" si="614"/>
        <v>0</v>
      </c>
      <c r="EQ97" s="591">
        <f t="shared" si="614"/>
        <v>0</v>
      </c>
      <c r="ER97" s="604">
        <f t="shared" si="614"/>
        <v>0</v>
      </c>
      <c r="ES97" s="604">
        <f t="shared" si="614"/>
        <v>1.1175870895385742E-8</v>
      </c>
      <c r="ET97" s="604">
        <f t="shared" si="614"/>
        <v>-1.862645149230957E-9</v>
      </c>
      <c r="EU97" s="604">
        <f t="shared" si="614"/>
        <v>5.5879354476928711E-9</v>
      </c>
      <c r="EV97" s="604">
        <f t="shared" si="614"/>
        <v>0</v>
      </c>
      <c r="EW97" s="604">
        <f t="shared" si="614"/>
        <v>3.7252902984619141E-9</v>
      </c>
      <c r="EX97" s="604">
        <f t="shared" si="614"/>
        <v>0</v>
      </c>
      <c r="EY97" s="604">
        <f t="shared" si="614"/>
        <v>-3.7252902984619141E-9</v>
      </c>
      <c r="EZ97" s="604">
        <f t="shared" si="614"/>
        <v>0</v>
      </c>
      <c r="FA97" s="604">
        <f t="shared" si="614"/>
        <v>-5.5879354476928711E-9</v>
      </c>
      <c r="FB97" s="604">
        <f t="shared" si="614"/>
        <v>-5.5879354476928711E-9</v>
      </c>
      <c r="FC97" s="604">
        <f>FC95-FC89</f>
        <v>-3.7252902984619141E-9</v>
      </c>
      <c r="FD97" s="604">
        <f>FD95-FD89</f>
        <v>-7.4505805969238281E-9</v>
      </c>
      <c r="FE97" s="604">
        <f>FE95-FE89</f>
        <v>-5.5879354476928711E-9</v>
      </c>
      <c r="FF97" s="604">
        <f>FF95-FF89</f>
        <v>0</v>
      </c>
      <c r="FG97" s="604">
        <f t="shared" ref="FG97:FH97" si="615">FG95-FG89</f>
        <v>-3.7252902984619141E-9</v>
      </c>
      <c r="FH97" s="604">
        <f t="shared" si="615"/>
        <v>-1.1175870895385742E-8</v>
      </c>
      <c r="FI97" s="604">
        <f>FI95-FI89</f>
        <v>0</v>
      </c>
      <c r="FJ97" s="604">
        <f>FJ95-FJ89</f>
        <v>0</v>
      </c>
      <c r="FK97" s="792">
        <f>FK95-FK89</f>
        <v>0</v>
      </c>
      <c r="FL97" s="604"/>
      <c r="FM97" s="604"/>
    </row>
    <row r="98" spans="2:169" x14ac:dyDescent="0.35">
      <c r="F98" s="19"/>
      <c r="G98" s="19"/>
      <c r="H98" s="19"/>
      <c r="I98" s="19"/>
      <c r="J98" s="19"/>
      <c r="K98" s="19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>
        <f t="shared" si="606"/>
        <v>0</v>
      </c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W98" s="313"/>
      <c r="CX98" s="313"/>
      <c r="DJ98" s="350"/>
      <c r="DK98" s="12"/>
      <c r="DL98" s="12"/>
      <c r="DM98" s="54"/>
      <c r="DN98" s="54"/>
      <c r="DO98" s="54"/>
      <c r="DP98" s="54"/>
      <c r="DQ98" s="54"/>
      <c r="DR98" s="54"/>
      <c r="DS98" s="54"/>
      <c r="DT98" s="12"/>
      <c r="DU98" s="12"/>
      <c r="DV98" s="12"/>
      <c r="DW98" s="12"/>
      <c r="DX98" s="20"/>
      <c r="DY98" s="511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469"/>
      <c r="EL98" s="469"/>
      <c r="EM98" s="603"/>
      <c r="EN98" s="603"/>
      <c r="EO98" s="603"/>
      <c r="EP98" s="603"/>
      <c r="EQ98" s="609"/>
      <c r="ER98" s="620"/>
      <c r="FK98" s="79"/>
    </row>
    <row r="99" spans="2:169" x14ac:dyDescent="0.35">
      <c r="B99" s="3" t="s">
        <v>152</v>
      </c>
      <c r="F99" s="19"/>
      <c r="G99" s="19"/>
      <c r="H99" s="19"/>
      <c r="I99" s="19"/>
      <c r="J99" s="19"/>
      <c r="K99" s="19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>
        <f t="shared" si="606"/>
        <v>0</v>
      </c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111"/>
      <c r="BX99" s="20"/>
      <c r="BY99" s="20"/>
      <c r="BZ99" s="20"/>
      <c r="CA99" s="20"/>
      <c r="CB99" s="20"/>
      <c r="CC99" s="20"/>
      <c r="CD99" s="20"/>
      <c r="CE99" s="20"/>
      <c r="DJ99" s="350"/>
      <c r="DK99" s="12"/>
      <c r="DL99" s="12"/>
      <c r="DM99" s="54"/>
      <c r="DN99" s="54"/>
      <c r="DO99" s="54"/>
      <c r="DP99" s="54"/>
      <c r="DQ99" s="54"/>
      <c r="DR99" s="54"/>
      <c r="DS99" s="54"/>
      <c r="DT99" s="12"/>
      <c r="DU99" s="12"/>
      <c r="DV99" s="20"/>
      <c r="DW99" s="20"/>
      <c r="DX99" s="20"/>
      <c r="DY99" s="511"/>
      <c r="DZ99" s="54"/>
      <c r="EA99" s="54"/>
      <c r="EB99" s="54"/>
      <c r="EC99" s="54"/>
      <c r="ED99" s="54"/>
      <c r="EE99" s="54"/>
      <c r="EF99" s="54"/>
      <c r="EG99" s="54"/>
      <c r="EH99" s="54"/>
      <c r="EI99" s="54"/>
      <c r="EJ99" s="54"/>
      <c r="EK99" s="592"/>
      <c r="EL99" s="592"/>
      <c r="EM99" s="592"/>
      <c r="EN99" s="592"/>
      <c r="EO99" s="592"/>
      <c r="EP99" s="592"/>
      <c r="EQ99" s="592"/>
      <c r="ER99" s="54"/>
      <c r="FK99" s="79"/>
    </row>
    <row r="100" spans="2:169" ht="7.5" customHeight="1" x14ac:dyDescent="0.35">
      <c r="F100" s="19"/>
      <c r="G100" s="19"/>
      <c r="H100" s="19"/>
      <c r="I100" s="19"/>
      <c r="J100" s="19"/>
      <c r="K100" s="19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>
        <f t="shared" si="606"/>
        <v>0</v>
      </c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DJ100" s="350"/>
      <c r="DK100" s="12"/>
      <c r="DL100" s="12"/>
      <c r="DM100" s="54"/>
      <c r="DN100" s="54"/>
      <c r="DO100" s="54"/>
      <c r="DP100" s="54"/>
      <c r="DQ100" s="54"/>
      <c r="DR100" s="54"/>
      <c r="DS100" s="54"/>
      <c r="DT100" s="12"/>
      <c r="DU100" s="12"/>
      <c r="DV100" s="12"/>
      <c r="DW100" s="12"/>
      <c r="DX100" s="12"/>
      <c r="DY100" s="511"/>
      <c r="FK100" s="79"/>
    </row>
    <row r="101" spans="2:169" x14ac:dyDescent="0.35">
      <c r="C101" s="10" t="s">
        <v>17</v>
      </c>
      <c r="F101" s="11">
        <f>F62</f>
        <v>-1577000</v>
      </c>
      <c r="G101" s="11">
        <f>G62</f>
        <v>-1348151</v>
      </c>
      <c r="H101" s="11">
        <f>SUM(V101:Y101)</f>
        <v>-820597</v>
      </c>
      <c r="I101" s="11">
        <f>SUM(Z101:AC101)</f>
        <v>-1975793</v>
      </c>
      <c r="J101" s="11">
        <f>SUM(AD101:AG101)</f>
        <v>-456448.43999999913</v>
      </c>
      <c r="K101" s="11">
        <f>SUM(AH101:AK101)</f>
        <v>-2988948.4899999998</v>
      </c>
      <c r="L101" s="11">
        <f>SUM(AL101:AO101)</f>
        <v>-3239763.8066889476</v>
      </c>
      <c r="M101" s="11">
        <f ca="1">SUM(AP101:AS101)</f>
        <v>-368407.48468424752</v>
      </c>
      <c r="N101" s="11">
        <f ca="1">SUM(AT101:AW101)</f>
        <v>-502354.34146010014</v>
      </c>
      <c r="O101" s="11">
        <f>SUM(AX101:BA101)</f>
        <v>543034.51293484645</v>
      </c>
      <c r="P101" s="11">
        <f>SUM(FJ101:FK101)</f>
        <v>165245.01069002622</v>
      </c>
      <c r="Q101" s="12"/>
      <c r="R101" s="12">
        <f>R62</f>
        <v>-415583</v>
      </c>
      <c r="S101" s="12">
        <f>S62</f>
        <v>-588133</v>
      </c>
      <c r="T101" s="12">
        <f>T62</f>
        <v>-439945</v>
      </c>
      <c r="U101" s="12">
        <f>U62</f>
        <v>33585</v>
      </c>
      <c r="V101" s="12">
        <f>SUM(BR101:BT101)</f>
        <v>-151564</v>
      </c>
      <c r="W101" s="12">
        <f>SUM(BU101:BW101)</f>
        <v>-292716</v>
      </c>
      <c r="X101" s="12">
        <f>SUM(BX101:BZ101)</f>
        <v>-190251</v>
      </c>
      <c r="Y101" s="12">
        <f>SUM(CA101:CC101)</f>
        <v>-186066</v>
      </c>
      <c r="Z101" s="12">
        <f>SUM(CD101:CF101)</f>
        <v>-445846</v>
      </c>
      <c r="AA101" s="12">
        <f>SUM(CG101:CI101)</f>
        <v>-632208</v>
      </c>
      <c r="AB101" s="12">
        <f>SUM(CJ101:CL101)</f>
        <v>-498542</v>
      </c>
      <c r="AC101" s="12">
        <f>SUM(CM101:CO101)</f>
        <v>-399197</v>
      </c>
      <c r="AD101" s="12">
        <f>SUM(CP101:CR101)</f>
        <v>-286256</v>
      </c>
      <c r="AE101" s="12">
        <f>SUM(CS101:CU101)</f>
        <v>14366</v>
      </c>
      <c r="AF101" s="12">
        <f>SUM(CV101:CX101)</f>
        <v>-17895.079999999842</v>
      </c>
      <c r="AG101" s="12">
        <f>SUM(CY101:DA101)</f>
        <v>-166663.35999999929</v>
      </c>
      <c r="AH101" s="12">
        <f>SUM(DB101:DD101)</f>
        <v>-569028.73000000033</v>
      </c>
      <c r="AI101" s="12">
        <f>SUM(DE101:DG101)</f>
        <v>-679299.59000000008</v>
      </c>
      <c r="AJ101" s="12">
        <f>SUM(DH101:DJ101)</f>
        <v>-835212.29999999923</v>
      </c>
      <c r="AK101" s="12">
        <f>SUM(DK101:DM101)</f>
        <v>-905407.87</v>
      </c>
      <c r="AL101" s="12">
        <f>SUM(DN101:DP101)</f>
        <v>-1112785.5700000003</v>
      </c>
      <c r="AM101" s="12">
        <f>SUM(DQ101:DS101)</f>
        <v>-1019531.7300000004</v>
      </c>
      <c r="AN101" s="12">
        <f>SUM(DT101:DV101)</f>
        <v>-840470.77536021243</v>
      </c>
      <c r="AO101" s="12">
        <f>SUM(DW101:DY101)</f>
        <v>-266975.73132873396</v>
      </c>
      <c r="AP101" s="12">
        <f>SUM(DZ101:EB101)</f>
        <v>-170699.13357565983</v>
      </c>
      <c r="AQ101" s="12">
        <f ca="1">OFFSET($DZ101,0,AQ$4)+OFFSET($EA101,0,AQ$4)+OFFSET($EB101,0,AQ$4)</f>
        <v>-159094.94954175747</v>
      </c>
      <c r="AR101" s="12">
        <f ca="1">OFFSET($DZ101,0,AR$4)+OFFSET($EA101,0,AR$4)+OFFSET($EB101,0,AR$4)</f>
        <v>-159785.86193441763</v>
      </c>
      <c r="AS101" s="12">
        <f ca="1">OFFSET($DZ101,0,AS$4)+OFFSET($EA101,0,AS$4)+OFFSET($EB101,0,AS$4)</f>
        <v>121172.4603675874</v>
      </c>
      <c r="AT101" s="12">
        <f>SUM(EL101:EN101)</f>
        <v>-69340.747292656102</v>
      </c>
      <c r="AU101" s="12">
        <f ca="1">OFFSET($EL101,0,AU$4)+OFFSET($EM101,0,AU$4)+OFFSET($EN101,0,AU$4)</f>
        <v>-166591.37050109718</v>
      </c>
      <c r="AV101" s="12">
        <f ca="1">OFFSET($EL101,0,AV$4)+OFFSET($EM101,0,AV$4)+OFFSET($EN101,0,AV$4)</f>
        <v>-121197.6244360233</v>
      </c>
      <c r="AW101" s="12">
        <f ca="1">OFFSET($EL101,0,AW$4)+OFFSET($EM101,0,AW$4)+OFFSET($EN101,0,AW$4)</f>
        <v>-145224.5992303236</v>
      </c>
      <c r="AX101" s="12">
        <f>SUM(EX101:EZ101)</f>
        <v>-162344.18936001707</v>
      </c>
      <c r="AY101" s="12">
        <f>SUM(FA101:FC101)</f>
        <v>-118549.06873858813</v>
      </c>
      <c r="AZ101" s="12">
        <f>SUM(FD101:FF101)</f>
        <v>352454.89642467524</v>
      </c>
      <c r="BA101" s="12">
        <f>SUM(FG101:FI101)</f>
        <v>471472.87460877642</v>
      </c>
      <c r="BB101" s="11">
        <f>SUM(FJ101:FL101)</f>
        <v>165245.01069002622</v>
      </c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>
        <f>BR62</f>
        <v>-62108</v>
      </c>
      <c r="BS101" s="12">
        <f t="shared" ref="BS101:CA101" si="616">BS62</f>
        <v>-17710</v>
      </c>
      <c r="BT101" s="12">
        <f t="shared" si="616"/>
        <v>-71746</v>
      </c>
      <c r="BU101" s="12">
        <f t="shared" si="616"/>
        <v>-79053</v>
      </c>
      <c r="BV101" s="12">
        <f t="shared" si="616"/>
        <v>-113010</v>
      </c>
      <c r="BW101" s="12">
        <f t="shared" si="616"/>
        <v>-100653</v>
      </c>
      <c r="BX101" s="12">
        <f t="shared" si="616"/>
        <v>-31641</v>
      </c>
      <c r="BY101" s="12">
        <f t="shared" si="616"/>
        <v>-81381</v>
      </c>
      <c r="BZ101" s="12">
        <f t="shared" si="616"/>
        <v>-77229</v>
      </c>
      <c r="CA101" s="12">
        <f t="shared" si="616"/>
        <v>-42725</v>
      </c>
      <c r="CB101" s="12">
        <f t="shared" ref="CB101:CI101" si="617">CB62</f>
        <v>-126875</v>
      </c>
      <c r="CC101" s="12">
        <f t="shared" si="617"/>
        <v>-16466</v>
      </c>
      <c r="CD101" s="12">
        <f t="shared" si="617"/>
        <v>-118985</v>
      </c>
      <c r="CE101" s="12">
        <f t="shared" si="617"/>
        <v>-170874</v>
      </c>
      <c r="CF101" s="12">
        <f t="shared" si="617"/>
        <v>-155987</v>
      </c>
      <c r="CG101" s="12">
        <f t="shared" si="617"/>
        <v>-169094</v>
      </c>
      <c r="CH101" s="12">
        <f t="shared" si="617"/>
        <v>-186124</v>
      </c>
      <c r="CI101" s="12">
        <f t="shared" si="617"/>
        <v>-276990</v>
      </c>
      <c r="CJ101" s="12">
        <f t="shared" ref="CJ101:CQ101" si="618">CJ62</f>
        <v>-207440</v>
      </c>
      <c r="CK101" s="12">
        <f t="shared" si="618"/>
        <v>-186335</v>
      </c>
      <c r="CL101" s="12">
        <f t="shared" si="618"/>
        <v>-104767</v>
      </c>
      <c r="CM101" s="12">
        <f t="shared" si="618"/>
        <v>-127256</v>
      </c>
      <c r="CN101" s="12">
        <f t="shared" si="618"/>
        <v>-139438</v>
      </c>
      <c r="CO101" s="12">
        <f t="shared" si="618"/>
        <v>-132503</v>
      </c>
      <c r="CP101" s="12">
        <f t="shared" si="618"/>
        <v>-70571</v>
      </c>
      <c r="CQ101" s="12">
        <f t="shared" si="618"/>
        <v>-127931</v>
      </c>
      <c r="CR101" s="12">
        <f t="shared" ref="CR101:DG101" si="619">CR62</f>
        <v>-87754</v>
      </c>
      <c r="CS101" s="12">
        <f t="shared" si="619"/>
        <v>-34958</v>
      </c>
      <c r="CT101" s="12">
        <f t="shared" si="619"/>
        <v>17476</v>
      </c>
      <c r="CU101" s="12">
        <f t="shared" si="619"/>
        <v>31848</v>
      </c>
      <c r="CV101" s="12">
        <f t="shared" si="619"/>
        <v>-17879</v>
      </c>
      <c r="CW101" s="12">
        <f t="shared" si="619"/>
        <v>-38741.720000000205</v>
      </c>
      <c r="CX101" s="12">
        <f t="shared" si="619"/>
        <v>38725.640000000363</v>
      </c>
      <c r="CY101" s="12">
        <f t="shared" si="619"/>
        <v>-44058.79999999993</v>
      </c>
      <c r="CZ101" s="12">
        <f t="shared" si="619"/>
        <v>-59261.529999999795</v>
      </c>
      <c r="DA101" s="12">
        <f t="shared" si="619"/>
        <v>-63343.029999999562</v>
      </c>
      <c r="DB101" s="12">
        <f t="shared" si="619"/>
        <v>-134774.84999999998</v>
      </c>
      <c r="DC101" s="12">
        <f t="shared" si="619"/>
        <v>-207137.15000000049</v>
      </c>
      <c r="DD101" s="12">
        <f t="shared" si="619"/>
        <v>-227116.72999999986</v>
      </c>
      <c r="DE101" s="12">
        <f t="shared" si="619"/>
        <v>-233458.49999999988</v>
      </c>
      <c r="DF101" s="12">
        <f t="shared" si="619"/>
        <v>-233931.86999999988</v>
      </c>
      <c r="DG101" s="12">
        <f t="shared" si="619"/>
        <v>-211909.22000000032</v>
      </c>
      <c r="DH101" s="12">
        <f t="shared" ref="DH101:DO101" si="620">DH62</f>
        <v>-239336.25999999978</v>
      </c>
      <c r="DI101" s="12">
        <f t="shared" si="620"/>
        <v>-270756.4099999998</v>
      </c>
      <c r="DJ101" s="12">
        <f t="shared" si="620"/>
        <v>-325119.62999999966</v>
      </c>
      <c r="DK101" s="12">
        <f t="shared" si="620"/>
        <v>-333126.83999999997</v>
      </c>
      <c r="DL101" s="12">
        <f t="shared" si="620"/>
        <v>-326648.07999999996</v>
      </c>
      <c r="DM101" s="12">
        <f t="shared" si="620"/>
        <v>-245632.95000000007</v>
      </c>
      <c r="DN101" s="12">
        <f t="shared" si="620"/>
        <v>-361990.45000000007</v>
      </c>
      <c r="DO101" s="12">
        <f t="shared" si="620"/>
        <v>-447427.03</v>
      </c>
      <c r="DP101" s="12">
        <f t="shared" ref="DP101:DU101" si="621">DP62</f>
        <v>-303368.0900000002</v>
      </c>
      <c r="DQ101" s="12">
        <f t="shared" si="621"/>
        <v>-373977.89999999979</v>
      </c>
      <c r="DR101" s="12">
        <f t="shared" si="621"/>
        <v>-302213.63000000035</v>
      </c>
      <c r="DS101" s="12">
        <f t="shared" si="621"/>
        <v>-343340.2000000003</v>
      </c>
      <c r="DT101" s="12">
        <f t="shared" si="621"/>
        <v>-396454.76617217716</v>
      </c>
      <c r="DU101" s="12">
        <f t="shared" si="621"/>
        <v>-260382.87918803527</v>
      </c>
      <c r="DV101" s="12">
        <f t="shared" ref="DV101:DW101" si="622">DV62</f>
        <v>-183633.13</v>
      </c>
      <c r="DW101" s="12">
        <f t="shared" si="622"/>
        <v>-204900.44132873439</v>
      </c>
      <c r="DX101" s="12">
        <f t="shared" ref="DX101:DZ101" si="623">DX62</f>
        <v>-73956.530000000028</v>
      </c>
      <c r="DY101" s="511">
        <f t="shared" si="623"/>
        <v>11881.240000000456</v>
      </c>
      <c r="DZ101" s="12">
        <f t="shared" si="623"/>
        <v>-110402.97851762059</v>
      </c>
      <c r="EA101" s="12">
        <f t="shared" ref="EA101:EB101" si="624">EA62</f>
        <v>-66892.819157900638</v>
      </c>
      <c r="EB101" s="289">
        <f t="shared" si="624"/>
        <v>6596.6640998614021</v>
      </c>
      <c r="EC101" s="12">
        <f t="shared" ref="EC101:EH101" si="625">EC62</f>
        <v>-39850.908602923271</v>
      </c>
      <c r="ED101" s="12">
        <f t="shared" si="625"/>
        <v>-47688.31138058193</v>
      </c>
      <c r="EE101" s="12">
        <f t="shared" si="625"/>
        <v>-71555.729558252264</v>
      </c>
      <c r="EF101" s="12">
        <f t="shared" si="625"/>
        <v>-125364.87907653803</v>
      </c>
      <c r="EG101" s="12">
        <f t="shared" si="625"/>
        <v>-57186.288591435994</v>
      </c>
      <c r="EH101" s="12">
        <f t="shared" si="625"/>
        <v>22765.305733556394</v>
      </c>
      <c r="EI101" s="12">
        <f t="shared" ref="EI101:EJ101" si="626">EI62</f>
        <v>-42143.318043904379</v>
      </c>
      <c r="EJ101" s="12">
        <f t="shared" si="626"/>
        <v>-9894.6523088361137</v>
      </c>
      <c r="EK101" s="511">
        <f t="shared" ref="EK101" si="627">EK62</f>
        <v>173210.43072032789</v>
      </c>
      <c r="EL101" s="511">
        <f>EL62</f>
        <v>-58768.553425655307</v>
      </c>
      <c r="EM101" s="511">
        <f t="shared" ref="EM101:EO101" si="628">EM62</f>
        <v>-66765.881150162706</v>
      </c>
      <c r="EN101" s="511">
        <f t="shared" si="628"/>
        <v>56193.687283161911</v>
      </c>
      <c r="EO101" s="511">
        <f t="shared" si="628"/>
        <v>-86723.824726295541</v>
      </c>
      <c r="EP101" s="511">
        <f t="shared" ref="EP101" si="629">EP62</f>
        <v>6231.9660315425717</v>
      </c>
      <c r="EQ101" s="511">
        <f>EQ62</f>
        <v>-86099.511806344206</v>
      </c>
      <c r="ER101" s="511">
        <f t="shared" ref="ER101:ES101" si="630">ER62</f>
        <v>-42047.603309075581</v>
      </c>
      <c r="ES101" s="511">
        <f t="shared" si="630"/>
        <v>-26998.690383182606</v>
      </c>
      <c r="ET101" s="511">
        <f t="shared" ref="ET101:EU101" si="631">ET62</f>
        <v>-52151.330743765109</v>
      </c>
      <c r="EU101" s="511">
        <f t="shared" si="631"/>
        <v>-190255.51782870683</v>
      </c>
      <c r="EV101" s="511">
        <f t="shared" ref="EV101:EW101" si="632">EV62</f>
        <v>55678.86859838324</v>
      </c>
      <c r="EW101" s="511">
        <f t="shared" si="632"/>
        <v>-10647.950000000012</v>
      </c>
      <c r="EX101" s="511">
        <f>EX62</f>
        <v>-54310.166118338042</v>
      </c>
      <c r="EY101" s="511">
        <f t="shared" ref="EY101" si="633">EY62</f>
        <v>-22728.868450959846</v>
      </c>
      <c r="EZ101" s="511">
        <f t="shared" ref="EZ101:FA101" si="634">EZ62</f>
        <v>-85305.154790719185</v>
      </c>
      <c r="FA101" s="511">
        <f t="shared" si="634"/>
        <v>-67622.667040571512</v>
      </c>
      <c r="FB101" s="511">
        <f>FB62</f>
        <v>-53944.35854394763</v>
      </c>
      <c r="FC101" s="511">
        <f>FC62</f>
        <v>3017.9568459310144</v>
      </c>
      <c r="FD101" s="511">
        <f>FD62</f>
        <v>118679.13616213889</v>
      </c>
      <c r="FE101" s="511">
        <f>FE62</f>
        <v>101850.4342677861</v>
      </c>
      <c r="FF101" s="511">
        <f>FF62</f>
        <v>131925.32599475022</v>
      </c>
      <c r="FG101" s="511">
        <f t="shared" ref="FG101:FH101" si="635">FG62</f>
        <v>105933.35442020057</v>
      </c>
      <c r="FH101" s="511">
        <f t="shared" si="635"/>
        <v>180371.13609877171</v>
      </c>
      <c r="FI101" s="511">
        <f>FI62</f>
        <v>185168.38408980411</v>
      </c>
      <c r="FJ101" s="511">
        <f>FJ62</f>
        <v>50053.490356112132</v>
      </c>
      <c r="FK101" s="743">
        <f>FK62</f>
        <v>115191.52033391409</v>
      </c>
      <c r="FL101" s="511"/>
      <c r="FM101" s="511"/>
    </row>
    <row r="102" spans="2:169" ht="7.5" customHeight="1" x14ac:dyDescent="0.35">
      <c r="F102" s="19"/>
      <c r="G102" s="19"/>
      <c r="H102" s="19"/>
      <c r="I102" s="19"/>
      <c r="J102" s="19"/>
      <c r="K102" s="19"/>
      <c r="L102" s="11"/>
      <c r="M102" s="11"/>
      <c r="N102" s="11"/>
      <c r="O102" s="11"/>
      <c r="P102" s="11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1">
        <f t="shared" si="606"/>
        <v>0</v>
      </c>
      <c r="BC102" s="12"/>
      <c r="BD102" s="12"/>
      <c r="BE102" s="12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DK102" s="12"/>
      <c r="DL102" s="12"/>
      <c r="DM102" s="54"/>
      <c r="DN102" s="54"/>
      <c r="DO102" s="54"/>
      <c r="DP102" s="54"/>
      <c r="DQ102" s="54"/>
      <c r="DR102" s="54"/>
      <c r="DS102" s="54"/>
      <c r="DT102" s="12"/>
      <c r="DU102" s="12"/>
      <c r="DV102" s="12"/>
      <c r="DW102" s="12"/>
      <c r="DX102" s="12"/>
      <c r="DY102" s="511"/>
      <c r="EB102" s="474"/>
      <c r="ER102" s="487"/>
      <c r="ES102" s="487"/>
      <c r="ET102" s="487"/>
      <c r="EU102" s="487"/>
      <c r="EV102" s="487"/>
      <c r="EW102" s="487"/>
      <c r="EX102" s="487"/>
      <c r="EY102" s="487"/>
      <c r="EZ102" s="487"/>
      <c r="FA102" s="487"/>
      <c r="FB102" s="487"/>
      <c r="FC102" s="487"/>
      <c r="FD102" s="487"/>
      <c r="FE102" s="487"/>
      <c r="FF102" s="487"/>
      <c r="FG102" s="487"/>
      <c r="FH102" s="487"/>
      <c r="FI102" s="487"/>
      <c r="FJ102" s="487"/>
      <c r="FK102" s="778"/>
      <c r="FL102" s="487"/>
      <c r="FM102" s="487"/>
    </row>
    <row r="103" spans="2:169" x14ac:dyDescent="0.35">
      <c r="C103" t="s">
        <v>153</v>
      </c>
      <c r="F103" s="19">
        <v>1634000</v>
      </c>
      <c r="G103" s="19">
        <f>SUM(R103:U103)</f>
        <v>0</v>
      </c>
      <c r="H103" s="19">
        <f>SUM(V103:Y103)</f>
        <v>-1506348.28</v>
      </c>
      <c r="I103" s="19">
        <f>SUM(Z103:AC103)</f>
        <v>57765.91</v>
      </c>
      <c r="J103" s="19">
        <f>SUM(AD103:AG103)</f>
        <v>-536189.42000000086</v>
      </c>
      <c r="K103" s="19">
        <f>SUM(AH103:AK103)</f>
        <v>-2126207.3946219995</v>
      </c>
      <c r="L103" s="19">
        <f t="shared" ref="L103:L111" si="636">SUM(AL103:AO103)</f>
        <v>-858834.48864962545</v>
      </c>
      <c r="M103" s="19">
        <f ca="1">SUM(AP103:AS103)</f>
        <v>-1300236.6030240986</v>
      </c>
      <c r="N103" s="19">
        <f t="shared" ref="N103:N112" ca="1" si="637">SUM(AT103:AW103)</f>
        <v>723445.16815363918</v>
      </c>
      <c r="O103" s="19">
        <f t="shared" ref="O103:O112" si="638">SUM(AX103:BA103)</f>
        <v>109409.06480133254</v>
      </c>
      <c r="P103" s="19">
        <f t="shared" ref="P103:P112" si="639">SUM(FJ103:FK103)</f>
        <v>-774530.69389859145</v>
      </c>
      <c r="Q103" s="20"/>
      <c r="R103" s="20">
        <f t="shared" ref="R103:U103" si="640">R64</f>
        <v>0</v>
      </c>
      <c r="S103" s="20">
        <f t="shared" si="640"/>
        <v>0</v>
      </c>
      <c r="T103" s="20">
        <f t="shared" si="640"/>
        <v>0</v>
      </c>
      <c r="U103" s="20">
        <f t="shared" si="640"/>
        <v>0</v>
      </c>
      <c r="V103" s="20">
        <f t="shared" ref="V103:V112" si="641">SUM(BR103:BT103)</f>
        <v>-634040</v>
      </c>
      <c r="W103" s="20">
        <f t="shared" ref="W103:W112" si="642">SUM(BU103:BW103)</f>
        <v>89217</v>
      </c>
      <c r="X103" s="20">
        <f t="shared" ref="X103:X112" si="643">SUM(BX103:BZ103)</f>
        <v>-541899</v>
      </c>
      <c r="Y103" s="20">
        <f t="shared" ref="Y103:Y112" si="644">SUM(CA103:CC103)</f>
        <v>-419626.28</v>
      </c>
      <c r="Z103" s="20">
        <f t="shared" ref="Z103:Z112" si="645">SUM(CD103:CF103)</f>
        <v>445625.05</v>
      </c>
      <c r="AA103" s="20">
        <f t="shared" ref="AA103:AA112" si="646">SUM(CG103:CI103)</f>
        <v>-291587.34999999998</v>
      </c>
      <c r="AB103" s="20">
        <f t="shared" ref="AB103:AB112" si="647">SUM(CJ103:CL103)</f>
        <v>64195.940000000017</v>
      </c>
      <c r="AC103" s="20">
        <f t="shared" ref="AC103:AC112" si="648">SUM(CM103:CO103)</f>
        <v>-160467.73000000001</v>
      </c>
      <c r="AD103" s="20">
        <f t="shared" ref="AD103:AD112" si="649">SUM(CP103:CR103)</f>
        <v>76184.079999999958</v>
      </c>
      <c r="AE103" s="20">
        <f t="shared" ref="AE103:AE112" si="650">SUM(CS103:CU103)</f>
        <v>-50984.400000000023</v>
      </c>
      <c r="AF103" s="20">
        <f t="shared" ref="AF103:AF112" si="651">SUM(CV103:CX103)</f>
        <v>-1125363.8999999999</v>
      </c>
      <c r="AG103" s="20">
        <f t="shared" ref="AG103:AG112" si="652">SUM(CY103:DA103)</f>
        <v>563974.79999999912</v>
      </c>
      <c r="AH103" s="20">
        <f t="shared" ref="AH103:AH112" si="653">SUM(DB103:DD103)</f>
        <v>-1357737.7135218182</v>
      </c>
      <c r="AI103" s="20">
        <f t="shared" ref="AI103:AI112" si="654">SUM(DE103:DG103)</f>
        <v>-248342.58647818145</v>
      </c>
      <c r="AJ103" s="20">
        <f t="shared" ref="AJ103:AJ112" si="655">SUM(DH103:DJ103)</f>
        <v>-83931.804622003809</v>
      </c>
      <c r="AK103" s="20">
        <f t="shared" ref="AK103:AK112" si="656">SUM(DK103:DM103)</f>
        <v>-436195.28999999608</v>
      </c>
      <c r="AL103" s="20">
        <f t="shared" ref="AL103:AL112" si="657">SUM(DN103:DP103)</f>
        <v>-449769.54400852078</v>
      </c>
      <c r="AM103" s="20">
        <f t="shared" ref="AM103:AM112" si="658">SUM(DQ103:DS103)</f>
        <v>-238688.62999999794</v>
      </c>
      <c r="AN103" s="20">
        <f t="shared" ref="AN103:AN112" si="659">SUM(DT103:DV103)</f>
        <v>95131.09542413929</v>
      </c>
      <c r="AO103" s="20">
        <f t="shared" ref="AO103:AO112" si="660">SUM(DW103:DY103)</f>
        <v>-265507.41006524605</v>
      </c>
      <c r="AP103" s="20">
        <f t="shared" ref="AP103:AP112" si="661">SUM(DZ103:EB103)</f>
        <v>-484246.39067486965</v>
      </c>
      <c r="AQ103" s="20">
        <f t="shared" ref="AQ103:AS112" ca="1" si="662">OFFSET($DZ103,0,AQ$4)+OFFSET($EA103,0,AQ$4)+OFFSET($EB103,0,AQ$4)</f>
        <v>11833.517223350857</v>
      </c>
      <c r="AR103" s="20">
        <f t="shared" ca="1" si="662"/>
        <v>179258.99693177402</v>
      </c>
      <c r="AS103" s="20">
        <f t="shared" ca="1" si="662"/>
        <v>-1007082.7265043537</v>
      </c>
      <c r="AT103" s="20">
        <f t="shared" ref="AT103:AT112" si="663">SUM(EL103:EN103)</f>
        <v>53209.366512675057</v>
      </c>
      <c r="AU103" s="20">
        <f t="shared" ref="AU103:AW112" ca="1" si="664">OFFSET($EL103,0,AU$4)+OFFSET($EM103,0,AU$4)+OFFSET($EN103,0,AU$4)</f>
        <v>124038.78368457395</v>
      </c>
      <c r="AV103" s="20">
        <f t="shared" ca="1" si="664"/>
        <v>558996.2525278437</v>
      </c>
      <c r="AW103" s="20">
        <f t="shared" ca="1" si="664"/>
        <v>-12799.234571453475</v>
      </c>
      <c r="AX103" s="20">
        <f t="shared" ref="AX103:AX112" si="665">SUM(EX103:EZ103)</f>
        <v>22376.100232833865</v>
      </c>
      <c r="AY103" s="20">
        <f t="shared" ref="AY103:AY112" si="666">SUM(FA103:FC103)</f>
        <v>778890.71264066896</v>
      </c>
      <c r="AZ103" s="20">
        <f t="shared" ref="AZ103:AZ112" si="667">SUM(FD103:FF103)</f>
        <v>-862614.84128948185</v>
      </c>
      <c r="BA103" s="20">
        <f t="shared" ref="BA103:BA112" si="668">SUM(FG103:FI103)</f>
        <v>170757.09321731154</v>
      </c>
      <c r="BB103" s="19">
        <f t="shared" ref="BB103:BB112" si="669">SUM(FJ103:FL103)</f>
        <v>-774530.69389859145</v>
      </c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>
        <f t="shared" ref="BR103:BW103" si="670">BR129</f>
        <v>-130467</v>
      </c>
      <c r="BS103" s="20">
        <f t="shared" si="670"/>
        <v>-356178</v>
      </c>
      <c r="BT103" s="20">
        <f t="shared" si="670"/>
        <v>-147395</v>
      </c>
      <c r="BU103" s="20">
        <f t="shared" si="670"/>
        <v>216077</v>
      </c>
      <c r="BV103" s="20">
        <f t="shared" si="670"/>
        <v>47852</v>
      </c>
      <c r="BW103" s="20">
        <f t="shared" si="670"/>
        <v>-174712</v>
      </c>
      <c r="BX103" s="20">
        <f>BX129</f>
        <v>-338893</v>
      </c>
      <c r="BY103" s="20">
        <f>BY129</f>
        <v>97195</v>
      </c>
      <c r="BZ103" s="20">
        <f>BZ129</f>
        <v>-300201</v>
      </c>
      <c r="CA103" s="20">
        <f>CA129</f>
        <v>-152461</v>
      </c>
      <c r="CB103" s="20">
        <f>CB129</f>
        <v>-201537.28</v>
      </c>
      <c r="CC103" s="20">
        <f t="shared" ref="CC103:CJ103" si="671">CC129</f>
        <v>-65628</v>
      </c>
      <c r="CD103" s="20">
        <f t="shared" si="671"/>
        <v>363486.11</v>
      </c>
      <c r="CE103" s="20">
        <f t="shared" si="671"/>
        <v>-300900</v>
      </c>
      <c r="CF103" s="20">
        <f t="shared" si="671"/>
        <v>383038.94</v>
      </c>
      <c r="CG103" s="20">
        <f t="shared" si="671"/>
        <v>66422.94</v>
      </c>
      <c r="CH103" s="20">
        <f t="shared" si="671"/>
        <v>151510.31</v>
      </c>
      <c r="CI103" s="20">
        <f t="shared" si="671"/>
        <v>-509520.6</v>
      </c>
      <c r="CJ103" s="20">
        <f t="shared" si="671"/>
        <v>258781.64</v>
      </c>
      <c r="CK103" s="20">
        <f t="shared" ref="CK103:CU103" si="672">CK129</f>
        <v>-243028.62</v>
      </c>
      <c r="CL103" s="20">
        <f t="shared" si="672"/>
        <v>48442.92</v>
      </c>
      <c r="CM103" s="20">
        <f t="shared" si="672"/>
        <v>206630.97</v>
      </c>
      <c r="CN103" s="20">
        <f t="shared" si="672"/>
        <v>-432733.08</v>
      </c>
      <c r="CO103" s="20">
        <f>CO129</f>
        <v>65634.38</v>
      </c>
      <c r="CP103" s="20">
        <f t="shared" si="672"/>
        <v>-145575.03</v>
      </c>
      <c r="CQ103" s="20">
        <f t="shared" si="672"/>
        <v>462204.11</v>
      </c>
      <c r="CR103" s="20">
        <f>CR129</f>
        <v>-240445</v>
      </c>
      <c r="CS103" s="20">
        <f t="shared" si="672"/>
        <v>-74195</v>
      </c>
      <c r="CT103" s="20">
        <f t="shared" si="672"/>
        <v>-298301.28000000003</v>
      </c>
      <c r="CU103" s="20">
        <f t="shared" si="672"/>
        <v>321511.88</v>
      </c>
      <c r="CV103" s="20">
        <f t="shared" ref="CV103:DC103" si="673">CV129</f>
        <v>-553736</v>
      </c>
      <c r="CW103" s="20">
        <f t="shared" si="673"/>
        <v>-164828.70999999982</v>
      </c>
      <c r="CX103" s="20">
        <f t="shared" si="673"/>
        <v>-406799.19000000006</v>
      </c>
      <c r="CY103" s="20">
        <f t="shared" si="673"/>
        <v>782033.16999999876</v>
      </c>
      <c r="CZ103" s="20">
        <f t="shared" si="673"/>
        <v>-396149.14999999956</v>
      </c>
      <c r="DA103" s="20">
        <f>DA129</f>
        <v>178090.77999999997</v>
      </c>
      <c r="DB103" s="20">
        <f t="shared" si="673"/>
        <v>-1197683.5299999998</v>
      </c>
      <c r="DC103" s="20">
        <f t="shared" si="673"/>
        <v>-516725.11999999982</v>
      </c>
      <c r="DD103" s="20">
        <f t="shared" ref="DD103:DI103" si="674">DD129</f>
        <v>356670.93647818157</v>
      </c>
      <c r="DE103" s="20">
        <f t="shared" si="674"/>
        <v>20086.703521818185</v>
      </c>
      <c r="DF103" s="20">
        <f t="shared" si="674"/>
        <v>-404034.84</v>
      </c>
      <c r="DG103" s="20">
        <f t="shared" si="674"/>
        <v>135605.55000000037</v>
      </c>
      <c r="DH103" s="20">
        <f t="shared" si="674"/>
        <v>-320126.21000000433</v>
      </c>
      <c r="DI103" s="20">
        <f t="shared" si="674"/>
        <v>-416272.14220324391</v>
      </c>
      <c r="DJ103" s="20">
        <f t="shared" ref="DJ103:DN103" si="675">DJ129</f>
        <v>652466.54758124449</v>
      </c>
      <c r="DK103" s="20">
        <f t="shared" si="675"/>
        <v>-452523.04000000108</v>
      </c>
      <c r="DL103" s="20">
        <f t="shared" si="675"/>
        <v>270796.87000000442</v>
      </c>
      <c r="DM103" s="20">
        <f>DM129</f>
        <v>-254469.11999999938</v>
      </c>
      <c r="DN103" s="20">
        <f t="shared" si="675"/>
        <v>-696587.18443589972</v>
      </c>
      <c r="DO103" s="20">
        <f t="shared" ref="DO103:DT103" si="676">DO129</f>
        <v>73180.170427378587</v>
      </c>
      <c r="DP103" s="20">
        <f t="shared" si="676"/>
        <v>173637.47000000032</v>
      </c>
      <c r="DQ103" s="20">
        <f t="shared" si="676"/>
        <v>-297504.76</v>
      </c>
      <c r="DR103" s="20">
        <f t="shared" si="676"/>
        <v>-84396.509999999194</v>
      </c>
      <c r="DS103" s="20">
        <f t="shared" si="676"/>
        <v>143212.64000000127</v>
      </c>
      <c r="DT103" s="20">
        <f t="shared" si="676"/>
        <v>80411.666172175042</v>
      </c>
      <c r="DU103" s="20">
        <f t="shared" ref="DU103:DV103" si="677">DU129</f>
        <v>660854.17925196269</v>
      </c>
      <c r="DV103" s="20">
        <f t="shared" si="677"/>
        <v>-646134.74999999849</v>
      </c>
      <c r="DW103" s="20">
        <f t="shared" ref="DW103:EB103" si="678">DW129</f>
        <v>191889.91132873663</v>
      </c>
      <c r="DX103" s="20">
        <f t="shared" si="678"/>
        <v>-548538.53000000515</v>
      </c>
      <c r="DY103" s="469">
        <f>DY129</f>
        <v>91141.208606022439</v>
      </c>
      <c r="DZ103" s="20">
        <f t="shared" si="678"/>
        <v>541587.39002830209</v>
      </c>
      <c r="EA103" s="20">
        <f t="shared" si="678"/>
        <v>-885086.38342485391</v>
      </c>
      <c r="EB103" s="383">
        <f t="shared" si="678"/>
        <v>-140747.39727831786</v>
      </c>
      <c r="EC103" s="20">
        <f t="shared" ref="EC103" si="679">EC129</f>
        <v>-582859.2571730878</v>
      </c>
      <c r="ED103" s="20">
        <f t="shared" ref="ED103:EH103" si="680">ED129</f>
        <v>629607.321773367</v>
      </c>
      <c r="EE103" s="20">
        <f t="shared" si="680"/>
        <v>-34914.547376928349</v>
      </c>
      <c r="EF103" s="20">
        <f t="shared" si="680"/>
        <v>1011850.396925385</v>
      </c>
      <c r="EG103" s="20">
        <f t="shared" si="680"/>
        <v>-900225.28415516228</v>
      </c>
      <c r="EH103" s="20">
        <f t="shared" si="680"/>
        <v>67633.884161551308</v>
      </c>
      <c r="EI103" s="20">
        <f t="shared" ref="EI103:EN103" si="681">EI129</f>
        <v>-356769.68467006233</v>
      </c>
      <c r="EJ103" s="20">
        <f t="shared" si="681"/>
        <v>-356286.76909229124</v>
      </c>
      <c r="EK103" s="469">
        <f t="shared" ref="EK103" si="682">EK129</f>
        <v>-294026.27274200006</v>
      </c>
      <c r="EL103" s="469">
        <f t="shared" si="681"/>
        <v>647823.77951180469</v>
      </c>
      <c r="EM103" s="469">
        <f t="shared" si="681"/>
        <v>-562755.21686827193</v>
      </c>
      <c r="EN103" s="469">
        <f t="shared" si="681"/>
        <v>-31859.196130857701</v>
      </c>
      <c r="EO103" s="469">
        <f t="shared" ref="EO103:EP103" si="683">EO129</f>
        <v>549737.34351195639</v>
      </c>
      <c r="EP103" s="469">
        <f t="shared" si="683"/>
        <v>-241578.63388493055</v>
      </c>
      <c r="EQ103" s="469">
        <f t="shared" ref="EQ103:EV103" si="684">EQ129</f>
        <v>-184119.92594245193</v>
      </c>
      <c r="ER103" s="469">
        <f t="shared" si="684"/>
        <v>1162619.3816713623</v>
      </c>
      <c r="ES103" s="469">
        <f t="shared" si="684"/>
        <v>-840354.06701764138</v>
      </c>
      <c r="ET103" s="469">
        <f t="shared" si="684"/>
        <v>236730.93787412281</v>
      </c>
      <c r="EU103" s="469">
        <f t="shared" si="684"/>
        <v>216944.86570140434</v>
      </c>
      <c r="EV103" s="469">
        <f t="shared" si="684"/>
        <v>-163862.56775514095</v>
      </c>
      <c r="EW103" s="469">
        <f>EW129</f>
        <v>-65881.532517716871</v>
      </c>
      <c r="EX103" s="469">
        <f>EX129</f>
        <v>-406783.79899254313</v>
      </c>
      <c r="EY103" s="469">
        <f t="shared" ref="EY103:EZ103" si="685">EY129</f>
        <v>312343.69137743756</v>
      </c>
      <c r="EZ103" s="469">
        <f t="shared" si="685"/>
        <v>116816.20784793944</v>
      </c>
      <c r="FA103" s="469">
        <f t="shared" ref="FA103:FB103" si="686">FA129</f>
        <v>-86586.679296822753</v>
      </c>
      <c r="FB103" s="469">
        <f t="shared" si="686"/>
        <v>482107.82473519916</v>
      </c>
      <c r="FC103" s="469">
        <f t="shared" ref="FC103:FD103" si="687">FC129</f>
        <v>383369.5672022925</v>
      </c>
      <c r="FD103" s="469">
        <f t="shared" si="687"/>
        <v>-763917.60330753005</v>
      </c>
      <c r="FE103" s="469">
        <f t="shared" ref="FE103:FJ103" si="688">FE129</f>
        <v>347851.72572794376</v>
      </c>
      <c r="FF103" s="469">
        <f t="shared" si="688"/>
        <v>-446548.96370989562</v>
      </c>
      <c r="FG103" s="469">
        <f t="shared" si="688"/>
        <v>156643.04477645559</v>
      </c>
      <c r="FH103" s="469">
        <f t="shared" si="688"/>
        <v>-831786.79007025273</v>
      </c>
      <c r="FI103" s="469">
        <f t="shared" si="688"/>
        <v>845900.83851110865</v>
      </c>
      <c r="FJ103" s="469">
        <f t="shared" si="688"/>
        <v>-424420.56331670913</v>
      </c>
      <c r="FK103" s="745">
        <f t="shared" ref="FK103" si="689">FK129</f>
        <v>-350110.13058188226</v>
      </c>
      <c r="FL103" s="469"/>
      <c r="FM103" s="469"/>
    </row>
    <row r="104" spans="2:169" ht="7.5" customHeight="1" x14ac:dyDescent="0.35"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>
        <f t="shared" si="639"/>
        <v>0</v>
      </c>
      <c r="Q104" s="20"/>
      <c r="R104" s="20">
        <f t="shared" ref="R104:U104" si="690">R65</f>
        <v>0</v>
      </c>
      <c r="S104" s="20">
        <f t="shared" si="690"/>
        <v>0</v>
      </c>
      <c r="T104" s="20">
        <f t="shared" si="690"/>
        <v>0</v>
      </c>
      <c r="U104" s="20">
        <f t="shared" si="690"/>
        <v>0</v>
      </c>
      <c r="V104" s="20">
        <f t="shared" si="641"/>
        <v>0</v>
      </c>
      <c r="W104" s="20">
        <f t="shared" si="642"/>
        <v>0</v>
      </c>
      <c r="X104" s="20">
        <f t="shared" si="643"/>
        <v>0</v>
      </c>
      <c r="Y104" s="20">
        <f t="shared" si="644"/>
        <v>0</v>
      </c>
      <c r="Z104" s="20">
        <f t="shared" si="645"/>
        <v>0</v>
      </c>
      <c r="AA104" s="20">
        <f t="shared" si="646"/>
        <v>0</v>
      </c>
      <c r="AB104" s="20">
        <f t="shared" si="647"/>
        <v>0</v>
      </c>
      <c r="AC104" s="20">
        <f t="shared" si="648"/>
        <v>0</v>
      </c>
      <c r="AD104" s="20">
        <f t="shared" si="649"/>
        <v>0</v>
      </c>
      <c r="AE104" s="20">
        <f t="shared" si="650"/>
        <v>0</v>
      </c>
      <c r="AF104" s="20">
        <f t="shared" si="651"/>
        <v>0</v>
      </c>
      <c r="AG104" s="20">
        <f t="shared" si="652"/>
        <v>0</v>
      </c>
      <c r="AH104" s="20">
        <f t="shared" si="653"/>
        <v>0</v>
      </c>
      <c r="AI104" s="20">
        <f t="shared" si="654"/>
        <v>0</v>
      </c>
      <c r="AJ104" s="20">
        <f t="shared" si="655"/>
        <v>0</v>
      </c>
      <c r="AK104" s="20">
        <f t="shared" si="656"/>
        <v>0</v>
      </c>
      <c r="AL104" s="20">
        <f t="shared" si="657"/>
        <v>0</v>
      </c>
      <c r="AM104" s="20">
        <f t="shared" si="658"/>
        <v>0</v>
      </c>
      <c r="AN104" s="20">
        <f t="shared" si="659"/>
        <v>0</v>
      </c>
      <c r="AO104" s="20">
        <f t="shared" si="660"/>
        <v>0</v>
      </c>
      <c r="AP104" s="20">
        <f t="shared" si="661"/>
        <v>0</v>
      </c>
      <c r="AQ104" s="20">
        <f t="shared" ca="1" si="662"/>
        <v>0</v>
      </c>
      <c r="AR104" s="20">
        <f t="shared" ca="1" si="662"/>
        <v>0</v>
      </c>
      <c r="AS104" s="20">
        <f t="shared" ca="1" si="662"/>
        <v>0</v>
      </c>
      <c r="AT104" s="20">
        <f t="shared" si="663"/>
        <v>0</v>
      </c>
      <c r="AU104" s="20">
        <f t="shared" ca="1" si="664"/>
        <v>0</v>
      </c>
      <c r="AV104" s="20">
        <f t="shared" ca="1" si="664"/>
        <v>0</v>
      </c>
      <c r="AW104" s="20">
        <f t="shared" ca="1" si="664"/>
        <v>0</v>
      </c>
      <c r="AX104" s="20">
        <f t="shared" si="665"/>
        <v>0</v>
      </c>
      <c r="AY104" s="20">
        <f t="shared" si="666"/>
        <v>0</v>
      </c>
      <c r="AZ104" s="20">
        <f t="shared" si="667"/>
        <v>0</v>
      </c>
      <c r="BA104" s="20">
        <f t="shared" si="668"/>
        <v>0</v>
      </c>
      <c r="BB104" s="19">
        <f t="shared" si="669"/>
        <v>0</v>
      </c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DJ104" s="350"/>
      <c r="DK104" s="12"/>
      <c r="DL104" s="12"/>
      <c r="DM104" s="54"/>
      <c r="DN104" s="54"/>
      <c r="DO104" s="54"/>
      <c r="DP104" s="54"/>
      <c r="DQ104" s="54"/>
      <c r="DR104" s="54"/>
      <c r="DS104" s="54"/>
      <c r="DT104" s="12"/>
      <c r="DU104" s="12"/>
      <c r="DV104" s="12"/>
      <c r="DW104" s="12"/>
      <c r="DX104" s="12"/>
      <c r="DY104" s="511"/>
      <c r="EB104" s="474"/>
      <c r="ER104" s="487"/>
      <c r="ES104" s="487"/>
      <c r="ET104" s="487"/>
      <c r="EU104" s="487"/>
      <c r="EV104" s="487"/>
      <c r="EW104" s="487"/>
      <c r="EX104" s="487"/>
      <c r="EY104" s="487"/>
      <c r="EZ104" s="487"/>
      <c r="FA104" s="487"/>
      <c r="FB104" s="487"/>
      <c r="FC104" s="487"/>
      <c r="FD104" s="487"/>
      <c r="FE104" s="487"/>
      <c r="FF104" s="487"/>
      <c r="FG104" s="487"/>
      <c r="FH104" s="487"/>
      <c r="FI104" s="487"/>
      <c r="FJ104" s="487"/>
      <c r="FK104" s="765"/>
      <c r="FL104" s="487"/>
      <c r="FM104" s="487"/>
    </row>
    <row r="105" spans="2:169" x14ac:dyDescent="0.35">
      <c r="C105" t="s">
        <v>154</v>
      </c>
      <c r="F105" s="19">
        <v>-422000</v>
      </c>
      <c r="G105" s="19">
        <f>SUM(R105:U105)</f>
        <v>-515595</v>
      </c>
      <c r="H105" s="19">
        <f>SUM(V105:Y105)</f>
        <v>-685008</v>
      </c>
      <c r="I105" s="19">
        <f>SUM(Z105:AC105)</f>
        <v>-1038877</v>
      </c>
      <c r="J105" s="19">
        <f>SUM(AD105:AG105)</f>
        <v>-1457373.6500000004</v>
      </c>
      <c r="K105" s="19">
        <f>SUM(AH105:AK105)</f>
        <v>-2652741.4199999981</v>
      </c>
      <c r="L105" s="19">
        <f>SUM(AL105:AO105)</f>
        <v>-2532201.6230520606</v>
      </c>
      <c r="M105" s="19">
        <f ca="1">SUM(AP105:AS105)</f>
        <v>-3277713.6885207626</v>
      </c>
      <c r="N105" s="19">
        <f t="shared" ca="1" si="637"/>
        <v>-4307766.5450537233</v>
      </c>
      <c r="O105" s="19">
        <f t="shared" si="638"/>
        <v>-3697566.7304588854</v>
      </c>
      <c r="P105" s="19">
        <f t="shared" si="639"/>
        <v>-722879.05651483522</v>
      </c>
      <c r="Q105" s="20"/>
      <c r="R105" s="20">
        <f t="shared" ref="R105:U105" si="691">R66</f>
        <v>-97219</v>
      </c>
      <c r="S105" s="20">
        <f t="shared" si="691"/>
        <v>-140807</v>
      </c>
      <c r="T105" s="20">
        <f t="shared" si="691"/>
        <v>-138968</v>
      </c>
      <c r="U105" s="20">
        <f t="shared" si="691"/>
        <v>-138601</v>
      </c>
      <c r="V105" s="20">
        <f t="shared" si="641"/>
        <v>-98602</v>
      </c>
      <c r="W105" s="20">
        <f t="shared" si="642"/>
        <v>-132508</v>
      </c>
      <c r="X105" s="20">
        <f t="shared" si="643"/>
        <v>-222030</v>
      </c>
      <c r="Y105" s="20">
        <f t="shared" si="644"/>
        <v>-231868</v>
      </c>
      <c r="Z105" s="20">
        <f t="shared" si="645"/>
        <v>-206850</v>
      </c>
      <c r="AA105" s="20">
        <f t="shared" si="646"/>
        <v>-255530</v>
      </c>
      <c r="AB105" s="20">
        <f t="shared" si="647"/>
        <v>-218363</v>
      </c>
      <c r="AC105" s="20">
        <f t="shared" si="648"/>
        <v>-358134</v>
      </c>
      <c r="AD105" s="20">
        <f t="shared" si="649"/>
        <v>-324359</v>
      </c>
      <c r="AE105" s="20">
        <f t="shared" si="650"/>
        <v>-298281</v>
      </c>
      <c r="AF105" s="20">
        <f t="shared" si="651"/>
        <v>-271227.65000000037</v>
      </c>
      <c r="AG105" s="20">
        <f t="shared" si="652"/>
        <v>-563506</v>
      </c>
      <c r="AH105" s="20">
        <f t="shared" si="653"/>
        <v>-452332.7164781827</v>
      </c>
      <c r="AI105" s="20">
        <f t="shared" si="654"/>
        <v>-569316.49352181703</v>
      </c>
      <c r="AJ105" s="20">
        <f t="shared" si="655"/>
        <v>-570833.14999999991</v>
      </c>
      <c r="AK105" s="20">
        <f t="shared" si="656"/>
        <v>-1060259.0599999987</v>
      </c>
      <c r="AL105" s="20">
        <f t="shared" si="657"/>
        <v>-679088.44000000134</v>
      </c>
      <c r="AM105" s="20">
        <f t="shared" si="658"/>
        <v>-622427.39999999991</v>
      </c>
      <c r="AN105" s="20">
        <f t="shared" si="659"/>
        <v>-659299.53000000096</v>
      </c>
      <c r="AO105" s="20">
        <f t="shared" si="660"/>
        <v>-571386.2530520584</v>
      </c>
      <c r="AP105" s="20">
        <f t="shared" si="661"/>
        <v>-739227.41999999899</v>
      </c>
      <c r="AQ105" s="20">
        <f t="shared" ca="1" si="662"/>
        <v>-720144.95830216759</v>
      </c>
      <c r="AR105" s="20">
        <f t="shared" ca="1" si="662"/>
        <v>-819227.03730077017</v>
      </c>
      <c r="AS105" s="20">
        <f t="shared" ca="1" si="662"/>
        <v>-999114.27291782573</v>
      </c>
      <c r="AT105" s="20">
        <f t="shared" si="663"/>
        <v>-1066916.9469534629</v>
      </c>
      <c r="AU105" s="20">
        <f t="shared" ca="1" si="664"/>
        <v>-1029101.9396413038</v>
      </c>
      <c r="AV105" s="20">
        <f t="shared" ca="1" si="664"/>
        <v>-1107579.3536569336</v>
      </c>
      <c r="AW105" s="20">
        <f t="shared" ca="1" si="664"/>
        <v>-1104168.3048020229</v>
      </c>
      <c r="AX105" s="20">
        <f t="shared" si="665"/>
        <v>-973657.7912161795</v>
      </c>
      <c r="AY105" s="20">
        <f t="shared" si="666"/>
        <v>-774844.27864119399</v>
      </c>
      <c r="AZ105" s="20">
        <f t="shared" si="667"/>
        <v>-892265.97615968797</v>
      </c>
      <c r="BA105" s="20">
        <f t="shared" si="668"/>
        <v>-1056798.6844418237</v>
      </c>
      <c r="BB105" s="19">
        <f t="shared" si="669"/>
        <v>-722879.05651483522</v>
      </c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>
        <v>-45878</v>
      </c>
      <c r="BS105" s="20">
        <v>-700</v>
      </c>
      <c r="BT105" s="20">
        <v>-52024</v>
      </c>
      <c r="BU105" s="20">
        <v>-44053</v>
      </c>
      <c r="BV105" s="20">
        <v>-61476</v>
      </c>
      <c r="BW105" s="20">
        <v>-26979</v>
      </c>
      <c r="BX105" s="20">
        <v>-85237</v>
      </c>
      <c r="BY105" s="20">
        <v>-64932</v>
      </c>
      <c r="BZ105" s="20">
        <v>-71861</v>
      </c>
      <c r="CA105" s="20">
        <v>-73733</v>
      </c>
      <c r="CB105" s="20">
        <v>-78151</v>
      </c>
      <c r="CC105" s="20">
        <v>-79984</v>
      </c>
      <c r="CD105" s="20">
        <f>-44221-13000</f>
        <v>-57221</v>
      </c>
      <c r="CE105" s="20">
        <f>-102568+40000-3000</f>
        <v>-65568</v>
      </c>
      <c r="CF105" s="20">
        <f>-75061-9000</f>
        <v>-84061</v>
      </c>
      <c r="CG105" s="20">
        <f>-62992-12000</f>
        <v>-74992</v>
      </c>
      <c r="CH105" s="20">
        <f>-51202-12000</f>
        <v>-63202</v>
      </c>
      <c r="CI105" s="20">
        <f>-118486-1850+3000</f>
        <v>-117336</v>
      </c>
      <c r="CJ105" s="20">
        <v>-72162</v>
      </c>
      <c r="CK105" s="20">
        <f>-52924-6000</f>
        <v>-58924</v>
      </c>
      <c r="CL105" s="20">
        <v>-87277</v>
      </c>
      <c r="CM105" s="20">
        <f>-119274+80000-21000</f>
        <v>-60274</v>
      </c>
      <c r="CN105" s="20">
        <f>-219188-30000+200000-54000</f>
        <v>-103188</v>
      </c>
      <c r="CO105" s="20">
        <f>-406672+212000</f>
        <v>-194672</v>
      </c>
      <c r="CP105" s="20">
        <f>-115230+50000</f>
        <v>-65230</v>
      </c>
      <c r="CQ105" s="20">
        <v>-125010</v>
      </c>
      <c r="CR105" s="20">
        <v>-134119</v>
      </c>
      <c r="CS105" s="20">
        <v>-132823</v>
      </c>
      <c r="CT105" s="20">
        <v>-71894</v>
      </c>
      <c r="CU105" s="20">
        <v>-93564</v>
      </c>
      <c r="CV105" s="20">
        <v>-78533</v>
      </c>
      <c r="CW105" s="20">
        <v>-101841.65000000037</v>
      </c>
      <c r="CX105" s="20">
        <v>-90853</v>
      </c>
      <c r="CY105" s="20">
        <v>-163725.09</v>
      </c>
      <c r="CZ105" s="20">
        <f>-267077-CZ137+CY137</f>
        <v>-157454.56</v>
      </c>
      <c r="DA105" s="20">
        <v>-242326.35</v>
      </c>
      <c r="DB105" s="20">
        <v>-67429</v>
      </c>
      <c r="DC105" s="20">
        <v>-230332.22</v>
      </c>
      <c r="DD105" s="20">
        <v>-154571.49647818273</v>
      </c>
      <c r="DE105" s="20">
        <v>-235296.62352181692</v>
      </c>
      <c r="DF105" s="20">
        <v>-148493.39000000013</v>
      </c>
      <c r="DG105" s="20">
        <v>-185526.48</v>
      </c>
      <c r="DH105" s="20">
        <v>-157084.01</v>
      </c>
      <c r="DI105" s="20">
        <v>-196385.33</v>
      </c>
      <c r="DJ105" s="20">
        <v>-217363.81</v>
      </c>
      <c r="DK105" s="20">
        <v>-179169.36999999965</v>
      </c>
      <c r="DL105" s="20">
        <v>-450166.50999999902</v>
      </c>
      <c r="DM105" s="20">
        <v>-430923.18</v>
      </c>
      <c r="DN105" s="20">
        <v>-191316.27000000142</v>
      </c>
      <c r="DO105" s="20">
        <v>-211299.72999999998</v>
      </c>
      <c r="DP105" s="20">
        <v>-276472.43999999994</v>
      </c>
      <c r="DQ105" s="20">
        <v>-146456.23999999976</v>
      </c>
      <c r="DR105" s="20">
        <v>-198189.00999999978</v>
      </c>
      <c r="DS105" s="20">
        <v>-277782.15000000037</v>
      </c>
      <c r="DT105" s="20">
        <v>-150801.37999999899</v>
      </c>
      <c r="DU105" s="20">
        <v>-202554.300000002</v>
      </c>
      <c r="DV105" s="20">
        <v>-305943.84999999998</v>
      </c>
      <c r="DW105" s="20">
        <v>-259880.73</v>
      </c>
      <c r="DX105" s="20">
        <v>-166034.46999999901</v>
      </c>
      <c r="DY105" s="469">
        <v>-145471.05305205937</v>
      </c>
      <c r="DZ105" s="20">
        <v>-254282.76999999862</v>
      </c>
      <c r="EA105" s="20">
        <v>-237293.1400000006</v>
      </c>
      <c r="EB105" s="383">
        <v>-247651.50999999978</v>
      </c>
      <c r="EC105" s="20">
        <v>-242046.89</v>
      </c>
      <c r="ED105" s="20">
        <v>-226654.04</v>
      </c>
      <c r="EE105" s="20">
        <v>-251444.02830216754</v>
      </c>
      <c r="EF105" s="20">
        <v>-335182.95716386475</v>
      </c>
      <c r="EG105" s="20">
        <v>-251445.482693878</v>
      </c>
      <c r="EH105" s="20">
        <f t="shared" ref="EH105:EI105" si="692">-(EH73-EG73-EH66)-EH137+EG137</f>
        <v>-232598.59744302748</v>
      </c>
      <c r="EI105" s="20">
        <f t="shared" si="692"/>
        <v>-281364.06424289511</v>
      </c>
      <c r="EJ105" s="20">
        <f t="shared" ref="EJ105:EX105" si="693">-(EJ73-EI73-EJ66)-EJ137+EI137</f>
        <v>-394170.09679923858</v>
      </c>
      <c r="EK105" s="469">
        <f t="shared" si="693"/>
        <v>-323580.11187569203</v>
      </c>
      <c r="EL105" s="469">
        <f t="shared" si="693"/>
        <v>-312924.21176693781</v>
      </c>
      <c r="EM105" s="469">
        <f t="shared" si="693"/>
        <v>-385687.56793013716</v>
      </c>
      <c r="EN105" s="469">
        <f t="shared" si="693"/>
        <v>-368305.167256388</v>
      </c>
      <c r="EO105" s="469">
        <f t="shared" si="693"/>
        <v>-314683.29290217615</v>
      </c>
      <c r="EP105" s="469">
        <f t="shared" si="693"/>
        <v>-363735.49044717016</v>
      </c>
      <c r="EQ105" s="469">
        <f t="shared" si="693"/>
        <v>-350683.15629195742</v>
      </c>
      <c r="ER105" s="469">
        <f t="shared" si="693"/>
        <v>-359726.25348855596</v>
      </c>
      <c r="ES105" s="469">
        <f t="shared" si="693"/>
        <v>-329305.44937074755</v>
      </c>
      <c r="ET105" s="469">
        <f t="shared" si="693"/>
        <v>-418547.65079763014</v>
      </c>
      <c r="EU105" s="469">
        <f t="shared" si="693"/>
        <v>-345065.80378169531</v>
      </c>
      <c r="EV105" s="469">
        <f t="shared" si="693"/>
        <v>-406030.31252323568</v>
      </c>
      <c r="EW105" s="469">
        <f>-(EW73-EV73-EW66)-EW137+EV137</f>
        <v>-353072.18849709182</v>
      </c>
      <c r="EX105" s="469">
        <f t="shared" si="693"/>
        <v>-335964.08147759706</v>
      </c>
      <c r="EY105" s="469">
        <f t="shared" ref="EY105:FF105" si="694">-(EY73-EX73-EY66)-EY137+EX137</f>
        <v>-363586.42973420961</v>
      </c>
      <c r="EZ105" s="469">
        <f t="shared" si="694"/>
        <v>-274107.28000437282</v>
      </c>
      <c r="FA105" s="469">
        <f t="shared" si="694"/>
        <v>-258084.00317538463</v>
      </c>
      <c r="FB105" s="469">
        <f t="shared" si="694"/>
        <v>-266863.91693536378</v>
      </c>
      <c r="FC105" s="469">
        <f t="shared" si="694"/>
        <v>-249896.35853044558</v>
      </c>
      <c r="FD105" s="469">
        <f t="shared" si="694"/>
        <v>-256444.65079669829</v>
      </c>
      <c r="FE105" s="469">
        <f t="shared" si="694"/>
        <v>-303193.04664851649</v>
      </c>
      <c r="FF105" s="469">
        <f t="shared" si="694"/>
        <v>-332628.27871447324</v>
      </c>
      <c r="FG105" s="469">
        <f>-(FG73-FF73-FG66)-FG137+FF137</f>
        <v>-410191.45605513098</v>
      </c>
      <c r="FH105" s="469">
        <f>-(FH73-FG73-FH66)-FH137+FG137</f>
        <v>-328111.5923715001</v>
      </c>
      <c r="FI105" s="469">
        <f>-(FI73-FH73-FI66)-FI137+FH137</f>
        <v>-318495.63601519261</v>
      </c>
      <c r="FJ105" s="469">
        <f>-(FJ73-FI73-FJ66)-FJ137+FI137</f>
        <v>-366738.53947557311</v>
      </c>
      <c r="FK105" s="767">
        <f>-(FK73-FJ73-FK66)-FK137+FJ137</f>
        <v>-356140.51703926211</v>
      </c>
      <c r="FL105" s="469"/>
      <c r="FM105" s="469"/>
    </row>
    <row r="106" spans="2:169" ht="14.65" customHeight="1" x14ac:dyDescent="0.35"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>
        <f t="shared" si="639"/>
        <v>0</v>
      </c>
      <c r="Q106" s="20"/>
      <c r="R106" s="20">
        <f t="shared" ref="R106:U106" si="695">R67</f>
        <v>-58716</v>
      </c>
      <c r="S106" s="20">
        <f t="shared" si="695"/>
        <v>-61528</v>
      </c>
      <c r="T106" s="20">
        <f t="shared" si="695"/>
        <v>-76260</v>
      </c>
      <c r="U106" s="20">
        <f t="shared" si="695"/>
        <v>-81441</v>
      </c>
      <c r="V106" s="20">
        <f t="shared" si="641"/>
        <v>0</v>
      </c>
      <c r="W106" s="20">
        <f t="shared" si="642"/>
        <v>0</v>
      </c>
      <c r="X106" s="20">
        <f t="shared" si="643"/>
        <v>0</v>
      </c>
      <c r="Y106" s="20">
        <f t="shared" si="644"/>
        <v>0</v>
      </c>
      <c r="Z106" s="20">
        <f t="shared" si="645"/>
        <v>0</v>
      </c>
      <c r="AA106" s="20">
        <f t="shared" si="646"/>
        <v>0</v>
      </c>
      <c r="AB106" s="20">
        <f t="shared" si="647"/>
        <v>0</v>
      </c>
      <c r="AC106" s="20">
        <f t="shared" si="648"/>
        <v>0</v>
      </c>
      <c r="AD106" s="20">
        <f t="shared" si="649"/>
        <v>0</v>
      </c>
      <c r="AE106" s="20">
        <f t="shared" si="650"/>
        <v>0</v>
      </c>
      <c r="AF106" s="20">
        <f t="shared" si="651"/>
        <v>0</v>
      </c>
      <c r="AG106" s="20">
        <f t="shared" si="652"/>
        <v>0</v>
      </c>
      <c r="AH106" s="20">
        <f t="shared" si="653"/>
        <v>0</v>
      </c>
      <c r="AI106" s="20">
        <f t="shared" si="654"/>
        <v>0</v>
      </c>
      <c r="AJ106" s="20">
        <f t="shared" si="655"/>
        <v>0</v>
      </c>
      <c r="AK106" s="20">
        <f t="shared" si="656"/>
        <v>0</v>
      </c>
      <c r="AL106" s="20">
        <f t="shared" si="657"/>
        <v>0</v>
      </c>
      <c r="AM106" s="20">
        <f t="shared" si="658"/>
        <v>0</v>
      </c>
      <c r="AN106" s="20">
        <f t="shared" si="659"/>
        <v>0</v>
      </c>
      <c r="AO106" s="20">
        <f t="shared" si="660"/>
        <v>0</v>
      </c>
      <c r="AP106" s="20">
        <f t="shared" si="661"/>
        <v>0</v>
      </c>
      <c r="AQ106" s="20">
        <f t="shared" ca="1" si="662"/>
        <v>0</v>
      </c>
      <c r="AR106" s="20">
        <f t="shared" ca="1" si="662"/>
        <v>0</v>
      </c>
      <c r="AS106" s="20">
        <f t="shared" ca="1" si="662"/>
        <v>0</v>
      </c>
      <c r="AT106" s="20">
        <f t="shared" si="663"/>
        <v>0</v>
      </c>
      <c r="AU106" s="20">
        <f t="shared" ca="1" si="664"/>
        <v>0</v>
      </c>
      <c r="AV106" s="20">
        <f t="shared" ca="1" si="664"/>
        <v>0</v>
      </c>
      <c r="AW106" s="20">
        <f t="shared" ca="1" si="664"/>
        <v>0</v>
      </c>
      <c r="AX106" s="20">
        <f t="shared" si="665"/>
        <v>0</v>
      </c>
      <c r="AY106" s="20">
        <f t="shared" si="666"/>
        <v>0</v>
      </c>
      <c r="AZ106" s="20">
        <f t="shared" si="667"/>
        <v>0</v>
      </c>
      <c r="BA106" s="20">
        <f t="shared" si="668"/>
        <v>0</v>
      </c>
      <c r="BB106" s="19">
        <f t="shared" si="669"/>
        <v>0</v>
      </c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DJ106" s="350"/>
      <c r="DK106" s="12"/>
      <c r="DL106" s="12"/>
      <c r="DM106" s="54"/>
      <c r="DN106" s="54"/>
      <c r="DO106" s="54"/>
      <c r="DP106" s="54"/>
      <c r="DQ106" s="54"/>
      <c r="DR106" s="54"/>
      <c r="DS106" s="54"/>
      <c r="DT106" s="12"/>
      <c r="DU106" s="12"/>
      <c r="DV106" s="12"/>
      <c r="DW106" s="12"/>
      <c r="DX106" s="12"/>
      <c r="DY106" s="511"/>
      <c r="EB106" s="474"/>
      <c r="ER106" s="487"/>
      <c r="ES106" s="487"/>
      <c r="ET106" s="487"/>
      <c r="EU106" s="487"/>
      <c r="EV106" s="487"/>
      <c r="EW106" s="487"/>
      <c r="EX106" s="487"/>
      <c r="EY106" s="487"/>
      <c r="EZ106" s="487"/>
      <c r="FA106" s="487"/>
      <c r="FB106" s="487"/>
      <c r="FC106" s="487"/>
      <c r="FD106" s="487"/>
      <c r="FE106" s="487"/>
      <c r="FF106" s="487"/>
      <c r="FG106" s="487"/>
      <c r="FH106" s="487"/>
      <c r="FI106" s="487"/>
      <c r="FJ106" s="487"/>
      <c r="FK106" s="765"/>
      <c r="FL106" s="487"/>
      <c r="FM106" s="487"/>
    </row>
    <row r="107" spans="2:169" ht="12" customHeight="1" x14ac:dyDescent="0.35">
      <c r="C107" t="s">
        <v>128</v>
      </c>
      <c r="F107" s="19">
        <v>0</v>
      </c>
      <c r="G107" s="19">
        <f>SUM(R107:U107)</f>
        <v>-2239302</v>
      </c>
      <c r="H107" s="19">
        <f>SUM(V107:Y107)</f>
        <v>-10.71999999973923</v>
      </c>
      <c r="I107" s="19">
        <f>SUM(Z107:AC107)</f>
        <v>-116766.90999999989</v>
      </c>
      <c r="J107" s="19">
        <f t="shared" ref="J107:J112" si="696">SUM(AD107:AG107)</f>
        <v>-447131.51999999979</v>
      </c>
      <c r="K107" s="19">
        <f t="shared" ref="K107:K112" si="697">SUM(AH107:AK107)</f>
        <v>-297943.89537799975</v>
      </c>
      <c r="L107" s="19">
        <f t="shared" si="636"/>
        <v>-341221.73487014126</v>
      </c>
      <c r="M107" s="19">
        <f t="shared" ref="M107:M110" ca="1" si="698">SUM(AP107:AS107)</f>
        <v>-378566.69993208337</v>
      </c>
      <c r="N107" s="19">
        <f t="shared" ca="1" si="637"/>
        <v>-548608.63101856841</v>
      </c>
      <c r="O107" s="19">
        <f t="shared" si="638"/>
        <v>-569332.34018968255</v>
      </c>
      <c r="P107" s="19">
        <f t="shared" si="639"/>
        <v>-24296.909120653931</v>
      </c>
      <c r="Q107" s="20"/>
      <c r="R107" s="20">
        <f t="shared" ref="R107:U107" si="699">R68</f>
        <v>-581777</v>
      </c>
      <c r="S107" s="20">
        <f t="shared" si="699"/>
        <v>-803574</v>
      </c>
      <c r="T107" s="20">
        <f t="shared" si="699"/>
        <v>-640347</v>
      </c>
      <c r="U107" s="20">
        <f t="shared" si="699"/>
        <v>-213604</v>
      </c>
      <c r="V107" s="20">
        <f t="shared" si="641"/>
        <v>-177</v>
      </c>
      <c r="W107" s="20">
        <f t="shared" si="642"/>
        <v>9</v>
      </c>
      <c r="X107" s="20">
        <f t="shared" si="643"/>
        <v>53</v>
      </c>
      <c r="Y107" s="20">
        <f t="shared" si="644"/>
        <v>104.28000000026077</v>
      </c>
      <c r="Z107" s="20">
        <f t="shared" si="645"/>
        <v>1619.9500000001863</v>
      </c>
      <c r="AA107" s="20">
        <f t="shared" si="646"/>
        <v>-621.65000000037253</v>
      </c>
      <c r="AB107" s="20">
        <f t="shared" si="647"/>
        <v>-51547.94000000049</v>
      </c>
      <c r="AC107" s="20">
        <f t="shared" si="648"/>
        <v>-66217.269999999204</v>
      </c>
      <c r="AD107" s="20">
        <f t="shared" si="649"/>
        <v>-55508.080000000075</v>
      </c>
      <c r="AE107" s="20">
        <f t="shared" si="650"/>
        <v>-97080.6</v>
      </c>
      <c r="AF107" s="20">
        <f t="shared" si="651"/>
        <v>-109545.49999999924</v>
      </c>
      <c r="AG107" s="20">
        <f t="shared" si="652"/>
        <v>-184997.34000000049</v>
      </c>
      <c r="AH107" s="20">
        <f t="shared" si="653"/>
        <v>-84735.540000000008</v>
      </c>
      <c r="AI107" s="20">
        <f t="shared" si="654"/>
        <v>-81450.84</v>
      </c>
      <c r="AJ107" s="20">
        <f t="shared" si="655"/>
        <v>-82018.385377999744</v>
      </c>
      <c r="AK107" s="20">
        <f t="shared" si="656"/>
        <v>-49739.130000000005</v>
      </c>
      <c r="AL107" s="20">
        <f t="shared" si="657"/>
        <v>-49238.255991482562</v>
      </c>
      <c r="AM107" s="20">
        <f t="shared" si="658"/>
        <v>-72004.55</v>
      </c>
      <c r="AN107" s="20">
        <f t="shared" si="659"/>
        <v>-95118.150063926543</v>
      </c>
      <c r="AO107" s="20">
        <f t="shared" si="660"/>
        <v>-124860.77881473216</v>
      </c>
      <c r="AP107" s="20">
        <f t="shared" si="661"/>
        <v>-113604.84563736804</v>
      </c>
      <c r="AQ107" s="20">
        <f t="shared" ca="1" si="662"/>
        <v>-110311.77562203788</v>
      </c>
      <c r="AR107" s="20">
        <f t="shared" ca="1" si="662"/>
        <v>-100169.45545473893</v>
      </c>
      <c r="AS107" s="20">
        <f t="shared" ca="1" si="662"/>
        <v>-54480.623217938555</v>
      </c>
      <c r="AT107" s="20">
        <f t="shared" si="663"/>
        <v>-113078.44347556439</v>
      </c>
      <c r="AU107" s="20">
        <f t="shared" ca="1" si="664"/>
        <v>-121363.06685147529</v>
      </c>
      <c r="AV107" s="20">
        <f t="shared" ca="1" si="664"/>
        <v>-158444.94150082182</v>
      </c>
      <c r="AW107" s="20">
        <f t="shared" ca="1" si="664"/>
        <v>-155722.17919070693</v>
      </c>
      <c r="AX107" s="20">
        <f t="shared" si="665"/>
        <v>-148896.95579809631</v>
      </c>
      <c r="AY107" s="20">
        <f t="shared" si="666"/>
        <v>-135520.91546021058</v>
      </c>
      <c r="AZ107" s="20">
        <f t="shared" si="667"/>
        <v>-133721.15650829836</v>
      </c>
      <c r="BA107" s="20">
        <f t="shared" si="668"/>
        <v>-151193.3124230773</v>
      </c>
      <c r="BB107" s="19">
        <f t="shared" si="669"/>
        <v>-24296.909120653931</v>
      </c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>
        <f t="shared" ref="BR107:CB107" si="700">BR67+BR134</f>
        <v>1378</v>
      </c>
      <c r="BS107" s="20">
        <f t="shared" si="700"/>
        <v>-1363</v>
      </c>
      <c r="BT107" s="20">
        <f t="shared" si="700"/>
        <v>-192</v>
      </c>
      <c r="BU107" s="20">
        <f t="shared" si="700"/>
        <v>52</v>
      </c>
      <c r="BV107" s="20">
        <f t="shared" si="700"/>
        <v>-75</v>
      </c>
      <c r="BW107" s="20">
        <f t="shared" si="700"/>
        <v>32</v>
      </c>
      <c r="BX107" s="20">
        <f t="shared" si="700"/>
        <v>6</v>
      </c>
      <c r="BY107" s="20">
        <f t="shared" si="700"/>
        <v>35</v>
      </c>
      <c r="BZ107" s="20">
        <f t="shared" si="700"/>
        <v>12</v>
      </c>
      <c r="CA107" s="20">
        <f t="shared" si="700"/>
        <v>36</v>
      </c>
      <c r="CB107" s="20">
        <f t="shared" si="700"/>
        <v>68.28000000026077</v>
      </c>
      <c r="CC107" s="82">
        <f>CC67+CC134+CC136</f>
        <v>0</v>
      </c>
      <c r="CD107" s="20">
        <f>CD67+CD134</f>
        <v>2192.8899999996647</v>
      </c>
      <c r="CE107" s="20">
        <v>0</v>
      </c>
      <c r="CF107" s="20">
        <f t="shared" ref="CF107:CK107" si="701">CF67+CF134</f>
        <v>-572.93999999947846</v>
      </c>
      <c r="CG107" s="20">
        <f t="shared" si="701"/>
        <v>-436.94000000040978</v>
      </c>
      <c r="CH107" s="20">
        <f t="shared" si="701"/>
        <v>110.69000000040978</v>
      </c>
      <c r="CI107" s="20">
        <f t="shared" si="701"/>
        <v>-295.40000000037253</v>
      </c>
      <c r="CJ107" s="20">
        <f t="shared" si="701"/>
        <v>-41153.639999999665</v>
      </c>
      <c r="CK107" s="20">
        <f t="shared" si="701"/>
        <v>-10580.3800000009</v>
      </c>
      <c r="CL107" s="20">
        <f t="shared" ref="CL107:DM107" si="702">CL67+CL134+CL136</f>
        <v>186.08000000007451</v>
      </c>
      <c r="CM107" s="20">
        <f t="shared" si="702"/>
        <v>-55155.969999999739</v>
      </c>
      <c r="CN107" s="20">
        <f t="shared" si="702"/>
        <v>-11202.919999999576</v>
      </c>
      <c r="CO107" s="20">
        <f t="shared" si="702"/>
        <v>141.62000000011176</v>
      </c>
      <c r="CP107" s="20">
        <f t="shared" si="702"/>
        <v>-55505.970000000671</v>
      </c>
      <c r="CQ107" s="20">
        <f t="shared" si="702"/>
        <v>-2.1099999994039536</v>
      </c>
      <c r="CR107" s="307">
        <f t="shared" si="702"/>
        <v>0</v>
      </c>
      <c r="CS107" s="20">
        <f t="shared" si="702"/>
        <v>-73279</v>
      </c>
      <c r="CT107" s="20">
        <f t="shared" si="702"/>
        <v>-4037.7200000006706</v>
      </c>
      <c r="CU107" s="20">
        <f t="shared" si="702"/>
        <v>-19763.879999999328</v>
      </c>
      <c r="CV107" s="20">
        <f t="shared" si="702"/>
        <v>-86633</v>
      </c>
      <c r="CW107" s="20">
        <f t="shared" si="702"/>
        <v>-14993.209999999584</v>
      </c>
      <c r="CX107" s="20">
        <f t="shared" si="702"/>
        <v>-7919.2899999996662</v>
      </c>
      <c r="CY107" s="20">
        <f t="shared" si="702"/>
        <v>-75247.48</v>
      </c>
      <c r="CZ107" s="20">
        <f t="shared" si="702"/>
        <v>-2846.5200000004843</v>
      </c>
      <c r="DA107" s="20">
        <f t="shared" si="702"/>
        <v>-106903.34000000001</v>
      </c>
      <c r="DB107" s="20">
        <f t="shared" si="702"/>
        <v>-69527.98</v>
      </c>
      <c r="DC107" s="20">
        <f t="shared" si="702"/>
        <v>0</v>
      </c>
      <c r="DD107" s="20">
        <f t="shared" si="702"/>
        <v>-15207.560000000005</v>
      </c>
      <c r="DE107" s="20">
        <f t="shared" si="702"/>
        <v>-65045.370000000294</v>
      </c>
      <c r="DF107" s="20">
        <f t="shared" si="702"/>
        <v>-907.00999999970372</v>
      </c>
      <c r="DG107" s="20">
        <f t="shared" si="702"/>
        <v>-15498.459999999995</v>
      </c>
      <c r="DH107" s="20">
        <f t="shared" si="702"/>
        <v>-59999.44</v>
      </c>
      <c r="DI107" s="20">
        <f t="shared" si="702"/>
        <v>-881.18999999999869</v>
      </c>
      <c r="DJ107" s="20">
        <f>DJ67+DJ134+DJ136</f>
        <v>-21137.755377999747</v>
      </c>
      <c r="DK107" s="20">
        <f>DK67+DK134+DK136</f>
        <v>-53583.270000000004</v>
      </c>
      <c r="DL107" s="20">
        <f t="shared" si="702"/>
        <v>2694.3199999999997</v>
      </c>
      <c r="DM107" s="20">
        <f t="shared" si="702"/>
        <v>1149.8199999999997</v>
      </c>
      <c r="DN107" s="20">
        <f t="shared" ref="DN107:DR107" si="703">DN67+DN134+DN136</f>
        <v>-38229.355564102996</v>
      </c>
      <c r="DO107" s="20">
        <f t="shared" si="703"/>
        <v>-4147.2104273795721</v>
      </c>
      <c r="DP107" s="20">
        <f t="shared" si="703"/>
        <v>-6861.6899999999951</v>
      </c>
      <c r="DQ107" s="20">
        <f t="shared" si="703"/>
        <v>-34770.26999999999</v>
      </c>
      <c r="DR107" s="20">
        <f t="shared" si="703"/>
        <v>7283</v>
      </c>
      <c r="DS107" s="20">
        <f t="shared" ref="DS107:DX107" si="704">DS67+DS134+DS136</f>
        <v>-44517.280000000013</v>
      </c>
      <c r="DT107" s="20">
        <f t="shared" si="704"/>
        <v>11820.869999999997</v>
      </c>
      <c r="DU107" s="20">
        <f t="shared" si="704"/>
        <v>16018.129936073454</v>
      </c>
      <c r="DV107" s="20">
        <f t="shared" si="704"/>
        <v>-122957.15</v>
      </c>
      <c r="DW107" s="20">
        <f t="shared" si="704"/>
        <v>16910.130000000005</v>
      </c>
      <c r="DX107" s="20">
        <f t="shared" si="704"/>
        <v>13544.510000000009</v>
      </c>
      <c r="DY107" s="469">
        <f t="shared" ref="DY107:EC107" si="705">DY67+DY134+DY136</f>
        <v>-155315.41881473217</v>
      </c>
      <c r="DZ107" s="20">
        <f t="shared" si="705"/>
        <v>16568.621398792231</v>
      </c>
      <c r="EA107" s="20">
        <f t="shared" si="705"/>
        <v>17348.57978538351</v>
      </c>
      <c r="EB107" s="383">
        <f t="shared" si="705"/>
        <v>-147522.04682154377</v>
      </c>
      <c r="EC107" s="20">
        <f t="shared" si="705"/>
        <v>15049.748666256142</v>
      </c>
      <c r="ED107" s="20">
        <f t="shared" ref="ED107:EH107" si="706">ED67+ED134+ED136</f>
        <v>13187.527838724085</v>
      </c>
      <c r="EE107" s="20">
        <f t="shared" si="706"/>
        <v>-138549.05212701811</v>
      </c>
      <c r="EF107" s="20">
        <f t="shared" si="706"/>
        <v>15583.887680674568</v>
      </c>
      <c r="EG107" s="20">
        <f t="shared" si="706"/>
        <v>12975.422620404963</v>
      </c>
      <c r="EH107" s="20">
        <f t="shared" si="706"/>
        <v>-128728.76575581846</v>
      </c>
      <c r="EI107" s="20">
        <f t="shared" ref="EI107:EN107" si="707">EI67+EI134+EI136</f>
        <v>18344.53392626184</v>
      </c>
      <c r="EJ107" s="20">
        <f t="shared" si="707"/>
        <v>-68153.002060437066</v>
      </c>
      <c r="EK107" s="469">
        <f t="shared" ref="EK107" si="708">EK67+EK134+EK136</f>
        <v>-4672.1550837633258</v>
      </c>
      <c r="EL107" s="469">
        <f t="shared" si="707"/>
        <v>12419.125220007016</v>
      </c>
      <c r="EM107" s="469">
        <f t="shared" si="707"/>
        <v>-126933.46878249547</v>
      </c>
      <c r="EN107" s="469">
        <f t="shared" si="707"/>
        <v>1435.9000869240638</v>
      </c>
      <c r="EO107" s="469">
        <f t="shared" ref="EO107" si="709">EO67+EO134+EO136</f>
        <v>5052.9779630392513</v>
      </c>
      <c r="EP107" s="469">
        <f t="shared" ref="EP107:EU107" si="710">EP67+EP134+EP136</f>
        <v>-131694.88427073197</v>
      </c>
      <c r="EQ107" s="469">
        <f t="shared" si="710"/>
        <v>5278.839456217439</v>
      </c>
      <c r="ER107" s="469">
        <f t="shared" si="710"/>
        <v>4078.3930138115857</v>
      </c>
      <c r="ES107" s="469">
        <f t="shared" si="710"/>
        <v>-149221.08500988557</v>
      </c>
      <c r="ET107" s="469">
        <f t="shared" si="710"/>
        <v>-13302.249504747819</v>
      </c>
      <c r="EU107" s="469">
        <f t="shared" si="710"/>
        <v>4894.737517768066</v>
      </c>
      <c r="EV107" s="469">
        <f t="shared" ref="EV107" si="711">EV67+EV134+EV136</f>
        <v>-148195.85670847501</v>
      </c>
      <c r="EW107" s="469">
        <f>EW67+EW134+EW136-111326</f>
        <v>-12421.059999999998</v>
      </c>
      <c r="EX107" s="469">
        <f>EX67+EX134+EX136</f>
        <v>148.71091123976294</v>
      </c>
      <c r="EY107" s="469">
        <f t="shared" ref="EY107:EZ107" si="712">EY67+EY134+EY136</f>
        <v>-151070.40213680654</v>
      </c>
      <c r="EZ107" s="469">
        <f t="shared" si="712"/>
        <v>2024.7354274704758</v>
      </c>
      <c r="FA107" s="469">
        <f t="shared" ref="FA107:FB107" si="713">FA67+FA134+FA136</f>
        <v>888.92765022935237</v>
      </c>
      <c r="FB107" s="469">
        <f t="shared" si="713"/>
        <v>-136498.81658970672</v>
      </c>
      <c r="FC107" s="469">
        <f t="shared" ref="FC107:FD107" si="714">FC67+FC134+FC136</f>
        <v>88.973479266758659</v>
      </c>
      <c r="FD107" s="469">
        <f t="shared" si="714"/>
        <v>779.33919801810771</v>
      </c>
      <c r="FE107" s="469">
        <f t="shared" ref="FE107:FF107" si="715">FE67+FE134+FE136</f>
        <v>-136515.31981477325</v>
      </c>
      <c r="FF107" s="469">
        <f t="shared" si="715"/>
        <v>2014.824108456789</v>
      </c>
      <c r="FG107" s="469">
        <f>FG67+FG134+FG136</f>
        <v>3807.5912736940991</v>
      </c>
      <c r="FH107" s="469">
        <f>FH67+FH134+FH136</f>
        <v>-136917.728246571</v>
      </c>
      <c r="FI107" s="469">
        <f>FI67+FI134+FI136</f>
        <v>-18083.175450200375</v>
      </c>
      <c r="FJ107" s="469">
        <f>FJ67+FJ134+FJ136</f>
        <v>13978.218197153459</v>
      </c>
      <c r="FK107" s="767">
        <f>FK67+FK134+FK136</f>
        <v>-38275.12731780739</v>
      </c>
      <c r="FL107" s="469"/>
      <c r="FM107" s="469"/>
    </row>
    <row r="108" spans="2:169" x14ac:dyDescent="0.35">
      <c r="C108" t="s">
        <v>155</v>
      </c>
      <c r="F108" s="19"/>
      <c r="G108" s="19">
        <f>SUM(R108:U108)</f>
        <v>0</v>
      </c>
      <c r="H108" s="19">
        <f>SUM(V108:Y108)</f>
        <v>363620</v>
      </c>
      <c r="I108" s="19">
        <f>SUM(Z108:AC108)</f>
        <v>219641</v>
      </c>
      <c r="J108" s="19">
        <f t="shared" si="696"/>
        <v>545198</v>
      </c>
      <c r="K108" s="19">
        <f t="shared" si="697"/>
        <v>427375</v>
      </c>
      <c r="L108" s="19">
        <f>SUM(AL108:AO108)</f>
        <v>-348050.71964870533</v>
      </c>
      <c r="M108" s="19">
        <f t="shared" ca="1" si="698"/>
        <v>1003077.8562003269</v>
      </c>
      <c r="N108" s="19">
        <f t="shared" ca="1" si="637"/>
        <v>47055.87135118735</v>
      </c>
      <c r="O108" s="19">
        <f t="shared" si="638"/>
        <v>-343446.94731237693</v>
      </c>
      <c r="P108" s="19">
        <f t="shared" si="639"/>
        <v>672539.96570336842</v>
      </c>
      <c r="Q108" s="20"/>
      <c r="R108" s="20">
        <f t="shared" ref="R108:U108" si="716">R69</f>
        <v>0</v>
      </c>
      <c r="S108" s="20">
        <f t="shared" si="716"/>
        <v>0</v>
      </c>
      <c r="T108" s="20">
        <f t="shared" si="716"/>
        <v>0</v>
      </c>
      <c r="U108" s="20">
        <f t="shared" si="716"/>
        <v>0</v>
      </c>
      <c r="V108" s="20">
        <f t="shared" si="641"/>
        <v>0</v>
      </c>
      <c r="W108" s="20">
        <f t="shared" si="642"/>
        <v>0</v>
      </c>
      <c r="X108" s="20">
        <f t="shared" si="643"/>
        <v>363620</v>
      </c>
      <c r="Y108" s="20">
        <f t="shared" si="644"/>
        <v>0</v>
      </c>
      <c r="Z108" s="20">
        <f t="shared" si="645"/>
        <v>0</v>
      </c>
      <c r="AA108" s="20">
        <f t="shared" si="646"/>
        <v>0</v>
      </c>
      <c r="AB108" s="20">
        <f t="shared" si="647"/>
        <v>0</v>
      </c>
      <c r="AC108" s="20">
        <f t="shared" si="648"/>
        <v>219641</v>
      </c>
      <c r="AD108" s="20">
        <f t="shared" si="649"/>
        <v>96416</v>
      </c>
      <c r="AE108" s="20">
        <f t="shared" si="650"/>
        <v>0</v>
      </c>
      <c r="AF108" s="20">
        <f t="shared" si="651"/>
        <v>448782</v>
      </c>
      <c r="AG108" s="20">
        <f t="shared" si="652"/>
        <v>0</v>
      </c>
      <c r="AH108" s="20">
        <f t="shared" si="653"/>
        <v>0</v>
      </c>
      <c r="AI108" s="20">
        <f t="shared" si="654"/>
        <v>0</v>
      </c>
      <c r="AJ108" s="20">
        <f t="shared" si="655"/>
        <v>427375</v>
      </c>
      <c r="AK108" s="20">
        <f t="shared" si="656"/>
        <v>0</v>
      </c>
      <c r="AL108" s="20">
        <f t="shared" si="657"/>
        <v>0</v>
      </c>
      <c r="AM108" s="20">
        <f t="shared" si="658"/>
        <v>0</v>
      </c>
      <c r="AN108" s="20">
        <f t="shared" si="659"/>
        <v>0</v>
      </c>
      <c r="AO108" s="20">
        <f t="shared" si="660"/>
        <v>-348050.71964870533</v>
      </c>
      <c r="AP108" s="20">
        <f t="shared" si="661"/>
        <v>456191.49279737152</v>
      </c>
      <c r="AQ108" s="20">
        <f t="shared" ca="1" si="662"/>
        <v>-107527.7037573881</v>
      </c>
      <c r="AR108" s="20">
        <f t="shared" ca="1" si="662"/>
        <v>733846.15716034337</v>
      </c>
      <c r="AS108" s="20">
        <f t="shared" ca="1" si="662"/>
        <v>-79432.089999999822</v>
      </c>
      <c r="AT108" s="20">
        <f t="shared" si="663"/>
        <v>-341405.12132355443</v>
      </c>
      <c r="AU108" s="20">
        <f t="shared" ca="1" si="664"/>
        <v>-59634.596262664047</v>
      </c>
      <c r="AV108" s="20">
        <f t="shared" ca="1" si="664"/>
        <v>-164434.08336946275</v>
      </c>
      <c r="AW108" s="20">
        <f t="shared" ca="1" si="664"/>
        <v>612529.6723068686</v>
      </c>
      <c r="AX108" s="20">
        <f t="shared" si="665"/>
        <v>-107878.97000328684</v>
      </c>
      <c r="AY108" s="20">
        <f t="shared" si="666"/>
        <v>-56558.607556400471</v>
      </c>
      <c r="AZ108" s="20">
        <f t="shared" si="667"/>
        <v>-86979.283857991453</v>
      </c>
      <c r="BA108" s="20">
        <f t="shared" si="668"/>
        <v>-92030.085894698161</v>
      </c>
      <c r="BB108" s="19">
        <f t="shared" si="669"/>
        <v>672539.96570336842</v>
      </c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>
        <v>363620</v>
      </c>
      <c r="CA108" s="20"/>
      <c r="CB108" s="20"/>
      <c r="CC108" s="20"/>
      <c r="CD108" s="20"/>
      <c r="CE108" s="20"/>
      <c r="CN108" s="54"/>
      <c r="CO108" s="20">
        <v>219641</v>
      </c>
      <c r="CP108" s="20">
        <f>CO78-CP78</f>
        <v>96416</v>
      </c>
      <c r="CQ108" s="20">
        <f>CP78-CQ78</f>
        <v>0</v>
      </c>
      <c r="CR108" s="20">
        <v>0</v>
      </c>
      <c r="CS108" s="20">
        <v>0</v>
      </c>
      <c r="CT108" s="20">
        <v>0</v>
      </c>
      <c r="CU108" s="20">
        <v>0</v>
      </c>
      <c r="CV108" s="20"/>
      <c r="CW108" s="20"/>
      <c r="CX108" s="20">
        <v>448782</v>
      </c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>
        <f>DI78-DJ78</f>
        <v>427375</v>
      </c>
      <c r="DK108" s="20">
        <f t="shared" ref="DK108:DP108" si="717">DJ78-DK78</f>
        <v>0</v>
      </c>
      <c r="DL108" s="20">
        <f t="shared" si="717"/>
        <v>0</v>
      </c>
      <c r="DM108" s="20">
        <v>0</v>
      </c>
      <c r="DN108" s="20">
        <v>0</v>
      </c>
      <c r="DO108" s="20">
        <f t="shared" si="717"/>
        <v>0</v>
      </c>
      <c r="DP108" s="20">
        <f t="shared" si="717"/>
        <v>0</v>
      </c>
      <c r="DQ108" s="20">
        <f>DP78-DQ78</f>
        <v>0</v>
      </c>
      <c r="DR108" s="20">
        <f t="shared" ref="DR108" si="718">DQ78-DR78</f>
        <v>0</v>
      </c>
      <c r="DS108" s="20">
        <v>0</v>
      </c>
      <c r="DT108" s="20">
        <v>0</v>
      </c>
      <c r="DU108" s="20">
        <v>0</v>
      </c>
      <c r="DV108" s="12">
        <v>0</v>
      </c>
      <c r="DW108" s="20">
        <v>-213141.76000000001</v>
      </c>
      <c r="DX108" s="20">
        <f>DX69+DX65</f>
        <v>-101408.98000000001</v>
      </c>
      <c r="DY108" s="469">
        <v>-33499.979648705346</v>
      </c>
      <c r="DZ108" s="20">
        <v>493513.3</v>
      </c>
      <c r="EA108" s="20">
        <f t="shared" ref="EA108:EF108" si="719">EA69+EA65</f>
        <v>-37321.807202628464</v>
      </c>
      <c r="EB108" s="383">
        <f t="shared" si="719"/>
        <v>0</v>
      </c>
      <c r="EC108" s="20">
        <f t="shared" si="719"/>
        <v>-37175.522890245462</v>
      </c>
      <c r="ED108" s="20">
        <f t="shared" si="719"/>
        <v>-35179.558231509298</v>
      </c>
      <c r="EE108" s="20">
        <f t="shared" si="719"/>
        <v>-35172.622635633335</v>
      </c>
      <c r="EF108" s="20">
        <f t="shared" si="719"/>
        <v>-46440.555902166481</v>
      </c>
      <c r="EG108" s="20">
        <f>EG69+EG65+713510.2+112664.28</f>
        <v>780286.71306250989</v>
      </c>
      <c r="EH108" s="20">
        <f>EH69+EH65</f>
        <v>0</v>
      </c>
      <c r="EI108" s="20">
        <f>EI69+EI65</f>
        <v>0</v>
      </c>
      <c r="EJ108" s="20">
        <f t="shared" ref="EJ108" si="720">EJ69+EJ65</f>
        <v>0</v>
      </c>
      <c r="EK108" s="469">
        <f>EK69+EK65-550000-22753+257239.631283821-177926.420484919</f>
        <v>-79432.089999999822</v>
      </c>
      <c r="EL108" s="469">
        <f t="shared" ref="EL108:EP108" si="721">EL69+EL65</f>
        <v>-46247.774614527108</v>
      </c>
      <c r="EM108" s="469">
        <f t="shared" si="721"/>
        <v>-45782.976290475068</v>
      </c>
      <c r="EN108" s="469">
        <v>-249374.37041855225</v>
      </c>
      <c r="EO108" s="469">
        <f t="shared" si="721"/>
        <v>0</v>
      </c>
      <c r="EP108" s="469">
        <f t="shared" si="721"/>
        <v>-59634.596262664047</v>
      </c>
      <c r="EQ108" s="469">
        <f t="shared" ref="EQ108:EU108" si="722">EQ69+EQ65-EQ78+EP78</f>
        <v>0</v>
      </c>
      <c r="ER108" s="469">
        <f t="shared" si="722"/>
        <v>-55592.850907515385</v>
      </c>
      <c r="ES108" s="469">
        <f t="shared" si="722"/>
        <v>-29320.239161473815</v>
      </c>
      <c r="ET108" s="469">
        <f t="shared" si="722"/>
        <v>-79520.99330047355</v>
      </c>
      <c r="EU108" s="469">
        <f t="shared" si="722"/>
        <v>-69098.753475371981</v>
      </c>
      <c r="EV108" s="469">
        <f>EV69+EV65-EV78+EU78</f>
        <v>-32150.464217759436</v>
      </c>
      <c r="EW108" s="469">
        <f>EW69+EW65-EW78+EV78+14643</f>
        <v>713778.89</v>
      </c>
      <c r="EX108" s="469">
        <f>EX69+EX65-EX78+EW78</f>
        <v>0</v>
      </c>
      <c r="EY108" s="469">
        <f t="shared" ref="EY108:EZ108" si="723">EY69+EY65-EY78+EX78</f>
        <v>-81875.467773184879</v>
      </c>
      <c r="EZ108" s="469">
        <f t="shared" si="723"/>
        <v>-26003.502230101964</v>
      </c>
      <c r="FA108" s="469">
        <f>FA69+FA65-FA78+EZ78+110378</f>
        <v>34861.53085842682</v>
      </c>
      <c r="FB108" s="469">
        <f>FB69+FB65-FB78+FA78</f>
        <v>-64269.374605597695</v>
      </c>
      <c r="FC108" s="469">
        <f>FC69+FC65-FC78+FB78</f>
        <v>-27150.763809229597</v>
      </c>
      <c r="FD108" s="469">
        <f>FD69+FD65-FD78+FC78</f>
        <v>-24539.500846177689</v>
      </c>
      <c r="FE108" s="469">
        <f>FE69+FE65-FE78+FD78+125000</f>
        <v>-26409.811905912473</v>
      </c>
      <c r="FF108" s="469">
        <f>FF69+FF65-FF78+FE78</f>
        <v>-36029.971105901292</v>
      </c>
      <c r="FG108" s="469">
        <f t="shared" ref="FG108" si="724">FG69+FG65-FG78+FF78</f>
        <v>-29928.714893500903</v>
      </c>
      <c r="FH108" s="469">
        <f>FH69+FH65-FH78+FG78</f>
        <v>-38274.862056688755</v>
      </c>
      <c r="FI108" s="469">
        <f>FI69+FI65-FI78+FH78</f>
        <v>-23826.508944508503</v>
      </c>
      <c r="FJ108" s="469">
        <f>FJ69+FJ65-FJ78+FI78</f>
        <v>696508.96151100774</v>
      </c>
      <c r="FK108" s="767">
        <f>FK69+FK65-FK78+FJ78</f>
        <v>-23968.995807639323</v>
      </c>
      <c r="FL108" s="469"/>
      <c r="FM108" s="469"/>
    </row>
    <row r="109" spans="2:169" ht="16.5" customHeight="1" x14ac:dyDescent="0.35">
      <c r="C109" t="s">
        <v>156</v>
      </c>
      <c r="F109" s="19">
        <v>-190000</v>
      </c>
      <c r="G109" s="19">
        <f>SUM(R109:U109)</f>
        <v>-2239302</v>
      </c>
      <c r="H109" s="19">
        <f>SUM(V109:Y109)</f>
        <v>0</v>
      </c>
      <c r="I109" s="19">
        <f>SUM(Z109:AC109)</f>
        <v>2500000</v>
      </c>
      <c r="J109" s="19">
        <f t="shared" si="696"/>
        <v>966666</v>
      </c>
      <c r="K109" s="19">
        <f t="shared" si="697"/>
        <v>-1066667.8800000011</v>
      </c>
      <c r="L109" s="19">
        <f t="shared" si="636"/>
        <v>3580336</v>
      </c>
      <c r="M109" s="19">
        <f ca="1">SUM(AP109:AS109)</f>
        <v>-253334</v>
      </c>
      <c r="N109" s="19">
        <f t="shared" ca="1" si="637"/>
        <v>5050000</v>
      </c>
      <c r="O109" s="19">
        <f t="shared" si="638"/>
        <v>2370000</v>
      </c>
      <c r="P109" s="19">
        <f t="shared" si="639"/>
        <v>-500000</v>
      </c>
      <c r="Q109" s="20"/>
      <c r="R109" s="20">
        <f t="shared" ref="R109:U109" si="725">R70</f>
        <v>-581777</v>
      </c>
      <c r="S109" s="20">
        <f t="shared" si="725"/>
        <v>-803574</v>
      </c>
      <c r="T109" s="20">
        <f t="shared" si="725"/>
        <v>-640347</v>
      </c>
      <c r="U109" s="20">
        <f t="shared" si="725"/>
        <v>-213604</v>
      </c>
      <c r="V109" s="20">
        <f t="shared" si="641"/>
        <v>0</v>
      </c>
      <c r="W109" s="20">
        <f t="shared" si="642"/>
        <v>0</v>
      </c>
      <c r="X109" s="20">
        <f t="shared" si="643"/>
        <v>0</v>
      </c>
      <c r="Y109" s="20">
        <f t="shared" si="644"/>
        <v>0</v>
      </c>
      <c r="Z109" s="20">
        <f t="shared" si="645"/>
        <v>0</v>
      </c>
      <c r="AA109" s="20">
        <f t="shared" si="646"/>
        <v>2500000</v>
      </c>
      <c r="AB109" s="20">
        <f t="shared" si="647"/>
        <v>0</v>
      </c>
      <c r="AC109" s="20">
        <f t="shared" si="648"/>
        <v>0</v>
      </c>
      <c r="AD109" s="20">
        <f t="shared" si="649"/>
        <v>1500000</v>
      </c>
      <c r="AE109" s="20">
        <f t="shared" si="650"/>
        <v>0</v>
      </c>
      <c r="AF109" s="20">
        <f t="shared" si="651"/>
        <v>-266667</v>
      </c>
      <c r="AG109" s="20">
        <f t="shared" si="652"/>
        <v>-266667</v>
      </c>
      <c r="AH109" s="20">
        <f t="shared" si="653"/>
        <v>-266667</v>
      </c>
      <c r="AI109" s="20">
        <f t="shared" si="654"/>
        <v>-266666.88000000099</v>
      </c>
      <c r="AJ109" s="20">
        <f t="shared" si="655"/>
        <v>-266667</v>
      </c>
      <c r="AK109" s="20">
        <f t="shared" si="656"/>
        <v>-266667</v>
      </c>
      <c r="AL109" s="20">
        <f t="shared" si="657"/>
        <v>-266667</v>
      </c>
      <c r="AM109" s="20">
        <f t="shared" si="658"/>
        <v>1093669</v>
      </c>
      <c r="AN109" s="20">
        <f t="shared" si="659"/>
        <v>3126667</v>
      </c>
      <c r="AO109" s="20">
        <f t="shared" si="660"/>
        <v>-373333</v>
      </c>
      <c r="AP109" s="20">
        <f t="shared" si="661"/>
        <v>-373333</v>
      </c>
      <c r="AQ109" s="20">
        <f t="shared" ca="1" si="662"/>
        <v>-373333</v>
      </c>
      <c r="AR109" s="20">
        <f t="shared" ca="1" si="662"/>
        <v>-373333</v>
      </c>
      <c r="AS109" s="20">
        <f t="shared" ca="1" si="662"/>
        <v>866665</v>
      </c>
      <c r="AT109" s="20">
        <f t="shared" si="663"/>
        <v>0</v>
      </c>
      <c r="AU109" s="20">
        <f t="shared" ca="1" si="664"/>
        <v>1000000</v>
      </c>
      <c r="AV109" s="20">
        <f t="shared" ca="1" si="664"/>
        <v>2000000</v>
      </c>
      <c r="AW109" s="20">
        <f t="shared" ca="1" si="664"/>
        <v>2050000</v>
      </c>
      <c r="AX109" s="20">
        <f t="shared" si="665"/>
        <v>-470000</v>
      </c>
      <c r="AY109" s="20">
        <f t="shared" si="666"/>
        <v>0</v>
      </c>
      <c r="AZ109" s="20">
        <f t="shared" si="667"/>
        <v>1690000</v>
      </c>
      <c r="BA109" s="20">
        <f t="shared" si="668"/>
        <v>1150000</v>
      </c>
      <c r="BB109" s="19">
        <f t="shared" si="669"/>
        <v>-500000</v>
      </c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54"/>
      <c r="BS109" s="20"/>
      <c r="BT109" s="54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>
        <v>0</v>
      </c>
      <c r="CE109" s="20">
        <v>0</v>
      </c>
      <c r="CF109" s="20">
        <v>0</v>
      </c>
      <c r="CG109" s="20">
        <v>0</v>
      </c>
      <c r="CH109" s="20">
        <v>2500000</v>
      </c>
      <c r="CI109" s="20">
        <v>0</v>
      </c>
      <c r="CJ109" s="20">
        <v>0</v>
      </c>
      <c r="CK109" s="20">
        <v>0</v>
      </c>
      <c r="CL109" s="20">
        <v>0</v>
      </c>
      <c r="CM109" s="20">
        <v>0</v>
      </c>
      <c r="CN109" s="20">
        <v>0</v>
      </c>
      <c r="CO109" s="20">
        <v>0</v>
      </c>
      <c r="CP109" s="20">
        <v>0</v>
      </c>
      <c r="CQ109" s="20">
        <v>0</v>
      </c>
      <c r="CR109" s="20">
        <f>1500000</f>
        <v>1500000</v>
      </c>
      <c r="CS109" s="20">
        <v>0</v>
      </c>
      <c r="CT109" s="20">
        <v>0</v>
      </c>
      <c r="CU109" s="20">
        <v>0</v>
      </c>
      <c r="CV109" s="20">
        <f>-CV87+CU87</f>
        <v>-266667</v>
      </c>
      <c r="CW109" s="20">
        <v>0</v>
      </c>
      <c r="CX109" s="20">
        <v>0</v>
      </c>
      <c r="CY109" s="20">
        <v>-266667</v>
      </c>
      <c r="CZ109" s="20">
        <v>0</v>
      </c>
      <c r="DA109" s="20">
        <v>0</v>
      </c>
      <c r="DB109" s="20">
        <v>-266667</v>
      </c>
      <c r="DC109" s="20">
        <v>0</v>
      </c>
      <c r="DD109" s="20">
        <v>0</v>
      </c>
      <c r="DE109" s="20">
        <v>-266666.88000000099</v>
      </c>
      <c r="DF109" s="20">
        <v>0</v>
      </c>
      <c r="DG109" s="20">
        <v>0</v>
      </c>
      <c r="DH109" s="20">
        <v>-266667</v>
      </c>
      <c r="DI109" s="20">
        <v>0</v>
      </c>
      <c r="DJ109" s="20">
        <v>0</v>
      </c>
      <c r="DK109" s="20">
        <v>-266667</v>
      </c>
      <c r="DL109" s="20">
        <v>0</v>
      </c>
      <c r="DM109" s="20">
        <v>0</v>
      </c>
      <c r="DN109" s="20">
        <v>-266667</v>
      </c>
      <c r="DO109" s="20">
        <v>0</v>
      </c>
      <c r="DP109" s="20">
        <v>0</v>
      </c>
      <c r="DQ109" s="20">
        <v>-266667</v>
      </c>
      <c r="DR109" s="20">
        <v>0</v>
      </c>
      <c r="DS109" s="20">
        <f>3500000-1866664-273000</f>
        <v>1360336</v>
      </c>
      <c r="DT109" s="20">
        <v>0</v>
      </c>
      <c r="DU109" s="20">
        <v>3500000</v>
      </c>
      <c r="DV109" s="20">
        <v>-373333</v>
      </c>
      <c r="DW109" s="20">
        <v>0</v>
      </c>
      <c r="DX109" s="12">
        <v>0</v>
      </c>
      <c r="DY109" s="469">
        <v>-373333</v>
      </c>
      <c r="DZ109" s="12">
        <v>0</v>
      </c>
      <c r="EA109" s="12">
        <v>0</v>
      </c>
      <c r="EB109" s="383">
        <v>-373333</v>
      </c>
      <c r="EC109" s="12">
        <v>0</v>
      </c>
      <c r="ED109" s="12">
        <v>0</v>
      </c>
      <c r="EE109" s="20">
        <v>-373333</v>
      </c>
      <c r="EF109" s="20">
        <v>0</v>
      </c>
      <c r="EG109" s="20">
        <v>0</v>
      </c>
      <c r="EH109" s="20">
        <v>-373333</v>
      </c>
      <c r="EI109" s="20">
        <v>0</v>
      </c>
      <c r="EJ109" s="20">
        <f>6000000-5133335</f>
        <v>866665</v>
      </c>
      <c r="EK109" s="469">
        <v>0</v>
      </c>
      <c r="EL109" s="469">
        <v>0</v>
      </c>
      <c r="EM109" s="469">
        <v>0</v>
      </c>
      <c r="EN109" s="469">
        <v>0</v>
      </c>
      <c r="EO109" s="469">
        <v>0</v>
      </c>
      <c r="EP109" s="469">
        <v>500000</v>
      </c>
      <c r="EQ109" s="469">
        <v>500000</v>
      </c>
      <c r="ER109" s="20"/>
      <c r="ES109" s="20">
        <v>2500000</v>
      </c>
      <c r="ET109" s="20">
        <v>-500000</v>
      </c>
      <c r="EU109" s="20"/>
      <c r="EV109" s="20"/>
      <c r="EW109" s="20">
        <v>2050000</v>
      </c>
      <c r="EX109" s="20">
        <v>30000</v>
      </c>
      <c r="EY109" s="20">
        <v>-500000</v>
      </c>
      <c r="EZ109" s="20">
        <v>0</v>
      </c>
      <c r="FA109" s="20">
        <v>0</v>
      </c>
      <c r="FB109" s="20">
        <v>0</v>
      </c>
      <c r="FC109" s="20">
        <v>0</v>
      </c>
      <c r="FD109" s="20">
        <v>1690000</v>
      </c>
      <c r="FE109" s="20">
        <v>0</v>
      </c>
      <c r="FF109" s="20">
        <v>0</v>
      </c>
      <c r="FG109" s="20">
        <v>0</v>
      </c>
      <c r="FH109" s="20">
        <v>500000</v>
      </c>
      <c r="FI109" s="20">
        <v>650000</v>
      </c>
      <c r="FJ109" s="20">
        <v>0</v>
      </c>
      <c r="FK109" s="454">
        <v>-500000</v>
      </c>
      <c r="FL109" s="20"/>
      <c r="FM109" s="20"/>
    </row>
    <row r="110" spans="2:169" ht="16.149999999999999" customHeight="1" x14ac:dyDescent="0.35">
      <c r="C110" t="s">
        <v>157</v>
      </c>
      <c r="F110" s="19">
        <v>-190000</v>
      </c>
      <c r="G110" s="19">
        <f>SUM(R110:U110)</f>
        <v>0</v>
      </c>
      <c r="H110" s="19">
        <f>SUM(V110:Y110)</f>
        <v>800000</v>
      </c>
      <c r="I110" s="19">
        <f>SUM(Z110:AC110)</f>
        <v>0</v>
      </c>
      <c r="J110" s="19">
        <f t="shared" si="696"/>
        <v>0</v>
      </c>
      <c r="K110" s="19">
        <f t="shared" si="697"/>
        <v>0</v>
      </c>
      <c r="L110" s="19">
        <f t="shared" si="636"/>
        <v>0</v>
      </c>
      <c r="M110" s="19">
        <f t="shared" ca="1" si="698"/>
        <v>0</v>
      </c>
      <c r="N110" s="19">
        <f t="shared" ca="1" si="637"/>
        <v>5</v>
      </c>
      <c r="O110" s="19">
        <f t="shared" si="638"/>
        <v>33</v>
      </c>
      <c r="P110" s="19">
        <f t="shared" si="639"/>
        <v>2700004</v>
      </c>
      <c r="Q110" s="20"/>
      <c r="R110" s="20">
        <f t="shared" ref="R110:U110" si="726">R71</f>
        <v>0</v>
      </c>
      <c r="S110" s="20">
        <f t="shared" si="726"/>
        <v>0</v>
      </c>
      <c r="T110" s="20">
        <f t="shared" si="726"/>
        <v>0</v>
      </c>
      <c r="U110" s="20">
        <f t="shared" si="726"/>
        <v>0</v>
      </c>
      <c r="V110" s="20">
        <f t="shared" si="641"/>
        <v>250000</v>
      </c>
      <c r="W110" s="20">
        <f t="shared" si="642"/>
        <v>550000</v>
      </c>
      <c r="X110" s="20">
        <f t="shared" si="643"/>
        <v>0</v>
      </c>
      <c r="Y110" s="20">
        <f t="shared" si="644"/>
        <v>0</v>
      </c>
      <c r="Z110" s="20">
        <f t="shared" si="645"/>
        <v>0</v>
      </c>
      <c r="AA110" s="20">
        <f t="shared" si="646"/>
        <v>0</v>
      </c>
      <c r="AB110" s="20">
        <f t="shared" si="647"/>
        <v>0</v>
      </c>
      <c r="AC110" s="20">
        <f t="shared" si="648"/>
        <v>0</v>
      </c>
      <c r="AD110" s="20">
        <f t="shared" si="649"/>
        <v>0</v>
      </c>
      <c r="AE110" s="20">
        <f t="shared" si="650"/>
        <v>0</v>
      </c>
      <c r="AF110" s="20">
        <f t="shared" si="651"/>
        <v>0</v>
      </c>
      <c r="AG110" s="20">
        <f t="shared" si="652"/>
        <v>0</v>
      </c>
      <c r="AH110" s="20">
        <f t="shared" si="653"/>
        <v>0</v>
      </c>
      <c r="AI110" s="20">
        <f t="shared" si="654"/>
        <v>0</v>
      </c>
      <c r="AJ110" s="20">
        <f t="shared" si="655"/>
        <v>0</v>
      </c>
      <c r="AK110" s="20">
        <f t="shared" si="656"/>
        <v>0</v>
      </c>
      <c r="AL110" s="20">
        <f t="shared" si="657"/>
        <v>0</v>
      </c>
      <c r="AM110" s="20">
        <f t="shared" si="658"/>
        <v>0</v>
      </c>
      <c r="AN110" s="20">
        <f t="shared" si="659"/>
        <v>0</v>
      </c>
      <c r="AO110" s="20">
        <f t="shared" si="660"/>
        <v>0</v>
      </c>
      <c r="AP110" s="20">
        <f t="shared" si="661"/>
        <v>0</v>
      </c>
      <c r="AQ110" s="12">
        <f t="shared" ca="1" si="662"/>
        <v>0</v>
      </c>
      <c r="AR110" s="20">
        <f t="shared" ca="1" si="662"/>
        <v>0</v>
      </c>
      <c r="AS110" s="12">
        <f t="shared" ca="1" si="662"/>
        <v>0</v>
      </c>
      <c r="AT110" s="12">
        <f t="shared" si="663"/>
        <v>0</v>
      </c>
      <c r="AU110" s="12">
        <f t="shared" ca="1" si="664"/>
        <v>0</v>
      </c>
      <c r="AV110" s="12">
        <f t="shared" ca="1" si="664"/>
        <v>2</v>
      </c>
      <c r="AW110" s="12">
        <f t="shared" ca="1" si="664"/>
        <v>3</v>
      </c>
      <c r="AX110" s="12">
        <f t="shared" si="665"/>
        <v>3</v>
      </c>
      <c r="AY110" s="12">
        <f t="shared" si="666"/>
        <v>6</v>
      </c>
      <c r="AZ110" s="12">
        <f t="shared" si="667"/>
        <v>12</v>
      </c>
      <c r="BA110" s="12">
        <f t="shared" si="668"/>
        <v>12</v>
      </c>
      <c r="BB110" s="19">
        <f t="shared" si="669"/>
        <v>2700004</v>
      </c>
      <c r="BC110" s="12"/>
      <c r="BD110" s="12"/>
      <c r="BE110" s="12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>
        <f>333630-83630</f>
        <v>250000</v>
      </c>
      <c r="BS110" s="20">
        <f>-83630+83630</f>
        <v>0</v>
      </c>
      <c r="BT110" s="20">
        <v>0</v>
      </c>
      <c r="BU110" s="20">
        <v>0</v>
      </c>
      <c r="BV110" s="20">
        <v>0</v>
      </c>
      <c r="BW110" s="20">
        <v>550000</v>
      </c>
      <c r="BX110" s="20">
        <v>0</v>
      </c>
      <c r="BY110" s="20">
        <v>0</v>
      </c>
      <c r="BZ110" s="20">
        <v>0</v>
      </c>
      <c r="CA110" s="20"/>
      <c r="CB110" s="20"/>
      <c r="CC110" s="20"/>
      <c r="CD110" s="20"/>
      <c r="CE110" s="20"/>
      <c r="DJ110" s="350"/>
      <c r="DK110" s="12"/>
      <c r="DL110" s="12"/>
      <c r="DM110" s="20">
        <v>0</v>
      </c>
      <c r="DN110" s="20">
        <v>0</v>
      </c>
      <c r="DO110" s="20">
        <v>0</v>
      </c>
      <c r="DP110" s="20">
        <v>0</v>
      </c>
      <c r="DQ110" s="20">
        <v>0</v>
      </c>
      <c r="DR110" s="20">
        <v>0</v>
      </c>
      <c r="DS110" s="20">
        <v>0</v>
      </c>
      <c r="DT110" s="20">
        <v>0</v>
      </c>
      <c r="DU110" s="20">
        <v>0</v>
      </c>
      <c r="DV110" s="20">
        <v>0</v>
      </c>
      <c r="DW110" s="20">
        <v>0</v>
      </c>
      <c r="DX110" s="12">
        <v>0</v>
      </c>
      <c r="DY110" s="511">
        <v>0</v>
      </c>
      <c r="DZ110" s="12">
        <v>0</v>
      </c>
      <c r="EA110" s="12">
        <v>0</v>
      </c>
      <c r="EB110" s="289">
        <v>0</v>
      </c>
      <c r="EC110" s="12">
        <v>0</v>
      </c>
      <c r="ED110" s="12">
        <v>0</v>
      </c>
      <c r="EE110" s="12">
        <v>0</v>
      </c>
      <c r="EF110" s="12">
        <v>0</v>
      </c>
      <c r="EG110" s="12">
        <v>0</v>
      </c>
      <c r="EH110" s="12">
        <v>0</v>
      </c>
      <c r="EI110" s="12">
        <v>0</v>
      </c>
      <c r="EJ110" s="12">
        <v>0</v>
      </c>
      <c r="EK110" s="511">
        <v>0</v>
      </c>
      <c r="EL110" s="511">
        <v>0</v>
      </c>
      <c r="EM110" s="511">
        <v>0</v>
      </c>
      <c r="EN110" s="511">
        <v>0</v>
      </c>
      <c r="EO110" s="511">
        <v>0</v>
      </c>
      <c r="EP110" s="511">
        <v>0</v>
      </c>
      <c r="EQ110" s="511">
        <v>0</v>
      </c>
      <c r="ER110" s="511">
        <v>0</v>
      </c>
      <c r="ES110" s="469">
        <v>1</v>
      </c>
      <c r="ET110" s="469">
        <v>1</v>
      </c>
      <c r="EU110" s="469">
        <v>1</v>
      </c>
      <c r="EV110" s="469">
        <v>1</v>
      </c>
      <c r="EW110" s="469">
        <v>1</v>
      </c>
      <c r="EX110" s="469">
        <v>1</v>
      </c>
      <c r="EY110" s="469">
        <v>1</v>
      </c>
      <c r="EZ110" s="469">
        <v>1</v>
      </c>
      <c r="FA110" s="469">
        <v>1</v>
      </c>
      <c r="FB110" s="469">
        <v>2</v>
      </c>
      <c r="FC110" s="469">
        <v>3</v>
      </c>
      <c r="FD110" s="469">
        <v>4</v>
      </c>
      <c r="FE110" s="469">
        <v>4</v>
      </c>
      <c r="FF110" s="469">
        <v>4</v>
      </c>
      <c r="FG110" s="469">
        <v>4</v>
      </c>
      <c r="FH110" s="469">
        <v>4</v>
      </c>
      <c r="FI110" s="469">
        <v>4</v>
      </c>
      <c r="FJ110" s="469">
        <v>4</v>
      </c>
      <c r="FK110" s="767">
        <f>2700000</f>
        <v>2700000</v>
      </c>
      <c r="FL110" s="469"/>
      <c r="FM110" s="469"/>
    </row>
    <row r="111" spans="2:169" ht="15.75" customHeight="1" x14ac:dyDescent="0.35">
      <c r="C111" t="s">
        <v>158</v>
      </c>
      <c r="F111" s="19">
        <v>-190000</v>
      </c>
      <c r="G111" s="19">
        <f>SUM(R111:U111)</f>
        <v>0</v>
      </c>
      <c r="H111" s="19">
        <f>SUM(V111:Y111)</f>
        <v>1601796</v>
      </c>
      <c r="I111" s="19">
        <f>SUM(Z111:AC111)</f>
        <v>500010</v>
      </c>
      <c r="J111" s="19">
        <f t="shared" si="696"/>
        <v>16579937.300000001</v>
      </c>
      <c r="K111" s="19">
        <f t="shared" si="697"/>
        <v>4631807.9800000004</v>
      </c>
      <c r="L111" s="19">
        <f t="shared" si="636"/>
        <v>11211.2</v>
      </c>
      <c r="M111" s="19">
        <f ca="1">SUM(AP111:AS111)</f>
        <v>275868</v>
      </c>
      <c r="N111" s="19">
        <f t="shared" ca="1" si="637"/>
        <v>67839.199999999997</v>
      </c>
      <c r="O111" s="19">
        <f t="shared" si="638"/>
        <v>11099.09</v>
      </c>
      <c r="P111" s="19">
        <f t="shared" si="639"/>
        <v>161600</v>
      </c>
      <c r="R111">
        <f t="shared" ref="R111:U111" si="727">R72</f>
        <v>0</v>
      </c>
      <c r="S111" s="44">
        <f t="shared" si="727"/>
        <v>0</v>
      </c>
      <c r="T111" s="44">
        <f t="shared" si="727"/>
        <v>0</v>
      </c>
      <c r="U111" s="20">
        <f t="shared" si="727"/>
        <v>0</v>
      </c>
      <c r="V111" s="20">
        <f t="shared" si="641"/>
        <v>0</v>
      </c>
      <c r="W111" s="20">
        <f t="shared" si="642"/>
        <v>0</v>
      </c>
      <c r="X111" s="20">
        <f t="shared" si="643"/>
        <v>541000</v>
      </c>
      <c r="Y111" s="20">
        <f t="shared" si="644"/>
        <v>1060796</v>
      </c>
      <c r="Z111" s="20">
        <f t="shared" si="645"/>
        <v>500010</v>
      </c>
      <c r="AA111" s="20">
        <f t="shared" si="646"/>
        <v>0</v>
      </c>
      <c r="AB111" s="20">
        <f t="shared" si="647"/>
        <v>0</v>
      </c>
      <c r="AC111" s="20">
        <f t="shared" si="648"/>
        <v>0</v>
      </c>
      <c r="AD111" s="20">
        <f t="shared" si="649"/>
        <v>270000</v>
      </c>
      <c r="AE111" s="20">
        <f t="shared" si="650"/>
        <v>1209940</v>
      </c>
      <c r="AF111" s="20">
        <f t="shared" si="651"/>
        <v>100000</v>
      </c>
      <c r="AG111" s="20">
        <f t="shared" si="652"/>
        <v>14999997.300000001</v>
      </c>
      <c r="AH111" s="20">
        <f t="shared" si="653"/>
        <v>0</v>
      </c>
      <c r="AI111" s="20">
        <f t="shared" si="654"/>
        <v>0</v>
      </c>
      <c r="AJ111" s="20">
        <f t="shared" si="655"/>
        <v>4400012</v>
      </c>
      <c r="AK111" s="20">
        <f t="shared" si="656"/>
        <v>231795.97999999998</v>
      </c>
      <c r="AL111" s="20">
        <f t="shared" si="657"/>
        <v>0</v>
      </c>
      <c r="AM111" s="20">
        <f t="shared" si="658"/>
        <v>11211.2</v>
      </c>
      <c r="AN111" s="20">
        <f t="shared" si="659"/>
        <v>0</v>
      </c>
      <c r="AO111" s="20">
        <f t="shared" si="660"/>
        <v>0</v>
      </c>
      <c r="AP111" s="20">
        <f t="shared" si="661"/>
        <v>0</v>
      </c>
      <c r="AQ111" s="12">
        <f t="shared" ca="1" si="662"/>
        <v>0</v>
      </c>
      <c r="AR111" s="20">
        <f t="shared" ca="1" si="662"/>
        <v>275868</v>
      </c>
      <c r="AS111" s="12">
        <f t="shared" ca="1" si="662"/>
        <v>0</v>
      </c>
      <c r="AT111" s="12">
        <f t="shared" si="663"/>
        <v>0</v>
      </c>
      <c r="AU111" s="12">
        <f t="shared" ca="1" si="664"/>
        <v>0</v>
      </c>
      <c r="AV111" s="12">
        <f t="shared" ca="1" si="664"/>
        <v>67839.199999999997</v>
      </c>
      <c r="AW111" s="12">
        <f t="shared" ca="1" si="664"/>
        <v>0</v>
      </c>
      <c r="AX111" s="12">
        <f t="shared" si="665"/>
        <v>0</v>
      </c>
      <c r="AY111" s="12">
        <f t="shared" si="666"/>
        <v>11099.09</v>
      </c>
      <c r="AZ111" s="12">
        <f t="shared" si="667"/>
        <v>0</v>
      </c>
      <c r="BA111" s="12">
        <f t="shared" si="668"/>
        <v>0</v>
      </c>
      <c r="BB111" s="19">
        <f t="shared" si="669"/>
        <v>161600</v>
      </c>
      <c r="BC111" s="12"/>
      <c r="BD111" s="12"/>
      <c r="BE111" s="12"/>
      <c r="BR111" s="20"/>
      <c r="BS111" s="20"/>
      <c r="BT111" s="20"/>
      <c r="BU111" s="54"/>
      <c r="BY111" s="20">
        <v>460000</v>
      </c>
      <c r="BZ111" s="20">
        <v>81000</v>
      </c>
      <c r="CA111" s="20">
        <v>429586</v>
      </c>
      <c r="CB111" s="20">
        <v>131200</v>
      </c>
      <c r="CC111" s="20">
        <v>500010</v>
      </c>
      <c r="CD111" s="20">
        <v>500010</v>
      </c>
      <c r="CE111" s="20">
        <v>0</v>
      </c>
      <c r="CF111" s="20">
        <v>0</v>
      </c>
      <c r="CG111" s="20">
        <v>0</v>
      </c>
      <c r="CH111" s="20">
        <v>0</v>
      </c>
      <c r="CI111" s="20">
        <v>0</v>
      </c>
      <c r="CJ111" s="20">
        <v>0</v>
      </c>
      <c r="CK111" s="20">
        <v>0</v>
      </c>
      <c r="CL111" s="20">
        <v>0</v>
      </c>
      <c r="CM111" s="20">
        <v>0</v>
      </c>
      <c r="CN111" s="20">
        <v>0</v>
      </c>
      <c r="CO111" s="20">
        <v>0</v>
      </c>
      <c r="CP111" s="20">
        <v>0</v>
      </c>
      <c r="CQ111" s="20">
        <v>0</v>
      </c>
      <c r="CR111" s="20">
        <v>270000</v>
      </c>
      <c r="CS111" s="20">
        <v>360000</v>
      </c>
      <c r="CT111" s="20">
        <f>520000+30000</f>
        <v>550000</v>
      </c>
      <c r="CU111" s="20">
        <f>299940</f>
        <v>299940</v>
      </c>
      <c r="CV111" s="20">
        <v>100000</v>
      </c>
      <c r="CW111" s="20">
        <v>0</v>
      </c>
      <c r="CX111" s="20">
        <v>0</v>
      </c>
      <c r="CY111" s="20">
        <v>0</v>
      </c>
      <c r="CZ111" s="20">
        <v>0</v>
      </c>
      <c r="DA111" s="20">
        <f>14997563.33-100000+2433.97+100000</f>
        <v>14999997.300000001</v>
      </c>
      <c r="DB111" s="20">
        <v>0</v>
      </c>
      <c r="DC111" s="20">
        <v>0</v>
      </c>
      <c r="DD111" s="20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  <c r="DJ111" s="20">
        <f>2200006+2200006</f>
        <v>4400012</v>
      </c>
      <c r="DK111" s="12">
        <v>0</v>
      </c>
      <c r="DL111" s="20">
        <f>114134.65+105.43</f>
        <v>114240.07999999999</v>
      </c>
      <c r="DM111" s="383">
        <v>117555.9</v>
      </c>
      <c r="DN111" s="383">
        <v>0</v>
      </c>
      <c r="DO111" s="383">
        <v>0</v>
      </c>
      <c r="DP111" s="20">
        <v>0</v>
      </c>
      <c r="DQ111" s="20">
        <v>11211.2</v>
      </c>
      <c r="DR111" s="383">
        <v>0</v>
      </c>
      <c r="DS111" s="20">
        <v>0</v>
      </c>
      <c r="DT111" s="20">
        <v>0</v>
      </c>
      <c r="DU111" s="20">
        <v>0</v>
      </c>
      <c r="DV111" s="20">
        <v>0</v>
      </c>
      <c r="DW111" s="20">
        <v>0</v>
      </c>
      <c r="DX111" s="12">
        <v>0</v>
      </c>
      <c r="DY111" s="469">
        <v>0</v>
      </c>
      <c r="DZ111" s="20">
        <v>0</v>
      </c>
      <c r="EA111" s="20">
        <v>0</v>
      </c>
      <c r="EB111" s="383">
        <v>0</v>
      </c>
      <c r="EC111" s="20">
        <v>0</v>
      </c>
      <c r="ED111" s="20">
        <v>0</v>
      </c>
      <c r="EE111" s="20">
        <v>0</v>
      </c>
      <c r="EF111" s="20">
        <v>9602</v>
      </c>
      <c r="EG111" s="20">
        <v>0</v>
      </c>
      <c r="EH111" s="20">
        <v>266266</v>
      </c>
      <c r="EI111" s="12">
        <v>0</v>
      </c>
      <c r="EJ111" s="12">
        <v>0</v>
      </c>
      <c r="EK111" s="511">
        <v>0</v>
      </c>
      <c r="EL111" s="511">
        <v>0</v>
      </c>
      <c r="EM111" s="511">
        <v>0</v>
      </c>
      <c r="EN111" s="511">
        <v>0</v>
      </c>
      <c r="EO111" s="511">
        <v>0</v>
      </c>
      <c r="EP111" s="511">
        <v>0</v>
      </c>
      <c r="EQ111" s="511">
        <v>0</v>
      </c>
      <c r="ER111" s="469">
        <v>67839.199999999997</v>
      </c>
      <c r="ES111" s="511">
        <v>0</v>
      </c>
      <c r="ET111" s="511">
        <v>0</v>
      </c>
      <c r="EU111" s="511">
        <v>0</v>
      </c>
      <c r="EV111" s="511">
        <v>0</v>
      </c>
      <c r="EW111" s="511">
        <v>0</v>
      </c>
      <c r="EX111" s="511">
        <v>0</v>
      </c>
      <c r="EY111" s="511">
        <v>0</v>
      </c>
      <c r="EZ111" s="511">
        <v>0</v>
      </c>
      <c r="FA111" s="469">
        <v>11099.09</v>
      </c>
      <c r="FB111" s="511"/>
      <c r="FC111" s="511"/>
      <c r="FD111" s="511"/>
      <c r="FE111" s="511"/>
      <c r="FF111" s="511"/>
      <c r="FG111" s="511"/>
      <c r="FH111" s="511"/>
      <c r="FI111" s="511"/>
      <c r="FJ111" s="511">
        <v>80800</v>
      </c>
      <c r="FK111" s="767">
        <v>80800</v>
      </c>
      <c r="FL111" s="511"/>
      <c r="FM111" s="511"/>
    </row>
    <row r="112" spans="2:169" x14ac:dyDescent="0.35">
      <c r="B112" s="10"/>
      <c r="C112" s="21" t="s">
        <v>159</v>
      </c>
      <c r="D112" s="21"/>
      <c r="E112" s="21"/>
      <c r="F112" s="23">
        <f>SUM(F101:F111)</f>
        <v>-935000</v>
      </c>
      <c r="G112" s="23">
        <f>SUM(G101:G111)</f>
        <v>-6342350</v>
      </c>
      <c r="H112" s="23">
        <f>SUM(H101:H111)</f>
        <v>-246548</v>
      </c>
      <c r="I112" s="23">
        <f>SUM(I101:I111)</f>
        <v>145980.00000000047</v>
      </c>
      <c r="J112" s="23">
        <f t="shared" si="696"/>
        <v>15194658.270000001</v>
      </c>
      <c r="K112" s="23">
        <f t="shared" si="697"/>
        <v>-4073326.0999999978</v>
      </c>
      <c r="L112" s="23">
        <f>SUM(AL112:AO112)</f>
        <v>-3728525.1729094801</v>
      </c>
      <c r="M112" s="23">
        <f ca="1">SUM(AP112:AS112)</f>
        <v>-4299312.619960865</v>
      </c>
      <c r="N112" s="23">
        <f t="shared" ca="1" si="637"/>
        <v>529615.72197243478</v>
      </c>
      <c r="O112" s="23">
        <f t="shared" si="638"/>
        <v>-1576770.3502247653</v>
      </c>
      <c r="P112" s="23">
        <f t="shared" si="639"/>
        <v>1677682.3168593142</v>
      </c>
      <c r="Q112" s="24"/>
      <c r="R112" s="24">
        <f t="shared" ref="R112:U112" si="728">R73</f>
        <v>1409000</v>
      </c>
      <c r="S112" s="24">
        <f t="shared" si="728"/>
        <v>1449000</v>
      </c>
      <c r="T112" s="24">
        <f t="shared" si="728"/>
        <v>1448000</v>
      </c>
      <c r="U112" s="24">
        <f t="shared" si="728"/>
        <v>1427037</v>
      </c>
      <c r="V112" s="24">
        <f t="shared" si="641"/>
        <v>-634383</v>
      </c>
      <c r="W112" s="24">
        <f t="shared" si="642"/>
        <v>214002</v>
      </c>
      <c r="X112" s="24">
        <f t="shared" si="643"/>
        <v>-49507</v>
      </c>
      <c r="Y112" s="24">
        <f t="shared" si="644"/>
        <v>223340.00000000023</v>
      </c>
      <c r="Z112" s="24">
        <f t="shared" si="645"/>
        <v>294559.00000000017</v>
      </c>
      <c r="AA112" s="24">
        <f t="shared" si="646"/>
        <v>1320052.9999999995</v>
      </c>
      <c r="AB112" s="24">
        <f t="shared" si="647"/>
        <v>-704257.00000000047</v>
      </c>
      <c r="AC112" s="24">
        <f t="shared" si="648"/>
        <v>-764374.9999999993</v>
      </c>
      <c r="AD112" s="24">
        <f t="shared" si="649"/>
        <v>1276477</v>
      </c>
      <c r="AE112" s="24">
        <f t="shared" si="650"/>
        <v>777960</v>
      </c>
      <c r="AF112" s="24">
        <f t="shared" si="651"/>
        <v>-1241917.1299999994</v>
      </c>
      <c r="AG112" s="24">
        <f t="shared" si="652"/>
        <v>14382138.4</v>
      </c>
      <c r="AH112" s="24">
        <f t="shared" si="653"/>
        <v>-2730501.7000000011</v>
      </c>
      <c r="AI112" s="24">
        <f t="shared" si="654"/>
        <v>-1845076.3899999997</v>
      </c>
      <c r="AJ112" s="24">
        <f t="shared" si="655"/>
        <v>2988724.3599999975</v>
      </c>
      <c r="AK112" s="24">
        <f t="shared" si="656"/>
        <v>-2486472.3699999945</v>
      </c>
      <c r="AL112" s="24">
        <f t="shared" si="657"/>
        <v>-2557548.8100000052</v>
      </c>
      <c r="AM112" s="24">
        <f t="shared" si="658"/>
        <v>-847772.10999999812</v>
      </c>
      <c r="AN112" s="24">
        <f t="shared" si="659"/>
        <v>1626909.6399999992</v>
      </c>
      <c r="AO112" s="24">
        <f t="shared" si="660"/>
        <v>-1950113.8929094761</v>
      </c>
      <c r="AP112" s="24">
        <f t="shared" si="661"/>
        <v>-1424919.2970905253</v>
      </c>
      <c r="AQ112" s="24">
        <f t="shared" ca="1" si="662"/>
        <v>-1458578.87</v>
      </c>
      <c r="AR112" s="24">
        <f t="shared" ca="1" si="662"/>
        <v>-263542.20059780916</v>
      </c>
      <c r="AS112" s="24">
        <f t="shared" ca="1" si="662"/>
        <v>-1152272.2522725305</v>
      </c>
      <c r="AT112" s="24">
        <f t="shared" si="663"/>
        <v>-1537531.8925325631</v>
      </c>
      <c r="AU112" s="24">
        <f t="shared" ca="1" si="664"/>
        <v>-252652.18957196624</v>
      </c>
      <c r="AV112" s="24">
        <f t="shared" ca="1" si="664"/>
        <v>1075181.4495646022</v>
      </c>
      <c r="AW112" s="24">
        <f t="shared" ca="1" si="664"/>
        <v>1244618.3545123618</v>
      </c>
      <c r="AX112" s="24">
        <f t="shared" si="665"/>
        <v>-1840398.8061447458</v>
      </c>
      <c r="AY112" s="24">
        <f t="shared" si="666"/>
        <v>-295477.06775572425</v>
      </c>
      <c r="AZ112" s="24">
        <f t="shared" si="667"/>
        <v>66885.638609215501</v>
      </c>
      <c r="BA112" s="24">
        <f t="shared" si="668"/>
        <v>492219.88506648899</v>
      </c>
      <c r="BB112" s="23">
        <f t="shared" si="669"/>
        <v>1677682.3168593142</v>
      </c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24">
        <f t="shared" ref="BR112:CE112" si="729">SUM(BR101:BR111)</f>
        <v>12925</v>
      </c>
      <c r="BS112" s="24">
        <f t="shared" si="729"/>
        <v>-375951</v>
      </c>
      <c r="BT112" s="24">
        <f t="shared" si="729"/>
        <v>-271357</v>
      </c>
      <c r="BU112" s="24">
        <f t="shared" si="729"/>
        <v>93023</v>
      </c>
      <c r="BV112" s="24">
        <f t="shared" si="729"/>
        <v>-126709</v>
      </c>
      <c r="BW112" s="24">
        <f t="shared" si="729"/>
        <v>247688</v>
      </c>
      <c r="BX112" s="24">
        <f t="shared" si="729"/>
        <v>-455765</v>
      </c>
      <c r="BY112" s="24">
        <f t="shared" si="729"/>
        <v>410917</v>
      </c>
      <c r="BZ112" s="24">
        <f>SUM(BZ101:BZ111)</f>
        <v>-4659</v>
      </c>
      <c r="CA112" s="24">
        <f t="shared" si="729"/>
        <v>160703</v>
      </c>
      <c r="CB112" s="24">
        <f t="shared" si="729"/>
        <v>-275294.99999999977</v>
      </c>
      <c r="CC112" s="24">
        <f t="shared" si="729"/>
        <v>337932</v>
      </c>
      <c r="CD112" s="24">
        <f t="shared" si="729"/>
        <v>689482.99999999965</v>
      </c>
      <c r="CE112" s="24">
        <f t="shared" si="729"/>
        <v>-537342</v>
      </c>
      <c r="CF112" s="24">
        <f>SUM(CF101:CF111)</f>
        <v>142418.00000000052</v>
      </c>
      <c r="CG112" s="24">
        <f>SUM(CG101:CG111)</f>
        <v>-178100.00000000041</v>
      </c>
      <c r="CH112" s="24">
        <f>SUM(CH101:CH111)</f>
        <v>2402295.0000000005</v>
      </c>
      <c r="CI112" s="24">
        <f t="shared" ref="CI112:DC112" si="730">SUM(CI101:CI111)</f>
        <v>-904142.00000000035</v>
      </c>
      <c r="CJ112" s="24">
        <f t="shared" si="730"/>
        <v>-61973.999999999651</v>
      </c>
      <c r="CK112" s="24">
        <f t="shared" si="730"/>
        <v>-498868.00000000087</v>
      </c>
      <c r="CL112" s="24">
        <f t="shared" si="730"/>
        <v>-143414.99999999994</v>
      </c>
      <c r="CM112" s="24">
        <f>SUM(CM101:CM111)</f>
        <v>-36054.999999999738</v>
      </c>
      <c r="CN112" s="24">
        <f t="shared" si="730"/>
        <v>-686561.99999999965</v>
      </c>
      <c r="CO112" s="24">
        <f t="shared" si="730"/>
        <v>-41757.999999999884</v>
      </c>
      <c r="CP112" s="24">
        <f t="shared" si="730"/>
        <v>-240466.0000000007</v>
      </c>
      <c r="CQ112" s="24">
        <f t="shared" si="730"/>
        <v>209261.00000000058</v>
      </c>
      <c r="CR112" s="24">
        <f t="shared" si="730"/>
        <v>1307682</v>
      </c>
      <c r="CS112" s="24">
        <f t="shared" si="730"/>
        <v>44745</v>
      </c>
      <c r="CT112" s="24">
        <f t="shared" si="730"/>
        <v>193242.9999999993</v>
      </c>
      <c r="CU112" s="24">
        <f t="shared" si="730"/>
        <v>539972.0000000007</v>
      </c>
      <c r="CV112" s="24">
        <f t="shared" si="730"/>
        <v>-903448</v>
      </c>
      <c r="CW112" s="24">
        <f t="shared" si="730"/>
        <v>-320405.29000000004</v>
      </c>
      <c r="CX112" s="24">
        <f t="shared" si="730"/>
        <v>-18063.839999999385</v>
      </c>
      <c r="CY112" s="24">
        <f t="shared" si="730"/>
        <v>232334.79999999888</v>
      </c>
      <c r="CZ112" s="24">
        <f t="shared" si="730"/>
        <v>-615711.75999999978</v>
      </c>
      <c r="DA112" s="24">
        <f t="shared" si="730"/>
        <v>14765515.360000001</v>
      </c>
      <c r="DB112" s="24">
        <f t="shared" si="730"/>
        <v>-1736082.3599999999</v>
      </c>
      <c r="DC112" s="24">
        <f t="shared" si="730"/>
        <v>-954194.49000000022</v>
      </c>
      <c r="DD112" s="24">
        <f t="shared" ref="DD112:DI112" si="731">SUM(DD101:DD111)</f>
        <v>-40224.850000001032</v>
      </c>
      <c r="DE112" s="24">
        <f t="shared" si="731"/>
        <v>-780380.66999999993</v>
      </c>
      <c r="DF112" s="24">
        <f t="shared" si="731"/>
        <v>-787367.10999999975</v>
      </c>
      <c r="DG112" s="24">
        <f t="shared" si="731"/>
        <v>-277328.61</v>
      </c>
      <c r="DH112" s="24">
        <f>SUM(DH101:DH111)</f>
        <v>-1043212.9200000041</v>
      </c>
      <c r="DI112" s="24">
        <f t="shared" si="731"/>
        <v>-884295.07220324362</v>
      </c>
      <c r="DJ112" s="24">
        <f t="shared" ref="DJ112:DN112" si="732">SUM(DJ101:DJ111)</f>
        <v>4916232.3522032453</v>
      </c>
      <c r="DK112" s="24">
        <f t="shared" si="732"/>
        <v>-1285069.5200000007</v>
      </c>
      <c r="DL112" s="24">
        <f t="shared" si="732"/>
        <v>-389083.31999999459</v>
      </c>
      <c r="DM112" s="24">
        <f t="shared" si="732"/>
        <v>-812319.52999999956</v>
      </c>
      <c r="DN112" s="24">
        <f t="shared" si="732"/>
        <v>-1554790.2600000042</v>
      </c>
      <c r="DO112" s="24">
        <f t="shared" ref="DO112:DX112" si="733">SUM(DO101:DO111)</f>
        <v>-589693.80000000098</v>
      </c>
      <c r="DP112" s="24">
        <f t="shared" si="733"/>
        <v>-413064.74999999983</v>
      </c>
      <c r="DQ112" s="24">
        <f t="shared" si="733"/>
        <v>-1108164.9699999995</v>
      </c>
      <c r="DR112" s="24">
        <f t="shared" si="733"/>
        <v>-577516.14999999932</v>
      </c>
      <c r="DS112" s="24">
        <f t="shared" si="733"/>
        <v>837909.01000000059</v>
      </c>
      <c r="DT112" s="24">
        <f t="shared" si="733"/>
        <v>-455023.61000000115</v>
      </c>
      <c r="DU112" s="24">
        <f t="shared" si="733"/>
        <v>3713935.129999999</v>
      </c>
      <c r="DV112" s="24">
        <f t="shared" si="733"/>
        <v>-1632001.8799999985</v>
      </c>
      <c r="DW112" s="24">
        <f t="shared" si="733"/>
        <v>-469122.8899999978</v>
      </c>
      <c r="DX112" s="24">
        <f t="shared" si="733"/>
        <v>-876394.00000000419</v>
      </c>
      <c r="DY112" s="548">
        <f t="shared" ref="DY112:ED112" si="734">SUM(DY101:DY111)</f>
        <v>-604597.00290947396</v>
      </c>
      <c r="DZ112" s="24">
        <f t="shared" si="734"/>
        <v>686983.56290947506</v>
      </c>
      <c r="EA112" s="24">
        <f t="shared" si="734"/>
        <v>-1209245.5700000003</v>
      </c>
      <c r="EB112" s="24">
        <f t="shared" si="734"/>
        <v>-902657.29</v>
      </c>
      <c r="EC112" s="24">
        <f t="shared" si="734"/>
        <v>-886882.83000000042</v>
      </c>
      <c r="ED112" s="24">
        <f t="shared" si="734"/>
        <v>333272.93999999983</v>
      </c>
      <c r="EE112" s="24">
        <f t="shared" ref="EE112" si="735">SUM(EE101:EE111)</f>
        <v>-904968.97999999963</v>
      </c>
      <c r="EF112" s="24">
        <f t="shared" ref="EF112:EJ112" si="736">SUM(EF101:EF111)</f>
        <v>530047.89246349037</v>
      </c>
      <c r="EG112" s="24">
        <f t="shared" si="736"/>
        <v>-415594.91975756129</v>
      </c>
      <c r="EH112" s="24">
        <f t="shared" si="736"/>
        <v>-377995.17330373824</v>
      </c>
      <c r="EI112" s="24">
        <f t="shared" si="736"/>
        <v>-661932.53303060005</v>
      </c>
      <c r="EJ112" s="24">
        <f t="shared" si="736"/>
        <v>38160.479739196948</v>
      </c>
      <c r="EK112" s="548">
        <f t="shared" ref="EK112:EO112" si="737">SUM(EK101:EK111)</f>
        <v>-528500.19898112735</v>
      </c>
      <c r="EL112" s="548">
        <f>SUM(EL101:EL111)</f>
        <v>242302.36492469144</v>
      </c>
      <c r="EM112" s="548">
        <f t="shared" si="737"/>
        <v>-1187925.1110215425</v>
      </c>
      <c r="EN112" s="548">
        <f t="shared" si="737"/>
        <v>-591909.146435712</v>
      </c>
      <c r="EO112" s="548">
        <f t="shared" si="737"/>
        <v>153383.20384652395</v>
      </c>
      <c r="EP112" s="548">
        <f>SUM(EP101:EP111)</f>
        <v>-290411.63883395412</v>
      </c>
      <c r="EQ112" s="548">
        <f t="shared" ref="EQ112:ER112" si="738">SUM(EQ101:EQ111)</f>
        <v>-115623.75458453607</v>
      </c>
      <c r="ER112" s="24">
        <f t="shared" si="738"/>
        <v>777170.26698002685</v>
      </c>
      <c r="ES112" s="24">
        <f t="shared" ref="ES112:EX112" si="739">SUM(ES101:ES111)</f>
        <v>1124801.4690570692</v>
      </c>
      <c r="ET112" s="24">
        <f t="shared" si="739"/>
        <v>-826790.28647249378</v>
      </c>
      <c r="EU112" s="24">
        <f t="shared" si="739"/>
        <v>-382579.47186660173</v>
      </c>
      <c r="EV112" s="24">
        <f t="shared" si="739"/>
        <v>-694559.33260622784</v>
      </c>
      <c r="EW112" s="24">
        <f>SUM(EW101:EW111)</f>
        <v>2321757.1589851915</v>
      </c>
      <c r="EX112" s="24">
        <f t="shared" si="739"/>
        <v>-766908.33567723853</v>
      </c>
      <c r="EY112" s="24">
        <f t="shared" ref="EY112:EZ112" si="740">SUM(EY101:EY111)</f>
        <v>-806916.4767177233</v>
      </c>
      <c r="EZ112" s="24">
        <f t="shared" si="740"/>
        <v>-266573.99374978407</v>
      </c>
      <c r="FA112" s="24">
        <f t="shared" ref="FA112:FB112" si="741">SUM(FA101:FA111)</f>
        <v>-365442.80100412271</v>
      </c>
      <c r="FB112" s="24">
        <f t="shared" si="741"/>
        <v>-39466.641939416673</v>
      </c>
      <c r="FC112" s="24">
        <f t="shared" ref="FC112:FD112" si="742">SUM(FC101:FC111)</f>
        <v>109432.37518781511</v>
      </c>
      <c r="FD112" s="24">
        <f t="shared" si="742"/>
        <v>764560.72040975094</v>
      </c>
      <c r="FE112" s="24">
        <f t="shared" ref="FE112:FF112" si="743">SUM(FE101:FE111)</f>
        <v>-16412.018373472354</v>
      </c>
      <c r="FF112" s="24">
        <f t="shared" si="743"/>
        <v>-681263.06342706305</v>
      </c>
      <c r="FG112" s="24">
        <f t="shared" ref="FG112:FH112" si="744">SUM(FG101:FG111)</f>
        <v>-173732.1804782816</v>
      </c>
      <c r="FH112" s="24">
        <f t="shared" si="744"/>
        <v>-654715.83664624067</v>
      </c>
      <c r="FI112" s="24">
        <f t="shared" ref="FI112:FJ112" si="745">SUM(FI101:FI111)</f>
        <v>1320667.9021910112</v>
      </c>
      <c r="FJ112" s="24">
        <f t="shared" si="745"/>
        <v>50185.567271991051</v>
      </c>
      <c r="FK112" s="455">
        <f>SUM(FK101:FK111)</f>
        <v>1627496.7495873231</v>
      </c>
      <c r="FL112" s="12"/>
      <c r="FM112" s="12"/>
    </row>
    <row r="113" spans="2:176" ht="12" customHeight="1" x14ac:dyDescent="0.35">
      <c r="F113" s="45"/>
      <c r="G113" s="45"/>
      <c r="H113" s="45"/>
      <c r="I113" s="45"/>
      <c r="J113" s="45"/>
      <c r="K113" s="45"/>
      <c r="V113" s="20"/>
      <c r="BR113" s="54"/>
      <c r="BS113" s="54"/>
      <c r="BT113" s="54"/>
      <c r="BU113" s="54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511"/>
      <c r="DZ113" s="12"/>
      <c r="EA113" s="12"/>
      <c r="EB113" s="12"/>
      <c r="EC113" s="12"/>
      <c r="ED113" s="12"/>
      <c r="EE113" s="12"/>
      <c r="EF113" s="12"/>
      <c r="FK113" s="384"/>
    </row>
    <row r="114" spans="2:176" s="1" customFormat="1" x14ac:dyDescent="0.35">
      <c r="C114" s="46" t="s">
        <v>160</v>
      </c>
      <c r="F114" s="47">
        <f>F115-F112</f>
        <v>2135000</v>
      </c>
      <c r="G114" s="47">
        <f>R114</f>
        <v>1200000</v>
      </c>
      <c r="H114" s="47">
        <f>U115</f>
        <v>1150398</v>
      </c>
      <c r="I114" s="47">
        <f t="shared" ref="I114:N114" si="746">H115</f>
        <v>903850</v>
      </c>
      <c r="J114" s="47">
        <f t="shared" si="746"/>
        <v>1049830.0000000005</v>
      </c>
      <c r="K114" s="47">
        <f t="shared" si="746"/>
        <v>16244488.270000001</v>
      </c>
      <c r="L114" s="47">
        <f t="shared" si="746"/>
        <v>12171162.170000004</v>
      </c>
      <c r="M114" s="47">
        <f t="shared" si="746"/>
        <v>8442636.9970905241</v>
      </c>
      <c r="N114" s="47">
        <f t="shared" ca="1" si="746"/>
        <v>4143324.3771296591</v>
      </c>
      <c r="O114" s="47">
        <f>AX114</f>
        <v>4672940.0991020948</v>
      </c>
      <c r="P114" s="47">
        <f t="shared" ref="P114:P115" si="747">FJ114</f>
        <v>3096169.7488773288</v>
      </c>
      <c r="R114" s="48">
        <v>1200000</v>
      </c>
      <c r="S114" s="48">
        <f>R115</f>
        <v>841800</v>
      </c>
      <c r="T114" s="48">
        <f>S115</f>
        <v>2290800</v>
      </c>
      <c r="U114" s="48">
        <f t="shared" ref="U114:Z114" si="748">T115</f>
        <v>3738800</v>
      </c>
      <c r="V114" s="48">
        <f t="shared" si="748"/>
        <v>1150398</v>
      </c>
      <c r="W114" s="48">
        <f t="shared" si="748"/>
        <v>516015</v>
      </c>
      <c r="X114" s="48">
        <f t="shared" si="748"/>
        <v>730017</v>
      </c>
      <c r="Y114" s="48">
        <f t="shared" si="748"/>
        <v>680510</v>
      </c>
      <c r="Z114" s="48">
        <f t="shared" si="748"/>
        <v>903850.00000000023</v>
      </c>
      <c r="AA114" s="48">
        <f t="shared" ref="AA114:AG114" si="749">Z115</f>
        <v>1198409.0000000005</v>
      </c>
      <c r="AB114" s="48">
        <f t="shared" si="749"/>
        <v>2518462</v>
      </c>
      <c r="AC114" s="48">
        <f t="shared" si="749"/>
        <v>1814204.9999999995</v>
      </c>
      <c r="AD114" s="48">
        <f>AC115</f>
        <v>1049830.0000000002</v>
      </c>
      <c r="AE114" s="48">
        <f t="shared" si="749"/>
        <v>2326307</v>
      </c>
      <c r="AF114" s="48">
        <f t="shared" si="749"/>
        <v>3104267</v>
      </c>
      <c r="AG114" s="48">
        <f t="shared" si="749"/>
        <v>1862349.8700000006</v>
      </c>
      <c r="AH114" s="48">
        <f>DB114</f>
        <v>16244488.270000001</v>
      </c>
      <c r="AI114" s="48">
        <f t="shared" ref="AI114:AM114" si="750">AH115</f>
        <v>13513986.57</v>
      </c>
      <c r="AJ114" s="48">
        <f t="shared" si="750"/>
        <v>11668910.18</v>
      </c>
      <c r="AK114" s="48">
        <f t="shared" si="750"/>
        <v>14657634.539999997</v>
      </c>
      <c r="AL114" s="48">
        <f>AK115</f>
        <v>12171162.170000002</v>
      </c>
      <c r="AM114" s="48">
        <f t="shared" si="750"/>
        <v>9613613.3599999957</v>
      </c>
      <c r="AN114" s="48">
        <f>AM115</f>
        <v>8765841.2499999981</v>
      </c>
      <c r="AO114" s="48">
        <f>AN115</f>
        <v>10392750.889999997</v>
      </c>
      <c r="AP114" s="48">
        <f>AO115</f>
        <v>8442636.9970905203</v>
      </c>
      <c r="AQ114" s="48">
        <f t="shared" ref="AQ114:AT114" si="751">AP115</f>
        <v>7017717.6999999955</v>
      </c>
      <c r="AR114" s="48">
        <f t="shared" ca="1" si="751"/>
        <v>5559138.8299999954</v>
      </c>
      <c r="AS114" s="48">
        <f t="shared" ca="1" si="751"/>
        <v>5295596.6294021867</v>
      </c>
      <c r="AT114" s="48">
        <f t="shared" ca="1" si="751"/>
        <v>4143324.3771296563</v>
      </c>
      <c r="AU114" s="48">
        <f t="shared" ref="AU114:AY114" ca="1" si="752">AT115</f>
        <v>2605792.4845970934</v>
      </c>
      <c r="AV114" s="48">
        <f t="shared" si="752"/>
        <v>2468764.0496096662</v>
      </c>
      <c r="AW114" s="48">
        <f t="shared" si="752"/>
        <v>3428321.744589733</v>
      </c>
      <c r="AX114" s="48">
        <f t="shared" si="752"/>
        <v>4672940.0991020948</v>
      </c>
      <c r="AY114" s="48">
        <f t="shared" si="752"/>
        <v>2832541.2929573487</v>
      </c>
      <c r="AZ114" s="48">
        <f>AY115</f>
        <v>2427631.8500138093</v>
      </c>
      <c r="BA114" s="48">
        <f>AZ115</f>
        <v>2603949.8638108401</v>
      </c>
      <c r="BB114" s="47">
        <f>FJ114</f>
        <v>3096169.7488773288</v>
      </c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8"/>
      <c r="BR114" s="48">
        <f>U115</f>
        <v>1150398</v>
      </c>
      <c r="BS114" s="48">
        <f>BR115</f>
        <v>1163323</v>
      </c>
      <c r="BT114" s="48">
        <f t="shared" ref="BT114:CC114" si="753">BS115</f>
        <v>787372</v>
      </c>
      <c r="BU114" s="48">
        <f t="shared" si="753"/>
        <v>516015</v>
      </c>
      <c r="BV114" s="48">
        <f t="shared" si="753"/>
        <v>609038</v>
      </c>
      <c r="BW114" s="48">
        <f t="shared" si="753"/>
        <v>482329</v>
      </c>
      <c r="BX114" s="48">
        <f t="shared" si="753"/>
        <v>730017</v>
      </c>
      <c r="BY114" s="48">
        <f t="shared" si="753"/>
        <v>274252</v>
      </c>
      <c r="BZ114" s="48">
        <f t="shared" si="753"/>
        <v>685169</v>
      </c>
      <c r="CA114" s="48">
        <f t="shared" si="753"/>
        <v>680510</v>
      </c>
      <c r="CB114" s="48">
        <f t="shared" si="753"/>
        <v>841213</v>
      </c>
      <c r="CC114" s="48">
        <f t="shared" si="753"/>
        <v>565918.00000000023</v>
      </c>
      <c r="CD114" s="48">
        <f t="shared" ref="CD114:DI114" si="754">CC115</f>
        <v>903850.00000000023</v>
      </c>
      <c r="CE114" s="48">
        <f t="shared" si="754"/>
        <v>1593333</v>
      </c>
      <c r="CF114" s="48">
        <f t="shared" si="754"/>
        <v>1055991</v>
      </c>
      <c r="CG114" s="48">
        <f t="shared" si="754"/>
        <v>1198409.0000000005</v>
      </c>
      <c r="CH114" s="48">
        <f t="shared" si="754"/>
        <v>1020309</v>
      </c>
      <c r="CI114" s="48">
        <f t="shared" si="754"/>
        <v>3422604.0000000005</v>
      </c>
      <c r="CJ114" s="48">
        <f t="shared" si="754"/>
        <v>2518462</v>
      </c>
      <c r="CK114" s="48">
        <f t="shared" si="754"/>
        <v>2456488.0000000005</v>
      </c>
      <c r="CL114" s="48">
        <f t="shared" si="754"/>
        <v>1957619.9999999995</v>
      </c>
      <c r="CM114" s="48">
        <f t="shared" si="754"/>
        <v>1814204.9999999995</v>
      </c>
      <c r="CN114" s="48">
        <f t="shared" si="754"/>
        <v>1778149.9999999998</v>
      </c>
      <c r="CO114" s="48">
        <f t="shared" si="754"/>
        <v>1091588</v>
      </c>
      <c r="CP114" s="48">
        <f t="shared" si="754"/>
        <v>1049830</v>
      </c>
      <c r="CQ114" s="48">
        <f t="shared" si="754"/>
        <v>809363.9999999993</v>
      </c>
      <c r="CR114" s="48">
        <f t="shared" si="754"/>
        <v>1018624.9999999999</v>
      </c>
      <c r="CS114" s="48">
        <f t="shared" si="754"/>
        <v>2326307</v>
      </c>
      <c r="CT114" s="48">
        <f t="shared" si="754"/>
        <v>2371052</v>
      </c>
      <c r="CU114" s="48">
        <f t="shared" si="754"/>
        <v>2564294.9999999991</v>
      </c>
      <c r="CV114" s="48">
        <f t="shared" si="754"/>
        <v>3104267</v>
      </c>
      <c r="CW114" s="48">
        <f t="shared" si="754"/>
        <v>2200819</v>
      </c>
      <c r="CX114" s="48">
        <f t="shared" si="754"/>
        <v>1880413.71</v>
      </c>
      <c r="CY114" s="48">
        <f t="shared" si="754"/>
        <v>1862349.8700000006</v>
      </c>
      <c r="CZ114" s="48">
        <f t="shared" si="754"/>
        <v>2094684.6699999995</v>
      </c>
      <c r="DA114" s="48">
        <f t="shared" si="754"/>
        <v>1478972.9099999997</v>
      </c>
      <c r="DB114" s="48">
        <f t="shared" si="754"/>
        <v>16244488.270000001</v>
      </c>
      <c r="DC114" s="48">
        <f t="shared" si="754"/>
        <v>14508405.910000002</v>
      </c>
      <c r="DD114" s="48">
        <f t="shared" si="754"/>
        <v>13554211.420000002</v>
      </c>
      <c r="DE114" s="48">
        <f t="shared" si="754"/>
        <v>13513986.57</v>
      </c>
      <c r="DF114" s="48">
        <f t="shared" si="754"/>
        <v>12733605.9</v>
      </c>
      <c r="DG114" s="48">
        <f t="shared" si="754"/>
        <v>11946238.790000001</v>
      </c>
      <c r="DH114" s="48">
        <f t="shared" si="754"/>
        <v>11668910.180000002</v>
      </c>
      <c r="DI114" s="48">
        <f t="shared" si="754"/>
        <v>10625697.259999998</v>
      </c>
      <c r="DJ114" s="48">
        <f t="shared" ref="DJ114:DN114" si="755">DI115</f>
        <v>9741402.1877967548</v>
      </c>
      <c r="DK114" s="48">
        <f t="shared" si="755"/>
        <v>14657634.539999999</v>
      </c>
      <c r="DL114" s="48">
        <f t="shared" si="755"/>
        <v>13372565.019999998</v>
      </c>
      <c r="DM114" s="48">
        <f t="shared" si="755"/>
        <v>12983481.700000003</v>
      </c>
      <c r="DN114" s="48">
        <f t="shared" si="755"/>
        <v>12171162.170000004</v>
      </c>
      <c r="DO114" s="48">
        <f t="shared" ref="DO114:DS114" si="756">DN115</f>
        <v>10616371.91</v>
      </c>
      <c r="DP114" s="48">
        <f t="shared" si="756"/>
        <v>10026678.109999999</v>
      </c>
      <c r="DQ114" s="48">
        <f t="shared" si="756"/>
        <v>9613613.3599999994</v>
      </c>
      <c r="DR114" s="48">
        <f t="shared" si="756"/>
        <v>8505448.3900000006</v>
      </c>
      <c r="DS114" s="48">
        <f t="shared" si="756"/>
        <v>7927932.2400000012</v>
      </c>
      <c r="DT114" s="48">
        <f t="shared" ref="DT114:ED114" si="757">DS115</f>
        <v>8765841.2500000019</v>
      </c>
      <c r="DU114" s="48">
        <f t="shared" si="757"/>
        <v>8310817.6400000006</v>
      </c>
      <c r="DV114" s="48">
        <f t="shared" si="757"/>
        <v>12024752.77</v>
      </c>
      <c r="DW114" s="48">
        <f t="shared" si="757"/>
        <v>10392750.890000001</v>
      </c>
      <c r="DX114" s="48">
        <f t="shared" si="757"/>
        <v>9923628.0000000037</v>
      </c>
      <c r="DY114" s="593">
        <f t="shared" si="757"/>
        <v>9047234</v>
      </c>
      <c r="DZ114" s="48">
        <f t="shared" si="757"/>
        <v>8442636.9970905259</v>
      </c>
      <c r="EA114" s="48">
        <f t="shared" si="757"/>
        <v>9129620.5600000005</v>
      </c>
      <c r="EB114" s="48">
        <f t="shared" si="757"/>
        <v>7920374.9900000002</v>
      </c>
      <c r="EC114" s="48">
        <f t="shared" si="757"/>
        <v>7017717.7000000002</v>
      </c>
      <c r="ED114" s="48">
        <f t="shared" si="757"/>
        <v>6130834.8700000001</v>
      </c>
      <c r="EE114" s="48">
        <f t="shared" ref="EE114:EO114" si="758">ED115</f>
        <v>6464107.8099999996</v>
      </c>
      <c r="EF114" s="48">
        <f t="shared" si="758"/>
        <v>5559138.8300000001</v>
      </c>
      <c r="EG114" s="48">
        <f t="shared" si="758"/>
        <v>6089186.7224634904</v>
      </c>
      <c r="EH114" s="48">
        <f t="shared" si="758"/>
        <v>5673591.8027059287</v>
      </c>
      <c r="EI114" s="48">
        <f t="shared" si="758"/>
        <v>5295596.6294021904</v>
      </c>
      <c r="EJ114" s="48">
        <f t="shared" si="758"/>
        <v>4633664.0963715902</v>
      </c>
      <c r="EK114" s="593">
        <f t="shared" si="758"/>
        <v>4671824.5761107868</v>
      </c>
      <c r="EL114" s="593">
        <f t="shared" si="758"/>
        <v>4143324.3771296595</v>
      </c>
      <c r="EM114" s="593">
        <f t="shared" si="758"/>
        <v>4385626.7420543507</v>
      </c>
      <c r="EN114" s="593">
        <f t="shared" si="758"/>
        <v>3197701.6310328082</v>
      </c>
      <c r="EO114" s="593">
        <f t="shared" si="758"/>
        <v>2605792.4845970962</v>
      </c>
      <c r="EP114" s="593">
        <f t="shared" ref="EP114:EX114" si="759">EO115</f>
        <v>2759175.6884436202</v>
      </c>
      <c r="EQ114" s="593">
        <f t="shared" si="759"/>
        <v>2468764.0496096662</v>
      </c>
      <c r="ER114" s="593">
        <f t="shared" si="759"/>
        <v>2353140.2950251303</v>
      </c>
      <c r="ES114" s="12">
        <f t="shared" si="759"/>
        <v>3130310.5620051571</v>
      </c>
      <c r="ET114" s="12">
        <f t="shared" si="759"/>
        <v>4255112.0310622267</v>
      </c>
      <c r="EU114" s="12">
        <f t="shared" si="759"/>
        <v>3428321.744589733</v>
      </c>
      <c r="EV114" s="12">
        <f t="shared" si="759"/>
        <v>3045742.2727231313</v>
      </c>
      <c r="EW114" s="12">
        <f>EV115</f>
        <v>2351182.9401169037</v>
      </c>
      <c r="EX114" s="12">
        <f t="shared" si="759"/>
        <v>4672940.0991020948</v>
      </c>
      <c r="EY114" s="12">
        <f t="shared" ref="EY114:FF114" si="760">EX115</f>
        <v>3906031.7634248561</v>
      </c>
      <c r="EZ114" s="12">
        <f t="shared" si="760"/>
        <v>3099115.2867071331</v>
      </c>
      <c r="FA114" s="12">
        <f t="shared" si="760"/>
        <v>2832541.2929573487</v>
      </c>
      <c r="FB114" s="12">
        <f t="shared" si="760"/>
        <v>2467098.4919532258</v>
      </c>
      <c r="FC114" s="12">
        <f t="shared" si="760"/>
        <v>2427631.8500138093</v>
      </c>
      <c r="FD114" s="12">
        <f t="shared" si="760"/>
        <v>2537064.2252016244</v>
      </c>
      <c r="FE114" s="12">
        <f t="shared" si="760"/>
        <v>3301624.9456113754</v>
      </c>
      <c r="FF114" s="12">
        <f t="shared" si="760"/>
        <v>3285212.9272379032</v>
      </c>
      <c r="FG114" s="12">
        <f t="shared" ref="FG114:FK114" si="761">FF115</f>
        <v>2603949.8638108401</v>
      </c>
      <c r="FH114" s="12">
        <f t="shared" si="761"/>
        <v>2430217.6833325583</v>
      </c>
      <c r="FI114" s="12">
        <f t="shared" si="761"/>
        <v>1775501.8466863176</v>
      </c>
      <c r="FJ114" s="12">
        <f t="shared" si="761"/>
        <v>3096169.7488773288</v>
      </c>
      <c r="FK114" s="451">
        <f t="shared" si="761"/>
        <v>3146355.31614932</v>
      </c>
      <c r="FL114" s="12"/>
      <c r="FM114" s="12"/>
      <c r="FN114"/>
      <c r="FO114"/>
      <c r="FP114"/>
      <c r="FQ114"/>
      <c r="FR114"/>
      <c r="FS114"/>
      <c r="FT114"/>
    </row>
    <row r="115" spans="2:176" s="1" customFormat="1" x14ac:dyDescent="0.35">
      <c r="C115" s="46" t="s">
        <v>161</v>
      </c>
      <c r="F115" s="47">
        <f>G114</f>
        <v>1200000</v>
      </c>
      <c r="G115" s="47">
        <f t="shared" ref="G115:K115" si="762">G112+G114</f>
        <v>-5142350</v>
      </c>
      <c r="H115" s="47">
        <f t="shared" si="762"/>
        <v>903850</v>
      </c>
      <c r="I115" s="47">
        <f t="shared" si="762"/>
        <v>1049830.0000000005</v>
      </c>
      <c r="J115" s="47">
        <f t="shared" si="762"/>
        <v>16244488.270000001</v>
      </c>
      <c r="K115" s="47">
        <f t="shared" si="762"/>
        <v>12171162.170000004</v>
      </c>
      <c r="L115" s="47">
        <f>L112+L114</f>
        <v>8442636.9970905241</v>
      </c>
      <c r="M115" s="47">
        <f ca="1">M112+M114</f>
        <v>4143324.3771296591</v>
      </c>
      <c r="N115" s="47">
        <f ca="1">N112+N114</f>
        <v>4672940.0991020938</v>
      </c>
      <c r="O115" s="47">
        <f>O112+O114</f>
        <v>3096169.7488773298</v>
      </c>
      <c r="P115" s="47">
        <f t="shared" si="747"/>
        <v>3146355.31614932</v>
      </c>
      <c r="R115" s="48">
        <f>R81</f>
        <v>841800</v>
      </c>
      <c r="S115" s="48">
        <f>S114+S112</f>
        <v>2290800</v>
      </c>
      <c r="T115" s="48">
        <f>T114+T112</f>
        <v>3738800</v>
      </c>
      <c r="U115" s="48">
        <f>U81</f>
        <v>1150398</v>
      </c>
      <c r="V115" s="48">
        <f>V114+V112</f>
        <v>516015</v>
      </c>
      <c r="W115" s="48">
        <f>W114+W112</f>
        <v>730017</v>
      </c>
      <c r="X115" s="48">
        <f>X114+X112</f>
        <v>680510</v>
      </c>
      <c r="Y115" s="48">
        <f>Y114+Y112</f>
        <v>903850.00000000023</v>
      </c>
      <c r="Z115" s="48">
        <f>Z114+Z112</f>
        <v>1198409.0000000005</v>
      </c>
      <c r="AA115" s="48">
        <f t="shared" ref="AA115:AG115" si="763">AA114+AA112</f>
        <v>2518462</v>
      </c>
      <c r="AB115" s="48">
        <f t="shared" si="763"/>
        <v>1814204.9999999995</v>
      </c>
      <c r="AC115" s="48">
        <f t="shared" si="763"/>
        <v>1049830.0000000002</v>
      </c>
      <c r="AD115" s="48">
        <f>AD114+AD112</f>
        <v>2326307</v>
      </c>
      <c r="AE115" s="48">
        <f t="shared" si="763"/>
        <v>3104267</v>
      </c>
      <c r="AF115" s="48">
        <f t="shared" si="763"/>
        <v>1862349.8700000006</v>
      </c>
      <c r="AG115" s="48">
        <f t="shared" si="763"/>
        <v>16244488.270000001</v>
      </c>
      <c r="AH115" s="48">
        <f t="shared" ref="AH115:AO115" si="764">AH112+AH114</f>
        <v>13513986.57</v>
      </c>
      <c r="AI115" s="48">
        <f t="shared" si="764"/>
        <v>11668910.18</v>
      </c>
      <c r="AJ115" s="48">
        <f t="shared" si="764"/>
        <v>14657634.539999997</v>
      </c>
      <c r="AK115" s="48">
        <f t="shared" si="764"/>
        <v>12171162.170000002</v>
      </c>
      <c r="AL115" s="48">
        <f>AL112+AL114</f>
        <v>9613613.3599999957</v>
      </c>
      <c r="AM115" s="48">
        <f>AM112+AM114</f>
        <v>8765841.2499999981</v>
      </c>
      <c r="AN115" s="48">
        <f>AN112+AN114</f>
        <v>10392750.889999997</v>
      </c>
      <c r="AO115" s="48">
        <f t="shared" si="764"/>
        <v>8442636.9970905203</v>
      </c>
      <c r="AP115" s="48">
        <f>AP112+AP114</f>
        <v>7017717.6999999955</v>
      </c>
      <c r="AQ115" s="48">
        <f t="shared" ref="AQ115:AS115" ca="1" si="765">AQ112+AQ114</f>
        <v>5559138.8299999954</v>
      </c>
      <c r="AR115" s="48">
        <f ca="1">AR112+AR114</f>
        <v>5295596.6294021867</v>
      </c>
      <c r="AS115" s="48">
        <f t="shared" ca="1" si="765"/>
        <v>4143324.3771296563</v>
      </c>
      <c r="AT115" s="48">
        <f t="shared" ref="AT115" ca="1" si="766">AT112+AT114</f>
        <v>2605792.4845970934</v>
      </c>
      <c r="AU115" s="48">
        <f>EP115</f>
        <v>2468764.0496096662</v>
      </c>
      <c r="AV115" s="48">
        <f>ET115</f>
        <v>3428321.744589733</v>
      </c>
      <c r="AW115" s="48">
        <f>EW115</f>
        <v>4672940.0991020948</v>
      </c>
      <c r="AX115" s="48">
        <f>EZ115</f>
        <v>2832541.2929573487</v>
      </c>
      <c r="AY115" s="48">
        <f>FB115</f>
        <v>2427631.8500138093</v>
      </c>
      <c r="AZ115" s="48">
        <f>FF115</f>
        <v>2603949.8638108401</v>
      </c>
      <c r="BA115" s="48">
        <f>FI115</f>
        <v>3096169.7488773288</v>
      </c>
      <c r="BB115" s="47">
        <f>FK115</f>
        <v>4773852.065736643</v>
      </c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>
        <f>BR114+BR112</f>
        <v>1163323</v>
      </c>
      <c r="BS115" s="48">
        <f>BS114+BS112</f>
        <v>787372</v>
      </c>
      <c r="BT115" s="48">
        <f>BT114+BT112</f>
        <v>516015</v>
      </c>
      <c r="BU115" s="48">
        <f>BU114+BU112</f>
        <v>609038</v>
      </c>
      <c r="BV115" s="48">
        <f t="shared" ref="BV115:CA115" si="767">BV114+BV112</f>
        <v>482329</v>
      </c>
      <c r="BW115" s="48">
        <f t="shared" si="767"/>
        <v>730017</v>
      </c>
      <c r="BX115" s="48">
        <f t="shared" si="767"/>
        <v>274252</v>
      </c>
      <c r="BY115" s="48">
        <f t="shared" si="767"/>
        <v>685169</v>
      </c>
      <c r="BZ115" s="48">
        <f t="shared" si="767"/>
        <v>680510</v>
      </c>
      <c r="CA115" s="48">
        <f t="shared" si="767"/>
        <v>841213</v>
      </c>
      <c r="CB115" s="48">
        <f>CB114+CB112</f>
        <v>565918.00000000023</v>
      </c>
      <c r="CC115" s="48">
        <f t="shared" ref="CC115:CH115" si="768">CC114+CC112</f>
        <v>903850.00000000023</v>
      </c>
      <c r="CD115" s="48">
        <f t="shared" si="768"/>
        <v>1593333</v>
      </c>
      <c r="CE115" s="48">
        <f t="shared" si="768"/>
        <v>1055991</v>
      </c>
      <c r="CF115" s="48">
        <f t="shared" si="768"/>
        <v>1198409.0000000005</v>
      </c>
      <c r="CG115" s="48">
        <f t="shared" si="768"/>
        <v>1020309</v>
      </c>
      <c r="CH115" s="48">
        <f t="shared" si="768"/>
        <v>3422604.0000000005</v>
      </c>
      <c r="CI115" s="48">
        <f t="shared" ref="CI115:CO115" si="769">CI114+CI112</f>
        <v>2518462</v>
      </c>
      <c r="CJ115" s="48">
        <f t="shared" si="769"/>
        <v>2456488.0000000005</v>
      </c>
      <c r="CK115" s="48">
        <f t="shared" si="769"/>
        <v>1957619.9999999995</v>
      </c>
      <c r="CL115" s="48">
        <f t="shared" si="769"/>
        <v>1814204.9999999995</v>
      </c>
      <c r="CM115" s="48">
        <f t="shared" si="769"/>
        <v>1778149.9999999998</v>
      </c>
      <c r="CN115" s="48">
        <f t="shared" si="769"/>
        <v>1091588</v>
      </c>
      <c r="CO115" s="48">
        <f t="shared" si="769"/>
        <v>1049830</v>
      </c>
      <c r="CP115" s="48">
        <f>CP114+CP112</f>
        <v>809363.9999999993</v>
      </c>
      <c r="CQ115" s="48">
        <f t="shared" ref="CQ115:CV115" si="770">CQ114+CQ112</f>
        <v>1018624.9999999999</v>
      </c>
      <c r="CR115" s="48">
        <f t="shared" si="770"/>
        <v>2326307</v>
      </c>
      <c r="CS115" s="48">
        <f t="shared" si="770"/>
        <v>2371052</v>
      </c>
      <c r="CT115" s="48">
        <f t="shared" si="770"/>
        <v>2564294.9999999991</v>
      </c>
      <c r="CU115" s="48">
        <f t="shared" si="770"/>
        <v>3104267</v>
      </c>
      <c r="CV115" s="48">
        <f t="shared" si="770"/>
        <v>2200819</v>
      </c>
      <c r="CW115" s="48">
        <f t="shared" ref="CW115:DC115" si="771">CW114+CW112</f>
        <v>1880413.71</v>
      </c>
      <c r="CX115" s="48">
        <f t="shared" si="771"/>
        <v>1862349.8700000006</v>
      </c>
      <c r="CY115" s="48">
        <f t="shared" si="771"/>
        <v>2094684.6699999995</v>
      </c>
      <c r="CZ115" s="48">
        <f t="shared" si="771"/>
        <v>1478972.9099999997</v>
      </c>
      <c r="DA115" s="48">
        <f t="shared" si="771"/>
        <v>16244488.270000001</v>
      </c>
      <c r="DB115" s="48">
        <f>DB114+DB112</f>
        <v>14508405.910000002</v>
      </c>
      <c r="DC115" s="48">
        <f t="shared" si="771"/>
        <v>13554211.420000002</v>
      </c>
      <c r="DD115" s="48">
        <f t="shared" ref="DD115:DI115" si="772">DD114+DD112</f>
        <v>13513986.57</v>
      </c>
      <c r="DE115" s="48">
        <f t="shared" si="772"/>
        <v>12733605.9</v>
      </c>
      <c r="DF115" s="48">
        <f t="shared" si="772"/>
        <v>11946238.790000001</v>
      </c>
      <c r="DG115" s="48">
        <f t="shared" si="772"/>
        <v>11668910.180000002</v>
      </c>
      <c r="DH115" s="48">
        <f t="shared" si="772"/>
        <v>10625697.259999998</v>
      </c>
      <c r="DI115" s="48">
        <f t="shared" si="772"/>
        <v>9741402.1877967548</v>
      </c>
      <c r="DJ115" s="48">
        <f t="shared" ref="DJ115:DN115" si="773">DJ114+DJ112</f>
        <v>14657634.539999999</v>
      </c>
      <c r="DK115" s="48">
        <f t="shared" si="773"/>
        <v>13372565.019999998</v>
      </c>
      <c r="DL115" s="48">
        <f t="shared" si="773"/>
        <v>12983481.700000003</v>
      </c>
      <c r="DM115" s="48">
        <f>DM114+DM112</f>
        <v>12171162.170000004</v>
      </c>
      <c r="DN115" s="48">
        <f t="shared" si="773"/>
        <v>10616371.91</v>
      </c>
      <c r="DO115" s="48">
        <f t="shared" ref="DO115:DS115" si="774">DO114+DO112</f>
        <v>10026678.109999999</v>
      </c>
      <c r="DP115" s="48">
        <f t="shared" si="774"/>
        <v>9613613.3599999994</v>
      </c>
      <c r="DQ115" s="48">
        <f t="shared" si="774"/>
        <v>8505448.3900000006</v>
      </c>
      <c r="DR115" s="48">
        <f t="shared" si="774"/>
        <v>7927932.2400000012</v>
      </c>
      <c r="DS115" s="48">
        <f t="shared" si="774"/>
        <v>8765841.2500000019</v>
      </c>
      <c r="DT115" s="48">
        <f t="shared" ref="DT115:DY115" si="775">DT114+DT112</f>
        <v>8310817.6400000006</v>
      </c>
      <c r="DU115" s="48">
        <f t="shared" si="775"/>
        <v>12024752.77</v>
      </c>
      <c r="DV115" s="48">
        <f t="shared" si="775"/>
        <v>10392750.890000001</v>
      </c>
      <c r="DW115" s="48">
        <f t="shared" si="775"/>
        <v>9923628.0000000037</v>
      </c>
      <c r="DX115" s="48">
        <f t="shared" si="775"/>
        <v>9047234</v>
      </c>
      <c r="DY115" s="593">
        <f t="shared" si="775"/>
        <v>8442636.9970905259</v>
      </c>
      <c r="DZ115" s="48">
        <f t="shared" ref="DZ115:EA115" si="776">DZ114+DZ112</f>
        <v>9129620.5600000005</v>
      </c>
      <c r="EA115" s="48">
        <f t="shared" si="776"/>
        <v>7920374.9900000002</v>
      </c>
      <c r="EB115" s="48">
        <f t="shared" ref="EB115:EC115" si="777">EB114+EB112</f>
        <v>7017717.7000000002</v>
      </c>
      <c r="EC115" s="48">
        <f t="shared" si="777"/>
        <v>6130834.8700000001</v>
      </c>
      <c r="ED115" s="48">
        <f t="shared" ref="ED115" si="778">ED114+ED112</f>
        <v>6464107.8099999996</v>
      </c>
      <c r="EE115" s="48">
        <f t="shared" ref="EE115:EI115" si="779">EE114+EE112</f>
        <v>5559138.8300000001</v>
      </c>
      <c r="EF115" s="48">
        <f t="shared" si="779"/>
        <v>6089186.7224634904</v>
      </c>
      <c r="EG115" s="48">
        <f t="shared" si="779"/>
        <v>5673591.8027059287</v>
      </c>
      <c r="EH115" s="48">
        <f t="shared" si="779"/>
        <v>5295596.6294021904</v>
      </c>
      <c r="EI115" s="48">
        <f t="shared" si="779"/>
        <v>4633664.0963715902</v>
      </c>
      <c r="EJ115" s="48">
        <f t="shared" ref="EJ115:EO115" si="780">EJ114+EJ112</f>
        <v>4671824.5761107868</v>
      </c>
      <c r="EK115" s="593">
        <f>EK114+EK112</f>
        <v>4143324.3771296595</v>
      </c>
      <c r="EL115" s="593">
        <f>EL114+EL112</f>
        <v>4385626.7420543507</v>
      </c>
      <c r="EM115" s="593">
        <f t="shared" si="780"/>
        <v>3197701.6310328082</v>
      </c>
      <c r="EN115" s="593">
        <f t="shared" si="780"/>
        <v>2605792.4845970962</v>
      </c>
      <c r="EO115" s="593">
        <f t="shared" si="780"/>
        <v>2759175.6884436202</v>
      </c>
      <c r="EP115" s="593">
        <f t="shared" ref="EP115:EU115" si="781">EP114+EP112</f>
        <v>2468764.0496096662</v>
      </c>
      <c r="EQ115" s="593">
        <f t="shared" si="781"/>
        <v>2353140.2950251303</v>
      </c>
      <c r="ER115" s="593">
        <f t="shared" si="781"/>
        <v>3130310.5620051571</v>
      </c>
      <c r="ES115" s="593">
        <f t="shared" si="781"/>
        <v>4255112.0310622267</v>
      </c>
      <c r="ET115" s="593">
        <f t="shared" si="781"/>
        <v>3428321.744589733</v>
      </c>
      <c r="EU115" s="593">
        <f t="shared" si="781"/>
        <v>3045742.2727231313</v>
      </c>
      <c r="EV115" s="593">
        <f t="shared" ref="EV115" si="782">EV114+EV112</f>
        <v>2351182.9401169037</v>
      </c>
      <c r="EW115" s="593">
        <f>EW114+EW112</f>
        <v>4672940.0991020948</v>
      </c>
      <c r="EX115" s="593">
        <f>EX114+EX112</f>
        <v>3906031.7634248561</v>
      </c>
      <c r="EY115" s="593">
        <f t="shared" ref="EY115:EZ115" si="783">EY114+EY112</f>
        <v>3099115.2867071331</v>
      </c>
      <c r="EZ115" s="593">
        <f t="shared" si="783"/>
        <v>2832541.2929573487</v>
      </c>
      <c r="FA115" s="593">
        <f t="shared" ref="FA115" si="784">FA114+FA112</f>
        <v>2467098.4919532258</v>
      </c>
      <c r="FB115" s="593">
        <f>FB114+FB112</f>
        <v>2427631.8500138093</v>
      </c>
      <c r="FC115" s="593">
        <f>FC114+FC112</f>
        <v>2537064.2252016244</v>
      </c>
      <c r="FD115" s="593">
        <f>FD114+FD112</f>
        <v>3301624.9456113754</v>
      </c>
      <c r="FE115" s="593">
        <f>FE114+FE112</f>
        <v>3285212.9272379032</v>
      </c>
      <c r="FF115" s="593">
        <f>FF114+FF112</f>
        <v>2603949.8638108401</v>
      </c>
      <c r="FG115" s="593">
        <f t="shared" ref="FG115:FI115" si="785">FG114+FG112</f>
        <v>2430217.6833325583</v>
      </c>
      <c r="FH115" s="593">
        <f t="shared" si="785"/>
        <v>1775501.8466863176</v>
      </c>
      <c r="FI115" s="593">
        <f t="shared" si="785"/>
        <v>3096169.7488773288</v>
      </c>
      <c r="FJ115" s="593">
        <f t="shared" ref="FJ115:FK115" si="786">FJ114+FJ112</f>
        <v>3146355.31614932</v>
      </c>
      <c r="FK115" s="772">
        <f t="shared" si="786"/>
        <v>4773852.065736643</v>
      </c>
      <c r="FL115" s="593"/>
      <c r="FM115" s="593"/>
      <c r="FN115"/>
      <c r="FO115"/>
      <c r="FP115"/>
      <c r="FQ115"/>
      <c r="FR115"/>
      <c r="FS115"/>
      <c r="FT115"/>
    </row>
    <row r="116" spans="2:176" s="1" customFormat="1" x14ac:dyDescent="0.35">
      <c r="C116" s="46"/>
      <c r="F116" s="47"/>
      <c r="G116" s="47"/>
      <c r="H116" s="47"/>
      <c r="I116" s="47"/>
      <c r="J116" s="47"/>
      <c r="K116" s="47"/>
      <c r="R116" s="48"/>
      <c r="S116" s="48"/>
      <c r="T116" s="48"/>
      <c r="U116" s="48"/>
      <c r="V116" s="53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11"/>
      <c r="AY116" s="48"/>
      <c r="AZ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53"/>
      <c r="BY116" s="48"/>
      <c r="BZ116" s="48"/>
      <c r="CA116" s="48"/>
      <c r="CB116" s="48"/>
      <c r="CC116" s="48"/>
      <c r="CD116" s="48"/>
      <c r="CE116" s="48"/>
      <c r="DK116" s="12"/>
      <c r="DL116" s="12"/>
      <c r="DT116" s="48"/>
      <c r="DU116" s="48"/>
      <c r="DV116" s="48"/>
      <c r="DW116" s="48"/>
      <c r="DX116" s="12"/>
      <c r="DY116" s="511"/>
      <c r="EB116" s="48"/>
      <c r="EC116" s="48"/>
      <c r="ED116" s="48"/>
      <c r="EE116" s="48"/>
      <c r="EF116" s="48"/>
      <c r="EK116" s="594"/>
      <c r="EL116" s="594"/>
      <c r="EM116" s="594"/>
      <c r="EN116" s="487"/>
      <c r="EO116" s="487"/>
      <c r="EP116" s="594"/>
      <c r="EQ116" s="594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 s="384"/>
      <c r="FL116"/>
      <c r="FM116"/>
      <c r="FN116"/>
      <c r="FO116"/>
      <c r="FP116"/>
      <c r="FQ116"/>
      <c r="FR116"/>
      <c r="FS116"/>
      <c r="FT116"/>
    </row>
    <row r="117" spans="2:176" s="1" customFormat="1" x14ac:dyDescent="0.35">
      <c r="C117" s="46" t="s">
        <v>162</v>
      </c>
      <c r="F117" s="47"/>
      <c r="G117" s="47"/>
      <c r="H117" s="47"/>
      <c r="I117" s="47"/>
      <c r="J117" s="47"/>
      <c r="K117" s="47"/>
      <c r="R117" s="48"/>
      <c r="S117" s="48"/>
      <c r="T117" s="48"/>
      <c r="U117" s="48"/>
      <c r="V117" s="48">
        <f>BT117</f>
        <v>516015</v>
      </c>
      <c r="W117" s="48">
        <f>BW117</f>
        <v>730017</v>
      </c>
      <c r="X117" s="48">
        <f>BZ117</f>
        <v>680510</v>
      </c>
      <c r="Y117" s="48">
        <f>CC117</f>
        <v>903850</v>
      </c>
      <c r="Z117" s="48">
        <f>CF117</f>
        <v>1198409</v>
      </c>
      <c r="AA117" s="48">
        <f>CI117</f>
        <v>2518462</v>
      </c>
      <c r="AB117" s="48">
        <f>CL117</f>
        <v>1814205</v>
      </c>
      <c r="AC117" s="48">
        <f>CO117</f>
        <v>1049830</v>
      </c>
      <c r="AD117" s="48">
        <f>CR117</f>
        <v>2326307</v>
      </c>
      <c r="AE117" s="48">
        <f>CU117</f>
        <v>3104267</v>
      </c>
      <c r="AF117" s="48">
        <f>CX117</f>
        <v>1862349.87</v>
      </c>
      <c r="AG117" s="48">
        <f>DA117</f>
        <v>16244488.270000001</v>
      </c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11"/>
      <c r="AY117" s="48"/>
      <c r="AZ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>
        <v>1163323</v>
      </c>
      <c r="BS117" s="48">
        <v>787372</v>
      </c>
      <c r="BT117" s="48">
        <v>516015</v>
      </c>
      <c r="BU117" s="48">
        <v>609038</v>
      </c>
      <c r="BV117" s="48">
        <v>482329</v>
      </c>
      <c r="BW117" s="48">
        <v>730017</v>
      </c>
      <c r="BX117" s="48">
        <v>274252</v>
      </c>
      <c r="BY117" s="48">
        <v>685169</v>
      </c>
      <c r="BZ117" s="48">
        <v>680510</v>
      </c>
      <c r="CA117" s="48">
        <v>841213</v>
      </c>
      <c r="CB117" s="48">
        <v>565918</v>
      </c>
      <c r="CC117" s="48">
        <v>903850</v>
      </c>
      <c r="CD117" s="48">
        <v>1593333</v>
      </c>
      <c r="CE117" s="48">
        <v>1055991</v>
      </c>
      <c r="CF117" s="48">
        <f>1103409+95000</f>
        <v>1198409</v>
      </c>
      <c r="CG117" s="48">
        <f>1020309</f>
        <v>1020309</v>
      </c>
      <c r="CH117" s="48">
        <f>3311777+29648+81179</f>
        <v>3422604</v>
      </c>
      <c r="CI117" s="48">
        <f>2471034+75811-28383</f>
        <v>2518462</v>
      </c>
      <c r="CJ117" s="48">
        <f>2485993-29505</f>
        <v>2456488</v>
      </c>
      <c r="CK117" s="48">
        <f>1918181-25967+65406</f>
        <v>1957620</v>
      </c>
      <c r="CL117" s="48">
        <f>1844793-30588</f>
        <v>1814205</v>
      </c>
      <c r="CM117" s="48">
        <f>1700210+103854-25914</f>
        <v>1778150</v>
      </c>
      <c r="CN117" s="48">
        <f>953902+162956-25270</f>
        <v>1091588</v>
      </c>
      <c r="CO117" s="48">
        <v>1049830</v>
      </c>
      <c r="CP117" s="48">
        <f>763826+75996-30458</f>
        <v>809364</v>
      </c>
      <c r="CQ117" s="48">
        <f>1100408-58895-22888</f>
        <v>1018625</v>
      </c>
      <c r="CR117" s="48">
        <f>2345009-18702</f>
        <v>2326307</v>
      </c>
      <c r="CS117" s="48">
        <f>2382689-11637</f>
        <v>2371052</v>
      </c>
      <c r="CT117" s="48">
        <f>2571272-6977</f>
        <v>2564295</v>
      </c>
      <c r="CU117" s="48">
        <f>3103558+709</f>
        <v>3104267</v>
      </c>
      <c r="CV117" s="48">
        <v>2200819</v>
      </c>
      <c r="CW117" s="48">
        <v>1880413.7100000002</v>
      </c>
      <c r="CX117" s="48">
        <f>1887910.87-25561</f>
        <v>1862349.87</v>
      </c>
      <c r="CY117" s="48">
        <f>2098692.67-4008</f>
        <v>2094684.67</v>
      </c>
      <c r="CZ117" s="48">
        <f>1480007.91-1035</f>
        <v>1478972.91</v>
      </c>
      <c r="DA117" s="48">
        <v>16244488.270000001</v>
      </c>
      <c r="DB117" s="48">
        <f>14520169.91-11764</f>
        <v>14508405.91</v>
      </c>
      <c r="DC117" s="48">
        <f>13538856.71+15355</f>
        <v>13554211.710000001</v>
      </c>
      <c r="DD117" s="48">
        <f>13482354.57+31632</f>
        <v>13513986.57</v>
      </c>
      <c r="DE117" s="48">
        <f>12754314.9-20709</f>
        <v>12733605.9</v>
      </c>
      <c r="DF117" s="48">
        <f>11975913.79-29675</f>
        <v>11946238.789999999</v>
      </c>
      <c r="DG117" s="48">
        <f>11687998.18-19088</f>
        <v>11668910.18</v>
      </c>
      <c r="DH117" s="48">
        <f>10637722.26-12025</f>
        <v>10625697.26</v>
      </c>
      <c r="DI117" s="48">
        <f>9780718.69-39316.5022032448</f>
        <v>9741402.1877967548</v>
      </c>
      <c r="DJ117" s="48">
        <f>14690406.54-32772</f>
        <v>14657634.539999999</v>
      </c>
      <c r="DK117" s="12">
        <f>13406238.02-33673</f>
        <v>13372565.02</v>
      </c>
      <c r="DL117" s="48">
        <f>13017481.7-34000</f>
        <v>12983481.699999999</v>
      </c>
      <c r="DM117" s="48">
        <v>12171162.170000004</v>
      </c>
      <c r="DN117" s="48">
        <f>10656076.91-39705</f>
        <v>10616371.91</v>
      </c>
      <c r="DO117" s="48">
        <f>10047776.11-21098</f>
        <v>10026678.109999999</v>
      </c>
      <c r="DP117" s="48">
        <f>9601068.36+12545</f>
        <v>9613613.3599999994</v>
      </c>
      <c r="DQ117" s="48">
        <f>8528774.34-23325.95</f>
        <v>8505448.3900000006</v>
      </c>
      <c r="DR117" s="48">
        <f>7969136.24-41204</f>
        <v>7927932.2400000002</v>
      </c>
      <c r="DS117" s="48">
        <f>8795192.05-29350.8</f>
        <v>8765841.25</v>
      </c>
      <c r="DT117" s="48">
        <f>8313232.64-2415</f>
        <v>8310817.6399999997</v>
      </c>
      <c r="DU117" s="48">
        <f>12102430.77-77678</f>
        <v>12024752.77</v>
      </c>
      <c r="DV117" s="48">
        <f>10443354.89-27728-22876</f>
        <v>10392750.890000001</v>
      </c>
      <c r="DW117" s="48">
        <f>9946394-22766</f>
        <v>9923628</v>
      </c>
      <c r="DX117" s="48">
        <f>9065518-18284</f>
        <v>9047234</v>
      </c>
      <c r="DY117" s="593">
        <v>8442636.9970905259</v>
      </c>
      <c r="DZ117" s="48">
        <f>9170159.56-40539</f>
        <v>9129620.5600000005</v>
      </c>
      <c r="EA117" s="48">
        <f>7947102.99-26728</f>
        <v>7920374.9900000002</v>
      </c>
      <c r="EB117" s="48">
        <f>7050253.7-32536</f>
        <v>7017717.7000000002</v>
      </c>
      <c r="EC117" s="48">
        <f>6140030.87-9196</f>
        <v>6130834.8700000001</v>
      </c>
      <c r="ED117" s="48">
        <f>6466420.81-2313</f>
        <v>6464107.8099999996</v>
      </c>
      <c r="EE117" s="48">
        <f>5555249.83+3889</f>
        <v>5559138.8300000001</v>
      </c>
      <c r="EF117" s="48">
        <f>6086923.72246349+2263</f>
        <v>6089186.7224634904</v>
      </c>
      <c r="EG117" s="48">
        <f>5667830.87270593+5760.93</f>
        <v>5673591.8027059296</v>
      </c>
      <c r="EH117" s="48">
        <v>5295596.6294021904</v>
      </c>
      <c r="EI117" s="12">
        <f>4581953.19637159+51710.9</f>
        <v>4633664.0963715902</v>
      </c>
      <c r="EJ117" s="12">
        <f>4645318.39408073+26506.1820300563</f>
        <v>4671824.5761107868</v>
      </c>
      <c r="EK117" s="511">
        <f>4137601.13049967+5723.24662998971</f>
        <v>4143324.3771296595</v>
      </c>
      <c r="EL117" s="511">
        <f>4421165.95117803-35539.2091236794</f>
        <v>4385626.7420543507</v>
      </c>
      <c r="EM117" s="511">
        <f>3254233.38-56531.7489671917</f>
        <v>3197701.6310328082</v>
      </c>
      <c r="EN117" s="511">
        <f>2632362.18754199-26569.7029448939</f>
        <v>2605792.4845970962</v>
      </c>
      <c r="EO117" s="511">
        <f>2778751.83676858-19576.14832496</f>
        <v>2759175.6884436202</v>
      </c>
      <c r="EP117" s="511">
        <f>2468183.92044976+580.129159906559</f>
        <v>2468764.0496096662</v>
      </c>
      <c r="EQ117" s="511">
        <f>2388036.28720759-34895.9921824599</f>
        <v>2353140.2950251303</v>
      </c>
      <c r="ER117" s="12">
        <f>3155573.24-25262.6779948433</f>
        <v>3130310.5620051571</v>
      </c>
      <c r="ES117" s="12">
        <f>4269667.93261626-14555.9015540332</f>
        <v>4255112.0310622267</v>
      </c>
      <c r="ET117" s="12">
        <f>3406425.13+21896.6145897333</f>
        <v>3428321.744589733</v>
      </c>
      <c r="EU117" s="12">
        <f>3016552.98+29189.2927231315</f>
        <v>3045742.2727231313</v>
      </c>
      <c r="EV117" s="12">
        <f>2356157.46871165-4974.52859474681</f>
        <v>2351182.9401169033</v>
      </c>
      <c r="EW117" s="12">
        <f>4726056.58-53116.4808979044</f>
        <v>4672940.0991020957</v>
      </c>
      <c r="EX117" s="12">
        <f>3851685.54+54346.2234248561</f>
        <v>3906031.7634248561</v>
      </c>
      <c r="EY117" s="12">
        <f>3015164.28335278+83951.0033543529</f>
        <v>3099115.2867071331</v>
      </c>
      <c r="EZ117" s="12">
        <f>EZ115+EZ104</f>
        <v>2832541.2929573487</v>
      </c>
      <c r="FA117" s="12">
        <f>2344040.07819684+123058.413756386</f>
        <v>2467098.4919532258</v>
      </c>
      <c r="FB117" s="12">
        <v>2427631.8500138111</v>
      </c>
      <c r="FC117" s="12">
        <f t="shared" ref="FC117:FG117" si="787">FC81</f>
        <v>2537064.2252016263</v>
      </c>
      <c r="FD117" s="12">
        <f t="shared" si="787"/>
        <v>3301624.9456113772</v>
      </c>
      <c r="FE117" s="12">
        <f t="shared" si="787"/>
        <v>3285212.9272379051</v>
      </c>
      <c r="FF117" s="12">
        <f t="shared" si="787"/>
        <v>2603949.8638108419</v>
      </c>
      <c r="FG117" s="12">
        <f t="shared" si="787"/>
        <v>2430217.6833325624</v>
      </c>
      <c r="FH117" s="12">
        <f>FH81</f>
        <v>1775501.8466863192</v>
      </c>
      <c r="FI117" s="12">
        <f>FI81</f>
        <v>3096169.7488773288</v>
      </c>
      <c r="FJ117" s="12">
        <f>FJ81</f>
        <v>3146355.31614932</v>
      </c>
      <c r="FK117" s="451">
        <f>FK81</f>
        <v>4773852.065736643</v>
      </c>
      <c r="FL117" s="12"/>
      <c r="FM117" s="12"/>
      <c r="FN117"/>
      <c r="FO117"/>
      <c r="FP117"/>
      <c r="FQ117"/>
      <c r="FR117"/>
      <c r="FS117"/>
      <c r="FT117"/>
    </row>
    <row r="118" spans="2:176" s="1" customFormat="1" x14ac:dyDescent="0.35">
      <c r="C118" s="46" t="s">
        <v>151</v>
      </c>
      <c r="F118" s="47"/>
      <c r="G118" s="47"/>
      <c r="H118" s="47"/>
      <c r="I118" s="47"/>
      <c r="J118" s="47"/>
      <c r="K118" s="47"/>
      <c r="R118" s="48"/>
      <c r="S118" s="48"/>
      <c r="T118" s="48"/>
      <c r="U118" s="48"/>
      <c r="V118" s="53">
        <f t="shared" ref="V118:AF118" si="788">V115-V117</f>
        <v>0</v>
      </c>
      <c r="W118" s="53">
        <f t="shared" si="788"/>
        <v>0</v>
      </c>
      <c r="X118" s="53">
        <f t="shared" si="788"/>
        <v>0</v>
      </c>
      <c r="Y118" s="53">
        <f t="shared" si="788"/>
        <v>0</v>
      </c>
      <c r="Z118" s="53">
        <f t="shared" si="788"/>
        <v>0</v>
      </c>
      <c r="AA118" s="53">
        <f t="shared" si="788"/>
        <v>0</v>
      </c>
      <c r="AB118" s="53">
        <f t="shared" si="788"/>
        <v>0</v>
      </c>
      <c r="AC118" s="53">
        <f t="shared" si="788"/>
        <v>0</v>
      </c>
      <c r="AD118" s="53">
        <f t="shared" si="788"/>
        <v>0</v>
      </c>
      <c r="AE118" s="53">
        <f t="shared" si="788"/>
        <v>0</v>
      </c>
      <c r="AF118" s="53">
        <f t="shared" si="788"/>
        <v>0</v>
      </c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53">
        <f>BR115-BR117</f>
        <v>0</v>
      </c>
      <c r="BS118" s="53">
        <f t="shared" ref="BS118:CC118" si="789">BS115-BS117</f>
        <v>0</v>
      </c>
      <c r="BT118" s="53">
        <f t="shared" si="789"/>
        <v>0</v>
      </c>
      <c r="BU118" s="53">
        <f t="shared" si="789"/>
        <v>0</v>
      </c>
      <c r="BV118" s="53">
        <f t="shared" si="789"/>
        <v>0</v>
      </c>
      <c r="BW118" s="53">
        <f>BW115-BW117</f>
        <v>0</v>
      </c>
      <c r="BX118" s="53">
        <f t="shared" si="789"/>
        <v>0</v>
      </c>
      <c r="BY118" s="53">
        <f t="shared" si="789"/>
        <v>0</v>
      </c>
      <c r="BZ118" s="53">
        <f t="shared" si="789"/>
        <v>0</v>
      </c>
      <c r="CA118" s="53">
        <f>CA115-CA117</f>
        <v>0</v>
      </c>
      <c r="CB118" s="53">
        <f>CB115-CB117</f>
        <v>0</v>
      </c>
      <c r="CC118" s="53">
        <f t="shared" si="789"/>
        <v>0</v>
      </c>
      <c r="CD118" s="123">
        <f t="shared" ref="CD118:CI118" si="790">CD115-CD117</f>
        <v>0</v>
      </c>
      <c r="CE118" s="123">
        <f t="shared" si="790"/>
        <v>0</v>
      </c>
      <c r="CF118" s="123">
        <f t="shared" si="790"/>
        <v>0</v>
      </c>
      <c r="CG118" s="124">
        <f t="shared" si="790"/>
        <v>0</v>
      </c>
      <c r="CH118" s="124">
        <f t="shared" si="790"/>
        <v>0</v>
      </c>
      <c r="CI118" s="123">
        <f t="shared" si="790"/>
        <v>0</v>
      </c>
      <c r="CJ118" s="123">
        <f t="shared" ref="CJ118:CP118" si="791">CJ115-CJ117</f>
        <v>0</v>
      </c>
      <c r="CK118" s="123">
        <f t="shared" si="791"/>
        <v>0</v>
      </c>
      <c r="CL118" s="124">
        <f t="shared" si="791"/>
        <v>0</v>
      </c>
      <c r="CM118" s="123">
        <f t="shared" si="791"/>
        <v>0</v>
      </c>
      <c r="CN118" s="222">
        <f>CN115-CN117</f>
        <v>0</v>
      </c>
      <c r="CO118" s="124">
        <f t="shared" si="791"/>
        <v>0</v>
      </c>
      <c r="CP118" s="124">
        <f t="shared" si="791"/>
        <v>0</v>
      </c>
      <c r="CQ118" s="310">
        <f t="shared" ref="CQ118:CV118" si="792">CQ115-CQ117</f>
        <v>0</v>
      </c>
      <c r="CR118" s="123">
        <f t="shared" si="792"/>
        <v>0</v>
      </c>
      <c r="CS118" s="123">
        <f t="shared" si="792"/>
        <v>0</v>
      </c>
      <c r="CT118" s="124">
        <f t="shared" si="792"/>
        <v>0</v>
      </c>
      <c r="CU118" s="123">
        <f t="shared" si="792"/>
        <v>0</v>
      </c>
      <c r="CV118" s="123">
        <f t="shared" si="792"/>
        <v>0</v>
      </c>
      <c r="CW118" s="123">
        <f t="shared" ref="CW118:DP118" si="793">CW115-CW117</f>
        <v>0</v>
      </c>
      <c r="CX118" s="123">
        <f t="shared" si="793"/>
        <v>0</v>
      </c>
      <c r="CY118" s="53">
        <f t="shared" si="793"/>
        <v>0</v>
      </c>
      <c r="CZ118" s="317">
        <f t="shared" si="793"/>
        <v>0</v>
      </c>
      <c r="DA118" s="124">
        <f t="shared" si="793"/>
        <v>0</v>
      </c>
      <c r="DB118" s="48">
        <f t="shared" si="793"/>
        <v>0</v>
      </c>
      <c r="DC118" s="48">
        <f t="shared" si="793"/>
        <v>-0.28999999910593033</v>
      </c>
      <c r="DD118" s="48">
        <f t="shared" si="793"/>
        <v>0</v>
      </c>
      <c r="DE118" s="48">
        <f t="shared" si="793"/>
        <v>0</v>
      </c>
      <c r="DF118" s="48">
        <f t="shared" si="793"/>
        <v>0</v>
      </c>
      <c r="DG118" s="48">
        <f t="shared" si="793"/>
        <v>0</v>
      </c>
      <c r="DH118" s="48">
        <f t="shared" si="793"/>
        <v>0</v>
      </c>
      <c r="DI118" s="48">
        <f t="shared" si="793"/>
        <v>0</v>
      </c>
      <c r="DJ118" s="53">
        <f t="shared" si="793"/>
        <v>0</v>
      </c>
      <c r="DK118" s="53">
        <f t="shared" si="793"/>
        <v>0</v>
      </c>
      <c r="DL118" s="53">
        <f t="shared" si="793"/>
        <v>0</v>
      </c>
      <c r="DM118" s="53">
        <f>DM115-DM117</f>
        <v>0</v>
      </c>
      <c r="DN118" s="48">
        <f t="shared" si="793"/>
        <v>0</v>
      </c>
      <c r="DO118" s="48">
        <f t="shared" si="793"/>
        <v>0</v>
      </c>
      <c r="DP118" s="310">
        <f t="shared" si="793"/>
        <v>0</v>
      </c>
      <c r="DQ118" s="426">
        <f t="shared" ref="DQ118:DR118" si="794">DQ115-DQ117</f>
        <v>0</v>
      </c>
      <c r="DR118" s="426">
        <f t="shared" si="794"/>
        <v>0</v>
      </c>
      <c r="DS118" s="48">
        <f t="shared" ref="DS118:DY118" si="795">DS115-DS117</f>
        <v>0</v>
      </c>
      <c r="DT118" s="53">
        <f t="shared" si="795"/>
        <v>0</v>
      </c>
      <c r="DU118" s="53">
        <f t="shared" si="795"/>
        <v>0</v>
      </c>
      <c r="DV118" s="53">
        <f t="shared" si="795"/>
        <v>0</v>
      </c>
      <c r="DW118" s="53">
        <f t="shared" si="795"/>
        <v>0</v>
      </c>
      <c r="DX118" s="53">
        <f t="shared" si="795"/>
        <v>0</v>
      </c>
      <c r="DY118" s="602">
        <f t="shared" si="795"/>
        <v>0</v>
      </c>
      <c r="DZ118" s="53">
        <f t="shared" ref="DZ118:EI118" si="796">DZ115-DZ117</f>
        <v>0</v>
      </c>
      <c r="EA118" s="48">
        <f t="shared" si="796"/>
        <v>0</v>
      </c>
      <c r="EB118" s="48">
        <f t="shared" si="796"/>
        <v>0</v>
      </c>
      <c r="EC118" s="48">
        <f t="shared" si="796"/>
        <v>0</v>
      </c>
      <c r="ED118" s="48">
        <f t="shared" si="796"/>
        <v>0</v>
      </c>
      <c r="EE118" s="48">
        <f t="shared" si="796"/>
        <v>0</v>
      </c>
      <c r="EF118" s="476">
        <f t="shared" si="796"/>
        <v>0</v>
      </c>
      <c r="EG118" s="476">
        <f t="shared" si="796"/>
        <v>0</v>
      </c>
      <c r="EH118" s="476">
        <f t="shared" si="796"/>
        <v>0</v>
      </c>
      <c r="EI118" s="476">
        <f t="shared" si="796"/>
        <v>0</v>
      </c>
      <c r="EJ118" s="476">
        <f t="shared" ref="EJ118:EO118" si="797">EJ115-EJ117</f>
        <v>0</v>
      </c>
      <c r="EK118" s="580">
        <f t="shared" si="797"/>
        <v>0</v>
      </c>
      <c r="EL118" s="580">
        <f t="shared" si="797"/>
        <v>0</v>
      </c>
      <c r="EM118" s="580">
        <f t="shared" si="797"/>
        <v>0</v>
      </c>
      <c r="EN118" s="580">
        <f t="shared" si="797"/>
        <v>0</v>
      </c>
      <c r="EO118" s="580">
        <f t="shared" si="797"/>
        <v>0</v>
      </c>
      <c r="EP118" s="580">
        <f t="shared" ref="EP118:EV118" si="798">EP115-EP117</f>
        <v>0</v>
      </c>
      <c r="EQ118" s="580">
        <f t="shared" si="798"/>
        <v>0</v>
      </c>
      <c r="ER118" s="580">
        <f t="shared" si="798"/>
        <v>0</v>
      </c>
      <c r="ES118" s="619">
        <f t="shared" si="798"/>
        <v>0</v>
      </c>
      <c r="ET118" s="619">
        <f t="shared" si="798"/>
        <v>0</v>
      </c>
      <c r="EU118" s="619">
        <f t="shared" si="798"/>
        <v>0</v>
      </c>
      <c r="EV118" s="619">
        <f t="shared" si="798"/>
        <v>0</v>
      </c>
      <c r="EW118" s="619">
        <f t="shared" ref="EW118" si="799">EW115-EW117</f>
        <v>0</v>
      </c>
      <c r="EX118" s="580">
        <f>EX115-EX117</f>
        <v>0</v>
      </c>
      <c r="EY118" s="580">
        <f t="shared" ref="EY118:FA118" si="800">EY115-EY117</f>
        <v>0</v>
      </c>
      <c r="EZ118" s="580">
        <f t="shared" si="800"/>
        <v>0</v>
      </c>
      <c r="FA118" s="580">
        <f t="shared" si="800"/>
        <v>0</v>
      </c>
      <c r="FB118" s="580">
        <f>FB115-FB117</f>
        <v>0</v>
      </c>
      <c r="FC118" s="619">
        <f>FC115-FC117</f>
        <v>0</v>
      </c>
      <c r="FD118" s="580">
        <f>FD115-FD117</f>
        <v>0</v>
      </c>
      <c r="FE118" s="580">
        <f>FE115-FE117</f>
        <v>0</v>
      </c>
      <c r="FF118" s="580">
        <f>FF115-FF117</f>
        <v>0</v>
      </c>
      <c r="FG118" s="580">
        <f t="shared" ref="FG118:FI118" si="801">FG115-FG117</f>
        <v>-4.1909515857696533E-9</v>
      </c>
      <c r="FH118" s="619">
        <f t="shared" si="801"/>
        <v>0</v>
      </c>
      <c r="FI118" s="619">
        <f t="shared" si="801"/>
        <v>0</v>
      </c>
      <c r="FJ118" s="619">
        <f t="shared" ref="FJ118" si="802">FJ115-FJ117</f>
        <v>0</v>
      </c>
      <c r="FK118" s="773">
        <f>FK115-FK117</f>
        <v>0</v>
      </c>
      <c r="FL118" s="619"/>
      <c r="FM118" s="619"/>
      <c r="FN118"/>
      <c r="FO118"/>
      <c r="FP118"/>
      <c r="FQ118"/>
      <c r="FR118"/>
      <c r="FS118"/>
      <c r="FT118"/>
    </row>
    <row r="119" spans="2:176" s="1" customFormat="1" x14ac:dyDescent="0.35">
      <c r="C119" s="46"/>
      <c r="F119" s="47"/>
      <c r="G119" s="47"/>
      <c r="H119" s="47"/>
      <c r="I119" s="47"/>
      <c r="J119" s="47"/>
      <c r="K119" s="47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X119" s="19"/>
      <c r="AY119" s="48"/>
      <c r="AZ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  <c r="CA119" s="48"/>
      <c r="CB119" s="48"/>
      <c r="CC119" s="48"/>
      <c r="CD119" s="48"/>
      <c r="CE119" s="48"/>
      <c r="DK119" s="12"/>
      <c r="DL119" s="12"/>
      <c r="DM119" s="367"/>
      <c r="DN119" s="367"/>
      <c r="DO119" s="367"/>
      <c r="DP119" s="367"/>
      <c r="DQ119" s="367"/>
      <c r="DR119" s="367"/>
      <c r="DS119" s="367"/>
      <c r="DT119" s="48"/>
      <c r="DU119" s="48"/>
      <c r="DV119" s="48"/>
      <c r="DW119" s="48"/>
      <c r="DX119" s="48"/>
      <c r="DY119" s="593"/>
      <c r="EB119" s="48"/>
      <c r="EC119" s="48"/>
      <c r="ED119" s="48"/>
      <c r="EE119" s="48"/>
      <c r="EJ119" s="514"/>
      <c r="EK119" s="594"/>
      <c r="EL119" s="594"/>
      <c r="EM119" s="605"/>
      <c r="EN119" s="605"/>
      <c r="EO119" s="605"/>
      <c r="EP119" s="605"/>
      <c r="EQ119" s="605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 s="384"/>
      <c r="FL119"/>
      <c r="FM119"/>
      <c r="FN119"/>
      <c r="FO119"/>
      <c r="FP119"/>
      <c r="FQ119"/>
      <c r="FR119"/>
      <c r="FS119"/>
      <c r="FT119"/>
    </row>
    <row r="120" spans="2:176" s="1" customFormat="1" x14ac:dyDescent="0.35">
      <c r="B120" s="46" t="s">
        <v>163</v>
      </c>
      <c r="C120" s="46"/>
      <c r="F120" s="47"/>
      <c r="G120" s="47"/>
      <c r="H120" s="47"/>
      <c r="I120" s="47"/>
      <c r="J120" s="47"/>
      <c r="K120" s="47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19"/>
      <c r="AY120" s="48"/>
      <c r="AZ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  <c r="CA120" s="48"/>
      <c r="CB120" s="48"/>
      <c r="CC120" s="48"/>
      <c r="CD120" s="223"/>
      <c r="CE120" s="223"/>
      <c r="CF120" s="223"/>
      <c r="CG120" s="223"/>
      <c r="CH120" s="223"/>
      <c r="CI120" s="223"/>
      <c r="CJ120" s="223"/>
      <c r="CK120" s="223"/>
      <c r="CL120" s="223"/>
      <c r="CM120" s="223"/>
      <c r="CN120" s="223"/>
      <c r="CO120" s="223"/>
      <c r="CP120" s="223"/>
      <c r="CQ120" s="223"/>
      <c r="CR120" s="223"/>
      <c r="CS120" s="223"/>
      <c r="CT120" s="223"/>
      <c r="CU120" s="223"/>
      <c r="CV120" s="223"/>
      <c r="CW120" s="223"/>
      <c r="CX120" s="223"/>
      <c r="CY120" s="223"/>
      <c r="CZ120" s="223"/>
      <c r="DA120" s="223"/>
      <c r="DB120" s="223"/>
      <c r="DC120" s="223"/>
      <c r="DD120" s="223"/>
      <c r="DE120" s="223"/>
      <c r="DF120" s="223"/>
      <c r="DG120" s="223"/>
      <c r="DH120" s="223"/>
      <c r="DI120" s="223"/>
      <c r="DJ120" s="223"/>
      <c r="DK120" s="12"/>
      <c r="DL120" s="12"/>
      <c r="DM120" s="367"/>
      <c r="DN120" s="367"/>
      <c r="DO120" s="367"/>
      <c r="DP120" s="367"/>
      <c r="DQ120" s="367"/>
      <c r="DR120" s="367"/>
      <c r="DS120" s="367"/>
      <c r="DT120" s="48"/>
      <c r="DU120" s="48"/>
      <c r="DV120" s="48"/>
      <c r="DW120" s="48"/>
      <c r="DX120" s="48"/>
      <c r="DY120" s="593"/>
      <c r="EB120" s="48"/>
      <c r="EC120" s="470"/>
      <c r="ED120" s="470"/>
      <c r="EE120" s="470"/>
      <c r="EF120" s="606"/>
      <c r="EG120" s="606"/>
      <c r="EH120" s="606"/>
      <c r="EI120" s="606"/>
      <c r="EJ120" s="606"/>
      <c r="EK120" s="607"/>
      <c r="EL120" s="606"/>
      <c r="EM120" s="606"/>
      <c r="EN120" s="606"/>
      <c r="EO120" s="606"/>
      <c r="EP120" s="606"/>
      <c r="EQ120" s="606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 s="384"/>
      <c r="FL120"/>
      <c r="FM120"/>
      <c r="FN120"/>
      <c r="FO120"/>
      <c r="FP120"/>
      <c r="FQ120"/>
      <c r="FR120"/>
      <c r="FS120"/>
      <c r="FT120"/>
    </row>
    <row r="121" spans="2:176" s="1" customFormat="1" x14ac:dyDescent="0.35">
      <c r="B121" s="46"/>
      <c r="C121" s="46"/>
      <c r="F121" s="47"/>
      <c r="G121" s="47"/>
      <c r="H121" s="47"/>
      <c r="I121" s="47"/>
      <c r="J121" s="47"/>
      <c r="K121" s="47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19"/>
      <c r="AY121" s="48"/>
      <c r="AZ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/>
      <c r="CB121" s="48"/>
      <c r="CC121" s="48"/>
      <c r="CD121" s="48"/>
      <c r="CE121" s="48"/>
      <c r="DK121" s="12"/>
      <c r="DL121" s="12"/>
      <c r="DT121" s="48"/>
      <c r="DU121" s="48"/>
      <c r="DV121" s="48"/>
      <c r="DW121" s="48"/>
      <c r="DX121" s="48"/>
      <c r="DY121" s="593"/>
      <c r="DZ121" s="223"/>
      <c r="EA121" s="223"/>
      <c r="EB121" s="48"/>
      <c r="EC121" s="48"/>
      <c r="ED121" s="48"/>
      <c r="EE121" s="48"/>
      <c r="EK121" s="594"/>
      <c r="EL121" s="594"/>
      <c r="EN121" s="487"/>
      <c r="EO121" s="594"/>
      <c r="EP121" s="594"/>
      <c r="EQ121" s="594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 s="384"/>
      <c r="FL121"/>
      <c r="FM121"/>
      <c r="FN121"/>
      <c r="FO121"/>
      <c r="FP121"/>
      <c r="FQ121"/>
      <c r="FR121"/>
      <c r="FS121"/>
      <c r="FT121"/>
    </row>
    <row r="122" spans="2:176" s="1" customFormat="1" x14ac:dyDescent="0.35">
      <c r="B122"/>
      <c r="C122" s="10" t="s">
        <v>164</v>
      </c>
      <c r="D122"/>
      <c r="E122"/>
      <c r="F122" s="19"/>
      <c r="G122" s="19"/>
      <c r="H122" s="19"/>
      <c r="I122" s="19"/>
      <c r="J122" s="19"/>
      <c r="K122" s="19"/>
      <c r="L122"/>
      <c r="M122"/>
      <c r="N122"/>
      <c r="O122"/>
      <c r="P122"/>
      <c r="Q122"/>
      <c r="R122" s="20"/>
      <c r="S122" s="20"/>
      <c r="T122" s="20"/>
      <c r="U122" s="20"/>
      <c r="V122" s="20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19"/>
      <c r="AY122" s="48"/>
      <c r="AZ122" s="48"/>
      <c r="BA122"/>
      <c r="BB122"/>
      <c r="BC122"/>
      <c r="BD122"/>
      <c r="BE122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20"/>
      <c r="BS122" s="48"/>
      <c r="BT122" s="20"/>
      <c r="BU122" s="48"/>
      <c r="BV122" s="48"/>
      <c r="BW122" s="48"/>
      <c r="BX122" s="48"/>
      <c r="BY122" s="48"/>
      <c r="BZ122" s="48"/>
      <c r="CA122" s="48"/>
      <c r="CB122" s="48"/>
      <c r="CC122" s="48"/>
      <c r="CD122" s="48"/>
      <c r="CE122" s="48"/>
      <c r="DK122" s="12"/>
      <c r="DL122" s="12"/>
      <c r="DY122" s="594"/>
      <c r="EB122" s="48"/>
      <c r="EC122" s="48"/>
      <c r="ED122" s="48"/>
      <c r="EE122" s="48"/>
      <c r="EK122" s="594"/>
      <c r="EL122" s="594"/>
      <c r="EM122" s="594"/>
      <c r="EN122" s="487"/>
      <c r="EO122" s="594"/>
      <c r="EP122" s="594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 s="384"/>
      <c r="FL122"/>
      <c r="FM122"/>
      <c r="FN122"/>
      <c r="FO122"/>
      <c r="FP122"/>
      <c r="FQ122"/>
      <c r="FR122"/>
      <c r="FS122"/>
      <c r="FT122"/>
    </row>
    <row r="123" spans="2:176" s="1" customFormat="1" x14ac:dyDescent="0.35">
      <c r="B123"/>
      <c r="C123" t="s">
        <v>165</v>
      </c>
      <c r="D123"/>
      <c r="E123"/>
      <c r="F123" s="19"/>
      <c r="G123" s="19"/>
      <c r="H123" s="19"/>
      <c r="I123" s="19"/>
      <c r="J123" s="19"/>
      <c r="K123" s="19">
        <f>SUM(DB123:DM123)</f>
        <v>-647006.44999999995</v>
      </c>
      <c r="L123" s="19">
        <f>SUM(DN123:DY123)</f>
        <v>51785.449999999721</v>
      </c>
      <c r="M123" s="19">
        <f>SUM(DZ123:EK123)</f>
        <v>-107130.42838315619</v>
      </c>
      <c r="N123" s="19">
        <f ca="1">SUM(AT123:AW123)</f>
        <v>280608.31838315655</v>
      </c>
      <c r="O123" s="19">
        <f>SUM(AX123:BA123)</f>
        <v>179285.94746820093</v>
      </c>
      <c r="P123" s="19">
        <f>SUM(FJ123:FK123)</f>
        <v>-119928.66007319547</v>
      </c>
      <c r="Q123"/>
      <c r="R123" s="20"/>
      <c r="S123" s="20"/>
      <c r="T123" s="20"/>
      <c r="U123" s="20"/>
      <c r="V123" s="20">
        <f t="shared" ref="V123:V128" si="803">SUM(BR123:BT123)</f>
        <v>-97599</v>
      </c>
      <c r="W123" s="20">
        <f t="shared" ref="W123:W129" si="804">SUM(BU123:BW123)</f>
        <v>-125754</v>
      </c>
      <c r="X123" s="20">
        <f t="shared" ref="X123:X129" si="805">SUM(BX123:BZ123)</f>
        <v>-19777</v>
      </c>
      <c r="Y123" s="20">
        <f t="shared" ref="Y123:Y128" si="806">SUM(CA123:CC123)</f>
        <v>145523</v>
      </c>
      <c r="Z123" s="20">
        <f>SUM(CD123:CF123)</f>
        <v>-155669</v>
      </c>
      <c r="AA123" s="20">
        <f t="shared" ref="AA123:AA128" si="807">SUM(CG123:CI123)</f>
        <v>147273</v>
      </c>
      <c r="AB123" s="20">
        <f t="shared" ref="AB123:AB129" si="808">SUM(CJ123:CL123)</f>
        <v>-35782</v>
      </c>
      <c r="AC123" s="20">
        <f t="shared" ref="AC123:AC129" si="809">SUM(CM123:CO123)</f>
        <v>39528</v>
      </c>
      <c r="AD123" s="20">
        <f t="shared" ref="AD123:AD129" si="810">SUM(CP123:CR123)</f>
        <v>22428</v>
      </c>
      <c r="AE123" s="20">
        <f>SUM(CS123:CU123)</f>
        <v>6048</v>
      </c>
      <c r="AF123" s="20">
        <f t="shared" ref="AF123:AF129" si="811">SUM(CV123:CX123)</f>
        <v>25418.530000000028</v>
      </c>
      <c r="AG123" s="20">
        <f t="shared" ref="AG123:AG129" si="812">SUM(CY123:DA123)</f>
        <v>-229730.27000000002</v>
      </c>
      <c r="AH123" s="20">
        <f t="shared" ref="AH123:AH129" si="813">SUM(DB123:DD123)</f>
        <v>-233586.13</v>
      </c>
      <c r="AI123" s="20">
        <f t="shared" ref="AI123:AI129" si="814">SUM(DE123:DG123)</f>
        <v>-217041.92000000016</v>
      </c>
      <c r="AJ123" s="20">
        <f t="shared" ref="AJ123:AJ129" si="815">SUM(DH123:DJ123)</f>
        <v>-22404.189999999944</v>
      </c>
      <c r="AK123" s="20">
        <f t="shared" ref="AK123:AK129" si="816">SUM(DK123:DM123)</f>
        <v>-173974.20999999985</v>
      </c>
      <c r="AL123" s="20">
        <f t="shared" ref="AL123:AL129" si="817">SUM(DN123:DP123)</f>
        <v>-129134.23999999999</v>
      </c>
      <c r="AM123" s="20">
        <f t="shared" ref="AM123:AM129" si="818">SUM(DQ123:DS123)</f>
        <v>-4590.1500000003725</v>
      </c>
      <c r="AN123" s="20">
        <f t="shared" ref="AN123:AN129" si="819">SUM(DT123:DV123)</f>
        <v>-38819.289999999804</v>
      </c>
      <c r="AO123" s="20">
        <f t="shared" ref="AO123:AO129" si="820">SUM(DW123:DY123)</f>
        <v>224329.12999999989</v>
      </c>
      <c r="AP123" s="20">
        <f t="shared" ref="AP123:AP128" si="821">SUM(DZ123:EB123)</f>
        <v>-51767.59999999986</v>
      </c>
      <c r="AQ123" s="20">
        <f t="shared" ref="AQ123:AS124" ca="1" si="822">OFFSET($DZ123,0,AQ$4)+OFFSET($EA123,0,AQ$4)+OFFSET($EB123,0,AQ$4)</f>
        <v>52811.469999999972</v>
      </c>
      <c r="AR123" s="20">
        <f t="shared" ca="1" si="822"/>
        <v>-111080.96588747506</v>
      </c>
      <c r="AS123" s="20">
        <f t="shared" ca="1" si="822"/>
        <v>2906.667504318757</v>
      </c>
      <c r="AT123" s="20">
        <f>SUM(EL123:EN123)</f>
        <v>162261.83216798049</v>
      </c>
      <c r="AU123" s="20">
        <f t="shared" ref="AU123:AU129" ca="1" si="823">OFFSET($EL123,0,AU$4)+OFFSET($EM123,0,AU$4)+OFFSET($EN123,0,AU$4)</f>
        <v>56665.868256204296</v>
      </c>
      <c r="AV123" s="20">
        <f>SUM(ER123:ET123)</f>
        <v>129764.18108563009</v>
      </c>
      <c r="AW123" s="20">
        <f>SUM(EU123:EW123)</f>
        <v>-68083.563126658322</v>
      </c>
      <c r="AX123" s="20">
        <f>SUM(EX123:EZ123)</f>
        <v>-229439.29000000004</v>
      </c>
      <c r="AY123" s="20">
        <f>SUM(FA123:FC123)</f>
        <v>241832.30649457523</v>
      </c>
      <c r="AZ123" s="20">
        <f>SUM(FD123:FF123)</f>
        <v>6430.4471981592942</v>
      </c>
      <c r="BA123" s="20">
        <f t="shared" ref="BA123:BA129" si="824">SUM(FG123:FI123)</f>
        <v>160462.48377546645</v>
      </c>
      <c r="BB123" s="20">
        <f>SUM(FJ123:FM123)</f>
        <v>-119928.66007319547</v>
      </c>
      <c r="BC123" s="20"/>
      <c r="BD123" s="20"/>
      <c r="BE123" s="20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20">
        <f>-BR75+U75</f>
        <v>-134583</v>
      </c>
      <c r="BS123" s="20">
        <f t="shared" ref="BS123:CC123" si="825">-BS75+BR75</f>
        <v>43888</v>
      </c>
      <c r="BT123" s="20">
        <f t="shared" si="825"/>
        <v>-6904</v>
      </c>
      <c r="BU123" s="20">
        <f t="shared" si="825"/>
        <v>68365</v>
      </c>
      <c r="BV123" s="20">
        <f t="shared" si="825"/>
        <v>-117253</v>
      </c>
      <c r="BW123" s="20">
        <f t="shared" si="825"/>
        <v>-76866</v>
      </c>
      <c r="BX123" s="20">
        <f t="shared" si="825"/>
        <v>27356</v>
      </c>
      <c r="BY123" s="20">
        <f t="shared" si="825"/>
        <v>-21967</v>
      </c>
      <c r="BZ123" s="20">
        <f t="shared" si="825"/>
        <v>-25166</v>
      </c>
      <c r="CA123" s="20">
        <f t="shared" si="825"/>
        <v>49683</v>
      </c>
      <c r="CB123" s="20">
        <f t="shared" si="825"/>
        <v>11039</v>
      </c>
      <c r="CC123" s="20">
        <f t="shared" si="825"/>
        <v>84801</v>
      </c>
      <c r="CD123" s="20">
        <f t="shared" ref="CD123:DA123" si="826">-CD75+CC75</f>
        <v>63159</v>
      </c>
      <c r="CE123" s="20">
        <f t="shared" si="826"/>
        <v>-122156</v>
      </c>
      <c r="CF123" s="20">
        <f t="shared" si="826"/>
        <v>-96672</v>
      </c>
      <c r="CG123" s="20">
        <f t="shared" si="826"/>
        <v>153923</v>
      </c>
      <c r="CH123" s="20">
        <f t="shared" si="826"/>
        <v>12340</v>
      </c>
      <c r="CI123" s="20">
        <f t="shared" si="826"/>
        <v>-18990</v>
      </c>
      <c r="CJ123" s="20">
        <f t="shared" si="826"/>
        <v>30080</v>
      </c>
      <c r="CK123" s="20">
        <f t="shared" si="826"/>
        <v>46941</v>
      </c>
      <c r="CL123" s="20">
        <f t="shared" si="826"/>
        <v>-112803</v>
      </c>
      <c r="CM123" s="20">
        <f t="shared" si="826"/>
        <v>-35456</v>
      </c>
      <c r="CN123" s="20">
        <f t="shared" si="826"/>
        <v>-32147</v>
      </c>
      <c r="CO123" s="20">
        <f>-CO75+CN75</f>
        <v>107131</v>
      </c>
      <c r="CP123" s="20">
        <f t="shared" si="826"/>
        <v>96065</v>
      </c>
      <c r="CQ123" s="20">
        <f t="shared" si="826"/>
        <v>-3234</v>
      </c>
      <c r="CR123" s="20">
        <f t="shared" si="826"/>
        <v>-70403</v>
      </c>
      <c r="CS123" s="20">
        <f t="shared" si="826"/>
        <v>-134375</v>
      </c>
      <c r="CT123" s="20">
        <f t="shared" si="826"/>
        <v>74054</v>
      </c>
      <c r="CU123" s="20">
        <f t="shared" si="826"/>
        <v>66369</v>
      </c>
      <c r="CV123" s="20">
        <f t="shared" si="826"/>
        <v>41365</v>
      </c>
      <c r="CW123" s="20">
        <f t="shared" si="826"/>
        <v>18001.289999999979</v>
      </c>
      <c r="CX123" s="20">
        <f t="shared" si="826"/>
        <v>-33947.759999999951</v>
      </c>
      <c r="CY123" s="20">
        <f t="shared" si="826"/>
        <v>57779.659999999974</v>
      </c>
      <c r="CZ123" s="20">
        <f t="shared" si="826"/>
        <v>-225644.52000000002</v>
      </c>
      <c r="DA123" s="20">
        <f t="shared" si="826"/>
        <v>-61865.409999999974</v>
      </c>
      <c r="DB123" s="20">
        <f t="shared" ref="DB123:DI123" si="827">-DB75+DA75</f>
        <v>36198.94</v>
      </c>
      <c r="DC123" s="20">
        <f t="shared" si="827"/>
        <v>-52685.999999999942</v>
      </c>
      <c r="DD123" s="20">
        <f t="shared" si="827"/>
        <v>-217099.07000000007</v>
      </c>
      <c r="DE123" s="20">
        <f t="shared" si="827"/>
        <v>-10306.860000000102</v>
      </c>
      <c r="DF123" s="20">
        <f t="shared" si="827"/>
        <v>-105276.14999999991</v>
      </c>
      <c r="DG123" s="20">
        <f t="shared" si="827"/>
        <v>-101458.91000000015</v>
      </c>
      <c r="DH123" s="20">
        <f t="shared" si="827"/>
        <v>93021.370000000112</v>
      </c>
      <c r="DI123" s="20">
        <f t="shared" si="827"/>
        <v>-79558.25</v>
      </c>
      <c r="DJ123" s="20">
        <f t="shared" ref="DJ123:DQ123" si="828">-DJ75+DI75</f>
        <v>-35867.310000000056</v>
      </c>
      <c r="DK123" s="20">
        <f t="shared" si="828"/>
        <v>-195171.58999999997</v>
      </c>
      <c r="DL123" s="20">
        <f t="shared" si="828"/>
        <v>57819.410000000149</v>
      </c>
      <c r="DM123" s="20">
        <f t="shared" si="828"/>
        <v>-36622.030000000028</v>
      </c>
      <c r="DN123" s="20">
        <f t="shared" si="828"/>
        <v>-20940.09999999986</v>
      </c>
      <c r="DO123" s="20">
        <f t="shared" si="828"/>
        <v>-220999.09000000032</v>
      </c>
      <c r="DP123" s="20">
        <f t="shared" si="828"/>
        <v>112804.95000000019</v>
      </c>
      <c r="DQ123" s="20">
        <f t="shared" si="828"/>
        <v>-133911.40000000014</v>
      </c>
      <c r="DR123" s="20">
        <f t="shared" ref="DR123:EE123" si="829">-DR75+DQ75</f>
        <v>9564.7200000002049</v>
      </c>
      <c r="DS123" s="20">
        <f t="shared" si="829"/>
        <v>119756.52999999956</v>
      </c>
      <c r="DT123" s="20">
        <f t="shared" si="829"/>
        <v>80159.40000000014</v>
      </c>
      <c r="DU123" s="20">
        <f t="shared" si="829"/>
        <v>55596.430000000168</v>
      </c>
      <c r="DV123" s="20">
        <f t="shared" si="829"/>
        <v>-174575.12000000011</v>
      </c>
      <c r="DW123" s="20">
        <f t="shared" si="829"/>
        <v>69868.90000000014</v>
      </c>
      <c r="DX123" s="20">
        <f t="shared" si="829"/>
        <v>100364.96999999997</v>
      </c>
      <c r="DY123" s="469">
        <f t="shared" si="829"/>
        <v>54095.259999999776</v>
      </c>
      <c r="DZ123" s="20">
        <f t="shared" si="829"/>
        <v>-109320.40999999968</v>
      </c>
      <c r="EA123" s="20">
        <f t="shared" si="829"/>
        <v>-48227.199999999953</v>
      </c>
      <c r="EB123" s="20">
        <f t="shared" si="829"/>
        <v>105780.00999999978</v>
      </c>
      <c r="EC123" s="20">
        <f t="shared" si="829"/>
        <v>15106.909999999916</v>
      </c>
      <c r="ED123" s="20">
        <f t="shared" si="829"/>
        <v>-16782.329999999842</v>
      </c>
      <c r="EE123" s="20">
        <f t="shared" si="829"/>
        <v>54486.889999999898</v>
      </c>
      <c r="EF123" s="20">
        <f t="shared" ref="EF123" si="830">-EF75+EE75</f>
        <v>68078.300957248546</v>
      </c>
      <c r="EG123" s="20">
        <f t="shared" ref="EG123:EP123" si="831">-EG75+EF75</f>
        <v>-252154.60944404476</v>
      </c>
      <c r="EH123" s="20">
        <f t="shared" si="831"/>
        <v>72995.342599321157</v>
      </c>
      <c r="EI123" s="20">
        <f t="shared" si="831"/>
        <v>-2411.9982386040501</v>
      </c>
      <c r="EJ123" s="20">
        <f t="shared" si="831"/>
        <v>78915.334126079222</v>
      </c>
      <c r="EK123" s="469">
        <f t="shared" si="831"/>
        <v>-73596.668383156415</v>
      </c>
      <c r="EL123" s="469">
        <f t="shared" si="831"/>
        <v>40250.653881719336</v>
      </c>
      <c r="EM123" s="469">
        <f t="shared" si="831"/>
        <v>-53429.732979569118</v>
      </c>
      <c r="EN123" s="469">
        <f t="shared" si="831"/>
        <v>175440.91126583028</v>
      </c>
      <c r="EO123" s="469">
        <f t="shared" si="831"/>
        <v>-74112.870525724487</v>
      </c>
      <c r="EP123" s="469">
        <f t="shared" si="831"/>
        <v>131389.80909081653</v>
      </c>
      <c r="EQ123" s="469">
        <f t="shared" ref="EQ123" si="832">-EQ75+EP75</f>
        <v>-611.07030888774898</v>
      </c>
      <c r="ER123" s="20">
        <f t="shared" ref="ER123:EW123" si="833">-ER75+EQ75</f>
        <v>82570.085310318274</v>
      </c>
      <c r="ES123" s="20">
        <f t="shared" si="833"/>
        <v>-48607.140784488758</v>
      </c>
      <c r="ET123" s="20">
        <f t="shared" si="833"/>
        <v>95801.236559800571</v>
      </c>
      <c r="EU123" s="20">
        <f>-EU75+ET75</f>
        <v>-170981.91056230711</v>
      </c>
      <c r="EV123" s="20">
        <f t="shared" si="833"/>
        <v>60483.957857516012</v>
      </c>
      <c r="EW123" s="20">
        <f t="shared" si="833"/>
        <v>42414.389578132774</v>
      </c>
      <c r="EX123" s="20">
        <f t="shared" ref="EX123:FF123" si="834">-EX75+EW75</f>
        <v>-119054.69291822403</v>
      </c>
      <c r="EY123" s="20">
        <f t="shared" si="834"/>
        <v>32089.174965786049</v>
      </c>
      <c r="EZ123" s="20">
        <f t="shared" si="834"/>
        <v>-142473.77204756206</v>
      </c>
      <c r="FA123" s="20">
        <f t="shared" si="834"/>
        <v>111397.54371846095</v>
      </c>
      <c r="FB123" s="20">
        <f t="shared" si="834"/>
        <v>155100.43049496075</v>
      </c>
      <c r="FC123" s="20">
        <f t="shared" si="834"/>
        <v>-24665.667718846467</v>
      </c>
      <c r="FD123" s="20">
        <f t="shared" si="834"/>
        <v>21452.548244700534</v>
      </c>
      <c r="FE123" s="20">
        <f t="shared" si="834"/>
        <v>95465.755807819311</v>
      </c>
      <c r="FF123" s="20">
        <f t="shared" si="834"/>
        <v>-110487.85685436055</v>
      </c>
      <c r="FG123" s="20">
        <f>-FG75+FF75</f>
        <v>170594.09911182104</v>
      </c>
      <c r="FH123" s="20">
        <f>-FH75+FG75</f>
        <v>-52951.88185426523</v>
      </c>
      <c r="FI123" s="20">
        <f>-FI75+FH75</f>
        <v>42820.266517910641</v>
      </c>
      <c r="FJ123" s="20">
        <f>-FJ75+FI75</f>
        <v>-145234.36485846422</v>
      </c>
      <c r="FK123" s="454">
        <f>-FK75+FJ75</f>
        <v>25305.704785268754</v>
      </c>
      <c r="FL123" s="20"/>
      <c r="FM123" s="20"/>
      <c r="FN123"/>
      <c r="FO123"/>
      <c r="FP123"/>
      <c r="FQ123"/>
      <c r="FR123"/>
      <c r="FS123"/>
      <c r="FT123"/>
    </row>
    <row r="124" spans="2:176" s="1" customFormat="1" x14ac:dyDescent="0.35">
      <c r="B124"/>
      <c r="C124" t="s">
        <v>166</v>
      </c>
      <c r="D124"/>
      <c r="E124"/>
      <c r="F124" s="19"/>
      <c r="G124" s="19"/>
      <c r="H124" s="19"/>
      <c r="I124" s="19"/>
      <c r="J124" s="19"/>
      <c r="K124" s="296">
        <f t="shared" ref="K124:K129" si="835">SUM(DB124:DM124)</f>
        <v>-1588155.1199999982</v>
      </c>
      <c r="L124" s="296">
        <f>SUM(DN124:DY124)</f>
        <v>-793906.72827988211</v>
      </c>
      <c r="M124" s="19">
        <f t="shared" ref="M124:M125" si="836">SUM(DZ124:EK124)</f>
        <v>-642973.28702834249</v>
      </c>
      <c r="N124" s="19">
        <f t="shared" ref="N124:N129" ca="1" si="837">SUM(AT124:AW124)</f>
        <v>-501384.94469177816</v>
      </c>
      <c r="O124" s="19">
        <f t="shared" ref="O124:O129" si="838">SUM(AX124:BA124)</f>
        <v>-245613.38550367532</v>
      </c>
      <c r="P124" s="19">
        <f t="shared" ref="P124:P129" si="839">SUM(FJ124:FK124)</f>
        <v>31066.858359854901</v>
      </c>
      <c r="Q124"/>
      <c r="R124" s="20"/>
      <c r="S124" s="20"/>
      <c r="T124" s="20"/>
      <c r="U124" s="20"/>
      <c r="V124" s="20">
        <f t="shared" si="803"/>
        <v>-328974</v>
      </c>
      <c r="W124" s="20">
        <f t="shared" si="804"/>
        <v>174031</v>
      </c>
      <c r="X124" s="20">
        <f t="shared" si="805"/>
        <v>-474148</v>
      </c>
      <c r="Y124" s="20">
        <f t="shared" si="806"/>
        <v>-246805</v>
      </c>
      <c r="Z124" s="20">
        <f t="shared" ref="Z124:Z129" si="840">SUM(CD124:CF124)</f>
        <v>253752</v>
      </c>
      <c r="AA124" s="20">
        <f t="shared" si="807"/>
        <v>-364724.29000000004</v>
      </c>
      <c r="AB124" s="20">
        <f t="shared" si="808"/>
        <v>-246703</v>
      </c>
      <c r="AC124" s="20">
        <f t="shared" si="809"/>
        <v>-63172</v>
      </c>
      <c r="AD124" s="20">
        <f t="shared" si="810"/>
        <v>-51058</v>
      </c>
      <c r="AE124" s="20">
        <f t="shared" ref="AE124:AE129" si="841">SUM(CS124:CU124)</f>
        <v>186003</v>
      </c>
      <c r="AF124" s="20">
        <f t="shared" si="811"/>
        <v>-480754.8199999996</v>
      </c>
      <c r="AG124" s="20">
        <f t="shared" si="812"/>
        <v>414692.42999999947</v>
      </c>
      <c r="AH124" s="20">
        <f t="shared" si="813"/>
        <v>116705.98999999906</v>
      </c>
      <c r="AI124" s="20">
        <f t="shared" si="814"/>
        <v>-707132.04999999888</v>
      </c>
      <c r="AJ124" s="20">
        <f t="shared" si="815"/>
        <v>-394022.47</v>
      </c>
      <c r="AK124" s="20">
        <f t="shared" si="816"/>
        <v>-603706.58999999845</v>
      </c>
      <c r="AL124" s="20">
        <f t="shared" si="817"/>
        <v>-233.40000000223517</v>
      </c>
      <c r="AM124" s="20">
        <f t="shared" si="818"/>
        <v>-357949.66999999946</v>
      </c>
      <c r="AN124" s="20">
        <f t="shared" si="819"/>
        <v>-514476.43999999925</v>
      </c>
      <c r="AO124" s="20">
        <f t="shared" si="820"/>
        <v>78752.78172011883</v>
      </c>
      <c r="AP124" s="20">
        <f t="shared" si="821"/>
        <v>-156011.91172011988</v>
      </c>
      <c r="AQ124" s="20">
        <f t="shared" ca="1" si="822"/>
        <v>12681.080000000075</v>
      </c>
      <c r="AR124" s="20">
        <f t="shared" ca="1" si="822"/>
        <v>-19261.343371551717</v>
      </c>
      <c r="AS124" s="20">
        <f t="shared" ca="1" si="822"/>
        <v>-480381.11193667096</v>
      </c>
      <c r="AT124" s="20">
        <f t="shared" ref="AT124:AT129" si="842">SUM(EL124:EN124)</f>
        <v>-197814.08014795836</v>
      </c>
      <c r="AU124" s="20">
        <f t="shared" ca="1" si="823"/>
        <v>-311613.91731301369</v>
      </c>
      <c r="AV124" s="20">
        <f t="shared" ref="AV124:AV129" si="843">SUM(ER124:ET124)</f>
        <v>392682.36350995256</v>
      </c>
      <c r="AW124" s="20">
        <f>SUM(EU124:EW124)</f>
        <v>-384639.31074075866</v>
      </c>
      <c r="AX124" s="20">
        <f t="shared" ref="AX124:AX129" si="844">SUM(EX124:EZ124)</f>
        <v>362376.83735266281</v>
      </c>
      <c r="AY124" s="20">
        <f t="shared" ref="AY124:AY129" si="845">SUM(FA124:FC124)</f>
        <v>-57231.474554954795</v>
      </c>
      <c r="AZ124" s="20">
        <f t="shared" ref="AZ124:AZ129" si="846">SUM(FD124:FF124)</f>
        <v>-349487.35975326016</v>
      </c>
      <c r="BA124" s="20">
        <f t="shared" si="824"/>
        <v>-201271.38854812318</v>
      </c>
      <c r="BB124" s="20">
        <f t="shared" ref="BB124:BB129" si="847">SUM(FJ124:FM124)</f>
        <v>31066.858359854901</v>
      </c>
      <c r="BC124" s="20"/>
      <c r="BD124" s="20"/>
      <c r="BE124" s="20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20">
        <f>-BR76-BR77-BR78+U76+U77+U78</f>
        <v>96123</v>
      </c>
      <c r="BS124" s="20">
        <f t="shared" ref="BS124:CB124" si="848">-BS76-BS77+BR76+BR77</f>
        <v>-130634</v>
      </c>
      <c r="BT124" s="20">
        <f t="shared" si="848"/>
        <v>-294463</v>
      </c>
      <c r="BU124" s="20">
        <f t="shared" si="848"/>
        <v>114524</v>
      </c>
      <c r="BV124" s="20">
        <f t="shared" si="848"/>
        <v>-31219</v>
      </c>
      <c r="BW124" s="20">
        <f t="shared" si="848"/>
        <v>90726</v>
      </c>
      <c r="BX124" s="20">
        <f t="shared" si="848"/>
        <v>-444131</v>
      </c>
      <c r="BY124" s="20">
        <f t="shared" si="848"/>
        <v>92961</v>
      </c>
      <c r="BZ124" s="20">
        <f t="shared" si="848"/>
        <v>-122978</v>
      </c>
      <c r="CA124" s="20">
        <f t="shared" si="848"/>
        <v>5280</v>
      </c>
      <c r="CB124" s="20">
        <f t="shared" si="848"/>
        <v>-65</v>
      </c>
      <c r="CC124" s="20">
        <f>-CC76-CC77+CB76+CB77</f>
        <v>-252020</v>
      </c>
      <c r="CD124" s="20">
        <f>-CD76-CD77+CC76+CC77</f>
        <v>157191</v>
      </c>
      <c r="CE124" s="20">
        <f>-CE76-CE77+CD76+CD77</f>
        <v>-109354</v>
      </c>
      <c r="CF124" s="20">
        <f>-CF76-CF77+CE76+CE77</f>
        <v>205915</v>
      </c>
      <c r="CG124" s="20">
        <f>-CG76-CG77+CF76+CF77</f>
        <v>-371091</v>
      </c>
      <c r="CH124" s="20">
        <f>-CH76-CH77+CG76+CG77-209662.69</f>
        <v>119277.31</v>
      </c>
      <c r="CI124" s="20">
        <f>-CI76-CI77+CH76+CH77+180555.4</f>
        <v>-112910.6</v>
      </c>
      <c r="CJ124" s="20">
        <f t="shared" ref="CJ124:CO124" si="849">-CJ76-CJ77+CI76+CI77</f>
        <v>71508</v>
      </c>
      <c r="CK124" s="20">
        <f t="shared" si="849"/>
        <v>-85200</v>
      </c>
      <c r="CL124" s="20">
        <f t="shared" si="849"/>
        <v>-233011</v>
      </c>
      <c r="CM124" s="20">
        <f t="shared" si="849"/>
        <v>229761</v>
      </c>
      <c r="CN124" s="20">
        <f t="shared" si="849"/>
        <v>-311536</v>
      </c>
      <c r="CO124" s="20">
        <f t="shared" si="849"/>
        <v>18603</v>
      </c>
      <c r="CP124" s="20">
        <f t="shared" ref="CP124:CW124" si="850">-CP76-CP77+CO76+CO77</f>
        <v>-386406</v>
      </c>
      <c r="CQ124" s="20">
        <f t="shared" si="850"/>
        <v>745179</v>
      </c>
      <c r="CR124" s="20">
        <f t="shared" si="850"/>
        <v>-409831</v>
      </c>
      <c r="CS124" s="20">
        <f t="shared" si="850"/>
        <v>-32471</v>
      </c>
      <c r="CT124" s="20">
        <f t="shared" si="850"/>
        <v>-278388</v>
      </c>
      <c r="CU124" s="20">
        <f t="shared" si="850"/>
        <v>496862</v>
      </c>
      <c r="CV124" s="20">
        <f t="shared" si="850"/>
        <v>-190016</v>
      </c>
      <c r="CW124" s="20">
        <f t="shared" si="850"/>
        <v>-80625.629999999888</v>
      </c>
      <c r="CX124" s="20">
        <f>-CX76-CX77+CW76+CW77</f>
        <v>-210113.18999999971</v>
      </c>
      <c r="CY124" s="20">
        <f>-CY76-CY77+CX76+CX77</f>
        <v>441811.96999999927</v>
      </c>
      <c r="CZ124" s="20">
        <f>-CZ76-CZ77+CY76+CY77</f>
        <v>7340.9500000001863</v>
      </c>
      <c r="DA124" s="20">
        <f>-DA76-DA77+CZ76+CZ77</f>
        <v>-34460.489999999991</v>
      </c>
      <c r="DB124" s="20">
        <f>-DB76-DB77+DA76+DA77</f>
        <v>-290152.21999999927</v>
      </c>
      <c r="DC124" s="20">
        <f t="shared" ref="DC124:DH124" si="851">-DC76-DC77+DB76+DB77</f>
        <v>-12538.480000000214</v>
      </c>
      <c r="DD124" s="20">
        <f t="shared" si="851"/>
        <v>419396.68999999855</v>
      </c>
      <c r="DE124" s="20">
        <f t="shared" si="851"/>
        <v>-54518.159999999916</v>
      </c>
      <c r="DF124" s="20">
        <f t="shared" si="851"/>
        <v>-381005.35000000009</v>
      </c>
      <c r="DG124" s="20">
        <f t="shared" si="851"/>
        <v>-271608.53999999887</v>
      </c>
      <c r="DH124" s="20">
        <f t="shared" si="851"/>
        <v>-333206.49</v>
      </c>
      <c r="DI124" s="20">
        <f t="shared" ref="DI124:DO124" si="852">-DI76-DI77+DH76+DH77</f>
        <v>-236704.81000000006</v>
      </c>
      <c r="DJ124" s="20">
        <f t="shared" si="852"/>
        <v>175888.83000000007</v>
      </c>
      <c r="DK124" s="20">
        <f t="shared" si="852"/>
        <v>-228404.12000000034</v>
      </c>
      <c r="DL124" s="20">
        <f t="shared" si="852"/>
        <v>-971.8199999993667</v>
      </c>
      <c r="DM124" s="20">
        <f>-DM76-DM77+DL76+DL77</f>
        <v>-374330.64999999874</v>
      </c>
      <c r="DN124" s="20">
        <f t="shared" si="852"/>
        <v>91707.489999998361</v>
      </c>
      <c r="DO124" s="20">
        <f t="shared" si="852"/>
        <v>3774.100000000326</v>
      </c>
      <c r="DP124" s="20">
        <f t="shared" ref="DP124:DT124" si="853">-DP76-DP77+DO76+DO77</f>
        <v>-95714.990000000922</v>
      </c>
      <c r="DQ124" s="20">
        <f t="shared" si="853"/>
        <v>-411930.61999999918</v>
      </c>
      <c r="DR124" s="20">
        <f t="shared" si="853"/>
        <v>147514.94999999949</v>
      </c>
      <c r="DS124" s="20">
        <f t="shared" si="853"/>
        <v>-93533.999999999767</v>
      </c>
      <c r="DT124" s="20">
        <f t="shared" si="853"/>
        <v>89845.570000000065</v>
      </c>
      <c r="DU124" s="20">
        <f t="shared" ref="DU124:DZ124" si="854">-DU76-DU77+DT76+DT77</f>
        <v>402478.15999999968</v>
      </c>
      <c r="DV124" s="20">
        <f t="shared" si="854"/>
        <v>-1006800.169999999</v>
      </c>
      <c r="DW124" s="20">
        <f t="shared" si="854"/>
        <v>251296.42999999993</v>
      </c>
      <c r="DX124" s="20">
        <f t="shared" si="854"/>
        <v>72943.169999999925</v>
      </c>
      <c r="DY124" s="469">
        <f>-DY76-DY77+DX76+DX77+164040</f>
        <v>-245486.81827988103</v>
      </c>
      <c r="DZ124" s="20">
        <f t="shared" si="854"/>
        <v>484475.4582798807</v>
      </c>
      <c r="EA124" s="20">
        <f>-EA76-EA77+DZ76+DZ77</f>
        <v>-206528.95999999996</v>
      </c>
      <c r="EB124" s="20">
        <f>-EB76-EB77+EA76+EA77</f>
        <v>-433958.41000000061</v>
      </c>
      <c r="EC124" s="20">
        <f>-EC76-EC77+EB76+EB77</f>
        <v>-131142.41999999993</v>
      </c>
      <c r="ED124" s="20">
        <f>-ED76-ED77+EC76+EC77</f>
        <v>359142.55000000028</v>
      </c>
      <c r="EE124" s="20">
        <f>-EE76-EE77+ED76+ED77</f>
        <v>-215319.05000000028</v>
      </c>
      <c r="EF124" s="20">
        <f t="shared" ref="EF124:EG124" si="855">-EF76-EF77+EE76+EE77</f>
        <v>354196.75803437037</v>
      </c>
      <c r="EG124" s="20">
        <f t="shared" si="855"/>
        <v>26448.881074899109</v>
      </c>
      <c r="EH124" s="20">
        <f t="shared" ref="EH124:EP124" si="856">-EH76-EH77+EG76+EG77</f>
        <v>-399906.9824808212</v>
      </c>
      <c r="EI124" s="20">
        <f t="shared" si="856"/>
        <v>-428848.24948573881</v>
      </c>
      <c r="EJ124" s="20">
        <f t="shared" si="856"/>
        <v>176995.53285729047</v>
      </c>
      <c r="EK124" s="469">
        <f>-EK76-EK77+EJ76+EJ77-164040</f>
        <v>-228528.39530822262</v>
      </c>
      <c r="EL124" s="469">
        <f>-EL76-EL77+EK76+EK77</f>
        <v>683585.857535352</v>
      </c>
      <c r="EM124" s="469">
        <f t="shared" si="856"/>
        <v>-590299.19536192482</v>
      </c>
      <c r="EN124" s="469">
        <f t="shared" si="856"/>
        <v>-291100.74232138554</v>
      </c>
      <c r="EO124" s="469">
        <f t="shared" si="856"/>
        <v>-150148.67287395289</v>
      </c>
      <c r="EP124" s="469">
        <f t="shared" si="856"/>
        <v>180253.73386687599</v>
      </c>
      <c r="EQ124" s="469">
        <f t="shared" ref="EQ124:ES124" si="857">-EQ76-EQ77+EP76+EP77</f>
        <v>-341718.97830593679</v>
      </c>
      <c r="ER124" s="20">
        <f t="shared" si="857"/>
        <v>487855.08697392885</v>
      </c>
      <c r="ES124" s="20">
        <f t="shared" si="857"/>
        <v>-15334.54361960059</v>
      </c>
      <c r="ET124" s="20">
        <f>-ET76-ET77+ES76+ES77</f>
        <v>-79838.1798443757</v>
      </c>
      <c r="EU124" s="20">
        <f>-EU76-EU77+ET76+ET77</f>
        <v>118265.47700798046</v>
      </c>
      <c r="EV124" s="20">
        <f>-EV76-EV77+EU76+EU77</f>
        <v>-389661.04383107647</v>
      </c>
      <c r="EW124" s="20">
        <f>-EW76-EW77+EV76+EV77+111326-53116</f>
        <v>-113243.74391766265</v>
      </c>
      <c r="EX124" s="20">
        <f t="shared" ref="EX124:FC124" si="858">-EX76-EX77+EW76+EW77</f>
        <v>-23493.221941407304</v>
      </c>
      <c r="EY124" s="20">
        <f t="shared" si="858"/>
        <v>-87512.502229767852</v>
      </c>
      <c r="EZ124" s="20">
        <f t="shared" si="858"/>
        <v>473382.56152383797</v>
      </c>
      <c r="FA124" s="20">
        <f t="shared" si="858"/>
        <v>56883.861938198563</v>
      </c>
      <c r="FB124" s="20">
        <f t="shared" si="858"/>
        <v>-84558.996690639295</v>
      </c>
      <c r="FC124" s="20">
        <f t="shared" si="858"/>
        <v>-29556.339802514063</v>
      </c>
      <c r="FD124" s="20">
        <f t="shared" ref="FD124:FJ124" si="859">-FD76-FD77+FC76+FC77</f>
        <v>-422311.44143425417</v>
      </c>
      <c r="FE124" s="20">
        <f t="shared" si="859"/>
        <v>421993.4559933506</v>
      </c>
      <c r="FF124" s="20">
        <f t="shared" si="859"/>
        <v>-349169.37431235658</v>
      </c>
      <c r="FG124" s="20">
        <f t="shared" si="859"/>
        <v>49275.011849568691</v>
      </c>
      <c r="FH124" s="20">
        <f t="shared" si="859"/>
        <v>-772942.44409972662</v>
      </c>
      <c r="FI124" s="20">
        <f>-FI76-FI77+FH76+FH77</f>
        <v>522396.04370203475</v>
      </c>
      <c r="FJ124" s="20">
        <f t="shared" si="859"/>
        <v>575959.3856083916</v>
      </c>
      <c r="FK124" s="454">
        <f>-FK76-FK77+FJ76+FJ77</f>
        <v>-544892.5272485367</v>
      </c>
      <c r="FL124" s="20"/>
      <c r="FM124" s="20"/>
      <c r="FN124"/>
      <c r="FO124"/>
      <c r="FP124"/>
      <c r="FQ124"/>
      <c r="FR124"/>
      <c r="FS124"/>
      <c r="FT124"/>
    </row>
    <row r="125" spans="2:176" s="1" customFormat="1" x14ac:dyDescent="0.35">
      <c r="B125"/>
      <c r="C125" t="s">
        <v>167</v>
      </c>
      <c r="D125"/>
      <c r="E125"/>
      <c r="F125" s="19"/>
      <c r="G125" s="19"/>
      <c r="H125" s="19"/>
      <c r="I125" s="19"/>
      <c r="J125" s="19"/>
      <c r="K125" s="19">
        <f t="shared" si="835"/>
        <v>360281.63999999873</v>
      </c>
      <c r="L125" s="19">
        <f t="shared" ref="L125" si="860">SUM(DN125:DY125)</f>
        <v>-698672.88015569572</v>
      </c>
      <c r="M125" s="19">
        <f t="shared" si="836"/>
        <v>172922.6469214258</v>
      </c>
      <c r="N125" s="19">
        <f t="shared" ca="1" si="837"/>
        <v>2025451.100470006</v>
      </c>
      <c r="O125" s="19">
        <f t="shared" si="838"/>
        <v>442942.15301956946</v>
      </c>
      <c r="P125" s="19">
        <f t="shared" si="839"/>
        <v>-701029.86159650143</v>
      </c>
      <c r="Q125"/>
      <c r="R125" s="20"/>
      <c r="S125" s="20"/>
      <c r="T125" s="20"/>
      <c r="U125" s="20"/>
      <c r="V125" s="20">
        <f t="shared" si="803"/>
        <v>-21062</v>
      </c>
      <c r="W125" s="20">
        <f t="shared" si="804"/>
        <v>29712</v>
      </c>
      <c r="X125" s="20">
        <f t="shared" si="805"/>
        <v>-18715</v>
      </c>
      <c r="Y125" s="20">
        <f t="shared" si="806"/>
        <v>-476074</v>
      </c>
      <c r="Z125" s="20">
        <f t="shared" si="840"/>
        <v>404644</v>
      </c>
      <c r="AA125" s="20">
        <f t="shared" si="807"/>
        <v>-68198</v>
      </c>
      <c r="AB125" s="20">
        <f t="shared" si="808"/>
        <v>360503</v>
      </c>
      <c r="AC125" s="20">
        <f t="shared" si="809"/>
        <v>-7645</v>
      </c>
      <c r="AD125" s="20">
        <f t="shared" si="810"/>
        <v>314460</v>
      </c>
      <c r="AE125" s="20">
        <f t="shared" si="841"/>
        <v>-199964</v>
      </c>
      <c r="AF125" s="20">
        <f t="shared" si="811"/>
        <v>-21601.570000000298</v>
      </c>
      <c r="AG125" s="20">
        <f t="shared" si="812"/>
        <v>478753.86999999982</v>
      </c>
      <c r="AH125" s="20">
        <f t="shared" si="813"/>
        <v>-915242.93352181651</v>
      </c>
      <c r="AI125" s="20">
        <f t="shared" si="814"/>
        <v>523063.25352181646</v>
      </c>
      <c r="AJ125" s="20">
        <f t="shared" si="815"/>
        <v>424782.26999999932</v>
      </c>
      <c r="AK125" s="20">
        <f t="shared" si="816"/>
        <v>327679.04999999958</v>
      </c>
      <c r="AL125" s="20">
        <f t="shared" si="817"/>
        <v>-555407.46999999962</v>
      </c>
      <c r="AM125" s="20">
        <f t="shared" si="818"/>
        <v>-10598.789999999048</v>
      </c>
      <c r="AN125" s="20">
        <f t="shared" si="819"/>
        <v>387823.93000000063</v>
      </c>
      <c r="AO125" s="20">
        <f t="shared" si="820"/>
        <v>-520490.55015569774</v>
      </c>
      <c r="AP125" s="20">
        <f t="shared" si="821"/>
        <v>16525.818392387999</v>
      </c>
      <c r="AQ125" s="20">
        <f t="shared" ref="AQ125:AR129" ca="1" si="861">OFFSET($DZ125,0,AQ$4)+OFFSET($EA125,0,AQ$4)+OFFSET($EB125,0,AQ$4)</f>
        <v>138214.08176331013</v>
      </c>
      <c r="AR125" s="20">
        <f t="shared" ca="1" si="861"/>
        <v>373811.9503678733</v>
      </c>
      <c r="AS125" s="20">
        <f>SUM(EI125:EK125)</f>
        <v>-355629.2036021456</v>
      </c>
      <c r="AT125" s="20">
        <f t="shared" si="842"/>
        <v>408391.24201559264</v>
      </c>
      <c r="AU125" s="20">
        <f t="shared" ca="1" si="823"/>
        <v>577151.66329394304</v>
      </c>
      <c r="AV125" s="20">
        <f t="shared" si="843"/>
        <v>214692.97106998583</v>
      </c>
      <c r="AW125" s="20">
        <f t="shared" ref="AW125:AW128" si="862">SUM(EU125:EW125)</f>
        <v>825215.22409048444</v>
      </c>
      <c r="AX125" s="20">
        <f t="shared" si="844"/>
        <v>-69529.561842828058</v>
      </c>
      <c r="AY125" s="20">
        <f t="shared" si="845"/>
        <v>830029.44591908506</v>
      </c>
      <c r="AZ125" s="20">
        <f t="shared" si="846"/>
        <v>-776002.73686988861</v>
      </c>
      <c r="BA125" s="20">
        <f t="shared" si="824"/>
        <v>458445.00581320107</v>
      </c>
      <c r="BB125" s="20">
        <f t="shared" si="847"/>
        <v>-701029.86159650143</v>
      </c>
      <c r="BC125" s="20"/>
      <c r="BD125" s="20"/>
      <c r="BE125" s="20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20">
        <f>-BR83-BR84+U83+U84-BR87+U87</f>
        <v>43537</v>
      </c>
      <c r="BS125" s="20">
        <f t="shared" ref="BS125:CB125" si="863">-BS83-BS84+BR83+BR84-BS87+BR87</f>
        <v>-240932</v>
      </c>
      <c r="BT125" s="20">
        <f t="shared" si="863"/>
        <v>176333</v>
      </c>
      <c r="BU125" s="20">
        <f t="shared" si="863"/>
        <v>37704</v>
      </c>
      <c r="BV125" s="20">
        <f t="shared" si="863"/>
        <v>177732</v>
      </c>
      <c r="BW125" s="20">
        <f t="shared" si="863"/>
        <v>-185724</v>
      </c>
      <c r="BX125" s="20">
        <f t="shared" si="863"/>
        <v>62282</v>
      </c>
      <c r="BY125" s="20">
        <f>-BY83-BY84+BX83+BX84-BY87+BX87</f>
        <v>90706</v>
      </c>
      <c r="BZ125" s="20">
        <f t="shared" si="863"/>
        <v>-171703</v>
      </c>
      <c r="CA125" s="20">
        <f t="shared" si="863"/>
        <v>-312485</v>
      </c>
      <c r="CB125" s="20">
        <f t="shared" si="863"/>
        <v>-158608</v>
      </c>
      <c r="CC125" s="20">
        <f>-CC83-CC84+CB83+CB84-CC87+CB87</f>
        <v>-4981</v>
      </c>
      <c r="CD125" s="20">
        <f>-CD83-CD84+CC83+CC84-CD87+CC87+13000</f>
        <v>309767</v>
      </c>
      <c r="CE125" s="20">
        <f>-CE83-CE84+CD83+CD84-CE87+CD87-40000+3000</f>
        <v>-172881</v>
      </c>
      <c r="CF125" s="20">
        <f>-CF83-CF84+CE83+CE84-CF87+CE87+9000</f>
        <v>267758</v>
      </c>
      <c r="CG125" s="20">
        <f>-CG83-CG84+CF83+CF84-CG87+CF87+12000</f>
        <v>300463</v>
      </c>
      <c r="CH125" s="20">
        <f>-CH83-CH84+CG83+CG84-CH87+CG87-2500000+939000+120000+12000</f>
        <v>743</v>
      </c>
      <c r="CI125" s="20">
        <f>-CI83-CI84+CH83+CH84-CI87+CH87-3000</f>
        <v>-369404</v>
      </c>
      <c r="CJ125" s="20">
        <f>-CJ83-CJ84+CI83+CI84-CJ87+CI87</f>
        <v>112718</v>
      </c>
      <c r="CK125" s="20">
        <f>-CK83-CK84+CJ83+CJ84-CK87+CJ87+6000</f>
        <v>-170644</v>
      </c>
      <c r="CL125" s="20">
        <f>-CL83-CL84+CK83+CK84-CL87+CK87</f>
        <v>418429</v>
      </c>
      <c r="CM125" s="20">
        <f>-CM83-CM84+CL83+CL84-CM87+CL87-80000+21000</f>
        <v>59926</v>
      </c>
      <c r="CN125" s="20">
        <f>-CN83-CN84+CM83+CM84-CN87+CM87-200000+54000</f>
        <v>-61442</v>
      </c>
      <c r="CO125" s="20">
        <f>-CO83-CO84+CN83+CN84-CO87+CN87-212000</f>
        <v>-6129</v>
      </c>
      <c r="CP125" s="20">
        <f>-CP83-CP84+CO83+CO84-CP87+CO87</f>
        <v>190571</v>
      </c>
      <c r="CQ125" s="20">
        <f>-CQ83-CQ84+CP83+CP84-CQ87+CP87</f>
        <v>-268519</v>
      </c>
      <c r="CR125" s="20">
        <f>-CR83-CR84+CQ83+CQ84-CR87+CQ87-1500000</f>
        <v>392408</v>
      </c>
      <c r="CS125" s="20">
        <f>-CS83-CS84+CR83+CR84-CS87+CR87</f>
        <v>127451</v>
      </c>
      <c r="CT125" s="20">
        <f>-CT83-CT84+CS83+CS84-CT87+CS87-30000</f>
        <v>-100795</v>
      </c>
      <c r="CU125" s="20">
        <f>-CU83-CU84+CT83+CT84-CU87+CT87-30000</f>
        <v>-226620</v>
      </c>
      <c r="CV125" s="20">
        <f>-CV83-CV84+CU83+CU84-10000</f>
        <v>-364801</v>
      </c>
      <c r="CW125" s="20">
        <f>-CW83-CW84+CV83+CV84</f>
        <v>-3508.8999999999069</v>
      </c>
      <c r="CX125" s="20">
        <f>-CX83-CX84+CW83+CW84+186391.96</f>
        <v>346708.32999999961</v>
      </c>
      <c r="CY125" s="20">
        <f>-CY83-CY84+CX83+CX84+1.42</f>
        <v>369020.02999999962</v>
      </c>
      <c r="CZ125" s="20">
        <f>-CZ83-CZ84+CY83+CY84+CZ137-CY137+2.56</f>
        <v>-123758.34999999976</v>
      </c>
      <c r="DA125" s="20">
        <f>-DA83-DA84+CZ83+CZ84+DA137-CZ137-551408.18</f>
        <v>233492.18999999994</v>
      </c>
      <c r="DB125" s="20">
        <f>-DB83-DB84+DA83+DA84+DB137-DA137-9604.91</f>
        <v>-783214.78999999992</v>
      </c>
      <c r="DC125" s="20">
        <f>-DC83-DC84+DB83+DB84+DC137-DB137+87069.7</f>
        <v>-385930.57999999967</v>
      </c>
      <c r="DD125" s="20">
        <f>-DD83-DD84+DC83+DC84+DD137-DC137+23483.92</f>
        <v>253902.43647818308</v>
      </c>
      <c r="DE125" s="20">
        <f>-DE83-DE84+DD83+DD84+DE137-DD137</f>
        <v>12357.97352181669</v>
      </c>
      <c r="DF125" s="20">
        <f>-DF83-DF84+DE83+DE84+DF137-DE137-176789.18</f>
        <v>103865.53999999998</v>
      </c>
      <c r="DG125" s="20">
        <f t="shared" ref="DG125:DL125" si="864">-DG83-DG84+DF83+DF84+DG137-DF137</f>
        <v>406839.73999999976</v>
      </c>
      <c r="DH125" s="20">
        <f t="shared" si="864"/>
        <v>-6175.1999999999534</v>
      </c>
      <c r="DI125" s="20">
        <f t="shared" si="864"/>
        <v>-112223.6322032446</v>
      </c>
      <c r="DJ125" s="20">
        <f t="shared" si="864"/>
        <v>543181.10220324388</v>
      </c>
      <c r="DK125" s="20">
        <f t="shared" si="864"/>
        <v>117851.95000000019</v>
      </c>
      <c r="DL125" s="20">
        <f t="shared" si="864"/>
        <v>160062.35999999987</v>
      </c>
      <c r="DM125" s="20">
        <f>-DM83-DM84+DL83+DL84+DM137-DL137-240981-273062</f>
        <v>49764.739999999525</v>
      </c>
      <c r="DN125" s="20">
        <f>-DN83-DN84+DM83+DM84+DN137-DM137</f>
        <v>-775142.05999999959</v>
      </c>
      <c r="DO125" s="20">
        <f t="shared" ref="DO125:DQ125" si="865">-DO83-DO84+DN83+DN84+DO137-DN137</f>
        <v>253092.39000000028</v>
      </c>
      <c r="DP125" s="20">
        <f t="shared" si="865"/>
        <v>-33357.80000000025</v>
      </c>
      <c r="DQ125" s="20">
        <f t="shared" si="865"/>
        <v>84060.679999999935</v>
      </c>
      <c r="DR125" s="20">
        <f>-DR83-DR84+DQ83+DQ84+DR137-DQ137</f>
        <v>-319696.71999999916</v>
      </c>
      <c r="DS125" s="20">
        <f>-DS83-DS84+DR83+DR84+DS137-DR137+176341.07</f>
        <v>225037.25000000017</v>
      </c>
      <c r="DT125" s="20">
        <f t="shared" ref="DT125:DZ125" si="866">-DT83-DT84+DS83+DS84+DT137-DS137</f>
        <v>-71538.210000000254</v>
      </c>
      <c r="DU125" s="20">
        <f t="shared" si="866"/>
        <v>-6369.8499999998312</v>
      </c>
      <c r="DV125" s="20">
        <f t="shared" si="866"/>
        <v>465731.99000000069</v>
      </c>
      <c r="DW125" s="20">
        <f t="shared" si="866"/>
        <v>-38403.199999999662</v>
      </c>
      <c r="DX125" s="20">
        <f t="shared" si="866"/>
        <v>-536423.29000000074</v>
      </c>
      <c r="DY125" s="469">
        <f>-DY83-DY84+DX83+DX84+DY137-DX137-161558</f>
        <v>54335.939844302688</v>
      </c>
      <c r="DZ125" s="20">
        <f t="shared" si="866"/>
        <v>219976.3883923878</v>
      </c>
      <c r="EA125" s="20">
        <f>-EA83-EA84+DZ83+DZ84+EA137-DZ137</f>
        <v>-617531.8600000001</v>
      </c>
      <c r="EB125" s="20">
        <f>-EB83-EB84+EA83+EA84+EB137-EA137</f>
        <v>414081.29000000033</v>
      </c>
      <c r="EC125" s="20">
        <f>-EC83-EC84+EB83+EB84+EC137-EB137</f>
        <v>-453475.45999999996</v>
      </c>
      <c r="ED125" s="20">
        <f>-ED83-ED84+EC83+EC84+ED137-EC137</f>
        <v>319415.44973862637</v>
      </c>
      <c r="EE125" s="20">
        <f>-EE83-EE84+ED83+ED84+EE137-ED137</f>
        <v>272274.09202468372</v>
      </c>
      <c r="EF125" s="20">
        <f t="shared" ref="EF125" si="867">-EF83-EF84+EE83+EE84+EF137-EE137</f>
        <v>647945.94222183188</v>
      </c>
      <c r="EG125" s="20">
        <f>-EG83-EG84+EF83+EF84+EG137-EF137</f>
        <v>-621899.39637763659</v>
      </c>
      <c r="EH125" s="20">
        <f>-EH83-EH84+EG83+EG84+EH137-EG137</f>
        <v>347765.40452367801</v>
      </c>
      <c r="EI125" s="20">
        <f>-EI83-EI84+EH83+EH84+EI137-EH137</f>
        <v>51885.123263310437</v>
      </c>
      <c r="EJ125" s="20">
        <f>-EJ83-EJ84+EI83+EI84+EJ137-EI137-22500-12512.1-7457.5-5.40189899690449</f>
        <v>-449527.13592763443</v>
      </c>
      <c r="EK125" s="469">
        <f>-EK83-EK84+EJ83+EJ84+EK137-EJ137-30000-10626-19843-257239.631283821+(32927.08+3380.14-1055.12)</f>
        <v>42012.809062178443</v>
      </c>
      <c r="EL125" s="469">
        <f>-EL83-EL84+EK83+EK84+EL137-EK137</f>
        <v>-15447.080252351239</v>
      </c>
      <c r="EM125" s="469">
        <f>-EM83-EM84+EL83+EL84+EM137-EL137-1055.12</f>
        <v>122054.75361077534</v>
      </c>
      <c r="EN125" s="469">
        <f>-EN83-EN84+EM83+EM84+EN137-EM137+249374.370418552</f>
        <v>301783.56865716854</v>
      </c>
      <c r="EO125" s="469">
        <f>-EO83-EO84+EN83+EN84+EO137-EN137</f>
        <v>756339.88708327909</v>
      </c>
      <c r="EP125" s="469">
        <f>-EP83-EP84+EO83+EO84+EP137-EO137</f>
        <v>-433665.26939209172</v>
      </c>
      <c r="EQ125" s="469">
        <f>-EQ83-EQ84+EP83+EP84+EQ137-EP137</f>
        <v>254477.04560275562</v>
      </c>
      <c r="ER125" s="20">
        <f t="shared" ref="ER125:ES125" si="868">-ER83-ER84+EQ83+EQ84+ER137-EQ137</f>
        <v>691632.84831036627</v>
      </c>
      <c r="ES125" s="20">
        <f t="shared" si="868"/>
        <v>-678998.98242991208</v>
      </c>
      <c r="ET125" s="20">
        <f>-ET83-ET84+ES83+ES84+ET137-ES137-18313.2</f>
        <v>202059.10518953163</v>
      </c>
      <c r="EU125" s="20">
        <f>-EU83-EU84+ET83+ET84+EU137-ET137</f>
        <v>360480.92615581007</v>
      </c>
      <c r="EV125" s="20">
        <f>-EV83-EV84+EU83+EU84+EV137-EU137</f>
        <v>360667.33731670695</v>
      </c>
      <c r="EW125" s="20">
        <f>-EW83-EW84+EV83+EV84+EW137-EV137+19843</f>
        <v>104066.96061796742</v>
      </c>
      <c r="EX125" s="20">
        <f t="shared" ref="EX125:FC125" si="869">-EX83-EX84+EW83+EW84+EX137-EW137</f>
        <v>-413647.5925469771</v>
      </c>
      <c r="EY125" s="20">
        <f t="shared" si="869"/>
        <v>467061.47364381643</v>
      </c>
      <c r="EZ125" s="20">
        <f t="shared" si="869"/>
        <v>-122943.44293966738</v>
      </c>
      <c r="FA125" s="20">
        <f t="shared" si="869"/>
        <v>-3536.3040767840284</v>
      </c>
      <c r="FB125" s="20">
        <f t="shared" si="869"/>
        <v>413694.79156839778</v>
      </c>
      <c r="FC125" s="20">
        <f t="shared" si="869"/>
        <v>419870.95842747134</v>
      </c>
      <c r="FD125" s="20">
        <f t="shared" ref="FD125:FJ125" si="870">-FD83-FD84+FC83+FC84+FD137-FC137</f>
        <v>-600286.32760805171</v>
      </c>
      <c r="FE125" s="20">
        <f t="shared" si="870"/>
        <v>-119090.88706547651</v>
      </c>
      <c r="FF125" s="20">
        <f t="shared" si="870"/>
        <v>-56625.522196360456</v>
      </c>
      <c r="FG125" s="20">
        <f t="shared" si="870"/>
        <v>-100955.30429268209</v>
      </c>
      <c r="FH125" s="20">
        <f t="shared" si="870"/>
        <v>79426.601399868901</v>
      </c>
      <c r="FI125" s="20">
        <f t="shared" si="870"/>
        <v>479973.70870601427</v>
      </c>
      <c r="FJ125" s="20">
        <f t="shared" si="870"/>
        <v>-834333.91452164354</v>
      </c>
      <c r="FK125" s="454">
        <f>-FK83-FK84+FJ83+FJ84+FK137-FJ137-10894-9102.15-15000</f>
        <v>133304.05292514214</v>
      </c>
      <c r="FL125" s="20"/>
      <c r="FM125" s="20"/>
      <c r="FN125"/>
      <c r="FO125"/>
      <c r="FP125"/>
      <c r="FQ125"/>
      <c r="FR125"/>
      <c r="FS125"/>
      <c r="FT125"/>
    </row>
    <row r="126" spans="2:176" s="1" customFormat="1" x14ac:dyDescent="0.35">
      <c r="B126"/>
      <c r="C126" t="s">
        <v>168</v>
      </c>
      <c r="D126"/>
      <c r="E126"/>
      <c r="F126" s="19"/>
      <c r="G126" s="19"/>
      <c r="H126" s="19"/>
      <c r="I126" s="19"/>
      <c r="J126" s="19"/>
      <c r="K126" s="19">
        <f t="shared" si="835"/>
        <v>0</v>
      </c>
      <c r="L126" s="19">
        <f>SUM(DN126:DY126)</f>
        <v>0</v>
      </c>
      <c r="M126" s="19">
        <f>SUM(DZ126:EX126)</f>
        <v>-920637.5784044608</v>
      </c>
      <c r="N126" s="19">
        <f t="shared" ca="1" si="837"/>
        <v>-505767.61799031228</v>
      </c>
      <c r="O126" s="19">
        <f t="shared" si="838"/>
        <v>-192976.77535856029</v>
      </c>
      <c r="P126" s="19">
        <f t="shared" si="839"/>
        <v>0</v>
      </c>
      <c r="Q126"/>
      <c r="R126" s="20"/>
      <c r="S126" s="20"/>
      <c r="T126" s="20"/>
      <c r="U126" s="20"/>
      <c r="V126" s="20">
        <f t="shared" si="803"/>
        <v>-23000</v>
      </c>
      <c r="W126" s="20">
        <f t="shared" si="804"/>
        <v>0</v>
      </c>
      <c r="X126" s="20">
        <f t="shared" si="805"/>
        <v>-20000</v>
      </c>
      <c r="Y126" s="20">
        <f t="shared" si="806"/>
        <v>-13011</v>
      </c>
      <c r="Z126" s="20">
        <f t="shared" si="840"/>
        <v>0</v>
      </c>
      <c r="AA126" s="20">
        <f t="shared" si="807"/>
        <v>-56900</v>
      </c>
      <c r="AB126" s="20">
        <f t="shared" si="808"/>
        <v>0</v>
      </c>
      <c r="AC126" s="20">
        <f t="shared" si="809"/>
        <v>0</v>
      </c>
      <c r="AD126" s="20">
        <f t="shared" si="810"/>
        <v>0</v>
      </c>
      <c r="AE126" s="20">
        <f t="shared" si="841"/>
        <v>0</v>
      </c>
      <c r="AF126" s="20">
        <f t="shared" si="811"/>
        <v>-532549</v>
      </c>
      <c r="AG126" s="20">
        <f t="shared" si="812"/>
        <v>-325000</v>
      </c>
      <c r="AH126" s="20">
        <f t="shared" si="813"/>
        <v>0</v>
      </c>
      <c r="AI126" s="20">
        <f t="shared" si="814"/>
        <v>0</v>
      </c>
      <c r="AJ126" s="20">
        <f t="shared" si="815"/>
        <v>0</v>
      </c>
      <c r="AK126" s="20">
        <f t="shared" si="816"/>
        <v>0</v>
      </c>
      <c r="AL126" s="20">
        <f t="shared" si="817"/>
        <v>0</v>
      </c>
      <c r="AM126" s="20">
        <f t="shared" si="818"/>
        <v>0</v>
      </c>
      <c r="AN126" s="20">
        <f t="shared" si="819"/>
        <v>0</v>
      </c>
      <c r="AO126" s="20">
        <f t="shared" si="820"/>
        <v>0</v>
      </c>
      <c r="AP126" s="20">
        <f t="shared" si="821"/>
        <v>-192044.5616070879</v>
      </c>
      <c r="AQ126" s="20">
        <f t="shared" ca="1" si="861"/>
        <v>-132335.33000000002</v>
      </c>
      <c r="AR126" s="20">
        <f t="shared" ca="1" si="861"/>
        <v>-36272</v>
      </c>
      <c r="AS126" s="20">
        <f ca="1">OFFSET($DZ126,0,AS$4)+OFFSET($EA126,0,AS$4)+OFFSET($EB126,0,AS$4)</f>
        <v>-54218.068807060496</v>
      </c>
      <c r="AT126" s="20">
        <f t="shared" si="842"/>
        <v>-196090.13</v>
      </c>
      <c r="AU126" s="20">
        <f t="shared" ca="1" si="823"/>
        <v>-31400.009999999995</v>
      </c>
      <c r="AV126" s="20">
        <f t="shared" si="843"/>
        <v>-466.65</v>
      </c>
      <c r="AW126" s="20">
        <f t="shared" si="862"/>
        <v>-277810.82799031225</v>
      </c>
      <c r="AX126" s="20">
        <f t="shared" si="844"/>
        <v>-36002.672562550855</v>
      </c>
      <c r="AY126" s="20">
        <f t="shared" si="845"/>
        <v>-15313.84</v>
      </c>
      <c r="AZ126" s="20">
        <f t="shared" si="846"/>
        <v>-33334</v>
      </c>
      <c r="BA126" s="20">
        <f t="shared" si="824"/>
        <v>-108326.26279600944</v>
      </c>
      <c r="BB126" s="20">
        <f t="shared" si="847"/>
        <v>0</v>
      </c>
      <c r="BC126" s="20"/>
      <c r="BD126" s="20"/>
      <c r="BE126" s="20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20">
        <f t="shared" ref="BR126:BW126" si="871">BR64</f>
        <v>0</v>
      </c>
      <c r="BS126" s="20">
        <f t="shared" si="871"/>
        <v>0</v>
      </c>
      <c r="BT126" s="20">
        <f t="shared" si="871"/>
        <v>-23000</v>
      </c>
      <c r="BU126" s="20">
        <f t="shared" si="871"/>
        <v>0</v>
      </c>
      <c r="BV126" s="20">
        <f t="shared" si="871"/>
        <v>0</v>
      </c>
      <c r="BW126" s="20">
        <f t="shared" si="871"/>
        <v>0</v>
      </c>
      <c r="BX126" s="20">
        <f t="shared" ref="BX126:CN126" si="872">BX64</f>
        <v>0</v>
      </c>
      <c r="BY126" s="20">
        <f t="shared" si="872"/>
        <v>-20000</v>
      </c>
      <c r="BZ126" s="20">
        <f t="shared" si="872"/>
        <v>0</v>
      </c>
      <c r="CA126" s="20">
        <f t="shared" si="872"/>
        <v>0</v>
      </c>
      <c r="CB126" s="20">
        <f t="shared" si="872"/>
        <v>0</v>
      </c>
      <c r="CC126" s="20">
        <f t="shared" si="872"/>
        <v>-13011</v>
      </c>
      <c r="CD126" s="20">
        <f t="shared" si="872"/>
        <v>0</v>
      </c>
      <c r="CE126" s="20">
        <f t="shared" si="872"/>
        <v>0</v>
      </c>
      <c r="CF126" s="20">
        <f t="shared" si="872"/>
        <v>0</v>
      </c>
      <c r="CG126" s="20">
        <f t="shared" si="872"/>
        <v>0</v>
      </c>
      <c r="CH126" s="20">
        <f t="shared" si="872"/>
        <v>-56900</v>
      </c>
      <c r="CI126" s="20">
        <f t="shared" si="872"/>
        <v>0</v>
      </c>
      <c r="CJ126" s="20">
        <f t="shared" si="872"/>
        <v>0</v>
      </c>
      <c r="CK126" s="20">
        <f t="shared" si="872"/>
        <v>0</v>
      </c>
      <c r="CL126" s="20">
        <f t="shared" si="872"/>
        <v>0</v>
      </c>
      <c r="CM126" s="20">
        <f t="shared" si="872"/>
        <v>0</v>
      </c>
      <c r="CN126" s="20">
        <f t="shared" si="872"/>
        <v>0</v>
      </c>
      <c r="CO126" s="20"/>
      <c r="CP126" s="20"/>
      <c r="CQ126" s="20"/>
      <c r="CR126" s="20"/>
      <c r="CS126" s="20"/>
      <c r="CT126" s="20"/>
      <c r="CU126" s="20"/>
      <c r="CV126" s="20"/>
      <c r="CW126" s="20"/>
      <c r="CX126" s="20">
        <f>CX64</f>
        <v>-532549</v>
      </c>
      <c r="CY126" s="20">
        <f>CY64</f>
        <v>-30000</v>
      </c>
      <c r="CZ126" s="20">
        <f>CZ64</f>
        <v>0</v>
      </c>
      <c r="DA126" s="20">
        <f>DA64</f>
        <v>-295000</v>
      </c>
      <c r="DB126" s="20">
        <f>DB64</f>
        <v>0</v>
      </c>
      <c r="DC126" s="20">
        <v>0</v>
      </c>
      <c r="DD126" s="20">
        <v>0</v>
      </c>
      <c r="DE126" s="20"/>
      <c r="DF126" s="20"/>
      <c r="DG126" s="20"/>
      <c r="DH126" s="20"/>
      <c r="DI126" s="20">
        <f t="shared" ref="DI126:DN126" si="873">DI64</f>
        <v>0</v>
      </c>
      <c r="DJ126" s="20">
        <f t="shared" si="873"/>
        <v>0</v>
      </c>
      <c r="DK126" s="20">
        <f t="shared" si="873"/>
        <v>0</v>
      </c>
      <c r="DL126" s="20">
        <f t="shared" si="873"/>
        <v>0</v>
      </c>
      <c r="DM126" s="20">
        <v>0</v>
      </c>
      <c r="DN126" s="20">
        <f t="shared" si="873"/>
        <v>0</v>
      </c>
      <c r="DO126" s="20">
        <f t="shared" ref="DO126:DP126" si="874">DO64</f>
        <v>0</v>
      </c>
      <c r="DP126" s="20">
        <f t="shared" si="874"/>
        <v>0</v>
      </c>
      <c r="DQ126" s="20">
        <f t="shared" ref="DQ126:DR126" si="875">DQ64</f>
        <v>0</v>
      </c>
      <c r="DR126" s="20">
        <f t="shared" si="875"/>
        <v>0</v>
      </c>
      <c r="DS126" s="20">
        <f t="shared" ref="DS126:DT126" si="876">DS64</f>
        <v>0</v>
      </c>
      <c r="DT126" s="20">
        <f t="shared" si="876"/>
        <v>0</v>
      </c>
      <c r="DU126" s="20">
        <f t="shared" ref="DU126:DV126" si="877">DU64</f>
        <v>0</v>
      </c>
      <c r="DV126" s="20">
        <f t="shared" si="877"/>
        <v>0</v>
      </c>
      <c r="DW126" s="20">
        <f t="shared" ref="DW126:DX126" si="878">DW64</f>
        <v>0</v>
      </c>
      <c r="DX126" s="20">
        <f t="shared" si="878"/>
        <v>0</v>
      </c>
      <c r="DY126" s="469">
        <v>0</v>
      </c>
      <c r="DZ126" s="20">
        <f t="shared" ref="DZ126" si="879">DZ64</f>
        <v>0</v>
      </c>
      <c r="EA126" s="20">
        <f>EA64</f>
        <v>-50000</v>
      </c>
      <c r="EB126" s="20">
        <f t="shared" ref="EB126" si="880">EB64</f>
        <v>-142044.5616070879</v>
      </c>
      <c r="EC126" s="20">
        <f t="shared" ref="EC126" si="881">EC64</f>
        <v>0</v>
      </c>
      <c r="ED126" s="20">
        <f>ED64</f>
        <v>-6002</v>
      </c>
      <c r="EE126" s="20">
        <f>EE64</f>
        <v>-126333.33</v>
      </c>
      <c r="EF126" s="20">
        <f t="shared" ref="EF126" si="882">EF64</f>
        <v>-25000</v>
      </c>
      <c r="EG126" s="20">
        <f t="shared" ref="EG126" si="883">EG64</f>
        <v>0</v>
      </c>
      <c r="EH126" s="20">
        <f t="shared" ref="EH126:EP126" si="884">EH64</f>
        <v>-11272</v>
      </c>
      <c r="EI126" s="20">
        <f t="shared" si="884"/>
        <v>-30519.5</v>
      </c>
      <c r="EJ126" s="20">
        <f t="shared" si="884"/>
        <v>-26284.45751290409</v>
      </c>
      <c r="EK126" s="469">
        <f>EK64+684865</f>
        <v>2585.8887058435939</v>
      </c>
      <c r="EL126" s="469">
        <f t="shared" si="884"/>
        <v>0</v>
      </c>
      <c r="EM126" s="469">
        <f t="shared" si="884"/>
        <v>-16000</v>
      </c>
      <c r="EN126" s="469">
        <f t="shared" si="884"/>
        <v>-180090.13</v>
      </c>
      <c r="EO126" s="469">
        <f t="shared" si="884"/>
        <v>-30466.67</v>
      </c>
      <c r="EP126" s="469">
        <f t="shared" si="884"/>
        <v>-466.67</v>
      </c>
      <c r="EQ126" s="469">
        <f t="shared" ref="EQ126:ER126" si="885">EQ64</f>
        <v>-466.67</v>
      </c>
      <c r="ER126" s="20">
        <f t="shared" si="885"/>
        <v>-466.65</v>
      </c>
      <c r="ES126" s="20">
        <f t="shared" ref="ES126:ET126" si="886">ES64</f>
        <v>0</v>
      </c>
      <c r="ET126" s="20">
        <f t="shared" si="886"/>
        <v>0</v>
      </c>
      <c r="EU126" s="20">
        <f>EU64</f>
        <v>-75000</v>
      </c>
      <c r="EV126" s="20">
        <f>EV64</f>
        <v>-161332.57799031222</v>
      </c>
      <c r="EW126" s="20">
        <f>EW64+193579</f>
        <v>-41478.25</v>
      </c>
      <c r="EX126" s="20">
        <f t="shared" ref="EX126:FC126" si="887">EX64</f>
        <v>0</v>
      </c>
      <c r="EY126" s="20">
        <f t="shared" si="887"/>
        <v>-25918.14</v>
      </c>
      <c r="EZ126" s="20">
        <f t="shared" si="887"/>
        <v>-10084.532562550852</v>
      </c>
      <c r="FA126" s="20">
        <f t="shared" si="887"/>
        <v>-15313.84</v>
      </c>
      <c r="FB126" s="20">
        <f t="shared" si="887"/>
        <v>0</v>
      </c>
      <c r="FC126" s="20">
        <f t="shared" si="887"/>
        <v>0</v>
      </c>
      <c r="FD126" s="20">
        <f t="shared" ref="FD126:FE126" si="888">FD64</f>
        <v>0</v>
      </c>
      <c r="FE126" s="20">
        <f t="shared" si="888"/>
        <v>-33334</v>
      </c>
      <c r="FF126" s="20">
        <f t="shared" ref="FF126" si="889">FF64</f>
        <v>0</v>
      </c>
      <c r="FG126" s="20">
        <f>FG64+1.43288698559627</f>
        <v>-17748.567113014404</v>
      </c>
      <c r="FH126" s="20">
        <f>FH64+5226</f>
        <v>-57244.695682995036</v>
      </c>
      <c r="FI126" s="20">
        <f>FI64</f>
        <v>-33333</v>
      </c>
      <c r="FJ126" s="20">
        <f>FJ64</f>
        <v>0</v>
      </c>
      <c r="FK126" s="454">
        <f>FK64</f>
        <v>0</v>
      </c>
      <c r="FL126" s="20"/>
      <c r="FM126" s="20"/>
      <c r="FN126"/>
      <c r="FO126"/>
      <c r="FP126"/>
      <c r="FQ126"/>
      <c r="FR126"/>
      <c r="FS126"/>
      <c r="FT126"/>
    </row>
    <row r="127" spans="2:176" s="1" customFormat="1" x14ac:dyDescent="0.35">
      <c r="C127" t="s">
        <v>169</v>
      </c>
      <c r="F127" s="47"/>
      <c r="G127" s="47"/>
      <c r="H127" s="47"/>
      <c r="I127" s="47"/>
      <c r="J127" s="47"/>
      <c r="K127" s="19">
        <f t="shared" si="835"/>
        <v>-251327.46462199997</v>
      </c>
      <c r="L127" s="19">
        <f>SUM(DN127:DY127)</f>
        <v>581959.66978595266</v>
      </c>
      <c r="M127" s="19">
        <f>SUM(DZ127:EX127)</f>
        <v>-734235.55372324516</v>
      </c>
      <c r="N127" s="19">
        <f t="shared" ca="1" si="837"/>
        <v>-575461.68801743304</v>
      </c>
      <c r="O127" s="19">
        <f t="shared" si="838"/>
        <v>-74228.874824202474</v>
      </c>
      <c r="P127" s="19">
        <f t="shared" si="839"/>
        <v>15360.9694112506</v>
      </c>
      <c r="R127" s="48"/>
      <c r="S127" s="48"/>
      <c r="T127" s="48"/>
      <c r="U127" s="48"/>
      <c r="V127" s="20">
        <f t="shared" si="803"/>
        <v>-163405</v>
      </c>
      <c r="W127" s="20">
        <f t="shared" si="804"/>
        <v>11228</v>
      </c>
      <c r="X127" s="20">
        <f t="shared" si="805"/>
        <v>-9259</v>
      </c>
      <c r="Y127" s="20">
        <f t="shared" si="806"/>
        <v>170740.72</v>
      </c>
      <c r="Z127" s="20">
        <f t="shared" si="840"/>
        <v>-57101.950000000012</v>
      </c>
      <c r="AA127" s="20">
        <f t="shared" si="807"/>
        <v>50961.94</v>
      </c>
      <c r="AB127" s="20">
        <f t="shared" si="808"/>
        <v>-13822.060000000005</v>
      </c>
      <c r="AC127" s="20">
        <f t="shared" si="809"/>
        <v>-129178.73</v>
      </c>
      <c r="AD127" s="20">
        <f t="shared" si="810"/>
        <v>-209645.91999999998</v>
      </c>
      <c r="AE127" s="20">
        <f t="shared" si="841"/>
        <v>-43071.399999999994</v>
      </c>
      <c r="AF127" s="20">
        <f t="shared" si="811"/>
        <v>-115877.03999999998</v>
      </c>
      <c r="AG127" s="20">
        <f t="shared" si="812"/>
        <v>225258.76999999996</v>
      </c>
      <c r="AH127" s="20">
        <f t="shared" si="813"/>
        <v>-325614.64000000071</v>
      </c>
      <c r="AI127" s="20">
        <f t="shared" si="814"/>
        <v>152768.13000000114</v>
      </c>
      <c r="AJ127" s="20">
        <f t="shared" si="815"/>
        <v>-92287.414622003082</v>
      </c>
      <c r="AK127" s="20">
        <f t="shared" si="816"/>
        <v>13806.460000002728</v>
      </c>
      <c r="AL127" s="20">
        <f t="shared" si="817"/>
        <v>235005.56599148101</v>
      </c>
      <c r="AM127" s="20">
        <f t="shared" si="818"/>
        <v>134449.98000000094</v>
      </c>
      <c r="AN127" s="20">
        <f t="shared" si="819"/>
        <v>260602.89542413768</v>
      </c>
      <c r="AO127" s="20">
        <f t="shared" si="820"/>
        <v>-48098.771629667026</v>
      </c>
      <c r="AP127" s="20">
        <f t="shared" si="821"/>
        <v>-100948.13574005004</v>
      </c>
      <c r="AQ127" s="20">
        <f t="shared" ca="1" si="861"/>
        <v>-59537.78453995927</v>
      </c>
      <c r="AR127" s="20">
        <f t="shared" ca="1" si="861"/>
        <v>-27938.644177072645</v>
      </c>
      <c r="AS127" s="20">
        <f ca="1">OFFSET($DZ127,0,AS$4)+OFFSET($EA127,0,AS$4)+OFFSET($EB127,0,AS$4)</f>
        <v>-119761.00966279539</v>
      </c>
      <c r="AT127" s="20">
        <f t="shared" si="842"/>
        <v>-123539.49752293975</v>
      </c>
      <c r="AU127" s="20">
        <f t="shared" ca="1" si="823"/>
        <v>-166764.82055255966</v>
      </c>
      <c r="AV127" s="20">
        <f t="shared" si="843"/>
        <v>-177676.61313772493</v>
      </c>
      <c r="AW127" s="20">
        <f t="shared" si="862"/>
        <v>-107480.75680420871</v>
      </c>
      <c r="AX127" s="20">
        <f t="shared" si="844"/>
        <v>-5029.2127144499682</v>
      </c>
      <c r="AY127" s="20">
        <f t="shared" si="845"/>
        <v>-220425.72521803656</v>
      </c>
      <c r="AZ127" s="20">
        <f t="shared" si="846"/>
        <v>289778.80813550751</v>
      </c>
      <c r="BA127" s="20">
        <f t="shared" si="824"/>
        <v>-138552.74502722346</v>
      </c>
      <c r="BB127" s="20">
        <f t="shared" si="847"/>
        <v>15360.9694112506</v>
      </c>
      <c r="BC127" s="20"/>
      <c r="BD127" s="20"/>
      <c r="BE127" s="20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20">
        <f>BR63+BR93-U93</f>
        <v>-135544</v>
      </c>
      <c r="BS127" s="20">
        <f t="shared" ref="BS127:BZ127" si="890">BS63+BS93-BR93</f>
        <v>-28500</v>
      </c>
      <c r="BT127" s="20">
        <f t="shared" si="890"/>
        <v>639</v>
      </c>
      <c r="BU127" s="20">
        <f t="shared" si="890"/>
        <v>-4516</v>
      </c>
      <c r="BV127" s="20">
        <f t="shared" si="890"/>
        <v>18592</v>
      </c>
      <c r="BW127" s="20">
        <f t="shared" si="890"/>
        <v>-2848</v>
      </c>
      <c r="BX127" s="20">
        <f t="shared" si="890"/>
        <v>15600</v>
      </c>
      <c r="BY127" s="20">
        <f t="shared" si="890"/>
        <v>-44505</v>
      </c>
      <c r="BZ127" s="20">
        <f t="shared" si="890"/>
        <v>19646</v>
      </c>
      <c r="CA127" s="20">
        <f>CA63+CA93-BZ93</f>
        <v>105061</v>
      </c>
      <c r="CB127" s="20">
        <f>CB63+CB93-CA93+30176.72</f>
        <v>-53903.28</v>
      </c>
      <c r="CC127" s="20">
        <f>CC63+CC93-CB93+40137</f>
        <v>119583</v>
      </c>
      <c r="CD127" s="20">
        <f>CD63+CD93-CC93-107590.89</f>
        <v>-166630.89000000001</v>
      </c>
      <c r="CE127" s="20">
        <f>CE63+CE93-CD93+93016</f>
        <v>103491</v>
      </c>
      <c r="CF127" s="20">
        <f>CF63+CF93-CE93-12008.06</f>
        <v>6037.9400000000005</v>
      </c>
      <c r="CG127" s="20">
        <f>CG63+CG93-CF93-16809.06</f>
        <v>-16872.060000000001</v>
      </c>
      <c r="CH127" s="20">
        <f>CH63+CH93-CG93+35596</f>
        <v>76050</v>
      </c>
      <c r="CI127" s="20">
        <f>CI63+CI93-CH93</f>
        <v>-8216</v>
      </c>
      <c r="CJ127" s="20">
        <f>CJ63+CJ93-CI93-91701.36</f>
        <v>44475.64</v>
      </c>
      <c r="CK127" s="20">
        <f>CK63+CK93-CJ93+11847.38</f>
        <v>-34125.620000000003</v>
      </c>
      <c r="CL127" s="20">
        <f>CL63+CL93-CK93-CL136+27165.92</f>
        <v>-24172.080000000002</v>
      </c>
      <c r="CM127" s="20">
        <f>CM63+CM93-CL93-CM136+84877.97+15426</f>
        <v>-47600.03</v>
      </c>
      <c r="CN127" s="20">
        <f>CN63+CN93-CM93-CN136-35374.08</f>
        <v>-27608.080000000002</v>
      </c>
      <c r="CO127" s="20">
        <f>CO63+CO93-CN93-CO136-187130.62</f>
        <v>-53970.619999999995</v>
      </c>
      <c r="CP127" s="20">
        <f>CP63+CP93-CO93-CP136+26851.97</f>
        <v>-45805.03</v>
      </c>
      <c r="CQ127" s="20">
        <f>CQ63+CQ93-CP93-CQ136-393.89</f>
        <v>-11221.89</v>
      </c>
      <c r="CR127" s="20">
        <f>CR63+CR93-CQ93-CR136-6267.33</f>
        <v>-152619</v>
      </c>
      <c r="CS127" s="20">
        <f>CS63+CS93-CR93-CS136-28226</f>
        <v>-34800</v>
      </c>
      <c r="CT127" s="20">
        <f>CT63+CT93-CS93-CT136-0.28</f>
        <v>6827.72</v>
      </c>
      <c r="CU127" s="20">
        <f>CU63+CU93-CT93-CU136+0.53</f>
        <v>-15099.119999999999</v>
      </c>
      <c r="CV127" s="20">
        <f>CV63+CV93-CU93-CV136</f>
        <v>-40284</v>
      </c>
      <c r="CW127" s="20">
        <f>CW63+CW93-CV93-CW136-1.59</f>
        <v>-98695.47</v>
      </c>
      <c r="CX127" s="20">
        <f>CX63+CX93-CW93-CX136</f>
        <v>23102.430000000022</v>
      </c>
      <c r="CY127" s="20">
        <f>CY63+CY93-CX93-CY136</f>
        <v>-56578.490000000049</v>
      </c>
      <c r="CZ127" s="20">
        <f>CZ63+CZ93-CY93-CZ136</f>
        <v>-54087.229999999981</v>
      </c>
      <c r="DA127" s="20">
        <f>DA63+DA93-CZ93-DA136</f>
        <v>335924.49</v>
      </c>
      <c r="DB127" s="20">
        <f>DB63+DB93-DA93-DB136-84281.37</f>
        <v>-160515.46000000072</v>
      </c>
      <c r="DC127" s="20">
        <f>DC63+DC93-DB93-DC136</f>
        <v>-65570.06</v>
      </c>
      <c r="DD127" s="20">
        <f>DD63+DD93-DC93-DD136</f>
        <v>-99529.12</v>
      </c>
      <c r="DE127" s="20">
        <f>DE63+DE93-DD93-DE136</f>
        <v>72553.750000001513</v>
      </c>
      <c r="DF127" s="20">
        <f>DF63+DF93-DE93-DF136+114.78</f>
        <v>-21618.880000000012</v>
      </c>
      <c r="DG127" s="20">
        <f>DG63+DG93-DF93-DG136+2662.59</f>
        <v>101833.25999999963</v>
      </c>
      <c r="DH127" s="20">
        <f>DH63+DH93-DG93-DH136-975.49</f>
        <v>-73765.890000004481</v>
      </c>
      <c r="DI127" s="20">
        <f>DI63+DI93-DH93-DI136-1620.24000000022</f>
        <v>12214.550000000749</v>
      </c>
      <c r="DJ127" s="20">
        <f>DJ63+DJ93-DI93-DJ136+6920.9653779976</f>
        <v>-30736.074621999345</v>
      </c>
      <c r="DK127" s="20">
        <f>DK63+DK93-DJ93-DK136+19359.4700000025</f>
        <v>-146799.28000000093</v>
      </c>
      <c r="DL127" s="20">
        <f>DL63+DL93-DK93-DL136+194.3</f>
        <v>53886.920000003796</v>
      </c>
      <c r="DM127" s="20">
        <f>DM63+DM93-DL93-DM136-36365.1400000005</f>
        <v>106718.81999999986</v>
      </c>
      <c r="DN127" s="20">
        <f>DN63+DN93-DM93-DN136-8204.59443589858</f>
        <v>7787.4855641014219</v>
      </c>
      <c r="DO127" s="20">
        <f>DO63+DO93-DN93-DO136+11110.5004273783</f>
        <v>37312.770427378295</v>
      </c>
      <c r="DP127" s="20">
        <f>DP63+DP93-DO93-DP136+18590.6900000013</f>
        <v>189905.31000000131</v>
      </c>
      <c r="DQ127" s="20">
        <f>DQ63+DQ93-DP93-DQ136+17713.6899999994</f>
        <v>164276.57999999938</v>
      </c>
      <c r="DR127" s="20">
        <f>DR63+DR93-DQ93-DR136+17146.0100000053</f>
        <v>78220.54000000027</v>
      </c>
      <c r="DS127" s="20">
        <f>DS63+DS93-DR93-DS136+30453.1699999962</f>
        <v>-108047.1399999987</v>
      </c>
      <c r="DT127" s="20">
        <f>DT63+DT93-DS93-DT136+14273.9761721771</f>
        <v>-18055.093827824912</v>
      </c>
      <c r="DU127" s="20">
        <f>DU63+DU93-DT93-DU136+24917.8891880381</f>
        <v>209149.43925196267</v>
      </c>
      <c r="DV127" s="20">
        <f>DV63+DV93-DU93-DV136-30663.0300000011</f>
        <v>69508.54999999993</v>
      </c>
      <c r="DW127" s="20">
        <f>DW63+DW93-DV93-DW136+127.601328734308</f>
        <v>-90872.218671263778</v>
      </c>
      <c r="DX127" s="20">
        <f>DX63+DX93-DW93-DX136+462.689999995753</f>
        <v>-185423.38000000425</v>
      </c>
      <c r="DY127" s="469">
        <v>228196.82704160101</v>
      </c>
      <c r="DZ127" s="20">
        <f>DZ63+DZ93-DY93-DZ136+638.788349807262</f>
        <v>-53544.046643966736</v>
      </c>
      <c r="EA127" s="20">
        <f>EA63+EA93-DZ93-EA136+1163.74495900609</f>
        <v>37201.636575146142</v>
      </c>
      <c r="EB127" s="20">
        <f>EB63+EB93-EA93-EB136+4242.4786080569</f>
        <v>-84605.725671229447</v>
      </c>
      <c r="EC127" s="20">
        <f>EC63+EC93-EB93-EC136+1584.16986693814</f>
        <v>-13348.287173087807</v>
      </c>
      <c r="ED127" s="20">
        <f>ED63+ED93-EC93-ED136+1558.68924733624</f>
        <v>-26166.347965259774</v>
      </c>
      <c r="EE127" s="469">
        <f>EE63+EE93-ED93-EE136+2486.51102851238</f>
        <v>-20023.149401611685</v>
      </c>
      <c r="EF127" s="20">
        <f>EF63+EF93-EE93-EF136+2426.14641102683</f>
        <v>-33370.604288065944</v>
      </c>
      <c r="EG127" s="20">
        <f>EG63+EG93-EF93-EG136+1928.08863294777</f>
        <v>-52620.159408380059</v>
      </c>
      <c r="EH127" s="20">
        <f>EH63+EH93-EG93-EH136+1244.84745478723</f>
        <v>58052.119519373351</v>
      </c>
      <c r="EI127" s="20">
        <f>EI63+EI93-EH93-EI136+2633.37392035965</f>
        <v>53124.939790970107</v>
      </c>
      <c r="EJ127" s="20">
        <f>EJ63+EJ93-EI93-EJ136+2802.75378714036</f>
        <v>-136386.04263512246</v>
      </c>
      <c r="EK127" s="469">
        <f>EK63+EK93-EJ93-EK136-2626.89927166607+177926.420484919</f>
        <v>-36499.906818643038</v>
      </c>
      <c r="EL127" s="469">
        <f>EL63+EL93-EK93-EL136+1716.66165205464</f>
        <v>-60565.651652915418</v>
      </c>
      <c r="EM127" s="469">
        <f>EM63+EM93-EL93-EM136+1194.91135636065</f>
        <v>-25081.042137553362</v>
      </c>
      <c r="EN127" s="469">
        <f>EN63+EN93-EM93-EN136+5.62958144489676</f>
        <v>-37892.803732470973</v>
      </c>
      <c r="EO127" s="469">
        <f>EO63+EO93-EN93-EO136+2107.51924178516</f>
        <v>48125.669828354723</v>
      </c>
      <c r="EP127" s="469">
        <f>EP63+EP93-EO93-EP136+1989.04674397921</f>
        <v>-119090.23745053135</v>
      </c>
      <c r="EQ127" s="469">
        <f>EQ63+EQ93-EP93-EQ136+2239.39784517232</f>
        <v>-95800.252930383023</v>
      </c>
      <c r="ER127" s="20">
        <f>ER63+ER93-EQ93-ER136+213.781973923091</f>
        <v>-98971.988923251265</v>
      </c>
      <c r="ES127" s="20">
        <f>ES63+ES93-ER93-ES136+2406.85112017021</f>
        <v>-97413.400183639955</v>
      </c>
      <c r="ET127" s="20">
        <f>ET63+ET93-ES93-ET136+1494.52212679107</f>
        <v>18708.775969166316</v>
      </c>
      <c r="EU127" s="20">
        <f>EU63+EU93-ET93-EU136+1338.41077518836</f>
        <v>-15819.626900079074</v>
      </c>
      <c r="EV127" s="20">
        <f>EV63+EV93-EU93-EV136+2564.24700033432</f>
        <v>-34020.24110797522</v>
      </c>
      <c r="EW127" s="20">
        <v>-57640.88879615441</v>
      </c>
      <c r="EX127" s="20">
        <f>EX63+EX93-EW93-EX136+1581.50826467946</f>
        <v>149411.7084140653</v>
      </c>
      <c r="EY127" s="20">
        <f>EY63+EY93-EX93-EY136+3196.07530156104</f>
        <v>-73376.315002397037</v>
      </c>
      <c r="EZ127" s="20">
        <f>EZ63+EZ93-EY93-EZ136</f>
        <v>-81064.606126118233</v>
      </c>
      <c r="FA127" s="20">
        <f>FA63+FA93-EZ93-FA136+3657.43070591008-110378+8.09046732727438</f>
        <v>-236017.94087669824</v>
      </c>
      <c r="FB127" s="20">
        <f>FB63+FB93-FA93-FB136+3297.59746142011</f>
        <v>-2128.4006375200438</v>
      </c>
      <c r="FC127" s="20">
        <f>FC63+FC93-FB93-FC136+1623.81825973373</f>
        <v>17720.61629618171</v>
      </c>
      <c r="FD127" s="20">
        <f>FD63+FD93-FC93-FD136+3462.23099676799</f>
        <v>237227.61749007524</v>
      </c>
      <c r="FE127" s="20">
        <f>FE63+FE93-FD93-FE136+1642.94209104171-125000</f>
        <v>-17182.599007749639</v>
      </c>
      <c r="FF127" s="20">
        <f>FF63+FF93-FE93-FF136+1656.08435888402</f>
        <v>69733.789653181942</v>
      </c>
      <c r="FG127" s="20">
        <f>FG63+FG93-FF93-FG136</f>
        <v>55477.805220762355</v>
      </c>
      <c r="FH127" s="20">
        <f>FH63+FH93-FG93-FH136+8429.37950936495</f>
        <v>-28074.369833134759</v>
      </c>
      <c r="FI127" s="20">
        <f>FI63+FI93-FH93-FI136-18692.1742717572</f>
        <v>-165956.18041485106</v>
      </c>
      <c r="FJ127" s="20">
        <f>FJ63+FJ93-FI93-FJ136+2778.98533214116</f>
        <v>-20811.669544992972</v>
      </c>
      <c r="FK127" s="454">
        <f>FK63+FK93-FJ93-FK136+3540.19900063053</f>
        <v>36172.638956243572</v>
      </c>
      <c r="FL127" s="20"/>
      <c r="FM127" s="20"/>
      <c r="FN127"/>
      <c r="FO127"/>
      <c r="FP127"/>
      <c r="FQ127"/>
      <c r="FR127"/>
      <c r="FS127"/>
      <c r="FT127"/>
    </row>
    <row r="128" spans="2:176" s="1" customFormat="1" x14ac:dyDescent="0.35">
      <c r="C128" t="s">
        <v>170</v>
      </c>
      <c r="F128" s="47"/>
      <c r="G128" s="47"/>
      <c r="H128" s="47"/>
      <c r="I128" s="47"/>
      <c r="J128" s="47"/>
      <c r="K128" s="19">
        <f t="shared" si="835"/>
        <v>0</v>
      </c>
      <c r="L128" s="19">
        <f>SUM(DN128:DY128)</f>
        <v>0</v>
      </c>
      <c r="M128" s="19">
        <f>SUM(DZ128:EX128)</f>
        <v>0</v>
      </c>
      <c r="N128" s="19">
        <f t="shared" ca="1" si="837"/>
        <v>0</v>
      </c>
      <c r="O128" s="19">
        <f t="shared" si="838"/>
        <v>0</v>
      </c>
      <c r="P128" s="19">
        <f t="shared" si="839"/>
        <v>0</v>
      </c>
      <c r="R128" s="48"/>
      <c r="S128" s="48"/>
      <c r="T128" s="48"/>
      <c r="U128" s="48"/>
      <c r="V128" s="20">
        <f t="shared" si="803"/>
        <v>0</v>
      </c>
      <c r="W128" s="20">
        <f t="shared" si="804"/>
        <v>0</v>
      </c>
      <c r="X128" s="20">
        <f t="shared" si="805"/>
        <v>0</v>
      </c>
      <c r="Y128" s="20">
        <f t="shared" si="806"/>
        <v>0</v>
      </c>
      <c r="Z128" s="20">
        <f t="shared" si="840"/>
        <v>0</v>
      </c>
      <c r="AA128" s="20">
        <f t="shared" si="807"/>
        <v>0</v>
      </c>
      <c r="AB128" s="20">
        <f t="shared" si="808"/>
        <v>0</v>
      </c>
      <c r="AC128" s="20">
        <f t="shared" si="809"/>
        <v>0</v>
      </c>
      <c r="AD128" s="20">
        <f t="shared" si="810"/>
        <v>0</v>
      </c>
      <c r="AE128" s="20">
        <f t="shared" si="841"/>
        <v>0</v>
      </c>
      <c r="AF128" s="20">
        <f t="shared" si="811"/>
        <v>0</v>
      </c>
      <c r="AG128" s="20">
        <f t="shared" si="812"/>
        <v>0</v>
      </c>
      <c r="AH128" s="20">
        <f t="shared" si="813"/>
        <v>0</v>
      </c>
      <c r="AI128" s="20">
        <f t="shared" si="814"/>
        <v>0</v>
      </c>
      <c r="AJ128" s="20">
        <f t="shared" si="815"/>
        <v>0</v>
      </c>
      <c r="AK128" s="20">
        <f t="shared" si="816"/>
        <v>0</v>
      </c>
      <c r="AL128" s="20">
        <f t="shared" si="817"/>
        <v>0</v>
      </c>
      <c r="AM128" s="20">
        <f t="shared" si="818"/>
        <v>0</v>
      </c>
      <c r="AN128" s="20">
        <f t="shared" si="819"/>
        <v>0</v>
      </c>
      <c r="AO128" s="20">
        <f t="shared" si="820"/>
        <v>0</v>
      </c>
      <c r="AP128" s="20">
        <f t="shared" si="821"/>
        <v>0</v>
      </c>
      <c r="AQ128" s="12">
        <f t="shared" ca="1" si="861"/>
        <v>0</v>
      </c>
      <c r="AR128" s="12">
        <f t="shared" ca="1" si="861"/>
        <v>0</v>
      </c>
      <c r="AS128" s="12">
        <f ca="1">OFFSET($DZ128,0,AS$4)+OFFSET($EA128,0,AS$4)+OFFSET($EB128,0,AS$4)</f>
        <v>0</v>
      </c>
      <c r="AT128" s="12">
        <f t="shared" si="842"/>
        <v>0</v>
      </c>
      <c r="AU128" s="12">
        <f t="shared" ca="1" si="823"/>
        <v>0</v>
      </c>
      <c r="AV128" s="20">
        <f t="shared" si="843"/>
        <v>0</v>
      </c>
      <c r="AW128" s="20">
        <f t="shared" si="862"/>
        <v>0</v>
      </c>
      <c r="AX128" s="20">
        <f t="shared" si="844"/>
        <v>0</v>
      </c>
      <c r="AY128" s="20">
        <f t="shared" si="845"/>
        <v>0</v>
      </c>
      <c r="AZ128" s="20">
        <f t="shared" si="846"/>
        <v>0</v>
      </c>
      <c r="BA128" s="20">
        <f t="shared" si="824"/>
        <v>0</v>
      </c>
      <c r="BB128" s="20">
        <f t="shared" si="847"/>
        <v>0</v>
      </c>
      <c r="BC128" s="20"/>
      <c r="BD128" s="20"/>
      <c r="BE128" s="20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20">
        <f t="shared" ref="BR128:BW128" si="891">BR132+BR133</f>
        <v>0</v>
      </c>
      <c r="BS128" s="20">
        <f t="shared" si="891"/>
        <v>0</v>
      </c>
      <c r="BT128" s="20">
        <f t="shared" si="891"/>
        <v>0</v>
      </c>
      <c r="BU128" s="20">
        <f t="shared" si="891"/>
        <v>0</v>
      </c>
      <c r="BV128" s="20">
        <f t="shared" si="891"/>
        <v>0</v>
      </c>
      <c r="BW128" s="20">
        <f t="shared" si="891"/>
        <v>0</v>
      </c>
      <c r="BX128" s="20">
        <f t="shared" ref="BX128:CG128" si="892">BX132+BX133</f>
        <v>0</v>
      </c>
      <c r="BY128" s="20">
        <f t="shared" si="892"/>
        <v>0</v>
      </c>
      <c r="BZ128" s="20">
        <f t="shared" si="892"/>
        <v>0</v>
      </c>
      <c r="CA128" s="20">
        <f t="shared" si="892"/>
        <v>0</v>
      </c>
      <c r="CB128" s="20">
        <f t="shared" si="892"/>
        <v>0</v>
      </c>
      <c r="CC128" s="20">
        <f t="shared" si="892"/>
        <v>0</v>
      </c>
      <c r="CD128" s="20">
        <f t="shared" si="892"/>
        <v>0</v>
      </c>
      <c r="CE128" s="20">
        <f t="shared" si="892"/>
        <v>0</v>
      </c>
      <c r="CF128" s="20">
        <f t="shared" si="892"/>
        <v>0</v>
      </c>
      <c r="CG128" s="20">
        <f t="shared" si="892"/>
        <v>0</v>
      </c>
      <c r="CH128" s="20">
        <f t="shared" ref="CH128:CM128" si="893">CH132+CH133</f>
        <v>0</v>
      </c>
      <c r="CI128" s="20">
        <f t="shared" si="893"/>
        <v>0</v>
      </c>
      <c r="CJ128" s="20">
        <f t="shared" si="893"/>
        <v>0</v>
      </c>
      <c r="CK128" s="20">
        <f t="shared" si="893"/>
        <v>0</v>
      </c>
      <c r="CL128" s="20">
        <f t="shared" si="893"/>
        <v>0</v>
      </c>
      <c r="CM128" s="20">
        <f t="shared" si="893"/>
        <v>0</v>
      </c>
      <c r="CN128" s="20">
        <f>CN132+CN133</f>
        <v>0</v>
      </c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469"/>
      <c r="EB128" s="48"/>
      <c r="EC128" s="48"/>
      <c r="ED128" s="48"/>
      <c r="EE128" s="48"/>
      <c r="EF128" s="48"/>
      <c r="EG128" s="48"/>
      <c r="EH128" s="48"/>
      <c r="EI128" s="48"/>
      <c r="EJ128" s="48"/>
      <c r="EK128" s="593"/>
      <c r="EL128" s="593"/>
      <c r="EM128" s="593"/>
      <c r="EN128" s="593"/>
      <c r="EO128" s="593"/>
      <c r="EP128" s="593"/>
      <c r="EQ128" s="593"/>
      <c r="ER128" s="48"/>
      <c r="ES128" s="48"/>
      <c r="ET128" s="48"/>
      <c r="EU128" s="48"/>
      <c r="EV128" s="48"/>
      <c r="EW128" s="48"/>
      <c r="EX128" s="48"/>
      <c r="EY128" s="48"/>
      <c r="EZ128" s="48"/>
      <c r="FA128" s="48"/>
      <c r="FB128" s="48"/>
      <c r="FC128" s="48"/>
      <c r="FD128" s="48"/>
      <c r="FE128" s="48"/>
      <c r="FF128" s="48"/>
      <c r="FG128" s="48"/>
      <c r="FH128" s="48"/>
      <c r="FI128" s="48"/>
      <c r="FJ128" s="48"/>
      <c r="FK128" s="771"/>
      <c r="FL128" s="48"/>
      <c r="FM128" s="48"/>
      <c r="FN128"/>
      <c r="FO128"/>
      <c r="FP128"/>
      <c r="FQ128"/>
      <c r="FR128"/>
      <c r="FS128"/>
      <c r="FT128"/>
    </row>
    <row r="129" spans="3:176" s="1" customFormat="1" x14ac:dyDescent="0.35">
      <c r="C129" s="10" t="s">
        <v>171</v>
      </c>
      <c r="D129" s="46"/>
      <c r="F129" s="47"/>
      <c r="G129" s="47"/>
      <c r="H129" s="47"/>
      <c r="I129" s="47"/>
      <c r="J129" s="47"/>
      <c r="K129" s="11">
        <f t="shared" si="835"/>
        <v>-2126207.3946219995</v>
      </c>
      <c r="L129" s="11">
        <f>SUM(DN129:DY129)</f>
        <v>-858834.48864962556</v>
      </c>
      <c r="M129" s="11">
        <f>SUM(DZ129:EK129)</f>
        <v>-1300236.6030240983</v>
      </c>
      <c r="N129" s="11">
        <f t="shared" ca="1" si="837"/>
        <v>723445.16815363918</v>
      </c>
      <c r="O129" s="11">
        <f t="shared" si="838"/>
        <v>109409.06480133254</v>
      </c>
      <c r="P129" s="11">
        <f t="shared" si="839"/>
        <v>-774530.69389859145</v>
      </c>
      <c r="R129" s="48"/>
      <c r="S129" s="48"/>
      <c r="T129" s="48"/>
      <c r="U129" s="48"/>
      <c r="V129" s="12">
        <f>SUM(V123:V128)</f>
        <v>-634040</v>
      </c>
      <c r="W129" s="12">
        <f t="shared" si="804"/>
        <v>89217</v>
      </c>
      <c r="X129" s="12">
        <f t="shared" si="805"/>
        <v>-541899</v>
      </c>
      <c r="Y129" s="12">
        <f>SUM(CA129:CC129)</f>
        <v>-419626.28</v>
      </c>
      <c r="Z129" s="12">
        <f t="shared" si="840"/>
        <v>445625.05</v>
      </c>
      <c r="AA129" s="12">
        <f>SUM(CG129:CI129)</f>
        <v>-291587.34999999998</v>
      </c>
      <c r="AB129" s="12">
        <f t="shared" si="808"/>
        <v>64195.940000000017</v>
      </c>
      <c r="AC129" s="12">
        <f t="shared" si="809"/>
        <v>-160467.73000000001</v>
      </c>
      <c r="AD129" s="12">
        <f t="shared" si="810"/>
        <v>76184.079999999958</v>
      </c>
      <c r="AE129" s="12">
        <f t="shared" si="841"/>
        <v>-50984.400000000023</v>
      </c>
      <c r="AF129" s="12">
        <f t="shared" si="811"/>
        <v>-1125363.8999999999</v>
      </c>
      <c r="AG129" s="12">
        <f t="shared" si="812"/>
        <v>563974.79999999912</v>
      </c>
      <c r="AH129" s="12">
        <f t="shared" si="813"/>
        <v>-1357737.7135218182</v>
      </c>
      <c r="AI129" s="12">
        <f t="shared" si="814"/>
        <v>-248342.58647818145</v>
      </c>
      <c r="AJ129" s="12">
        <f t="shared" si="815"/>
        <v>-83931.804622003809</v>
      </c>
      <c r="AK129" s="12">
        <f t="shared" si="816"/>
        <v>-436195.28999999608</v>
      </c>
      <c r="AL129" s="12">
        <f t="shared" si="817"/>
        <v>-449769.54400852078</v>
      </c>
      <c r="AM129" s="12">
        <f t="shared" si="818"/>
        <v>-238688.62999999794</v>
      </c>
      <c r="AN129" s="12">
        <f t="shared" si="819"/>
        <v>95131.09542413929</v>
      </c>
      <c r="AO129" s="12">
        <f t="shared" si="820"/>
        <v>-265507.41006524605</v>
      </c>
      <c r="AP129" s="12">
        <f>SUM(DZ129:EB129)</f>
        <v>-484246.39067486965</v>
      </c>
      <c r="AQ129" s="12">
        <f t="shared" ca="1" si="861"/>
        <v>11833.517223350857</v>
      </c>
      <c r="AR129" s="12">
        <f t="shared" ca="1" si="861"/>
        <v>179258.99693177402</v>
      </c>
      <c r="AS129" s="12">
        <f ca="1">OFFSET($DZ129,0,AS$4)+OFFSET($EA129,0,AS$4)+OFFSET($EB129,0,AS$4)</f>
        <v>-1007082.7265043537</v>
      </c>
      <c r="AT129" s="12">
        <f t="shared" si="842"/>
        <v>53209.366512675057</v>
      </c>
      <c r="AU129" s="12">
        <f t="shared" ca="1" si="823"/>
        <v>124038.78368457395</v>
      </c>
      <c r="AV129" s="12">
        <f t="shared" si="843"/>
        <v>558996.2525278437</v>
      </c>
      <c r="AW129" s="12">
        <f>SUM(EU129:EW129)</f>
        <v>-12799.234571453475</v>
      </c>
      <c r="AX129" s="12">
        <f t="shared" si="844"/>
        <v>22376.100232833865</v>
      </c>
      <c r="AY129" s="12">
        <f t="shared" si="845"/>
        <v>778890.71264066896</v>
      </c>
      <c r="AZ129" s="12">
        <f t="shared" si="846"/>
        <v>-862614.84128948185</v>
      </c>
      <c r="BA129" s="12">
        <f t="shared" si="824"/>
        <v>170757.09321731154</v>
      </c>
      <c r="BB129" s="12">
        <f t="shared" si="847"/>
        <v>-774530.69389859145</v>
      </c>
      <c r="BC129" s="12"/>
      <c r="BD129" s="12"/>
      <c r="BE129" s="12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12">
        <f>SUM(BR123:BR128)</f>
        <v>-130467</v>
      </c>
      <c r="BS129" s="12">
        <f>SUM(BS123:BS128)</f>
        <v>-356178</v>
      </c>
      <c r="BT129" s="12">
        <f t="shared" ref="BT129:BY129" si="894">SUM(BT123:BT128)</f>
        <v>-147395</v>
      </c>
      <c r="BU129" s="12">
        <f t="shared" si="894"/>
        <v>216077</v>
      </c>
      <c r="BV129" s="12">
        <f t="shared" si="894"/>
        <v>47852</v>
      </c>
      <c r="BW129" s="12">
        <f t="shared" si="894"/>
        <v>-174712</v>
      </c>
      <c r="BX129" s="12">
        <f t="shared" si="894"/>
        <v>-338893</v>
      </c>
      <c r="BY129" s="12">
        <f t="shared" si="894"/>
        <v>97195</v>
      </c>
      <c r="BZ129" s="12">
        <f>SUM(BZ123:BZ128)</f>
        <v>-300201</v>
      </c>
      <c r="CA129" s="12">
        <f t="shared" ref="CA129:CF129" si="895">SUM(CA123:CA128)</f>
        <v>-152461</v>
      </c>
      <c r="CB129" s="12">
        <f t="shared" si="895"/>
        <v>-201537.28</v>
      </c>
      <c r="CC129" s="12">
        <f t="shared" si="895"/>
        <v>-65628</v>
      </c>
      <c r="CD129" s="12">
        <f t="shared" si="895"/>
        <v>363486.11</v>
      </c>
      <c r="CE129" s="12">
        <f t="shared" si="895"/>
        <v>-300900</v>
      </c>
      <c r="CF129" s="12">
        <f t="shared" si="895"/>
        <v>383038.94</v>
      </c>
      <c r="CG129" s="12">
        <f t="shared" ref="CG129:CU129" si="896">SUM(CG123:CG128)</f>
        <v>66422.94</v>
      </c>
      <c r="CH129" s="12">
        <f t="shared" si="896"/>
        <v>151510.31</v>
      </c>
      <c r="CI129" s="12">
        <f t="shared" si="896"/>
        <v>-509520.6</v>
      </c>
      <c r="CJ129" s="12">
        <f t="shared" si="896"/>
        <v>258781.64</v>
      </c>
      <c r="CK129" s="12">
        <f t="shared" si="896"/>
        <v>-243028.62</v>
      </c>
      <c r="CL129" s="12">
        <f t="shared" si="896"/>
        <v>48442.92</v>
      </c>
      <c r="CM129" s="12">
        <f t="shared" si="896"/>
        <v>206630.97</v>
      </c>
      <c r="CN129" s="12">
        <f t="shared" si="896"/>
        <v>-432733.08</v>
      </c>
      <c r="CO129" s="12">
        <f t="shared" si="896"/>
        <v>65634.38</v>
      </c>
      <c r="CP129" s="12">
        <f t="shared" si="896"/>
        <v>-145575.03</v>
      </c>
      <c r="CQ129" s="12">
        <f t="shared" si="896"/>
        <v>462204.11</v>
      </c>
      <c r="CR129" s="12">
        <f t="shared" si="896"/>
        <v>-240445</v>
      </c>
      <c r="CS129" s="12">
        <f t="shared" si="896"/>
        <v>-74195</v>
      </c>
      <c r="CT129" s="12">
        <f t="shared" si="896"/>
        <v>-298301.28000000003</v>
      </c>
      <c r="CU129" s="12">
        <f t="shared" si="896"/>
        <v>321511.88</v>
      </c>
      <c r="CV129" s="12">
        <f t="shared" ref="CV129:DC129" si="897">SUM(CV123:CV128)</f>
        <v>-553736</v>
      </c>
      <c r="CW129" s="12">
        <f t="shared" si="897"/>
        <v>-164828.70999999982</v>
      </c>
      <c r="CX129" s="12">
        <f t="shared" si="897"/>
        <v>-406799.19000000006</v>
      </c>
      <c r="CY129" s="12">
        <f t="shared" si="897"/>
        <v>782033.16999999876</v>
      </c>
      <c r="CZ129" s="12">
        <f t="shared" si="897"/>
        <v>-396149.14999999956</v>
      </c>
      <c r="DA129" s="12">
        <f>SUM(DA123:DA128)</f>
        <v>178090.77999999997</v>
      </c>
      <c r="DB129" s="12">
        <f t="shared" si="897"/>
        <v>-1197683.5299999998</v>
      </c>
      <c r="DC129" s="12">
        <f t="shared" si="897"/>
        <v>-516725.11999999982</v>
      </c>
      <c r="DD129" s="12">
        <f t="shared" ref="DD129:DL129" si="898">SUM(DD123:DD128)</f>
        <v>356670.93647818157</v>
      </c>
      <c r="DE129" s="12">
        <f t="shared" si="898"/>
        <v>20086.703521818185</v>
      </c>
      <c r="DF129" s="12">
        <f t="shared" si="898"/>
        <v>-404034.84</v>
      </c>
      <c r="DG129" s="12">
        <f t="shared" si="898"/>
        <v>135605.55000000037</v>
      </c>
      <c r="DH129" s="12">
        <f t="shared" si="898"/>
        <v>-320126.21000000433</v>
      </c>
      <c r="DI129" s="12">
        <f t="shared" si="898"/>
        <v>-416272.14220324391</v>
      </c>
      <c r="DJ129" s="12">
        <f t="shared" si="898"/>
        <v>652466.54758124449</v>
      </c>
      <c r="DK129" s="12">
        <f t="shared" si="898"/>
        <v>-452523.04000000108</v>
      </c>
      <c r="DL129" s="12">
        <f t="shared" si="898"/>
        <v>270796.87000000442</v>
      </c>
      <c r="DM129" s="12">
        <f>SUM(DM123:DM128)</f>
        <v>-254469.11999999938</v>
      </c>
      <c r="DN129" s="12">
        <f t="shared" ref="DN129:DT129" si="899">SUM(DN123:DN128)</f>
        <v>-696587.18443589972</v>
      </c>
      <c r="DO129" s="12">
        <f t="shared" si="899"/>
        <v>73180.170427378587</v>
      </c>
      <c r="DP129" s="12">
        <f t="shared" si="899"/>
        <v>173637.47000000032</v>
      </c>
      <c r="DQ129" s="12">
        <f t="shared" si="899"/>
        <v>-297504.76</v>
      </c>
      <c r="DR129" s="12">
        <f t="shared" si="899"/>
        <v>-84396.509999999194</v>
      </c>
      <c r="DS129" s="12">
        <f t="shared" si="899"/>
        <v>143212.64000000127</v>
      </c>
      <c r="DT129" s="12">
        <f t="shared" si="899"/>
        <v>80411.666172175042</v>
      </c>
      <c r="DU129" s="12">
        <f t="shared" ref="DU129:DW129" si="900">SUM(DU123:DU128)</f>
        <v>660854.17925196269</v>
      </c>
      <c r="DV129" s="12">
        <f t="shared" si="900"/>
        <v>-646134.74999999849</v>
      </c>
      <c r="DW129" s="12">
        <f t="shared" si="900"/>
        <v>191889.91132873663</v>
      </c>
      <c r="DX129" s="12">
        <f t="shared" ref="DX129:DZ129" si="901">SUM(DX123:DX128)</f>
        <v>-548538.53000000515</v>
      </c>
      <c r="DY129" s="511">
        <f>SUM(DY123:DY128)</f>
        <v>91141.208606022439</v>
      </c>
      <c r="DZ129" s="12">
        <f t="shared" si="901"/>
        <v>541587.39002830209</v>
      </c>
      <c r="EA129" s="12">
        <f t="shared" ref="EA129:EB129" si="902">SUM(EA123:EA128)</f>
        <v>-885086.38342485391</v>
      </c>
      <c r="EB129" s="12">
        <f t="shared" si="902"/>
        <v>-140747.39727831786</v>
      </c>
      <c r="EC129" s="12">
        <f>SUM(EC123:EC128)</f>
        <v>-582859.2571730878</v>
      </c>
      <c r="ED129" s="12">
        <f>SUM(ED123:ED128)</f>
        <v>629607.321773367</v>
      </c>
      <c r="EE129" s="12">
        <f>SUM(EE123:EE128)</f>
        <v>-34914.547376928349</v>
      </c>
      <c r="EF129" s="12">
        <f t="shared" ref="EF129:EG129" si="903">SUM(EF123:EF128)</f>
        <v>1011850.396925385</v>
      </c>
      <c r="EG129" s="12">
        <f t="shared" si="903"/>
        <v>-900225.28415516228</v>
      </c>
      <c r="EH129" s="12">
        <f t="shared" ref="EH129:EI129" si="904">SUM(EH123:EH128)</f>
        <v>67633.884161551308</v>
      </c>
      <c r="EI129" s="12">
        <f t="shared" si="904"/>
        <v>-356769.68467006233</v>
      </c>
      <c r="EJ129" s="12">
        <f t="shared" ref="EJ129" si="905">SUM(EJ123:EJ128)</f>
        <v>-356286.76909229124</v>
      </c>
      <c r="EK129" s="511">
        <f t="shared" ref="EK129:EP129" si="906">SUM(EK123:EK128)</f>
        <v>-294026.27274200006</v>
      </c>
      <c r="EL129" s="511">
        <f t="shared" si="906"/>
        <v>647823.77951180469</v>
      </c>
      <c r="EM129" s="511">
        <f t="shared" si="906"/>
        <v>-562755.21686827193</v>
      </c>
      <c r="EN129" s="511">
        <f t="shared" si="906"/>
        <v>-31859.196130857701</v>
      </c>
      <c r="EO129" s="511">
        <f t="shared" si="906"/>
        <v>549737.34351195639</v>
      </c>
      <c r="EP129" s="511">
        <f t="shared" si="906"/>
        <v>-241578.63388493055</v>
      </c>
      <c r="EQ129" s="511">
        <f t="shared" ref="EQ129:ER129" si="907">SUM(EQ123:EQ128)</f>
        <v>-184119.92594245193</v>
      </c>
      <c r="ER129" s="12">
        <f t="shared" si="907"/>
        <v>1162619.3816713623</v>
      </c>
      <c r="ES129" s="12">
        <f t="shared" ref="ES129:ET129" si="908">SUM(ES123:ES128)</f>
        <v>-840354.06701764138</v>
      </c>
      <c r="ET129" s="12">
        <f t="shared" si="908"/>
        <v>236730.93787412281</v>
      </c>
      <c r="EU129" s="12">
        <f>SUM(EU123:EU128)</f>
        <v>216944.86570140434</v>
      </c>
      <c r="EV129" s="12">
        <f t="shared" ref="EV129" si="909">SUM(EV123:EV128)</f>
        <v>-163862.56775514095</v>
      </c>
      <c r="EW129" s="12">
        <f t="shared" ref="EW129" si="910">SUM(EW123:EW128)</f>
        <v>-65881.532517716871</v>
      </c>
      <c r="EX129" s="12">
        <f>SUM(EX123:EX128)</f>
        <v>-406783.79899254313</v>
      </c>
      <c r="EY129" s="12">
        <f t="shared" ref="EY129:EZ129" si="911">SUM(EY123:EY128)</f>
        <v>312343.69137743756</v>
      </c>
      <c r="EZ129" s="12">
        <f t="shared" si="911"/>
        <v>116816.20784793944</v>
      </c>
      <c r="FA129" s="12">
        <f t="shared" ref="FA129:FB129" si="912">SUM(FA123:FA128)</f>
        <v>-86586.679296822753</v>
      </c>
      <c r="FB129" s="12">
        <f t="shared" si="912"/>
        <v>482107.82473519916</v>
      </c>
      <c r="FC129" s="12">
        <f t="shared" ref="FC129:FD129" si="913">SUM(FC123:FC128)</f>
        <v>383369.5672022925</v>
      </c>
      <c r="FD129" s="12">
        <f t="shared" si="913"/>
        <v>-763917.60330753005</v>
      </c>
      <c r="FE129" s="12">
        <f t="shared" ref="FE129:FF129" si="914">SUM(FE123:FE128)</f>
        <v>347851.72572794376</v>
      </c>
      <c r="FF129" s="12">
        <f t="shared" si="914"/>
        <v>-446548.96370989562</v>
      </c>
      <c r="FG129" s="12">
        <f t="shared" ref="FG129:FH129" si="915">SUM(FG123:FG128)</f>
        <v>156643.04477645559</v>
      </c>
      <c r="FH129" s="12">
        <f t="shared" si="915"/>
        <v>-831786.79007025273</v>
      </c>
      <c r="FI129" s="12">
        <f>SUM(FI123:FI128)</f>
        <v>845900.83851110865</v>
      </c>
      <c r="FJ129" s="12">
        <f>SUM(FJ123:FJ128)</f>
        <v>-424420.56331670913</v>
      </c>
      <c r="FK129" s="451">
        <f>SUM(FK123:FK128)</f>
        <v>-350110.13058188226</v>
      </c>
      <c r="FL129" s="12"/>
      <c r="FM129" s="12"/>
      <c r="FN129"/>
      <c r="FO129"/>
      <c r="FP129"/>
      <c r="FQ129"/>
      <c r="FR129"/>
      <c r="FS129"/>
      <c r="FT129"/>
    </row>
    <row r="130" spans="3:176" s="1" customFormat="1" x14ac:dyDescent="0.35">
      <c r="C130"/>
      <c r="F130" s="47"/>
      <c r="G130" s="47"/>
      <c r="H130" s="47"/>
      <c r="I130" s="47"/>
      <c r="J130" s="47"/>
      <c r="K130" s="47"/>
      <c r="R130" s="48"/>
      <c r="S130" s="48"/>
      <c r="T130" s="48"/>
      <c r="U130" s="48"/>
      <c r="V130" s="20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20"/>
      <c r="BU130" s="48"/>
      <c r="BV130" s="48"/>
      <c r="BW130" s="48"/>
      <c r="BX130" s="48"/>
      <c r="BY130" s="48"/>
      <c r="BZ130" s="48"/>
      <c r="CA130" s="48"/>
      <c r="CB130" s="48"/>
      <c r="CC130" s="48"/>
      <c r="CD130" s="48"/>
      <c r="CE130" s="48"/>
      <c r="DK130" s="12"/>
      <c r="DL130" s="12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469"/>
      <c r="EB130" s="48"/>
      <c r="EC130" s="48"/>
      <c r="ED130" s="48"/>
      <c r="EE130" s="48"/>
      <c r="EF130" s="48"/>
      <c r="EG130" s="48"/>
      <c r="EK130" s="594"/>
      <c r="EL130" s="594"/>
      <c r="EM130" s="594"/>
      <c r="EN130" s="594"/>
      <c r="EO130" s="594"/>
      <c r="EP130" s="594"/>
      <c r="EQ130" s="594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 s="384"/>
      <c r="FL130"/>
      <c r="FM130"/>
      <c r="FN130"/>
      <c r="FO130"/>
      <c r="FP130"/>
      <c r="FQ130"/>
      <c r="FR130"/>
      <c r="FS130"/>
      <c r="FT130"/>
    </row>
    <row r="131" spans="3:176" s="1" customFormat="1" x14ac:dyDescent="0.35">
      <c r="C131" s="10" t="s">
        <v>172</v>
      </c>
      <c r="D131"/>
      <c r="F131" s="47"/>
      <c r="G131" s="47"/>
      <c r="H131" s="47"/>
      <c r="I131" s="47"/>
      <c r="J131" s="47"/>
      <c r="K131" s="47"/>
      <c r="R131" s="48"/>
      <c r="S131" s="48"/>
      <c r="T131" s="48"/>
      <c r="U131" s="48"/>
      <c r="V131" s="20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20"/>
      <c r="BU131" s="48"/>
      <c r="BV131" s="48"/>
      <c r="BW131" s="48"/>
      <c r="BX131" s="48"/>
      <c r="BY131" s="48"/>
      <c r="BZ131" s="48"/>
      <c r="CA131" s="48"/>
      <c r="CB131" s="48"/>
      <c r="CC131" s="48"/>
      <c r="CD131" s="48"/>
      <c r="CE131" s="48"/>
      <c r="DK131" s="12"/>
      <c r="DL131" s="12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469"/>
      <c r="EB131" s="48"/>
      <c r="EC131" s="48"/>
      <c r="ED131" s="48"/>
      <c r="EE131" s="48"/>
      <c r="EF131" s="48"/>
      <c r="EG131" s="48"/>
      <c r="EK131" s="594"/>
      <c r="EL131" s="594"/>
      <c r="EM131" s="594"/>
      <c r="EN131" s="594"/>
      <c r="EO131" s="594"/>
      <c r="EP131" s="594"/>
      <c r="EQ131" s="594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 s="384"/>
      <c r="FL131"/>
      <c r="FM131"/>
      <c r="FN131"/>
      <c r="FO131"/>
      <c r="FP131"/>
      <c r="FQ131"/>
      <c r="FR131"/>
      <c r="FS131"/>
      <c r="FT131"/>
    </row>
    <row r="132" spans="3:176" s="1" customFormat="1" x14ac:dyDescent="0.35">
      <c r="C132" t="s">
        <v>173</v>
      </c>
      <c r="D132"/>
      <c r="E132" s="46"/>
      <c r="F132" s="47"/>
      <c r="G132" s="47"/>
      <c r="H132" s="47"/>
      <c r="I132" s="47"/>
      <c r="J132" s="47"/>
      <c r="K132" s="47"/>
      <c r="R132" s="48"/>
      <c r="S132" s="48"/>
      <c r="T132" s="48"/>
      <c r="U132" s="48"/>
      <c r="V132" s="20"/>
      <c r="W132" s="20"/>
      <c r="X132" s="20"/>
      <c r="Y132" s="20"/>
      <c r="Z132" s="20">
        <f>SUM(CD132:CF132)</f>
        <v>0</v>
      </c>
      <c r="AA132" s="20">
        <f>SUM(CG132:CI132)</f>
        <v>0</v>
      </c>
      <c r="AB132" s="20">
        <f>SUM(CJ132:CL132)</f>
        <v>0</v>
      </c>
      <c r="AC132" s="20">
        <f>SUM(CM132:CO132)</f>
        <v>0</v>
      </c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F132" s="48"/>
      <c r="BG132" s="48"/>
      <c r="BH132" s="48"/>
      <c r="BI132" s="48"/>
      <c r="BJ132" s="48"/>
      <c r="BK132" s="48"/>
      <c r="BL132" s="48"/>
      <c r="BM132" s="48"/>
      <c r="BN132" s="48"/>
      <c r="BO132" s="48"/>
      <c r="BP132" s="48"/>
      <c r="BQ132" s="48"/>
      <c r="BR132" s="82"/>
      <c r="BS132" s="20">
        <v>0</v>
      </c>
      <c r="BT132" s="20">
        <v>0</v>
      </c>
      <c r="BU132" s="20">
        <v>0</v>
      </c>
      <c r="BV132" s="20">
        <v>0</v>
      </c>
      <c r="BW132" s="48">
        <v>0</v>
      </c>
      <c r="BX132" s="48">
        <v>0</v>
      </c>
      <c r="BY132" s="48">
        <v>0</v>
      </c>
      <c r="BZ132" s="48">
        <v>0</v>
      </c>
      <c r="CA132" s="48">
        <v>0</v>
      </c>
      <c r="CB132" s="48">
        <v>0</v>
      </c>
      <c r="CC132" s="48">
        <v>0</v>
      </c>
      <c r="CD132" s="48">
        <v>0</v>
      </c>
      <c r="CE132" s="48"/>
      <c r="DK132" s="12"/>
      <c r="DL132" s="12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469"/>
      <c r="EK132" s="594"/>
      <c r="EL132" s="594"/>
      <c r="EM132" s="594"/>
      <c r="EN132" s="594"/>
      <c r="EO132" s="594"/>
      <c r="EP132" s="594"/>
      <c r="EQ132" s="594"/>
      <c r="ET132"/>
      <c r="EU132"/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 s="384"/>
      <c r="FL132"/>
      <c r="FM132"/>
      <c r="FN132"/>
      <c r="FO132"/>
      <c r="FP132"/>
      <c r="FQ132"/>
      <c r="FR132"/>
      <c r="FS132"/>
      <c r="FT132"/>
    </row>
    <row r="133" spans="3:176" s="1" customFormat="1" x14ac:dyDescent="0.35">
      <c r="C133" t="s">
        <v>174</v>
      </c>
      <c r="D133"/>
      <c r="F133" s="47"/>
      <c r="G133" s="47"/>
      <c r="H133" s="47"/>
      <c r="I133" s="47"/>
      <c r="J133" s="47"/>
      <c r="K133" s="47"/>
      <c r="R133" s="48"/>
      <c r="S133" s="48"/>
      <c r="T133" s="48"/>
      <c r="U133" s="48"/>
      <c r="V133" s="20"/>
      <c r="W133" s="20"/>
      <c r="X133" s="20"/>
      <c r="Y133" s="20"/>
      <c r="Z133" s="20">
        <f>SUM(CD133:CF133)</f>
        <v>0</v>
      </c>
      <c r="AA133" s="20">
        <f>SUM(CG133:CI133)</f>
        <v>0</v>
      </c>
      <c r="AB133" s="20">
        <f>SUM(CJ133:CL133)</f>
        <v>0</v>
      </c>
      <c r="AC133" s="20">
        <f>SUM(CM133:CO133)</f>
        <v>0</v>
      </c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F133" s="48"/>
      <c r="BG133" s="48"/>
      <c r="BH133" s="48"/>
      <c r="BI133" s="48"/>
      <c r="BJ133" s="48"/>
      <c r="BK133" s="48"/>
      <c r="BL133" s="48"/>
      <c r="BM133" s="48"/>
      <c r="BN133" s="48"/>
      <c r="BO133" s="48"/>
      <c r="BP133" s="48"/>
      <c r="BQ133" s="48"/>
      <c r="BR133" s="20"/>
      <c r="BS133" s="20">
        <v>0</v>
      </c>
      <c r="BT133" s="20">
        <v>0</v>
      </c>
      <c r="BU133" s="20">
        <v>0</v>
      </c>
      <c r="BV133" s="20">
        <v>0</v>
      </c>
      <c r="BW133" s="48">
        <v>0</v>
      </c>
      <c r="BX133" s="48">
        <v>0</v>
      </c>
      <c r="BY133" s="48">
        <v>0</v>
      </c>
      <c r="BZ133" s="48">
        <v>0</v>
      </c>
      <c r="CA133" s="48">
        <v>0</v>
      </c>
      <c r="CB133" s="48">
        <v>0</v>
      </c>
      <c r="CC133" s="48">
        <v>0</v>
      </c>
      <c r="CD133" s="48">
        <v>0</v>
      </c>
      <c r="CE133" s="48"/>
      <c r="DK133" s="12"/>
      <c r="DL133" s="12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469"/>
      <c r="EK133" s="594"/>
      <c r="EL133" s="594"/>
      <c r="EM133" s="594"/>
      <c r="EN133" s="594"/>
      <c r="EO133" s="594"/>
      <c r="EP133" s="594"/>
      <c r="EQ133" s="594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 s="384"/>
      <c r="FL133"/>
      <c r="FM133"/>
      <c r="FN133"/>
      <c r="FO133"/>
      <c r="FP133"/>
      <c r="FQ133"/>
      <c r="FR133"/>
      <c r="FS133"/>
      <c r="FT133"/>
    </row>
    <row r="134" spans="3:176" s="1" customFormat="1" x14ac:dyDescent="0.35">
      <c r="C134" t="s">
        <v>175</v>
      </c>
      <c r="F134" s="47"/>
      <c r="G134" s="47"/>
      <c r="H134" s="47"/>
      <c r="I134" s="47"/>
      <c r="J134" s="47"/>
      <c r="K134" s="47"/>
      <c r="R134" s="48"/>
      <c r="S134" s="48"/>
      <c r="T134" s="48"/>
      <c r="U134" s="48"/>
      <c r="V134" s="20"/>
      <c r="W134" s="20"/>
      <c r="X134" s="20"/>
      <c r="Y134" s="20"/>
      <c r="Z134" s="20">
        <f>SUM(CD134:CF134)</f>
        <v>203565.60000000056</v>
      </c>
      <c r="AA134" s="20">
        <f>SUM(CG134:CI134)</f>
        <v>107854.34999999963</v>
      </c>
      <c r="AB134" s="20">
        <f>SUM(CJ134:CL134)</f>
        <v>145862.0599999995</v>
      </c>
      <c r="AC134" s="20">
        <f>SUM(CM134:CO134)</f>
        <v>98869.730000000796</v>
      </c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8"/>
      <c r="BR134" s="20">
        <v>34640</v>
      </c>
      <c r="BS134" s="20">
        <v>31968</v>
      </c>
      <c r="BT134" s="20">
        <v>35393</v>
      </c>
      <c r="BU134" s="20">
        <v>34252</v>
      </c>
      <c r="BV134" s="20">
        <v>35393</v>
      </c>
      <c r="BW134" s="20">
        <v>36772</v>
      </c>
      <c r="BX134" s="20">
        <f>43675</f>
        <v>43675</v>
      </c>
      <c r="BY134" s="20">
        <v>45593</v>
      </c>
      <c r="BZ134" s="20">
        <v>46249</v>
      </c>
      <c r="CA134" s="20">
        <v>37771</v>
      </c>
      <c r="CB134" s="20">
        <v>42265.280000000261</v>
      </c>
      <c r="CC134" s="20">
        <v>43698</v>
      </c>
      <c r="CD134" s="20">
        <v>51095.889999999665</v>
      </c>
      <c r="CE134" s="20">
        <v>95243.650000000373</v>
      </c>
      <c r="CF134" s="20">
        <v>57226.060000000522</v>
      </c>
      <c r="CG134" s="20">
        <v>55380.05999999959</v>
      </c>
      <c r="CH134" s="20">
        <v>18520.69000000041</v>
      </c>
      <c r="CI134" s="20">
        <v>33953.599999999627</v>
      </c>
      <c r="CJ134" s="20">
        <v>43654.360000000335</v>
      </c>
      <c r="CK134" s="20">
        <v>51941.6199999991</v>
      </c>
      <c r="CL134" s="20">
        <v>50266.080000000075</v>
      </c>
      <c r="CM134" s="20">
        <v>-3337.9699999997392</v>
      </c>
      <c r="CN134" s="20">
        <v>50266.080000000424</v>
      </c>
      <c r="CO134" s="20">
        <v>51941.620000000112</v>
      </c>
      <c r="CP134" s="20">
        <v>-3337.9700000006701</v>
      </c>
      <c r="CQ134" s="20">
        <v>48574.890000000596</v>
      </c>
      <c r="CR134" s="20">
        <v>58191.33</v>
      </c>
      <c r="CS134" s="20">
        <f>-73279+56848</f>
        <v>-16431</v>
      </c>
      <c r="CT134" s="20">
        <v>59080.279999999329</v>
      </c>
      <c r="CU134" s="20">
        <v>57174.470000000671</v>
      </c>
      <c r="CV134" s="20">
        <v>-28349</v>
      </c>
      <c r="CW134" s="20">
        <v>58817.19000000041</v>
      </c>
      <c r="CX134" s="20">
        <v>56919.860000000335</v>
      </c>
      <c r="CY134" s="20">
        <v>-27831.7</v>
      </c>
      <c r="CZ134" s="20">
        <v>51699.729999999516</v>
      </c>
      <c r="DA134" s="20">
        <v>52427.98</v>
      </c>
      <c r="DB134" s="20">
        <v>-14811.800000000745</v>
      </c>
      <c r="DC134" s="20"/>
      <c r="DD134" s="20"/>
      <c r="DE134" s="20">
        <v>-41566.719999998801</v>
      </c>
      <c r="DF134" s="20">
        <v>21668.320000000298</v>
      </c>
      <c r="DG134" s="20">
        <v>20969.349999999627</v>
      </c>
      <c r="DH134" s="20">
        <v>-38100.679999999702</v>
      </c>
      <c r="DI134" s="20">
        <v>23302.7</v>
      </c>
      <c r="DJ134" s="20">
        <v>19323.46</v>
      </c>
      <c r="DK134" s="12">
        <f>-53852.79-895.79</f>
        <v>-54748.58</v>
      </c>
      <c r="DL134" s="20">
        <v>17043.27</v>
      </c>
      <c r="DM134" s="20"/>
      <c r="DN134" s="20">
        <f>-46761.325564103+23000</f>
        <v>-23761.325564102997</v>
      </c>
      <c r="DO134" s="20">
        <v>4147.3195726204303</v>
      </c>
      <c r="DP134" s="20"/>
      <c r="DQ134" s="20">
        <v>-44273.919999999998</v>
      </c>
      <c r="DR134" s="20"/>
      <c r="DS134" s="20"/>
      <c r="DT134" s="20"/>
      <c r="DU134" s="20"/>
      <c r="DV134" s="20"/>
      <c r="DW134" s="20">
        <v>60888</v>
      </c>
      <c r="DX134" s="20">
        <v>58923.93</v>
      </c>
      <c r="DY134" s="469">
        <v>-113741.86</v>
      </c>
      <c r="DZ134" s="20">
        <v>57484.389999999992</v>
      </c>
      <c r="EA134" s="20">
        <v>52019.040000000008</v>
      </c>
      <c r="EB134" s="20">
        <v>-108653.82</v>
      </c>
      <c r="EC134" s="20">
        <v>52491.29</v>
      </c>
      <c r="ED134" s="20">
        <v>54240.99</v>
      </c>
      <c r="EE134" s="20">
        <v>-102462.04</v>
      </c>
      <c r="EF134" s="20">
        <v>54241</v>
      </c>
      <c r="EG134" s="20">
        <v>47537.98</v>
      </c>
      <c r="EH134" s="20">
        <v>-97461.81</v>
      </c>
      <c r="EI134" s="20">
        <v>47537.98</v>
      </c>
      <c r="EJ134" s="20">
        <v>-19664.55</v>
      </c>
      <c r="EK134" s="469">
        <f>29935.02</f>
        <v>29935.02</v>
      </c>
      <c r="EL134" s="469">
        <v>44178.64</v>
      </c>
      <c r="EM134" s="469">
        <v>-91272.39</v>
      </c>
      <c r="EN134" s="469">
        <f>49737.750000001-3.97507442440838</f>
        <v>49733.774925576588</v>
      </c>
      <c r="EO134" s="469">
        <v>45601.07</v>
      </c>
      <c r="EP134" s="469">
        <v>-81981.63</v>
      </c>
      <c r="EQ134" s="469">
        <v>51354.490000000005</v>
      </c>
      <c r="ER134" s="20">
        <v>56038.91</v>
      </c>
      <c r="ES134" s="20">
        <v>-93386.43</v>
      </c>
      <c r="ET134" s="20">
        <f>71717.51</f>
        <v>71717.509999999995</v>
      </c>
      <c r="EU134" s="20">
        <v>76740.98</v>
      </c>
      <c r="EV134" s="20">
        <v>-69527.7</v>
      </c>
      <c r="EW134" s="20">
        <v>75395.210000000006</v>
      </c>
      <c r="EX134" s="20">
        <v>97315.36</v>
      </c>
      <c r="EY134" s="20">
        <v>-58337.63</v>
      </c>
      <c r="EZ134" s="20">
        <v>91983.16</v>
      </c>
      <c r="FA134" s="20">
        <v>96544.75</v>
      </c>
      <c r="FB134" s="20">
        <v>-36268.910000000003</v>
      </c>
      <c r="FC134" s="20">
        <v>85070.720000000001</v>
      </c>
      <c r="FD134" s="20">
        <v>98324.26</v>
      </c>
      <c r="FE134" s="20">
        <v>-6064.08000000007</v>
      </c>
      <c r="FF134" s="20">
        <v>102433.79</v>
      </c>
      <c r="FG134" s="20">
        <v>128391.05</v>
      </c>
      <c r="FH134" s="20">
        <v>-28828.29</v>
      </c>
      <c r="FI134" s="20">
        <v>90006.02</v>
      </c>
      <c r="FJ134" s="20">
        <v>114688.24</v>
      </c>
      <c r="FK134" s="454">
        <v>-1624.26000000001</v>
      </c>
      <c r="FL134" s="20"/>
      <c r="FM134" s="20"/>
      <c r="FN134"/>
      <c r="FO134"/>
      <c r="FP134"/>
      <c r="FQ134"/>
      <c r="FR134"/>
      <c r="FS134"/>
      <c r="FT134"/>
    </row>
    <row r="135" spans="3:176" x14ac:dyDescent="0.35">
      <c r="C135" t="s">
        <v>176</v>
      </c>
      <c r="F135" s="45"/>
      <c r="G135" s="45"/>
      <c r="H135" s="45"/>
      <c r="I135" s="45"/>
      <c r="J135" s="45"/>
      <c r="K135" s="45"/>
      <c r="V135" s="20"/>
      <c r="W135" s="20"/>
      <c r="X135" s="20"/>
      <c r="Y135" s="20"/>
      <c r="Z135" s="20">
        <f>SUM(CD135:CF135)</f>
        <v>0</v>
      </c>
      <c r="AA135" s="20">
        <f>SUM(CG135:CI135)</f>
        <v>4152</v>
      </c>
      <c r="AB135" s="20">
        <f>SUM(CJ135:CL135)</f>
        <v>9377</v>
      </c>
      <c r="AC135" s="20">
        <f>SUM(CM135:CO135)</f>
        <v>0</v>
      </c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20">
        <v>63164</v>
      </c>
      <c r="BS135" s="20">
        <v>-18324</v>
      </c>
      <c r="BT135" s="20">
        <v>1</v>
      </c>
      <c r="BU135" s="20">
        <v>-5508</v>
      </c>
      <c r="BV135" s="20">
        <v>-57058</v>
      </c>
      <c r="BW135" s="20">
        <v>-60147</v>
      </c>
      <c r="BX135" s="20">
        <v>-71817</v>
      </c>
      <c r="BY135" s="20">
        <v>-91995</v>
      </c>
      <c r="BZ135" s="20">
        <v>-84461</v>
      </c>
      <c r="CA135" s="20">
        <v>-104003</v>
      </c>
      <c r="CB135" s="20">
        <v>-146303</v>
      </c>
      <c r="CC135" s="20">
        <v>-72549</v>
      </c>
      <c r="CD135" s="20"/>
      <c r="CE135" s="20"/>
      <c r="CF135" s="20"/>
      <c r="CG135" s="20"/>
      <c r="CH135" s="20"/>
      <c r="CI135" s="20">
        <v>4152</v>
      </c>
      <c r="CJ135" s="20">
        <f>-115287+120000</f>
        <v>4713</v>
      </c>
      <c r="CK135" s="20">
        <v>4664</v>
      </c>
      <c r="CL135" s="20">
        <v>0</v>
      </c>
      <c r="CM135" s="20">
        <v>0</v>
      </c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1"/>
      <c r="DK135" s="12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469"/>
      <c r="EA135" s="54"/>
      <c r="EB135" s="54"/>
      <c r="EC135" s="54"/>
      <c r="ED135" s="54"/>
      <c r="EE135" s="54"/>
      <c r="EF135" s="54"/>
      <c r="EG135" s="54"/>
      <c r="EH135" s="1"/>
      <c r="EI135" s="1"/>
      <c r="FK135" s="384"/>
    </row>
    <row r="136" spans="3:176" x14ac:dyDescent="0.35">
      <c r="C136" t="s">
        <v>177</v>
      </c>
      <c r="AB136" s="20">
        <f>SUM(CJ136:CL136)</f>
        <v>7862</v>
      </c>
      <c r="AC136" s="20">
        <f>SUM(CM136:CO136)</f>
        <v>11509</v>
      </c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W136" s="20"/>
      <c r="CC136" s="20">
        <v>111528</v>
      </c>
      <c r="CL136" s="20">
        <v>7862</v>
      </c>
      <c r="CM136" s="20">
        <v>7862</v>
      </c>
      <c r="CN136" s="20">
        <v>-4096</v>
      </c>
      <c r="CO136" s="20">
        <f>3333+4410</f>
        <v>7743</v>
      </c>
      <c r="CP136" s="20">
        <v>0</v>
      </c>
      <c r="CQ136" s="20">
        <v>17023</v>
      </c>
      <c r="CR136" s="20">
        <v>-2960.33</v>
      </c>
      <c r="CS136" s="20"/>
      <c r="CT136" s="20">
        <v>3333</v>
      </c>
      <c r="CU136" s="20">
        <v>13166.65</v>
      </c>
      <c r="CV136" s="20">
        <v>5547</v>
      </c>
      <c r="CW136" s="20"/>
      <c r="CX136" s="20"/>
      <c r="CY136" s="20">
        <v>8001</v>
      </c>
      <c r="CZ136" s="20">
        <v>13651</v>
      </c>
      <c r="DA136" s="20">
        <v>-3192.4900000000034</v>
      </c>
      <c r="DB136" s="20">
        <v>10470.880000000747</v>
      </c>
      <c r="DC136" s="20">
        <v>3027.68</v>
      </c>
      <c r="DD136" s="20">
        <v>19563.699999999997</v>
      </c>
      <c r="DE136" s="20">
        <v>10366.149999998501</v>
      </c>
      <c r="DF136" s="20">
        <v>10472.900000000001</v>
      </c>
      <c r="DG136" s="20">
        <v>-4309.7199999996201</v>
      </c>
      <c r="DH136" s="20">
        <v>10472.879999999699</v>
      </c>
      <c r="DI136" s="20"/>
      <c r="DJ136" s="20">
        <v>-4354.0700000000015</v>
      </c>
      <c r="DK136" s="12">
        <v>28618.45</v>
      </c>
      <c r="DL136" s="20">
        <v>10313.990000000002</v>
      </c>
      <c r="DM136" s="20">
        <v>24750</v>
      </c>
      <c r="DN136" s="20">
        <v>10472.900000000001</v>
      </c>
      <c r="DO136" s="20">
        <f>11259.51+1424</f>
        <v>12683.51</v>
      </c>
      <c r="DP136" s="20">
        <v>12971.18</v>
      </c>
      <c r="DQ136" s="20">
        <v>26688.590000000007</v>
      </c>
      <c r="DR136" s="20">
        <v>20469.2</v>
      </c>
      <c r="DS136" s="20">
        <v>26730.819999999978</v>
      </c>
      <c r="DT136" s="20">
        <v>24647.779999999995</v>
      </c>
      <c r="DU136" s="20">
        <v>28679.889936073454</v>
      </c>
      <c r="DV136" s="20">
        <v>-47413.340000000004</v>
      </c>
      <c r="DW136" s="20">
        <v>1484</v>
      </c>
      <c r="DX136" s="20">
        <v>1489.580000000009</v>
      </c>
      <c r="DY136" s="469">
        <f>1489.57999999994-162904.59</f>
        <v>-161415.01000000007</v>
      </c>
      <c r="DZ136" s="20">
        <v>1489.5800000000017</v>
      </c>
      <c r="EA136" s="20">
        <v>2624.9900000000052</v>
      </c>
      <c r="EB136" s="20">
        <v>2624.9899999999907</v>
      </c>
      <c r="EC136" s="20">
        <v>2624.989999999998</v>
      </c>
      <c r="ED136" s="20">
        <v>2624.99</v>
      </c>
      <c r="EE136" s="20">
        <v>2624.989999999998</v>
      </c>
      <c r="EF136" s="20">
        <v>2624.989999999998</v>
      </c>
      <c r="EG136" s="20">
        <v>2624.989999999998</v>
      </c>
      <c r="EH136" s="20">
        <v>2624.989999999998</v>
      </c>
      <c r="EI136" s="20">
        <v>2624.989999999998</v>
      </c>
      <c r="EJ136" s="20">
        <v>3509.77</v>
      </c>
      <c r="EK136" s="469">
        <f>40715.71+183883</f>
        <v>224598.71</v>
      </c>
      <c r="EL136" s="469">
        <v>4526.1099999999997</v>
      </c>
      <c r="EM136" s="469">
        <v>5984</v>
      </c>
      <c r="EN136" s="469">
        <v>-1472.2700000013999</v>
      </c>
      <c r="EO136" s="469">
        <v>5443.5</v>
      </c>
      <c r="EP136" s="469">
        <v>5515.42</v>
      </c>
      <c r="EQ136" s="469">
        <v>4308.13</v>
      </c>
      <c r="ER136" s="20">
        <v>4645.95</v>
      </c>
      <c r="ES136" s="20">
        <v>6415.5</v>
      </c>
      <c r="ET136" s="20">
        <f>2315.55+457.83</f>
        <v>2773.38</v>
      </c>
      <c r="EU136" s="20">
        <f>4545+458</f>
        <v>5003</v>
      </c>
      <c r="EV136" s="20">
        <f>4473.08+457.83</f>
        <v>4930.91</v>
      </c>
      <c r="EW136" s="20">
        <f>5206.84</f>
        <v>5206.84</v>
      </c>
      <c r="EX136" s="20">
        <v>5206.84</v>
      </c>
      <c r="EY136" s="20">
        <v>5494.51</v>
      </c>
      <c r="EZ136" s="20">
        <v>5494.51</v>
      </c>
      <c r="FA136" s="20">
        <f>4473.08+661.84</f>
        <v>5134.92</v>
      </c>
      <c r="FB136" s="20">
        <f>4473.08+661.84</f>
        <v>5134.92</v>
      </c>
      <c r="FC136" s="20">
        <f>4401.16+661.84</f>
        <v>5063</v>
      </c>
      <c r="FD136" s="20">
        <f>4545+661.84</f>
        <v>5206.84</v>
      </c>
      <c r="FE136" s="20">
        <f>4545+661.84</f>
        <v>5206.84</v>
      </c>
      <c r="FF136" s="20">
        <f>4545+661.84</f>
        <v>5206.84</v>
      </c>
      <c r="FG136" s="20">
        <f t="shared" ref="FG136" si="916">4545+661.84</f>
        <v>5206.84</v>
      </c>
      <c r="FH136" s="20">
        <f>8162.38+1323.68</f>
        <v>9486.06</v>
      </c>
      <c r="FI136" s="20">
        <f>17899+662</f>
        <v>18561</v>
      </c>
      <c r="FJ136" s="20">
        <f>17899+662</f>
        <v>18561</v>
      </c>
      <c r="FK136" s="454">
        <v>9190.24</v>
      </c>
      <c r="FL136" s="20"/>
      <c r="FM136" s="20"/>
    </row>
    <row r="137" spans="3:176" x14ac:dyDescent="0.35">
      <c r="C137" t="s">
        <v>178</v>
      </c>
      <c r="D137" s="49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CY137" s="20">
        <v>-27195.7</v>
      </c>
      <c r="CZ137" s="20">
        <v>-136818.14000000001</v>
      </c>
      <c r="DA137" s="20">
        <v>-122233.31</v>
      </c>
      <c r="DB137" s="20">
        <v>-93575</v>
      </c>
      <c r="DC137" s="20">
        <v>-87600</v>
      </c>
      <c r="DD137" s="20">
        <v>-146699.78352181675</v>
      </c>
      <c r="DE137" s="20">
        <v>-85345</v>
      </c>
      <c r="DF137" s="20">
        <v>-83560</v>
      </c>
      <c r="DG137" s="20">
        <v>-117535</v>
      </c>
      <c r="DH137" s="20">
        <v>-87685</v>
      </c>
      <c r="DI137" s="20">
        <v>-123035</v>
      </c>
      <c r="DJ137" s="20">
        <v>-89387.5</v>
      </c>
      <c r="DK137" s="12">
        <v>-83415</v>
      </c>
      <c r="DL137" s="20">
        <v>-113124</v>
      </c>
      <c r="DM137" s="20">
        <v>-134225</v>
      </c>
      <c r="DN137" s="20">
        <v>-168233.48</v>
      </c>
      <c r="DO137" s="20">
        <v>-209739.63</v>
      </c>
      <c r="DP137" s="20">
        <v>-178785.17</v>
      </c>
      <c r="DQ137" s="20">
        <v>-216085.65</v>
      </c>
      <c r="DR137" s="20">
        <v>-180208.29</v>
      </c>
      <c r="DS137" s="20">
        <v>-189763.79</v>
      </c>
      <c r="DT137" s="20">
        <v>-229995.46</v>
      </c>
      <c r="DU137" s="20">
        <v>-249068.76</v>
      </c>
      <c r="DV137" s="20">
        <v>-156482.47</v>
      </c>
      <c r="DW137" s="20">
        <v>-146140.78</v>
      </c>
      <c r="DX137" s="20">
        <v>-146563</v>
      </c>
      <c r="DY137" s="469">
        <v>-256765.83</v>
      </c>
      <c r="DZ137" s="20">
        <v>-253705.25</v>
      </c>
      <c r="EA137" s="20">
        <v>-250277.43</v>
      </c>
      <c r="EB137" s="20">
        <v>-271085</v>
      </c>
      <c r="EC137" s="20">
        <v>-246575.96</v>
      </c>
      <c r="ED137" s="20">
        <v>-228870.51</v>
      </c>
      <c r="EE137" s="20">
        <v>-244396.52</v>
      </c>
      <c r="EF137" s="20">
        <v>-247508.43</v>
      </c>
      <c r="EG137" s="20">
        <v>-233478.82</v>
      </c>
      <c r="EH137" s="20">
        <v>-238481.19</v>
      </c>
      <c r="EI137" s="20">
        <v>-238180.48000000001</v>
      </c>
      <c r="EJ137" s="20">
        <v>-297034.93</v>
      </c>
      <c r="EK137" s="469">
        <v>-267225.43069958227</v>
      </c>
      <c r="EL137" s="469">
        <v>-267542.92</v>
      </c>
      <c r="EM137" s="469">
        <v>-283564.09000000003</v>
      </c>
      <c r="EN137" s="469">
        <v>-284220.03999999998</v>
      </c>
      <c r="EO137" s="469">
        <v>-301340.43</v>
      </c>
      <c r="EP137" s="469">
        <v>-296815.28000000003</v>
      </c>
      <c r="EQ137" s="469">
        <v>-304827</v>
      </c>
      <c r="ER137" s="20">
        <v>-296099.20000000001</v>
      </c>
      <c r="ES137" s="20">
        <v>-283211.59999999998</v>
      </c>
      <c r="ET137" s="20">
        <v>-289533.78000000003</v>
      </c>
      <c r="EU137" s="20">
        <v>-311691.33</v>
      </c>
      <c r="EV137" s="20">
        <v>-315868.74</v>
      </c>
      <c r="EW137" s="20">
        <v>-356043.5</v>
      </c>
      <c r="EX137" s="20">
        <v>-350187</v>
      </c>
      <c r="EY137" s="20">
        <v>-256870.36</v>
      </c>
      <c r="EZ137" s="20">
        <v>-245953.02</v>
      </c>
      <c r="FA137" s="20">
        <v>-238877.32</v>
      </c>
      <c r="FB137" s="20">
        <v>-244348.22694796362</v>
      </c>
      <c r="FC137" s="20">
        <v>-259036.02828678413</v>
      </c>
      <c r="FD137" s="20">
        <v>-282958.22417743661</v>
      </c>
      <c r="FE137" s="20">
        <v>-300038.76169922197</v>
      </c>
      <c r="FF137" s="20">
        <v>-339955.17738353508</v>
      </c>
      <c r="FG137" s="20">
        <v>-287301.40205486631</v>
      </c>
      <c r="FH137" s="20">
        <v>-302676.11132730433</v>
      </c>
      <c r="FI137" s="20">
        <v>-314540.44410601852</v>
      </c>
      <c r="FJ137" s="20">
        <v>-271936.60332040151</v>
      </c>
      <c r="FK137" s="454">
        <v>-276833.22079410509</v>
      </c>
      <c r="FL137" s="20"/>
      <c r="FM137" s="20"/>
    </row>
    <row r="138" spans="3:176" x14ac:dyDescent="0.35">
      <c r="D138" s="49"/>
      <c r="S138" s="20"/>
      <c r="T138" s="20"/>
      <c r="U138" s="20"/>
      <c r="V138" s="20"/>
      <c r="W138" s="20"/>
      <c r="X138" s="20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DJ138" s="1"/>
      <c r="DK138" s="12"/>
      <c r="DZ138" s="54"/>
      <c r="EA138" s="54"/>
      <c r="EB138" s="54"/>
      <c r="EC138" s="54"/>
      <c r="ED138" s="54"/>
      <c r="EE138" s="54"/>
      <c r="EH138" s="1"/>
    </row>
    <row r="1047098" spans="27:27" x14ac:dyDescent="0.35">
      <c r="AA1047098" s="12"/>
    </row>
  </sheetData>
  <phoneticPr fontId="39" type="noConversion"/>
  <conditionalFormatting sqref="V118:BE118">
    <cfRule type="cellIs" dxfId="55" priority="89" operator="notBetween">
      <formula>-1</formula>
      <formula>1</formula>
    </cfRule>
  </conditionalFormatting>
  <conditionalFormatting sqref="Y97:FM97">
    <cfRule type="cellIs" dxfId="54" priority="90" operator="notBetween">
      <formula>-1</formula>
      <formula>1</formula>
    </cfRule>
  </conditionalFormatting>
  <conditionalFormatting sqref="BR118:FM118">
    <cfRule type="cellIs" dxfId="53" priority="106" operator="notBetween">
      <formula>-1</formula>
      <formula>1</formula>
    </cfRule>
  </conditionalFormatting>
  <conditionalFormatting sqref="DJ96 DJ98:DJ100 DJ104 DJ106 DJ110">
    <cfRule type="cellIs" dxfId="52" priority="54" operator="notBetween">
      <formula>-1</formula>
      <formula>1</formula>
    </cfRule>
  </conditionalFormatting>
  <pageMargins left="0.23622047244094491" right="0.23622047244094491" top="0.74803149606299213" bottom="0.74803149606299213" header="0.31496062992125984" footer="0.31496062992125984"/>
  <pageSetup paperSize="9" scale="73" fitToHeight="0" orientation="landscape" r:id="rId1"/>
  <headerFooter>
    <oddHeader>&amp;A</oddHeader>
  </headerFooter>
  <rowBreaks count="2" manualBreakCount="2">
    <brk id="70" max="16383" man="1"/>
    <brk id="118" min="1" max="52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50E2-86B4-4357-A722-F4F254C53FC5}">
  <sheetPr codeName="Sheet4"/>
  <dimension ref="A1:FL129"/>
  <sheetViews>
    <sheetView showGridLines="0" zoomScaleNormal="100" workbookViewId="0">
      <pane xSplit="5" ySplit="3" topLeftCell="P4" activePane="bottomRight" state="frozen"/>
      <selection pane="topRight" activeCell="EV111" sqref="EA111:EV111"/>
      <selection pane="bottomLeft" activeCell="EV111" sqref="EA111:EV111"/>
      <selection pane="bottomRight" activeCell="EZ55" sqref="EZ55"/>
    </sheetView>
  </sheetViews>
  <sheetFormatPr defaultColWidth="9" defaultRowHeight="14.5" outlineLevelRow="1" outlineLevelCol="1" x14ac:dyDescent="0.35"/>
  <cols>
    <col min="1" max="1" width="9" hidden="1" customWidth="1"/>
    <col min="2" max="2" width="2.453125" customWidth="1"/>
    <col min="3" max="3" width="1.453125" customWidth="1"/>
    <col min="4" max="4" width="3.453125" customWidth="1"/>
    <col min="5" max="5" width="20" customWidth="1"/>
    <col min="6" max="8" width="9.453125" hidden="1" customWidth="1" outlineLevel="1"/>
    <col min="9" max="15" width="8.453125" hidden="1" customWidth="1" outlineLevel="1"/>
    <col min="16" max="16" width="8.453125" customWidth="1" collapsed="1"/>
    <col min="17" max="17" width="3.54296875" customWidth="1"/>
    <col min="18" max="18" width="7.453125" hidden="1" customWidth="1" outlineLevel="1"/>
    <col min="19" max="41" width="8.453125" hidden="1" customWidth="1" outlineLevel="1"/>
    <col min="42" max="42" width="8.453125" hidden="1" customWidth="1" outlineLevel="1" collapsed="1"/>
    <col min="43" max="53" width="8.453125" hidden="1" customWidth="1" outlineLevel="1"/>
    <col min="54" max="54" width="8.453125" customWidth="1" collapsed="1"/>
    <col min="55" max="57" width="8.453125" customWidth="1"/>
    <col min="58" max="58" width="3" customWidth="1"/>
    <col min="59" max="67" width="8.453125" hidden="1" customWidth="1"/>
    <col min="68" max="69" width="8.54296875" hidden="1" customWidth="1"/>
    <col min="70" max="70" width="8.54296875" hidden="1" customWidth="1" collapsed="1"/>
    <col min="71" max="71" width="8.453125" hidden="1" customWidth="1"/>
    <col min="72" max="72" width="9.453125" hidden="1" customWidth="1"/>
    <col min="73" max="80" width="8.453125" hidden="1" customWidth="1"/>
    <col min="81" max="81" width="9.453125" hidden="1" customWidth="1"/>
    <col min="82" max="82" width="7" hidden="1" customWidth="1" collapsed="1"/>
    <col min="83" max="93" width="10" hidden="1" customWidth="1"/>
    <col min="94" max="94" width="10" hidden="1" customWidth="1" collapsed="1"/>
    <col min="95" max="105" width="9" hidden="1" customWidth="1"/>
    <col min="106" max="106" width="9" hidden="1" customWidth="1" collapsed="1"/>
    <col min="107" max="117" width="9" hidden="1" customWidth="1"/>
    <col min="118" max="118" width="9" hidden="1" customWidth="1" collapsed="1"/>
    <col min="119" max="119" width="10" hidden="1" customWidth="1"/>
    <col min="120" max="120" width="8" hidden="1" customWidth="1"/>
    <col min="121" max="121" width="10" hidden="1" customWidth="1"/>
    <col min="122" max="130" width="9" hidden="1" customWidth="1"/>
    <col min="131" max="131" width="10.26953125" hidden="1" customWidth="1"/>
    <col min="132" max="142" width="9" hidden="1" customWidth="1"/>
    <col min="143" max="143" width="0" hidden="1" customWidth="1"/>
    <col min="144" max="154" width="0" hidden="1" customWidth="1" outlineLevel="1"/>
    <col min="155" max="155" width="12.26953125" bestFit="1" customWidth="1" collapsed="1"/>
    <col min="156" max="166" width="12.08984375" customWidth="1"/>
  </cols>
  <sheetData>
    <row r="1" spans="1:166" hidden="1" x14ac:dyDescent="0.35">
      <c r="A1" t="s">
        <v>0</v>
      </c>
    </row>
    <row r="2" spans="1:166" ht="15.5" x14ac:dyDescent="0.35">
      <c r="B2" s="64" t="s">
        <v>35</v>
      </c>
      <c r="C2" s="65"/>
      <c r="D2" s="65"/>
      <c r="E2" s="65"/>
      <c r="F2" s="67" t="s">
        <v>36</v>
      </c>
      <c r="G2" s="67" t="s">
        <v>37</v>
      </c>
      <c r="H2" s="67" t="s">
        <v>38</v>
      </c>
      <c r="I2" s="67" t="s">
        <v>39</v>
      </c>
      <c r="J2" s="67" t="s">
        <v>40</v>
      </c>
      <c r="K2" s="67" t="s">
        <v>41</v>
      </c>
      <c r="L2" s="67" t="s">
        <v>42</v>
      </c>
      <c r="M2" s="67" t="s">
        <v>43</v>
      </c>
      <c r="N2" s="67" t="s">
        <v>44</v>
      </c>
      <c r="O2" s="67" t="s">
        <v>45</v>
      </c>
      <c r="P2" s="67" t="s">
        <v>904</v>
      </c>
      <c r="Q2" s="67"/>
      <c r="R2" s="68" t="s">
        <v>46</v>
      </c>
      <c r="S2" s="68" t="s">
        <v>47</v>
      </c>
      <c r="T2" s="68" t="s">
        <v>48</v>
      </c>
      <c r="U2" s="68" t="s">
        <v>49</v>
      </c>
      <c r="V2" s="68" t="s">
        <v>50</v>
      </c>
      <c r="W2" s="68" t="s">
        <v>51</v>
      </c>
      <c r="X2" s="68" t="s">
        <v>52</v>
      </c>
      <c r="Y2" s="68" t="s">
        <v>53</v>
      </c>
      <c r="Z2" s="68" t="s">
        <v>54</v>
      </c>
      <c r="AA2" s="68" t="s">
        <v>55</v>
      </c>
      <c r="AB2" s="68" t="s">
        <v>56</v>
      </c>
      <c r="AC2" s="68" t="s">
        <v>57</v>
      </c>
      <c r="AD2" s="68" t="s">
        <v>58</v>
      </c>
      <c r="AE2" s="68" t="s">
        <v>59</v>
      </c>
      <c r="AF2" s="68" t="s">
        <v>60</v>
      </c>
      <c r="AG2" s="68" t="s">
        <v>61</v>
      </c>
      <c r="AH2" s="68" t="s">
        <v>62</v>
      </c>
      <c r="AI2" s="68" t="s">
        <v>63</v>
      </c>
      <c r="AJ2" s="68" t="s">
        <v>64</v>
      </c>
      <c r="AK2" s="68" t="s">
        <v>65</v>
      </c>
      <c r="AL2" s="68" t="s">
        <v>66</v>
      </c>
      <c r="AM2" s="68" t="s">
        <v>67</v>
      </c>
      <c r="AN2" s="68" t="s">
        <v>68</v>
      </c>
      <c r="AO2" s="68" t="s">
        <v>69</v>
      </c>
      <c r="AP2" s="68" t="s">
        <v>70</v>
      </c>
      <c r="AQ2" s="68" t="s">
        <v>71</v>
      </c>
      <c r="AR2" s="68" t="s">
        <v>72</v>
      </c>
      <c r="AS2" s="68" t="s">
        <v>73</v>
      </c>
      <c r="AT2" s="68" t="s">
        <v>74</v>
      </c>
      <c r="AU2" s="68" t="s">
        <v>75</v>
      </c>
      <c r="AV2" s="68" t="s">
        <v>76</v>
      </c>
      <c r="AW2" s="68" t="s">
        <v>77</v>
      </c>
      <c r="AX2" s="68" t="s">
        <v>78</v>
      </c>
      <c r="AY2" s="68" t="s">
        <v>79</v>
      </c>
      <c r="AZ2" s="68" t="s">
        <v>80</v>
      </c>
      <c r="BA2" s="68" t="s">
        <v>81</v>
      </c>
      <c r="BB2" s="68" t="s">
        <v>905</v>
      </c>
      <c r="BC2" s="68" t="s">
        <v>906</v>
      </c>
      <c r="BD2" s="68" t="s">
        <v>907</v>
      </c>
      <c r="BE2" s="68" t="s">
        <v>908</v>
      </c>
      <c r="BF2" s="68"/>
      <c r="BG2" s="69">
        <v>43101</v>
      </c>
      <c r="BH2" s="69">
        <v>43132</v>
      </c>
      <c r="BI2" s="69">
        <v>43160</v>
      </c>
      <c r="BJ2" s="69">
        <v>43191</v>
      </c>
      <c r="BK2" s="69">
        <v>43221</v>
      </c>
      <c r="BL2" s="69">
        <v>43252</v>
      </c>
      <c r="BM2" s="69">
        <v>43282</v>
      </c>
      <c r="BN2" s="69">
        <v>43313</v>
      </c>
      <c r="BO2" s="69">
        <v>43344</v>
      </c>
      <c r="BP2" s="69">
        <v>43374</v>
      </c>
      <c r="BQ2" s="69">
        <v>43405</v>
      </c>
      <c r="BR2" s="69">
        <v>43435</v>
      </c>
      <c r="BS2" s="69">
        <v>43466</v>
      </c>
      <c r="BT2" s="69">
        <v>43497</v>
      </c>
      <c r="BU2" s="69">
        <v>43525</v>
      </c>
      <c r="BV2" s="69">
        <v>43556</v>
      </c>
      <c r="BW2" s="69">
        <v>43586</v>
      </c>
      <c r="BX2" s="69">
        <v>43617</v>
      </c>
      <c r="BY2" s="69">
        <v>43647</v>
      </c>
      <c r="BZ2" s="69">
        <v>43678</v>
      </c>
      <c r="CA2" s="69">
        <v>43709</v>
      </c>
      <c r="CB2" s="69">
        <v>43739</v>
      </c>
      <c r="CC2" s="69">
        <v>43770</v>
      </c>
      <c r="CD2" s="69">
        <v>43800</v>
      </c>
      <c r="CE2" s="69">
        <v>43831</v>
      </c>
      <c r="CF2" s="69">
        <v>43862</v>
      </c>
      <c r="CG2" s="69">
        <v>43891</v>
      </c>
      <c r="CH2" s="69">
        <v>43922</v>
      </c>
      <c r="CI2" s="69">
        <v>43952</v>
      </c>
      <c r="CJ2" s="69">
        <v>43983</v>
      </c>
      <c r="CK2" s="69">
        <v>44013</v>
      </c>
      <c r="CL2" s="69">
        <v>44044</v>
      </c>
      <c r="CM2" s="69">
        <v>44075</v>
      </c>
      <c r="CN2" s="69">
        <v>44105</v>
      </c>
      <c r="CO2" s="69">
        <v>44136</v>
      </c>
      <c r="CP2" s="69">
        <v>44166</v>
      </c>
      <c r="CQ2" s="69">
        <v>44197</v>
      </c>
      <c r="CR2" s="69">
        <v>44228</v>
      </c>
      <c r="CS2" s="69">
        <v>44256</v>
      </c>
      <c r="CT2" s="69">
        <v>44287</v>
      </c>
      <c r="CU2" s="69">
        <v>44317</v>
      </c>
      <c r="CV2" s="69">
        <v>44348</v>
      </c>
      <c r="CW2" s="69">
        <v>44378</v>
      </c>
      <c r="CX2" s="69">
        <v>44409</v>
      </c>
      <c r="CY2" s="69">
        <v>44440</v>
      </c>
      <c r="CZ2" s="69">
        <v>44470</v>
      </c>
      <c r="DA2" s="69">
        <v>44501</v>
      </c>
      <c r="DB2" s="69">
        <v>44531</v>
      </c>
      <c r="DC2" s="69">
        <v>44562</v>
      </c>
      <c r="DD2" s="69">
        <v>44593</v>
      </c>
      <c r="DE2" s="69">
        <v>44621</v>
      </c>
      <c r="DF2" s="69">
        <v>44652</v>
      </c>
      <c r="DG2" s="69">
        <v>44682</v>
      </c>
      <c r="DH2" s="69">
        <v>44713</v>
      </c>
      <c r="DI2" s="69">
        <v>44743</v>
      </c>
      <c r="DJ2" s="69">
        <v>44774</v>
      </c>
      <c r="DK2" s="69">
        <v>44805</v>
      </c>
      <c r="DL2" s="69">
        <v>44835</v>
      </c>
      <c r="DM2" s="69">
        <v>44866</v>
      </c>
      <c r="DN2" s="69">
        <v>44896</v>
      </c>
      <c r="DO2" s="69">
        <v>44927</v>
      </c>
      <c r="DP2" s="69">
        <v>44958</v>
      </c>
      <c r="DQ2" s="69">
        <v>44986</v>
      </c>
      <c r="DR2" s="69">
        <v>45017</v>
      </c>
      <c r="DS2" s="69">
        <v>45047</v>
      </c>
      <c r="DT2" s="69">
        <v>45078</v>
      </c>
      <c r="DU2" s="69">
        <v>45108</v>
      </c>
      <c r="DV2" s="69">
        <v>45139</v>
      </c>
      <c r="DW2" s="69">
        <v>45170</v>
      </c>
      <c r="DX2" s="69">
        <v>45200</v>
      </c>
      <c r="DY2" s="69">
        <v>45231</v>
      </c>
      <c r="DZ2" s="69">
        <v>45261</v>
      </c>
      <c r="EA2" s="69">
        <v>45292</v>
      </c>
      <c r="EB2" s="69">
        <v>45323</v>
      </c>
      <c r="EC2" s="69">
        <v>45352</v>
      </c>
      <c r="ED2" s="69">
        <v>45383</v>
      </c>
      <c r="EE2" s="69">
        <v>45413</v>
      </c>
      <c r="EF2" s="69">
        <v>45444</v>
      </c>
      <c r="EG2" s="69">
        <v>45474</v>
      </c>
      <c r="EH2" s="69">
        <v>45505</v>
      </c>
      <c r="EI2" s="69">
        <v>45536</v>
      </c>
      <c r="EJ2" s="69">
        <v>45566</v>
      </c>
      <c r="EK2" s="69">
        <v>45597</v>
      </c>
      <c r="EL2" s="69">
        <v>45627</v>
      </c>
      <c r="EM2" s="69">
        <v>45658</v>
      </c>
      <c r="EN2" s="69">
        <v>45689</v>
      </c>
      <c r="EO2" s="69">
        <v>45717</v>
      </c>
      <c r="EP2" s="69">
        <v>45748</v>
      </c>
      <c r="EQ2" s="69">
        <v>45778</v>
      </c>
      <c r="ER2" s="69">
        <v>45809</v>
      </c>
      <c r="ES2" s="69">
        <v>45839</v>
      </c>
      <c r="ET2" s="69">
        <v>45870</v>
      </c>
      <c r="EU2" s="69">
        <v>45901</v>
      </c>
      <c r="EV2" s="69">
        <v>45931</v>
      </c>
      <c r="EW2" s="69">
        <v>45962</v>
      </c>
      <c r="EX2" s="69">
        <v>45992</v>
      </c>
      <c r="EY2" s="69">
        <v>46023</v>
      </c>
      <c r="EZ2" s="69">
        <v>46054</v>
      </c>
      <c r="FA2" s="69">
        <v>46082</v>
      </c>
      <c r="FB2" s="69">
        <v>46113</v>
      </c>
      <c r="FC2" s="69">
        <v>46143</v>
      </c>
      <c r="FD2" s="69">
        <v>46174</v>
      </c>
      <c r="FE2" s="69">
        <v>46204</v>
      </c>
      <c r="FF2" s="69">
        <v>46235</v>
      </c>
      <c r="FG2" s="69">
        <v>46266</v>
      </c>
      <c r="FH2" s="69">
        <v>46296</v>
      </c>
      <c r="FI2" s="69">
        <v>46327</v>
      </c>
      <c r="FJ2" s="69">
        <v>46357</v>
      </c>
    </row>
    <row r="3" spans="1:166" s="2" customFormat="1" x14ac:dyDescent="0.35">
      <c r="B3" s="66"/>
      <c r="C3" s="66"/>
      <c r="D3" s="66"/>
      <c r="E3" s="86"/>
      <c r="F3" s="66" t="s">
        <v>82</v>
      </c>
      <c r="G3" s="66" t="s">
        <v>83</v>
      </c>
      <c r="H3" s="66" t="s">
        <v>83</v>
      </c>
      <c r="I3" s="66" t="s">
        <v>83</v>
      </c>
      <c r="J3" s="66" t="s">
        <v>83</v>
      </c>
      <c r="K3" s="66" t="s">
        <v>83</v>
      </c>
      <c r="L3" s="66" t="s">
        <v>83</v>
      </c>
      <c r="M3" s="66" t="s">
        <v>83</v>
      </c>
      <c r="N3" s="66" t="s">
        <v>83</v>
      </c>
      <c r="O3" s="66" t="s">
        <v>83</v>
      </c>
      <c r="P3" s="66" t="s">
        <v>83</v>
      </c>
      <c r="Q3" s="66"/>
      <c r="R3" s="66" t="s">
        <v>82</v>
      </c>
      <c r="S3" s="66" t="s">
        <v>82</v>
      </c>
      <c r="T3" s="66" t="s">
        <v>82</v>
      </c>
      <c r="U3" s="66" t="s">
        <v>82</v>
      </c>
      <c r="V3" s="66" t="s">
        <v>83</v>
      </c>
      <c r="W3" s="66" t="s">
        <v>83</v>
      </c>
      <c r="X3" s="66" t="s">
        <v>83</v>
      </c>
      <c r="Y3" s="66" t="s">
        <v>83</v>
      </c>
      <c r="Z3" s="66" t="s">
        <v>83</v>
      </c>
      <c r="AA3" s="66" t="s">
        <v>83</v>
      </c>
      <c r="AB3" s="66" t="s">
        <v>83</v>
      </c>
      <c r="AC3" s="66" t="s">
        <v>83</v>
      </c>
      <c r="AD3" s="66" t="s">
        <v>83</v>
      </c>
      <c r="AE3" s="66" t="s">
        <v>83</v>
      </c>
      <c r="AF3" s="66" t="s">
        <v>83</v>
      </c>
      <c r="AG3" s="66" t="s">
        <v>83</v>
      </c>
      <c r="AH3" s="66" t="s">
        <v>83</v>
      </c>
      <c r="AI3" s="66" t="s">
        <v>83</v>
      </c>
      <c r="AJ3" s="66" t="s">
        <v>83</v>
      </c>
      <c r="AK3" s="66" t="s">
        <v>83</v>
      </c>
      <c r="AL3" s="66" t="s">
        <v>83</v>
      </c>
      <c r="AM3" s="66" t="s">
        <v>83</v>
      </c>
      <c r="AN3" s="66" t="s">
        <v>83</v>
      </c>
      <c r="AO3" s="66" t="s">
        <v>83</v>
      </c>
      <c r="AP3" s="66" t="s">
        <v>83</v>
      </c>
      <c r="AQ3" s="66" t="s">
        <v>83</v>
      </c>
      <c r="AR3" s="66" t="s">
        <v>83</v>
      </c>
      <c r="AS3" s="66" t="s">
        <v>83</v>
      </c>
      <c r="AT3" s="66" t="s">
        <v>83</v>
      </c>
      <c r="AU3" s="66" t="s">
        <v>83</v>
      </c>
      <c r="AV3" s="66" t="s">
        <v>83</v>
      </c>
      <c r="AW3" s="66" t="s">
        <v>83</v>
      </c>
      <c r="AX3" s="66" t="s">
        <v>83</v>
      </c>
      <c r="AY3" s="66" t="s">
        <v>83</v>
      </c>
      <c r="AZ3" s="66" t="s">
        <v>83</v>
      </c>
      <c r="BA3" s="66" t="s">
        <v>83</v>
      </c>
      <c r="BB3" s="66" t="s">
        <v>83</v>
      </c>
      <c r="BC3" s="66" t="s">
        <v>83</v>
      </c>
      <c r="BD3" s="66" t="s">
        <v>83</v>
      </c>
      <c r="BE3" s="66" t="s">
        <v>83</v>
      </c>
      <c r="BF3" s="66"/>
      <c r="BG3" s="66" t="s">
        <v>83</v>
      </c>
      <c r="BH3" s="66" t="s">
        <v>83</v>
      </c>
      <c r="BI3" s="66" t="s">
        <v>83</v>
      </c>
      <c r="BJ3" s="66" t="s">
        <v>83</v>
      </c>
      <c r="BK3" s="66" t="s">
        <v>83</v>
      </c>
      <c r="BL3" s="66" t="s">
        <v>83</v>
      </c>
      <c r="BM3" s="66" t="s">
        <v>83</v>
      </c>
      <c r="BN3" s="66" t="s">
        <v>83</v>
      </c>
      <c r="BO3" s="66" t="s">
        <v>83</v>
      </c>
      <c r="BP3" s="66" t="s">
        <v>83</v>
      </c>
      <c r="BQ3" s="66" t="s">
        <v>83</v>
      </c>
      <c r="BR3" s="66" t="s">
        <v>83</v>
      </c>
      <c r="BS3" s="66" t="s">
        <v>83</v>
      </c>
      <c r="BT3" s="66" t="s">
        <v>83</v>
      </c>
      <c r="BU3" s="66" t="s">
        <v>83</v>
      </c>
      <c r="BV3" s="66" t="s">
        <v>83</v>
      </c>
      <c r="BW3" s="66" t="s">
        <v>83</v>
      </c>
      <c r="BX3" s="66" t="s">
        <v>83</v>
      </c>
      <c r="BY3" s="66" t="s">
        <v>83</v>
      </c>
      <c r="BZ3" s="66" t="s">
        <v>83</v>
      </c>
      <c r="CA3" s="66" t="s">
        <v>83</v>
      </c>
      <c r="CB3" s="66" t="s">
        <v>83</v>
      </c>
      <c r="CC3" s="66" t="s">
        <v>83</v>
      </c>
      <c r="CD3" s="66" t="s">
        <v>83</v>
      </c>
      <c r="CE3" s="66" t="s">
        <v>83</v>
      </c>
      <c r="CF3" s="66" t="s">
        <v>83</v>
      </c>
      <c r="CG3" s="66" t="s">
        <v>83</v>
      </c>
      <c r="CH3" s="66" t="s">
        <v>83</v>
      </c>
      <c r="CI3" s="66" t="s">
        <v>83</v>
      </c>
      <c r="CJ3" s="66" t="s">
        <v>83</v>
      </c>
      <c r="CK3" s="66" t="s">
        <v>83</v>
      </c>
      <c r="CL3" s="66" t="s">
        <v>83</v>
      </c>
      <c r="CM3" s="66" t="s">
        <v>83</v>
      </c>
      <c r="CN3" s="66" t="s">
        <v>83</v>
      </c>
      <c r="CO3" s="66" t="s">
        <v>83</v>
      </c>
      <c r="CP3" s="66" t="s">
        <v>83</v>
      </c>
      <c r="CQ3" s="66" t="s">
        <v>83</v>
      </c>
      <c r="CR3" s="66" t="s">
        <v>83</v>
      </c>
      <c r="CS3" s="66" t="s">
        <v>83</v>
      </c>
      <c r="CT3" s="66" t="s">
        <v>83</v>
      </c>
      <c r="CU3" s="66" t="s">
        <v>83</v>
      </c>
      <c r="CV3" s="66" t="s">
        <v>83</v>
      </c>
      <c r="CW3" s="66" t="s">
        <v>83</v>
      </c>
      <c r="CX3" s="66" t="s">
        <v>83</v>
      </c>
      <c r="CY3" s="66" t="s">
        <v>83</v>
      </c>
      <c r="CZ3" s="66" t="s">
        <v>83</v>
      </c>
      <c r="DA3" s="66" t="s">
        <v>83</v>
      </c>
      <c r="DB3" s="66" t="s">
        <v>83</v>
      </c>
      <c r="DC3" s="66" t="s">
        <v>83</v>
      </c>
      <c r="DD3" s="66" t="s">
        <v>83</v>
      </c>
      <c r="DE3" s="66" t="s">
        <v>83</v>
      </c>
      <c r="DF3" s="66" t="s">
        <v>83</v>
      </c>
      <c r="DG3" s="66" t="s">
        <v>83</v>
      </c>
      <c r="DH3" s="66" t="s">
        <v>83</v>
      </c>
      <c r="DI3" s="66" t="s">
        <v>83</v>
      </c>
      <c r="DJ3" s="66" t="s">
        <v>83</v>
      </c>
      <c r="DK3" s="66" t="s">
        <v>83</v>
      </c>
      <c r="DL3" s="66" t="s">
        <v>83</v>
      </c>
      <c r="DM3" s="66" t="s">
        <v>83</v>
      </c>
      <c r="DN3" s="66" t="s">
        <v>83</v>
      </c>
      <c r="DO3" s="66" t="s">
        <v>83</v>
      </c>
      <c r="DP3" s="66" t="s">
        <v>83</v>
      </c>
      <c r="DQ3" s="66" t="s">
        <v>83</v>
      </c>
      <c r="DR3" s="66" t="s">
        <v>83</v>
      </c>
      <c r="DS3" s="66" t="s">
        <v>83</v>
      </c>
      <c r="DT3" s="66" t="s">
        <v>83</v>
      </c>
      <c r="DU3" s="66" t="s">
        <v>83</v>
      </c>
      <c r="DV3" s="66" t="s">
        <v>83</v>
      </c>
      <c r="DW3" s="66" t="s">
        <v>83</v>
      </c>
      <c r="DX3" s="66" t="s">
        <v>83</v>
      </c>
      <c r="DY3" s="66" t="s">
        <v>83</v>
      </c>
      <c r="DZ3" s="66" t="s">
        <v>83</v>
      </c>
      <c r="EA3" s="66" t="s">
        <v>83</v>
      </c>
      <c r="EB3" s="66" t="s">
        <v>83</v>
      </c>
      <c r="EC3" s="66" t="s">
        <v>83</v>
      </c>
      <c r="ED3" s="66" t="s">
        <v>83</v>
      </c>
      <c r="EE3" s="66" t="s">
        <v>83</v>
      </c>
      <c r="EF3" s="66" t="s">
        <v>83</v>
      </c>
      <c r="EG3" s="66" t="s">
        <v>83</v>
      </c>
      <c r="EH3" s="66" t="s">
        <v>83</v>
      </c>
      <c r="EI3" s="66" t="s">
        <v>83</v>
      </c>
      <c r="EJ3" s="66" t="s">
        <v>83</v>
      </c>
      <c r="EK3" s="66" t="s">
        <v>83</v>
      </c>
      <c r="EL3" s="66" t="s">
        <v>83</v>
      </c>
      <c r="EM3" s="66" t="s">
        <v>83</v>
      </c>
      <c r="EN3" s="66" t="s">
        <v>83</v>
      </c>
      <c r="EO3" s="66" t="s">
        <v>83</v>
      </c>
      <c r="EP3" s="66" t="s">
        <v>83</v>
      </c>
      <c r="EQ3" s="66" t="s">
        <v>83</v>
      </c>
      <c r="ER3" s="66" t="s">
        <v>83</v>
      </c>
      <c r="ES3" s="66" t="s">
        <v>83</v>
      </c>
      <c r="ET3" s="66" t="s">
        <v>83</v>
      </c>
      <c r="EU3" s="66" t="s">
        <v>83</v>
      </c>
      <c r="EV3" s="66" t="s">
        <v>83</v>
      </c>
      <c r="EW3" s="66" t="s">
        <v>83</v>
      </c>
      <c r="EX3" s="66" t="s">
        <v>83</v>
      </c>
      <c r="EY3" s="66" t="s">
        <v>83</v>
      </c>
      <c r="EZ3" s="66" t="s">
        <v>83</v>
      </c>
      <c r="FA3" s="66" t="s">
        <v>83</v>
      </c>
      <c r="FB3" s="66" t="s">
        <v>83</v>
      </c>
      <c r="FC3" s="66" t="s">
        <v>83</v>
      </c>
      <c r="FD3" s="66" t="s">
        <v>83</v>
      </c>
      <c r="FE3" s="66" t="s">
        <v>83</v>
      </c>
      <c r="FF3" s="66" t="s">
        <v>83</v>
      </c>
      <c r="FG3" s="66" t="s">
        <v>83</v>
      </c>
      <c r="FH3" s="66" t="s">
        <v>83</v>
      </c>
      <c r="FI3" s="66" t="s">
        <v>83</v>
      </c>
      <c r="FJ3" s="66" t="s">
        <v>83</v>
      </c>
    </row>
    <row r="4" spans="1:166" s="448" customFormat="1" x14ac:dyDescent="0.35">
      <c r="J4" s="448">
        <v>4</v>
      </c>
      <c r="K4" s="448">
        <v>8</v>
      </c>
      <c r="L4" s="448">
        <v>12</v>
      </c>
      <c r="M4" s="448">
        <v>16</v>
      </c>
      <c r="N4" s="448">
        <v>20</v>
      </c>
      <c r="O4" s="448">
        <v>24</v>
      </c>
      <c r="P4" s="448">
        <v>28</v>
      </c>
      <c r="AH4" s="448">
        <v>3</v>
      </c>
      <c r="AI4" s="448">
        <v>6</v>
      </c>
      <c r="AJ4" s="448">
        <v>9</v>
      </c>
      <c r="AK4" s="448">
        <v>12</v>
      </c>
      <c r="AL4" s="448">
        <v>15</v>
      </c>
      <c r="AM4" s="448">
        <v>18</v>
      </c>
      <c r="AN4" s="448">
        <v>21</v>
      </c>
      <c r="AO4" s="448">
        <v>24</v>
      </c>
      <c r="AP4" s="448">
        <v>27</v>
      </c>
      <c r="AQ4" s="448">
        <v>30</v>
      </c>
      <c r="AR4" s="448">
        <v>33</v>
      </c>
      <c r="AS4" s="448">
        <v>36</v>
      </c>
      <c r="AT4" s="448">
        <v>39</v>
      </c>
      <c r="AU4" s="448">
        <v>42</v>
      </c>
      <c r="AV4" s="448">
        <v>45</v>
      </c>
      <c r="AW4" s="448">
        <v>48</v>
      </c>
      <c r="AX4" s="448">
        <v>51</v>
      </c>
      <c r="AY4" s="448">
        <v>54</v>
      </c>
      <c r="AZ4" s="448">
        <v>57</v>
      </c>
      <c r="BA4" s="448">
        <v>60</v>
      </c>
      <c r="BB4" s="448">
        <v>63</v>
      </c>
      <c r="BC4" s="448">
        <v>66</v>
      </c>
      <c r="BD4" s="448">
        <v>69</v>
      </c>
      <c r="BE4" s="448">
        <v>72</v>
      </c>
      <c r="EZ4" s="785"/>
    </row>
    <row r="5" spans="1:166" ht="15.5" x14ac:dyDescent="0.35">
      <c r="B5" s="3" t="s">
        <v>86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614"/>
      <c r="AU5" s="614"/>
      <c r="AV5" s="614"/>
      <c r="AW5" s="614"/>
      <c r="AX5" s="614"/>
      <c r="AY5" s="659"/>
      <c r="AZ5" s="659"/>
      <c r="BA5" s="659"/>
      <c r="BB5" s="659"/>
      <c r="BC5" s="659"/>
      <c r="BD5" s="659"/>
      <c r="BE5" s="659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EZ5" s="384"/>
    </row>
    <row r="6" spans="1:166" s="5" customFormat="1" ht="4.5" customHeight="1" x14ac:dyDescent="0.3"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Q6" s="8"/>
      <c r="EZ6" s="786"/>
    </row>
    <row r="7" spans="1:166" x14ac:dyDescent="0.35">
      <c r="D7" s="3" t="s">
        <v>87</v>
      </c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EZ7" s="384"/>
    </row>
    <row r="8" spans="1:166" s="10" customFormat="1" x14ac:dyDescent="0.35">
      <c r="E8" s="10" t="s">
        <v>9</v>
      </c>
      <c r="F8" s="11">
        <v>5243000</v>
      </c>
      <c r="G8" s="11">
        <f t="shared" ref="G8:G15" si="0">SUM(R8:U8)</f>
        <v>6819463.6439026771</v>
      </c>
      <c r="H8" s="11">
        <f t="shared" ref="H8:H16" si="1">SUM(V8:Y8)</f>
        <v>8717540.0879542865</v>
      </c>
      <c r="I8" s="11">
        <f>SUM(BS8:CD8)</f>
        <v>12146825.760476271</v>
      </c>
      <c r="J8" s="11">
        <f t="shared" ref="J8:P8" ca="1" si="2">OFFSET($Z8,0,J$4)+OFFSET($AA8,0,J$4)+OFFSET($AB8,0,J$4)+OFFSET($AC8,0,J$4)</f>
        <v>12573465.042715782</v>
      </c>
      <c r="K8" s="11">
        <f t="shared" ca="1" si="2"/>
        <v>15424254.048156185</v>
      </c>
      <c r="L8" s="11">
        <f t="shared" ca="1" si="2"/>
        <v>20500000</v>
      </c>
      <c r="M8" s="11">
        <f t="shared" ca="1" si="2"/>
        <v>24073788.207207099</v>
      </c>
      <c r="N8" s="11">
        <f t="shared" ca="1" si="2"/>
        <v>24981987.629546337</v>
      </c>
      <c r="O8" s="11">
        <f t="shared" ca="1" si="2"/>
        <v>24135281.422600195</v>
      </c>
      <c r="P8" s="11">
        <f t="shared" ca="1" si="2"/>
        <v>27338478.066734985</v>
      </c>
      <c r="Q8" s="12"/>
      <c r="R8" s="12">
        <v>1506080.3191076922</v>
      </c>
      <c r="S8" s="12">
        <v>1659190.3756384614</v>
      </c>
      <c r="T8" s="12">
        <v>1802918.0015730772</v>
      </c>
      <c r="U8" s="12">
        <v>1851274.947583446</v>
      </c>
      <c r="V8" s="12">
        <v>1925000</v>
      </c>
      <c r="W8" s="12">
        <v>2110778.2003363399</v>
      </c>
      <c r="X8" s="12">
        <v>2264508.6400244203</v>
      </c>
      <c r="Y8" s="12">
        <v>2417253.2475935249</v>
      </c>
      <c r="Z8" s="12">
        <f>SUM(BS8:BU8)</f>
        <v>2437653.5049472884</v>
      </c>
      <c r="AA8" s="12">
        <f>SUM(BV8:BX8)</f>
        <v>2748787.5340982485</v>
      </c>
      <c r="AB8" s="12">
        <f>SUM(BY8:CA8)</f>
        <v>3191382.1403512731</v>
      </c>
      <c r="AC8" s="12">
        <f>SUM(CB8:CD8)</f>
        <v>3769002.5810794625</v>
      </c>
      <c r="AD8" s="12">
        <f>SUM(CE8:CG8)</f>
        <v>3227336</v>
      </c>
      <c r="AE8" s="12">
        <f>SUM(CH8:CJ8)</f>
        <v>3126544</v>
      </c>
      <c r="AF8" s="12">
        <f t="shared" ref="AF8:AF63" si="3">SUM(CK8:CM8)</f>
        <v>3008436.730042113</v>
      </c>
      <c r="AG8" s="12">
        <f>SUM(CN8:CP8)</f>
        <v>3211148.3126736693</v>
      </c>
      <c r="AH8" s="12">
        <f t="shared" ref="AH8:BB8" ca="1" si="4">OFFSET($CN8,0,AH$4)+OFFSET($CO8,0,AH$4)+OFFSET($CP8,0,AH$4)</f>
        <v>3328823.2314158836</v>
      </c>
      <c r="AI8" s="12">
        <f t="shared" ca="1" si="4"/>
        <v>3669966.7988596484</v>
      </c>
      <c r="AJ8" s="12">
        <f t="shared" ca="1" si="4"/>
        <v>4015727.3316128408</v>
      </c>
      <c r="AK8" s="12">
        <f t="shared" ca="1" si="4"/>
        <v>4409736.6862678118</v>
      </c>
      <c r="AL8" s="12">
        <f t="shared" ca="1" si="4"/>
        <v>4450000</v>
      </c>
      <c r="AM8" s="12">
        <f t="shared" ca="1" si="4"/>
        <v>4850000</v>
      </c>
      <c r="AN8" s="12">
        <f t="shared" ca="1" si="4"/>
        <v>5350000</v>
      </c>
      <c r="AO8" s="12">
        <f t="shared" ca="1" si="4"/>
        <v>5850000</v>
      </c>
      <c r="AP8" s="12">
        <f t="shared" ca="1" si="4"/>
        <v>5361226.8358472763</v>
      </c>
      <c r="AQ8" s="12">
        <f t="shared" ca="1" si="4"/>
        <v>5661668.8074336248</v>
      </c>
      <c r="AR8" s="12">
        <f t="shared" ca="1" si="4"/>
        <v>6044434.0412271088</v>
      </c>
      <c r="AS8" s="12">
        <f t="shared" ca="1" si="4"/>
        <v>7006458.5226990879</v>
      </c>
      <c r="AT8" s="12">
        <f t="shared" ca="1" si="4"/>
        <v>5727643.0168441925</v>
      </c>
      <c r="AU8" s="12">
        <f t="shared" ca="1" si="4"/>
        <v>6035686.2408164889</v>
      </c>
      <c r="AV8" s="12">
        <f t="shared" ca="1" si="4"/>
        <v>6407980.3735328969</v>
      </c>
      <c r="AW8" s="12">
        <f t="shared" ca="1" si="4"/>
        <v>6810677.9983527586</v>
      </c>
      <c r="AX8" s="12">
        <f t="shared" ca="1" si="4"/>
        <v>5662541.3043740392</v>
      </c>
      <c r="AY8" s="12">
        <f t="shared" ca="1" si="4"/>
        <v>5807242.096870984</v>
      </c>
      <c r="AZ8" s="12">
        <f t="shared" ca="1" si="4"/>
        <v>6058422.0494446559</v>
      </c>
      <c r="BA8" s="12">
        <f t="shared" ca="1" si="4"/>
        <v>6607075.9719105158</v>
      </c>
      <c r="BB8" s="12">
        <f t="shared" ca="1" si="4"/>
        <v>6404426.1103981547</v>
      </c>
      <c r="BC8" s="12">
        <f t="shared" ref="BC8:BE8" ca="1" si="5">OFFSET($CN8,0,BC$4)+OFFSET($CO8,0,BC$4)+OFFSET($CP8,0,BC$4)</f>
        <v>6707251.955824377</v>
      </c>
      <c r="BD8" s="12">
        <f t="shared" ca="1" si="5"/>
        <v>6988144.3129580291</v>
      </c>
      <c r="BE8" s="12">
        <f t="shared" ca="1" si="5"/>
        <v>7238655.6875544228</v>
      </c>
      <c r="BF8" s="12"/>
      <c r="BG8" s="12">
        <f>$V8/3</f>
        <v>641666.66666666663</v>
      </c>
      <c r="BH8" s="12">
        <f>$V8/3</f>
        <v>641666.66666666663</v>
      </c>
      <c r="BI8" s="12">
        <f>$V8/3</f>
        <v>641666.66666666663</v>
      </c>
      <c r="BJ8" s="12">
        <f>$W8/3</f>
        <v>703592.73344544659</v>
      </c>
      <c r="BK8" s="12">
        <f>$W8/3</f>
        <v>703592.73344544659</v>
      </c>
      <c r="BL8" s="12">
        <f>$W8/3</f>
        <v>703592.73344544659</v>
      </c>
      <c r="BM8" s="12">
        <f>$X8/3</f>
        <v>754836.21334147349</v>
      </c>
      <c r="BN8" s="12">
        <f>$X8/3</f>
        <v>754836.21334147349</v>
      </c>
      <c r="BO8" s="12">
        <f>$X8/3</f>
        <v>754836.21334147349</v>
      </c>
      <c r="BP8" s="12">
        <f>$Y8/3</f>
        <v>805751.08253117499</v>
      </c>
      <c r="BQ8" s="12">
        <f>$Y8/3</f>
        <v>805751.08253117499</v>
      </c>
      <c r="BR8" s="12">
        <f>$Y8/3</f>
        <v>805751.08253117499</v>
      </c>
      <c r="BS8" s="12">
        <v>773809.39832747658</v>
      </c>
      <c r="BT8" s="12">
        <v>812551.16831576277</v>
      </c>
      <c r="BU8" s="12">
        <v>851292.93830404885</v>
      </c>
      <c r="BV8" s="12">
        <v>882085.6082097108</v>
      </c>
      <c r="BW8" s="12">
        <v>916262.5113660827</v>
      </c>
      <c r="BX8" s="12">
        <v>950439.41452245496</v>
      </c>
      <c r="BY8" s="12">
        <v>1016727.7041061244</v>
      </c>
      <c r="BZ8" s="12">
        <v>1063794.0467837579</v>
      </c>
      <c r="CA8" s="12">
        <v>1110860.3894613911</v>
      </c>
      <c r="CB8" s="12">
        <v>1202151.5495423011</v>
      </c>
      <c r="CC8" s="12">
        <v>1256334.1936931543</v>
      </c>
      <c r="CD8" s="12">
        <v>1310516.8378440072</v>
      </c>
      <c r="CE8" s="290">
        <v>1075778.6666666667</v>
      </c>
      <c r="CF8" s="290">
        <v>1075778.6666666667</v>
      </c>
      <c r="CG8" s="290">
        <v>1075778.6666666667</v>
      </c>
      <c r="CH8" s="290">
        <v>1042181.3333333334</v>
      </c>
      <c r="CI8" s="290">
        <v>1042181.3333333334</v>
      </c>
      <c r="CJ8" s="290">
        <v>1042181.3333333334</v>
      </c>
      <c r="CK8" s="290">
        <v>1002812.243347371</v>
      </c>
      <c r="CL8" s="290">
        <v>1002812.243347371</v>
      </c>
      <c r="CM8" s="290">
        <v>1002812.243347371</v>
      </c>
      <c r="CN8" s="290">
        <v>1070382.7708912231</v>
      </c>
      <c r="CO8" s="290">
        <v>1070382.7708912231</v>
      </c>
      <c r="CP8" s="290">
        <v>1070382.7708912231</v>
      </c>
      <c r="CQ8" s="290">
        <v>1092162.0018755586</v>
      </c>
      <c r="CR8" s="290">
        <v>1109607.7438052946</v>
      </c>
      <c r="CS8" s="290">
        <v>1127053.4857350306</v>
      </c>
      <c r="CT8" s="290">
        <v>1194787.87601079</v>
      </c>
      <c r="CU8" s="290">
        <v>1223322.2662865494</v>
      </c>
      <c r="CV8" s="290">
        <v>1251856.656562309</v>
      </c>
      <c r="CW8" s="290">
        <v>1308816.2168832945</v>
      </c>
      <c r="CX8" s="290">
        <v>1338575.7772042803</v>
      </c>
      <c r="CY8" s="290">
        <v>1368335.3375252658</v>
      </c>
      <c r="CZ8" s="290">
        <v>1432723.7831406014</v>
      </c>
      <c r="DA8" s="290">
        <v>1469912.2287559372</v>
      </c>
      <c r="DB8" s="290">
        <v>1507100.674371273</v>
      </c>
      <c r="DC8" s="290">
        <v>1483333.3333333333</v>
      </c>
      <c r="DD8" s="290">
        <v>1483333.3333333333</v>
      </c>
      <c r="DE8" s="290">
        <v>1483333.3333333333</v>
      </c>
      <c r="DF8" s="290">
        <v>1616666.6666666667</v>
      </c>
      <c r="DG8" s="290">
        <v>1616666.6666666667</v>
      </c>
      <c r="DH8" s="290">
        <v>1616666.6666666667</v>
      </c>
      <c r="DI8" s="290">
        <v>1783333.3333333333</v>
      </c>
      <c r="DJ8" s="290">
        <v>1783333.3333333333</v>
      </c>
      <c r="DK8" s="290">
        <v>1783333.3333333333</v>
      </c>
      <c r="DL8" s="290">
        <v>1950000</v>
      </c>
      <c r="DM8" s="290">
        <v>1950000</v>
      </c>
      <c r="DN8" s="290">
        <v>1950000</v>
      </c>
      <c r="DO8" s="290">
        <v>1787075.611949092</v>
      </c>
      <c r="DP8" s="290">
        <v>1787075.611949092</v>
      </c>
      <c r="DQ8" s="290">
        <v>1787075.611949092</v>
      </c>
      <c r="DR8" s="290">
        <v>1887222.9358112083</v>
      </c>
      <c r="DS8" s="290">
        <v>1887222.9358112083</v>
      </c>
      <c r="DT8" s="290">
        <v>1887222.9358112083</v>
      </c>
      <c r="DU8" s="290">
        <v>2014811.3470757029</v>
      </c>
      <c r="DV8" s="290">
        <v>2014811.3470757029</v>
      </c>
      <c r="DW8" s="290">
        <v>2014811.3470757029</v>
      </c>
      <c r="DX8" s="290">
        <v>2335486.1742330291</v>
      </c>
      <c r="DY8" s="290">
        <v>2335486.1742330291</v>
      </c>
      <c r="DZ8" s="290">
        <v>2335486.1742330291</v>
      </c>
      <c r="EA8" s="290">
        <v>1909214.3389480643</v>
      </c>
      <c r="EB8" s="290">
        <v>1909214.3389480643</v>
      </c>
      <c r="EC8" s="290">
        <v>1909214.3389480643</v>
      </c>
      <c r="ED8" s="290">
        <v>2011895.4136054963</v>
      </c>
      <c r="EE8" s="290">
        <v>2011895.4136054963</v>
      </c>
      <c r="EF8" s="290">
        <v>2011895.4136054963</v>
      </c>
      <c r="EG8" s="290">
        <v>2135993.4578442988</v>
      </c>
      <c r="EH8" s="290">
        <v>2135993.4578442988</v>
      </c>
      <c r="EI8" s="290">
        <v>2135993.4578442988</v>
      </c>
      <c r="EJ8" s="290">
        <v>2270225.9994509197</v>
      </c>
      <c r="EK8" s="290">
        <v>2270225.9994509197</v>
      </c>
      <c r="EL8" s="290">
        <v>2270225.9994509197</v>
      </c>
      <c r="EM8" s="290">
        <v>1887513.7681246798</v>
      </c>
      <c r="EN8" s="290">
        <v>1887513.7681246798</v>
      </c>
      <c r="EO8" s="290">
        <v>1887513.7681246798</v>
      </c>
      <c r="EP8" s="290">
        <v>1935747.3656236613</v>
      </c>
      <c r="EQ8" s="290">
        <v>1935747.3656236613</v>
      </c>
      <c r="ER8" s="290">
        <v>1935747.3656236613</v>
      </c>
      <c r="ES8" s="290">
        <v>2019474.016481552</v>
      </c>
      <c r="ET8" s="290">
        <v>2019474.016481552</v>
      </c>
      <c r="EU8" s="290">
        <v>2019474.016481552</v>
      </c>
      <c r="EV8" s="290">
        <v>2202358.6573035051</v>
      </c>
      <c r="EW8" s="290">
        <v>2202358.6573035051</v>
      </c>
      <c r="EX8" s="290">
        <v>2202358.6573035051</v>
      </c>
      <c r="EY8" s="290">
        <v>2134808.7034660517</v>
      </c>
      <c r="EZ8" s="787">
        <v>2134808.7034660517</v>
      </c>
      <c r="FA8" s="290">
        <v>2134808.7034660517</v>
      </c>
      <c r="FB8" s="290">
        <v>2235750.6519414592</v>
      </c>
      <c r="FC8" s="290">
        <v>2235750.6519414592</v>
      </c>
      <c r="FD8" s="290">
        <v>2235750.6519414592</v>
      </c>
      <c r="FE8" s="290">
        <v>2329381.4376526764</v>
      </c>
      <c r="FF8" s="290">
        <v>2329381.4376526764</v>
      </c>
      <c r="FG8" s="290">
        <v>2329381.4376526764</v>
      </c>
      <c r="FH8" s="290">
        <v>2412885.2291848077</v>
      </c>
      <c r="FI8" s="290">
        <v>2412885.2291848077</v>
      </c>
      <c r="FJ8" s="290">
        <v>2412885.2291848077</v>
      </c>
    </row>
    <row r="9" spans="1:166" s="13" customFormat="1" hidden="1" outlineLevel="1" x14ac:dyDescent="0.35">
      <c r="E9" s="14" t="s">
        <v>179</v>
      </c>
      <c r="F9" s="15"/>
      <c r="G9" s="15">
        <f t="shared" si="0"/>
        <v>4559181.794963168</v>
      </c>
      <c r="H9" s="15">
        <f t="shared" si="1"/>
        <v>0</v>
      </c>
      <c r="I9" s="291"/>
      <c r="J9" s="291"/>
      <c r="K9" s="291"/>
      <c r="L9" s="291"/>
      <c r="M9" s="291"/>
      <c r="N9" s="291"/>
      <c r="O9" s="291"/>
      <c r="P9" s="291"/>
      <c r="Q9" s="16"/>
      <c r="R9" s="17">
        <v>1048072.3799999999</v>
      </c>
      <c r="S9" s="17">
        <v>1104776.02</v>
      </c>
      <c r="T9" s="17">
        <v>1214935.3600000003</v>
      </c>
      <c r="U9" s="17">
        <v>1191398.034963168</v>
      </c>
      <c r="V9" s="17"/>
      <c r="W9" s="17"/>
      <c r="X9" s="17"/>
      <c r="Y9" s="17"/>
      <c r="Z9" s="16"/>
      <c r="AA9" s="16"/>
      <c r="AB9" s="16"/>
      <c r="AC9" s="16"/>
      <c r="AD9" s="12">
        <f t="shared" ref="AD9:AD20" si="6">SUM(CE9:CG9)</f>
        <v>3419623.3400000003</v>
      </c>
      <c r="AE9" s="12">
        <f t="shared" ref="AE9:AE20" si="7">SUM(CH9:CJ9)</f>
        <v>3667123.3400000003</v>
      </c>
      <c r="AF9" s="12">
        <f t="shared" si="3"/>
        <v>3914623.3400000003</v>
      </c>
      <c r="AG9" s="12">
        <f t="shared" ref="AG9:AG63" si="8">SUM(CN9:CP9)</f>
        <v>4162123.3400000003</v>
      </c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6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290">
        <v>1098624.4466666668</v>
      </c>
      <c r="CF9" s="290">
        <v>1139874.4466666668</v>
      </c>
      <c r="CG9" s="290">
        <v>1181124.4466666668</v>
      </c>
      <c r="CH9" s="290">
        <v>1181124.4466666668</v>
      </c>
      <c r="CI9" s="290">
        <v>1222374.4466666668</v>
      </c>
      <c r="CJ9" s="290">
        <v>1263624.4466666668</v>
      </c>
      <c r="CK9" s="290">
        <v>1263624.4466666668</v>
      </c>
      <c r="CL9" s="290">
        <v>1304874.4466666668</v>
      </c>
      <c r="CM9" s="290">
        <v>1346124.4466666668</v>
      </c>
      <c r="CN9" s="290">
        <v>1346124.4466666668</v>
      </c>
      <c r="CO9" s="290">
        <v>1387374.4466666668</v>
      </c>
      <c r="CP9" s="290">
        <v>1428624.4466666668</v>
      </c>
      <c r="CQ9" s="290"/>
      <c r="CR9" s="290"/>
      <c r="CS9" s="290"/>
      <c r="CT9" s="290"/>
      <c r="CU9" s="290"/>
      <c r="CV9" s="290"/>
      <c r="CW9" s="290"/>
      <c r="CX9" s="290"/>
      <c r="CY9" s="290"/>
      <c r="CZ9" s="290"/>
      <c r="DA9" s="290"/>
      <c r="DB9" s="290"/>
      <c r="DC9" s="290"/>
      <c r="DD9" s="290"/>
      <c r="DE9" s="290"/>
      <c r="DF9" s="290"/>
      <c r="DG9" s="290"/>
      <c r="DH9" s="290"/>
      <c r="DI9" s="290"/>
      <c r="DJ9" s="290"/>
      <c r="DK9" s="290"/>
      <c r="DL9" s="290"/>
      <c r="DM9" s="290"/>
      <c r="DN9" s="290"/>
      <c r="DO9" s="290"/>
      <c r="DP9" s="290"/>
      <c r="DQ9" s="290"/>
      <c r="DR9" s="290"/>
      <c r="DS9" s="290"/>
      <c r="DT9" s="290"/>
      <c r="DU9" s="290"/>
      <c r="DV9" s="290"/>
      <c r="DW9" s="290"/>
      <c r="DX9" s="290"/>
      <c r="DY9" s="290"/>
      <c r="DZ9" s="290"/>
      <c r="EZ9" s="788"/>
    </row>
    <row r="10" spans="1:166" s="13" customFormat="1" hidden="1" outlineLevel="1" x14ac:dyDescent="0.35">
      <c r="E10" s="14" t="s">
        <v>180</v>
      </c>
      <c r="F10" s="18"/>
      <c r="G10" s="18">
        <f t="shared" si="0"/>
        <v>1200962.2955839369</v>
      </c>
      <c r="H10" s="18">
        <f t="shared" si="1"/>
        <v>0</v>
      </c>
      <c r="I10" s="291"/>
      <c r="J10" s="291"/>
      <c r="K10" s="291"/>
      <c r="L10" s="291"/>
      <c r="M10" s="291"/>
      <c r="N10" s="291"/>
      <c r="O10" s="291"/>
      <c r="P10" s="291"/>
      <c r="Q10" s="16"/>
      <c r="R10" s="16">
        <v>228611.72692307693</v>
      </c>
      <c r="S10" s="16">
        <v>288387.5692307693</v>
      </c>
      <c r="T10" s="16">
        <v>313526.45307692309</v>
      </c>
      <c r="U10" s="16">
        <v>370436.54635316756</v>
      </c>
      <c r="V10" s="16"/>
      <c r="W10" s="16"/>
      <c r="X10" s="16"/>
      <c r="Y10" s="16"/>
      <c r="Z10" s="16"/>
      <c r="AA10" s="16"/>
      <c r="AB10" s="16"/>
      <c r="AC10" s="16"/>
      <c r="AD10" s="12">
        <f t="shared" si="6"/>
        <v>3419623.3400000003</v>
      </c>
      <c r="AE10" s="12">
        <f t="shared" si="7"/>
        <v>3667123.3400000003</v>
      </c>
      <c r="AF10" s="12">
        <f t="shared" si="3"/>
        <v>3914623.3400000003</v>
      </c>
      <c r="AG10" s="12">
        <f t="shared" si="8"/>
        <v>4162123.3400000003</v>
      </c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292"/>
      <c r="BT10" s="293"/>
      <c r="BU10" s="293"/>
      <c r="BV10" s="293"/>
      <c r="BW10" s="293"/>
      <c r="BX10" s="293"/>
      <c r="BY10" s="293"/>
      <c r="BZ10" s="293"/>
      <c r="CA10" s="293"/>
      <c r="CB10" s="293"/>
      <c r="CC10" s="293"/>
      <c r="CD10" s="293"/>
      <c r="CE10" s="290">
        <v>1098624.4466666668</v>
      </c>
      <c r="CF10" s="290">
        <v>1139874.4466666668</v>
      </c>
      <c r="CG10" s="290">
        <v>1181124.4466666668</v>
      </c>
      <c r="CH10" s="290">
        <v>1181124.4466666668</v>
      </c>
      <c r="CI10" s="290">
        <v>1222374.4466666668</v>
      </c>
      <c r="CJ10" s="290">
        <v>1263624.4466666668</v>
      </c>
      <c r="CK10" s="290">
        <v>1263624.4466666668</v>
      </c>
      <c r="CL10" s="290">
        <v>1304874.4466666668</v>
      </c>
      <c r="CM10" s="290">
        <v>1346124.4466666668</v>
      </c>
      <c r="CN10" s="290">
        <v>1346124.4466666668</v>
      </c>
      <c r="CO10" s="290">
        <v>1387374.4466666668</v>
      </c>
      <c r="CP10" s="290">
        <v>1428624.4466666668</v>
      </c>
      <c r="CQ10" s="290"/>
      <c r="CR10" s="290"/>
      <c r="CS10" s="290"/>
      <c r="CT10" s="290"/>
      <c r="CU10" s="290"/>
      <c r="CV10" s="290"/>
      <c r="CW10" s="290"/>
      <c r="CX10" s="290"/>
      <c r="CY10" s="290"/>
      <c r="CZ10" s="290"/>
      <c r="DA10" s="290"/>
      <c r="DB10" s="290"/>
      <c r="DC10" s="290"/>
      <c r="DD10" s="290"/>
      <c r="DE10" s="290"/>
      <c r="DF10" s="290"/>
      <c r="DG10" s="290"/>
      <c r="DH10" s="290"/>
      <c r="DI10" s="290"/>
      <c r="DJ10" s="290"/>
      <c r="DK10" s="290"/>
      <c r="DL10" s="290"/>
      <c r="DM10" s="290"/>
      <c r="DN10" s="290"/>
      <c r="DO10" s="290"/>
      <c r="DP10" s="290"/>
      <c r="DQ10" s="290"/>
      <c r="DR10" s="290"/>
      <c r="DS10" s="290"/>
      <c r="DT10" s="290"/>
      <c r="DU10" s="290"/>
      <c r="DV10" s="290"/>
      <c r="DW10" s="290"/>
      <c r="DX10" s="290"/>
      <c r="DY10" s="290"/>
      <c r="DZ10" s="290"/>
      <c r="EZ10" s="788"/>
    </row>
    <row r="11" spans="1:166" s="13" customFormat="1" hidden="1" outlineLevel="1" x14ac:dyDescent="0.35">
      <c r="E11" s="14" t="s">
        <v>181</v>
      </c>
      <c r="F11" s="18"/>
      <c r="G11" s="18">
        <f t="shared" si="0"/>
        <v>706720.37146454642</v>
      </c>
      <c r="H11" s="18">
        <f t="shared" si="1"/>
        <v>0</v>
      </c>
      <c r="I11" s="291"/>
      <c r="J11" s="291"/>
      <c r="K11" s="291"/>
      <c r="L11" s="291"/>
      <c r="M11" s="291"/>
      <c r="N11" s="291"/>
      <c r="O11" s="291"/>
      <c r="P11" s="291"/>
      <c r="Q11" s="16"/>
      <c r="R11" s="16">
        <v>141396.21218461535</v>
      </c>
      <c r="S11" s="16">
        <v>159222.4642923077</v>
      </c>
      <c r="T11" s="16">
        <v>221004.92647692305</v>
      </c>
      <c r="U11" s="16">
        <v>185096.76851070029</v>
      </c>
      <c r="V11" s="16"/>
      <c r="W11" s="16"/>
      <c r="X11" s="16"/>
      <c r="Y11" s="16"/>
      <c r="Z11" s="16"/>
      <c r="AA11" s="16"/>
      <c r="AB11" s="16"/>
      <c r="AC11" s="16"/>
      <c r="AD11" s="12">
        <f t="shared" si="6"/>
        <v>0</v>
      </c>
      <c r="AE11" s="12">
        <f t="shared" si="7"/>
        <v>0</v>
      </c>
      <c r="AF11" s="12">
        <f t="shared" si="3"/>
        <v>0</v>
      </c>
      <c r="AG11" s="12">
        <f t="shared" si="8"/>
        <v>0</v>
      </c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293"/>
      <c r="BT11" s="293"/>
      <c r="BU11" s="293"/>
      <c r="BV11" s="293"/>
      <c r="BW11" s="293"/>
      <c r="BX11" s="293"/>
      <c r="BY11" s="293"/>
      <c r="BZ11" s="293"/>
      <c r="CA11" s="293"/>
      <c r="CB11" s="293"/>
      <c r="CC11" s="293"/>
      <c r="CD11" s="293"/>
      <c r="CE11" s="294"/>
      <c r="CQ11" s="294"/>
      <c r="EZ11" s="788"/>
    </row>
    <row r="12" spans="1:166" s="13" customFormat="1" hidden="1" outlineLevel="1" x14ac:dyDescent="0.35">
      <c r="E12" s="14" t="s">
        <v>28</v>
      </c>
      <c r="F12" s="18"/>
      <c r="G12" s="18">
        <f t="shared" si="0"/>
        <v>50817.002403846149</v>
      </c>
      <c r="H12" s="18">
        <f t="shared" si="1"/>
        <v>0</v>
      </c>
      <c r="I12" s="291"/>
      <c r="J12" s="291"/>
      <c r="K12" s="291"/>
      <c r="L12" s="291"/>
      <c r="M12" s="291"/>
      <c r="N12" s="291"/>
      <c r="O12" s="291"/>
      <c r="P12" s="291"/>
      <c r="Q12" s="16"/>
      <c r="R12" s="16">
        <v>0</v>
      </c>
      <c r="S12" s="16">
        <v>804.32211538461536</v>
      </c>
      <c r="T12" s="16">
        <v>19451.262019230766</v>
      </c>
      <c r="U12" s="16">
        <v>30561.418269230766</v>
      </c>
      <c r="V12" s="16"/>
      <c r="W12" s="16"/>
      <c r="X12" s="16"/>
      <c r="Y12" s="16"/>
      <c r="Z12" s="16"/>
      <c r="AA12" s="16"/>
      <c r="AB12" s="16"/>
      <c r="AC12" s="16"/>
      <c r="AD12" s="12">
        <f t="shared" si="6"/>
        <v>0</v>
      </c>
      <c r="AE12" s="12">
        <f t="shared" si="7"/>
        <v>0</v>
      </c>
      <c r="AF12" s="12">
        <f t="shared" si="3"/>
        <v>0</v>
      </c>
      <c r="AG12" s="12">
        <f t="shared" si="8"/>
        <v>0</v>
      </c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293"/>
      <c r="BU12" s="293"/>
      <c r="BV12" s="293"/>
      <c r="BW12" s="293"/>
      <c r="BX12" s="293"/>
      <c r="BY12" s="293"/>
      <c r="BZ12" s="293"/>
      <c r="CA12" s="293"/>
      <c r="CB12" s="293"/>
      <c r="CC12" s="293"/>
      <c r="CD12" s="16"/>
      <c r="CE12" s="295"/>
      <c r="CQ12" s="295"/>
      <c r="EZ12" s="788"/>
    </row>
    <row r="13" spans="1:166" s="13" customFormat="1" hidden="1" outlineLevel="1" x14ac:dyDescent="0.35">
      <c r="E13" s="14" t="s">
        <v>182</v>
      </c>
      <c r="F13" s="18"/>
      <c r="G13" s="18">
        <f t="shared" si="0"/>
        <v>9782.1794871794864</v>
      </c>
      <c r="H13" s="18">
        <f t="shared" si="1"/>
        <v>0</v>
      </c>
      <c r="I13" s="291"/>
      <c r="J13" s="291"/>
      <c r="K13" s="291"/>
      <c r="L13" s="291"/>
      <c r="M13" s="291"/>
      <c r="N13" s="291"/>
      <c r="O13" s="291"/>
      <c r="P13" s="291"/>
      <c r="Q13" s="16"/>
      <c r="R13" s="16">
        <v>0</v>
      </c>
      <c r="S13" s="16">
        <v>0</v>
      </c>
      <c r="T13" s="16">
        <v>0</v>
      </c>
      <c r="U13" s="16">
        <v>9782.1794871794864</v>
      </c>
      <c r="V13" s="16"/>
      <c r="W13" s="16"/>
      <c r="X13" s="16"/>
      <c r="Y13" s="16"/>
      <c r="Z13" s="16"/>
      <c r="AA13" s="16"/>
      <c r="AB13" s="16"/>
      <c r="AC13" s="16"/>
      <c r="AD13" s="12">
        <f t="shared" si="6"/>
        <v>0</v>
      </c>
      <c r="AE13" s="12">
        <f t="shared" si="7"/>
        <v>0</v>
      </c>
      <c r="AF13" s="12">
        <f t="shared" si="3"/>
        <v>0</v>
      </c>
      <c r="AG13" s="12">
        <f t="shared" si="8"/>
        <v>0</v>
      </c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293"/>
      <c r="BU13" s="293"/>
      <c r="BV13" s="293"/>
      <c r="BW13" s="293"/>
      <c r="BX13" s="293"/>
      <c r="BY13" s="293"/>
      <c r="BZ13" s="293"/>
      <c r="CA13" s="293"/>
      <c r="CB13" s="293"/>
      <c r="CC13" s="293"/>
      <c r="CD13" s="16"/>
      <c r="CE13" s="295"/>
      <c r="CQ13" s="295"/>
      <c r="EZ13" s="788"/>
    </row>
    <row r="14" spans="1:166" s="13" customFormat="1" hidden="1" outlineLevel="1" x14ac:dyDescent="0.35">
      <c r="E14" s="14" t="s">
        <v>183</v>
      </c>
      <c r="F14" s="18"/>
      <c r="G14" s="18">
        <f t="shared" si="0"/>
        <v>-68000</v>
      </c>
      <c r="H14" s="18">
        <f t="shared" si="1"/>
        <v>0</v>
      </c>
      <c r="I14" s="291"/>
      <c r="J14" s="291"/>
      <c r="K14" s="291"/>
      <c r="L14" s="291"/>
      <c r="M14" s="291"/>
      <c r="N14" s="291"/>
      <c r="O14" s="291"/>
      <c r="P14" s="291"/>
      <c r="Q14" s="16"/>
      <c r="R14" s="16">
        <v>-2000</v>
      </c>
      <c r="S14" s="16">
        <v>16000</v>
      </c>
      <c r="T14" s="16">
        <v>-56000</v>
      </c>
      <c r="U14" s="16">
        <v>-26000</v>
      </c>
      <c r="V14" s="16"/>
      <c r="W14" s="16"/>
      <c r="X14" s="16"/>
      <c r="Y14" s="16"/>
      <c r="Z14" s="16"/>
      <c r="AA14" s="16"/>
      <c r="AB14" s="16"/>
      <c r="AC14" s="16"/>
      <c r="AD14" s="12">
        <f t="shared" si="6"/>
        <v>0</v>
      </c>
      <c r="AE14" s="12">
        <f t="shared" si="7"/>
        <v>0</v>
      </c>
      <c r="AF14" s="12">
        <f t="shared" si="3"/>
        <v>0</v>
      </c>
      <c r="AG14" s="12">
        <f t="shared" si="8"/>
        <v>0</v>
      </c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293"/>
      <c r="BU14" s="293"/>
      <c r="BV14" s="293"/>
      <c r="BW14" s="293"/>
      <c r="BX14" s="293"/>
      <c r="BY14" s="293"/>
      <c r="BZ14" s="293"/>
      <c r="CA14" s="293"/>
      <c r="CB14" s="293"/>
      <c r="CC14" s="293"/>
      <c r="CD14" s="16"/>
      <c r="CE14" s="295"/>
      <c r="CQ14" s="295"/>
      <c r="EZ14" s="788"/>
    </row>
    <row r="15" spans="1:166" s="13" customFormat="1" hidden="1" outlineLevel="1" x14ac:dyDescent="0.35">
      <c r="E15" s="14" t="s">
        <v>184</v>
      </c>
      <c r="F15" s="18"/>
      <c r="G15" s="18" t="e">
        <f t="shared" si="0"/>
        <v>#REF!</v>
      </c>
      <c r="H15" s="18">
        <f t="shared" si="1"/>
        <v>0</v>
      </c>
      <c r="I15" s="291"/>
      <c r="J15" s="291"/>
      <c r="K15" s="291"/>
      <c r="L15" s="291"/>
      <c r="M15" s="291"/>
      <c r="N15" s="291"/>
      <c r="O15" s="291"/>
      <c r="P15" s="291"/>
      <c r="Q15" s="16"/>
      <c r="R15" s="16" t="e">
        <v>#REF!</v>
      </c>
      <c r="S15" s="16" t="e">
        <v>#REF!</v>
      </c>
      <c r="T15" s="16" t="e">
        <v>#REF!</v>
      </c>
      <c r="U15" s="16">
        <v>0</v>
      </c>
      <c r="V15" s="16"/>
      <c r="W15" s="16"/>
      <c r="X15" s="16"/>
      <c r="Y15" s="16"/>
      <c r="Z15" s="16"/>
      <c r="AA15" s="16"/>
      <c r="AB15" s="16"/>
      <c r="AC15" s="16"/>
      <c r="AD15" s="12">
        <f t="shared" si="6"/>
        <v>0</v>
      </c>
      <c r="AE15" s="12">
        <f t="shared" si="7"/>
        <v>0</v>
      </c>
      <c r="AF15" s="12">
        <f t="shared" si="3"/>
        <v>0</v>
      </c>
      <c r="AG15" s="12">
        <f t="shared" si="8"/>
        <v>0</v>
      </c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293"/>
      <c r="BU15" s="293"/>
      <c r="BV15" s="293"/>
      <c r="BW15" s="293"/>
      <c r="BX15" s="293"/>
      <c r="BY15" s="293"/>
      <c r="BZ15" s="293"/>
      <c r="CA15" s="293"/>
      <c r="CB15" s="293"/>
      <c r="CC15" s="293"/>
      <c r="CD15" s="16"/>
      <c r="CE15" s="295"/>
      <c r="CQ15" s="295"/>
      <c r="EZ15" s="788"/>
    </row>
    <row r="16" spans="1:166" s="13" customFormat="1" hidden="1" outlineLevel="1" x14ac:dyDescent="0.35">
      <c r="E16" s="14" t="s">
        <v>185</v>
      </c>
      <c r="F16" s="18"/>
      <c r="G16" s="18" t="e">
        <f>G8-SUM(G9:G15)</f>
        <v>#REF!</v>
      </c>
      <c r="H16" s="18">
        <f t="shared" si="1"/>
        <v>0</v>
      </c>
      <c r="I16" s="291"/>
      <c r="J16" s="291"/>
      <c r="K16" s="291"/>
      <c r="L16" s="291"/>
      <c r="M16" s="291"/>
      <c r="N16" s="291"/>
      <c r="O16" s="291"/>
      <c r="P16" s="291"/>
      <c r="Q16" s="16"/>
      <c r="R16" s="16" t="e">
        <f>R8-SUM(R9:R15)</f>
        <v>#REF!</v>
      </c>
      <c r="S16" s="16" t="e">
        <f>S8-SUM(S9:S15)</f>
        <v>#REF!</v>
      </c>
      <c r="T16" s="16" t="e">
        <f>T8-SUM(T9:T15)</f>
        <v>#REF!</v>
      </c>
      <c r="U16" s="16">
        <f>U8-SUM(U9:U15)</f>
        <v>90000</v>
      </c>
      <c r="V16" s="16"/>
      <c r="W16" s="16"/>
      <c r="X16" s="16"/>
      <c r="Y16" s="16"/>
      <c r="Z16" s="16"/>
      <c r="AA16" s="16"/>
      <c r="AB16" s="16"/>
      <c r="AC16" s="16"/>
      <c r="AD16" s="12">
        <f t="shared" si="6"/>
        <v>0</v>
      </c>
      <c r="AE16" s="12">
        <f t="shared" si="7"/>
        <v>0</v>
      </c>
      <c r="AF16" s="12">
        <f t="shared" si="3"/>
        <v>0</v>
      </c>
      <c r="AG16" s="12">
        <f t="shared" si="8"/>
        <v>0</v>
      </c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293"/>
      <c r="BU16" s="293"/>
      <c r="BV16" s="293"/>
      <c r="BW16" s="293"/>
      <c r="BX16" s="293"/>
      <c r="BY16" s="293"/>
      <c r="BZ16" s="293"/>
      <c r="CA16" s="293"/>
      <c r="CB16" s="293"/>
      <c r="CC16" s="293"/>
      <c r="CD16" s="16"/>
      <c r="CE16" s="295"/>
      <c r="CQ16" s="295"/>
      <c r="EZ16" s="788"/>
    </row>
    <row r="17" spans="3:166" ht="5.25" hidden="1" customHeight="1" outlineLevel="1" x14ac:dyDescent="0.35">
      <c r="F17" s="19"/>
      <c r="G17" s="19"/>
      <c r="H17" s="19"/>
      <c r="I17" s="296"/>
      <c r="J17" s="296"/>
      <c r="K17" s="296"/>
      <c r="L17" s="296"/>
      <c r="M17" s="296"/>
      <c r="N17" s="296"/>
      <c r="O17" s="296"/>
      <c r="P17" s="296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12">
        <f t="shared" si="6"/>
        <v>0</v>
      </c>
      <c r="AE17" s="12">
        <f t="shared" si="7"/>
        <v>0</v>
      </c>
      <c r="AF17" s="12">
        <f t="shared" si="3"/>
        <v>0</v>
      </c>
      <c r="AG17" s="12">
        <f t="shared" si="8"/>
        <v>0</v>
      </c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20"/>
      <c r="BG17" s="16">
        <f t="shared" ref="BG17:BI19" si="9">$V17/3</f>
        <v>0</v>
      </c>
      <c r="BH17" s="16">
        <f t="shared" si="9"/>
        <v>0</v>
      </c>
      <c r="BI17" s="16">
        <f t="shared" si="9"/>
        <v>0</v>
      </c>
      <c r="BJ17" s="16">
        <f t="shared" ref="BJ17:BL19" si="10">$W17/3</f>
        <v>0</v>
      </c>
      <c r="BK17" s="16">
        <f t="shared" si="10"/>
        <v>0</v>
      </c>
      <c r="BL17" s="16">
        <f t="shared" si="10"/>
        <v>0</v>
      </c>
      <c r="BM17" s="16">
        <f t="shared" ref="BM17:BO19" si="11">$X17/3</f>
        <v>0</v>
      </c>
      <c r="BN17" s="16">
        <f t="shared" si="11"/>
        <v>0</v>
      </c>
      <c r="BO17" s="16">
        <f t="shared" si="11"/>
        <v>0</v>
      </c>
      <c r="BP17" s="16">
        <f t="shared" ref="BP17:BR19" si="12">$Y17/3</f>
        <v>0</v>
      </c>
      <c r="BQ17" s="16">
        <f t="shared" si="12"/>
        <v>0</v>
      </c>
      <c r="BR17" s="16">
        <f t="shared" si="12"/>
        <v>0</v>
      </c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54"/>
      <c r="CQ17" s="54"/>
      <c r="EZ17" s="384"/>
    </row>
    <row r="18" spans="3:166" collapsed="1" x14ac:dyDescent="0.35">
      <c r="E18" s="10" t="s">
        <v>10</v>
      </c>
      <c r="F18" s="11">
        <v>3463000</v>
      </c>
      <c r="G18" s="11">
        <f>SUM(R18:U18)</f>
        <v>2367170.4545454546</v>
      </c>
      <c r="H18" s="11">
        <f>SUM(V18:Y18)</f>
        <v>1234661.3131313131</v>
      </c>
      <c r="I18" s="11">
        <f>SUM(BS18:CD18)</f>
        <v>799999.99999999988</v>
      </c>
      <c r="J18" s="19">
        <f t="shared" ref="J18:O19" ca="1" si="13">OFFSET($Z18,0,J$4)+OFFSET($AA18,0,J$4)+OFFSET($AB18,0,J$4)+OFFSET($AC18,0,J$4)</f>
        <v>1817984</v>
      </c>
      <c r="K18" s="19">
        <f t="shared" ca="1" si="13"/>
        <v>2100000</v>
      </c>
      <c r="L18" s="19">
        <f t="shared" ca="1" si="13"/>
        <v>1300000</v>
      </c>
      <c r="M18" s="19">
        <f t="shared" ca="1" si="13"/>
        <v>1417500</v>
      </c>
      <c r="N18" s="19">
        <f t="shared" ca="1" si="13"/>
        <v>1511750</v>
      </c>
      <c r="O18" s="19">
        <f t="shared" ca="1" si="13"/>
        <v>800000</v>
      </c>
      <c r="P18" s="19">
        <f t="shared" ref="P18:P57" ca="1" si="14">OFFSET($Z18,0,P$4)+OFFSET($AA18,0,P$4)+OFFSET($AB18,0,P$4)+OFFSET($AC18,0,P$4)</f>
        <v>1560530.3030303027</v>
      </c>
      <c r="Q18" s="12"/>
      <c r="R18" s="12">
        <v>748000</v>
      </c>
      <c r="S18" s="12">
        <v>367000</v>
      </c>
      <c r="T18" s="12">
        <v>374000</v>
      </c>
      <c r="U18" s="12">
        <v>878170.45454545459</v>
      </c>
      <c r="V18" s="12">
        <v>129000</v>
      </c>
      <c r="W18" s="12">
        <v>305661.31313131313</v>
      </c>
      <c r="X18" s="12">
        <v>400000</v>
      </c>
      <c r="Y18" s="12">
        <v>400000</v>
      </c>
      <c r="Z18" s="12">
        <f>SUM(BS18:BU18)</f>
        <v>200000</v>
      </c>
      <c r="AA18" s="12">
        <f>SUM(BV18:BX18)</f>
        <v>200000</v>
      </c>
      <c r="AB18" s="12">
        <f>SUM(BY18:CA18)</f>
        <v>200000</v>
      </c>
      <c r="AC18" s="12">
        <f>SUM(CB18:CD18)</f>
        <v>200000</v>
      </c>
      <c r="AD18" s="12">
        <f t="shared" si="6"/>
        <v>457553</v>
      </c>
      <c r="AE18" s="12">
        <f t="shared" si="7"/>
        <v>690431</v>
      </c>
      <c r="AF18" s="12">
        <f t="shared" si="3"/>
        <v>260000</v>
      </c>
      <c r="AG18" s="12">
        <f t="shared" si="8"/>
        <v>410000</v>
      </c>
      <c r="AH18" s="20">
        <f t="shared" ref="AH18:AQ19" ca="1" si="15">OFFSET($CN18,0,AH$4)+OFFSET($CO18,0,AH$4)+OFFSET($CP18,0,AH$4)</f>
        <v>525000</v>
      </c>
      <c r="AI18" s="20">
        <f t="shared" ca="1" si="15"/>
        <v>525000</v>
      </c>
      <c r="AJ18" s="20">
        <f t="shared" ca="1" si="15"/>
        <v>525000</v>
      </c>
      <c r="AK18" s="20">
        <f t="shared" ca="1" si="15"/>
        <v>525000</v>
      </c>
      <c r="AL18" s="20">
        <f t="shared" ca="1" si="15"/>
        <v>325000</v>
      </c>
      <c r="AM18" s="20">
        <f t="shared" ca="1" si="15"/>
        <v>325000</v>
      </c>
      <c r="AN18" s="20">
        <f t="shared" ca="1" si="15"/>
        <v>325000</v>
      </c>
      <c r="AO18" s="20">
        <f t="shared" ca="1" si="15"/>
        <v>325000</v>
      </c>
      <c r="AP18" s="20">
        <f t="shared" ca="1" si="15"/>
        <v>354375</v>
      </c>
      <c r="AQ18" s="20">
        <f t="shared" ca="1" si="15"/>
        <v>354375</v>
      </c>
      <c r="AR18" s="20">
        <f t="shared" ref="AR18:BA19" ca="1" si="16">OFFSET($CN18,0,AR$4)+OFFSET($CO18,0,AR$4)+OFFSET($CP18,0,AR$4)</f>
        <v>354375</v>
      </c>
      <c r="AS18" s="20">
        <f t="shared" ca="1" si="16"/>
        <v>354375</v>
      </c>
      <c r="AT18" s="20">
        <f t="shared" ca="1" si="16"/>
        <v>206375</v>
      </c>
      <c r="AU18" s="20">
        <f t="shared" ca="1" si="16"/>
        <v>468250</v>
      </c>
      <c r="AV18" s="20">
        <f t="shared" ca="1" si="16"/>
        <v>368875</v>
      </c>
      <c r="AW18" s="20">
        <f t="shared" ca="1" si="16"/>
        <v>468250</v>
      </c>
      <c r="AX18" s="20">
        <f t="shared" ca="1" si="16"/>
        <v>200000</v>
      </c>
      <c r="AY18" s="20">
        <f t="shared" ca="1" si="16"/>
        <v>200000</v>
      </c>
      <c r="AZ18" s="20">
        <f t="shared" ca="1" si="16"/>
        <v>200000</v>
      </c>
      <c r="BA18" s="20">
        <f t="shared" ca="1" si="16"/>
        <v>200000</v>
      </c>
      <c r="BB18" s="20">
        <f t="shared" ref="BB18:BE57" ca="1" si="17">OFFSET($CN18,0,BB$4)+OFFSET($CO18,0,BB$4)+OFFSET($CP18,0,BB$4)</f>
        <v>283598.48484848486</v>
      </c>
      <c r="BC18" s="20">
        <f t="shared" ca="1" si="17"/>
        <v>354621.2121212121</v>
      </c>
      <c r="BD18" s="20">
        <f t="shared" ca="1" si="17"/>
        <v>425643.93939393933</v>
      </c>
      <c r="BE18" s="20">
        <f t="shared" ca="1" si="17"/>
        <v>496666.66666666663</v>
      </c>
      <c r="BF18" s="12"/>
      <c r="BG18" s="12">
        <f t="shared" si="9"/>
        <v>43000</v>
      </c>
      <c r="BH18" s="12">
        <f t="shared" si="9"/>
        <v>43000</v>
      </c>
      <c r="BI18" s="12">
        <f t="shared" si="9"/>
        <v>43000</v>
      </c>
      <c r="BJ18" s="12">
        <f t="shared" si="10"/>
        <v>101887.10437710438</v>
      </c>
      <c r="BK18" s="12">
        <f t="shared" si="10"/>
        <v>101887.10437710438</v>
      </c>
      <c r="BL18" s="12">
        <f t="shared" si="10"/>
        <v>101887.10437710438</v>
      </c>
      <c r="BM18" s="12">
        <f t="shared" si="11"/>
        <v>133333.33333333334</v>
      </c>
      <c r="BN18" s="12">
        <f t="shared" si="11"/>
        <v>133333.33333333334</v>
      </c>
      <c r="BO18" s="12">
        <f t="shared" si="11"/>
        <v>133333.33333333334</v>
      </c>
      <c r="BP18" s="12">
        <f t="shared" si="12"/>
        <v>133333.33333333334</v>
      </c>
      <c r="BQ18" s="12">
        <f t="shared" si="12"/>
        <v>133333.33333333334</v>
      </c>
      <c r="BR18" s="12">
        <f t="shared" si="12"/>
        <v>133333.33333333334</v>
      </c>
      <c r="BS18" s="20">
        <v>66666.666666666672</v>
      </c>
      <c r="BT18" s="20">
        <v>66666.666666666672</v>
      </c>
      <c r="BU18" s="20">
        <v>66666.666666666672</v>
      </c>
      <c r="BV18" s="20">
        <v>66666.666666666672</v>
      </c>
      <c r="BW18" s="20">
        <v>66666.666666666672</v>
      </c>
      <c r="BX18" s="20">
        <v>66666.666666666672</v>
      </c>
      <c r="BY18" s="20">
        <v>66666.666666666672</v>
      </c>
      <c r="BZ18" s="20">
        <v>66666.666666666672</v>
      </c>
      <c r="CA18" s="20">
        <v>66666.666666666672</v>
      </c>
      <c r="CB18" s="20">
        <v>66666.666666666672</v>
      </c>
      <c r="CC18" s="20">
        <v>66666.666666666672</v>
      </c>
      <c r="CD18" s="20">
        <v>66666.666666666672</v>
      </c>
      <c r="CE18" s="106">
        <v>152517.66666666666</v>
      </c>
      <c r="CF18" s="106">
        <v>152517.66666666666</v>
      </c>
      <c r="CG18" s="106">
        <v>152517.66666666666</v>
      </c>
      <c r="CH18" s="106">
        <v>230143.66666666666</v>
      </c>
      <c r="CI18" s="106">
        <v>230143.66666666666</v>
      </c>
      <c r="CJ18" s="106">
        <v>230143.66666666666</v>
      </c>
      <c r="CK18" s="106">
        <v>86666.666666666672</v>
      </c>
      <c r="CL18" s="106">
        <v>86666.666666666672</v>
      </c>
      <c r="CM18" s="106">
        <v>86666.666666666672</v>
      </c>
      <c r="CN18" s="106">
        <v>136666.66666666666</v>
      </c>
      <c r="CO18" s="106">
        <v>136666.66666666666</v>
      </c>
      <c r="CP18" s="106">
        <v>136666.66666666666</v>
      </c>
      <c r="CQ18" s="106">
        <v>175000</v>
      </c>
      <c r="CR18" s="106">
        <v>175000</v>
      </c>
      <c r="CS18" s="106">
        <v>175000</v>
      </c>
      <c r="CT18" s="106">
        <v>175000</v>
      </c>
      <c r="CU18" s="106">
        <v>175000</v>
      </c>
      <c r="CV18" s="106">
        <v>175000</v>
      </c>
      <c r="CW18" s="106">
        <v>175000</v>
      </c>
      <c r="CX18" s="106">
        <v>175000</v>
      </c>
      <c r="CY18" s="106">
        <v>175000</v>
      </c>
      <c r="CZ18" s="106">
        <v>175000</v>
      </c>
      <c r="DA18" s="106">
        <v>175000</v>
      </c>
      <c r="DB18" s="106">
        <v>175000</v>
      </c>
      <c r="DC18" s="106">
        <v>108333.33333333333</v>
      </c>
      <c r="DD18" s="106">
        <v>108333.33333333333</v>
      </c>
      <c r="DE18" s="106">
        <v>108333.33333333333</v>
      </c>
      <c r="DF18" s="106">
        <v>108333.33333333333</v>
      </c>
      <c r="DG18" s="106">
        <v>108333.33333333333</v>
      </c>
      <c r="DH18" s="106">
        <v>108333.33333333333</v>
      </c>
      <c r="DI18" s="106">
        <v>108333.33333333333</v>
      </c>
      <c r="DJ18" s="106">
        <v>108333.33333333333</v>
      </c>
      <c r="DK18" s="106">
        <v>108333.33333333333</v>
      </c>
      <c r="DL18" s="106">
        <v>108333.33333333333</v>
      </c>
      <c r="DM18" s="106">
        <v>108333.33333333333</v>
      </c>
      <c r="DN18" s="106">
        <v>108333.33333333333</v>
      </c>
      <c r="DO18" s="106">
        <v>118125</v>
      </c>
      <c r="DP18" s="106">
        <v>118125</v>
      </c>
      <c r="DQ18" s="106">
        <v>118125</v>
      </c>
      <c r="DR18" s="106">
        <v>118125</v>
      </c>
      <c r="DS18" s="106">
        <v>118125</v>
      </c>
      <c r="DT18" s="106">
        <v>118125</v>
      </c>
      <c r="DU18" s="106">
        <v>118125</v>
      </c>
      <c r="DV18" s="106">
        <v>118125</v>
      </c>
      <c r="DW18" s="106">
        <v>118125</v>
      </c>
      <c r="DX18" s="106">
        <v>118125</v>
      </c>
      <c r="DY18" s="106">
        <v>118125</v>
      </c>
      <c r="DZ18" s="106">
        <v>118125</v>
      </c>
      <c r="EA18" s="106">
        <v>68791.666666666672</v>
      </c>
      <c r="EB18" s="106">
        <v>68791.666666666672</v>
      </c>
      <c r="EC18" s="106">
        <v>68791.666666666672</v>
      </c>
      <c r="ED18" s="106">
        <v>156083.33333333334</v>
      </c>
      <c r="EE18" s="106">
        <v>156083.33333333334</v>
      </c>
      <c r="EF18" s="106">
        <v>156083.33333333334</v>
      </c>
      <c r="EG18" s="106">
        <v>122958.33333333333</v>
      </c>
      <c r="EH18" s="106">
        <v>122958.33333333333</v>
      </c>
      <c r="EI18" s="106">
        <v>122958.33333333333</v>
      </c>
      <c r="EJ18" s="106">
        <v>156083.33333333334</v>
      </c>
      <c r="EK18" s="106">
        <v>156083.33333333334</v>
      </c>
      <c r="EL18" s="106">
        <v>156083.33333333334</v>
      </c>
      <c r="EM18" s="106">
        <v>66666.666666666672</v>
      </c>
      <c r="EN18" s="106">
        <v>66666.666666666672</v>
      </c>
      <c r="EO18" s="106">
        <v>66666.666666666672</v>
      </c>
      <c r="EP18" s="106">
        <v>66666.666666666672</v>
      </c>
      <c r="EQ18" s="106">
        <v>66666.666666666672</v>
      </c>
      <c r="ER18" s="106">
        <v>66666.666666666672</v>
      </c>
      <c r="ES18" s="106">
        <v>66666.666666666672</v>
      </c>
      <c r="ET18" s="106">
        <v>66666.666666666672</v>
      </c>
      <c r="EU18" s="106">
        <v>66666.666666666672</v>
      </c>
      <c r="EV18" s="106">
        <v>66666.666666666672</v>
      </c>
      <c r="EW18" s="106">
        <v>66666.666666666672</v>
      </c>
      <c r="EX18" s="106">
        <v>66666.666666666672</v>
      </c>
      <c r="EY18" s="106">
        <v>94532.828282828283</v>
      </c>
      <c r="EZ18" s="789">
        <v>94532.828282828283</v>
      </c>
      <c r="FA18" s="106">
        <v>94532.828282828283</v>
      </c>
      <c r="FB18" s="106">
        <v>118207.0707070707</v>
      </c>
      <c r="FC18" s="106">
        <v>118207.0707070707</v>
      </c>
      <c r="FD18" s="106">
        <v>118207.0707070707</v>
      </c>
      <c r="FE18" s="106">
        <v>141881.3131313131</v>
      </c>
      <c r="FF18" s="106">
        <v>141881.3131313131</v>
      </c>
      <c r="FG18" s="106">
        <v>141881.3131313131</v>
      </c>
      <c r="FH18" s="106">
        <v>165555.55555555553</v>
      </c>
      <c r="FI18" s="106">
        <v>165555.55555555553</v>
      </c>
      <c r="FJ18" s="106">
        <v>165555.55555555553</v>
      </c>
    </row>
    <row r="19" spans="3:166" x14ac:dyDescent="0.35">
      <c r="E19" s="10" t="s">
        <v>11</v>
      </c>
      <c r="F19" s="11">
        <v>173000</v>
      </c>
      <c r="G19" s="11">
        <f>SUM(R19:U19)</f>
        <v>151000</v>
      </c>
      <c r="H19" s="11">
        <f>SUM(V19:Y19)</f>
        <v>69902.5</v>
      </c>
      <c r="I19" s="11">
        <f>SUM(BS19:CD19)</f>
        <v>550000</v>
      </c>
      <c r="J19" s="19">
        <f t="shared" ca="1" si="13"/>
        <v>469467</v>
      </c>
      <c r="K19" s="19">
        <f t="shared" ca="1" si="13"/>
        <v>840000</v>
      </c>
      <c r="L19" s="19">
        <f t="shared" ca="1" si="13"/>
        <v>1000000</v>
      </c>
      <c r="M19" s="19">
        <f t="shared" ca="1" si="13"/>
        <v>789617.75</v>
      </c>
      <c r="N19" s="19">
        <f t="shared" ca="1" si="13"/>
        <v>1325561.9834710725</v>
      </c>
      <c r="O19" s="19">
        <f t="shared" ca="1" si="13"/>
        <v>795000</v>
      </c>
      <c r="P19" s="19">
        <f t="shared" ca="1" si="14"/>
        <v>1140000</v>
      </c>
      <c r="Q19" s="12"/>
      <c r="R19" s="12">
        <v>43000</v>
      </c>
      <c r="S19" s="12">
        <v>52000</v>
      </c>
      <c r="T19" s="12">
        <v>46000</v>
      </c>
      <c r="U19" s="12">
        <v>10000</v>
      </c>
      <c r="V19" s="12">
        <v>26000</v>
      </c>
      <c r="W19" s="12">
        <v>6775</v>
      </c>
      <c r="X19" s="12">
        <v>12127.500000000002</v>
      </c>
      <c r="Y19" s="12">
        <v>25000</v>
      </c>
      <c r="Z19" s="12">
        <f>SUM(BS19:BU19)</f>
        <v>50000</v>
      </c>
      <c r="AA19" s="12">
        <f>SUM(BV19:BX19)</f>
        <v>75000</v>
      </c>
      <c r="AB19" s="12">
        <f>SUM(BY19:CA19)</f>
        <v>175000</v>
      </c>
      <c r="AC19" s="12">
        <f>SUM(CB19:CD19)</f>
        <v>250000</v>
      </c>
      <c r="AD19" s="12">
        <f t="shared" si="6"/>
        <v>72280</v>
      </c>
      <c r="AE19" s="12">
        <f t="shared" si="7"/>
        <v>97187</v>
      </c>
      <c r="AF19" s="12">
        <f t="shared" si="3"/>
        <v>150000</v>
      </c>
      <c r="AG19" s="12">
        <f t="shared" si="8"/>
        <v>150000</v>
      </c>
      <c r="AH19" s="20">
        <f t="shared" ca="1" si="15"/>
        <v>210000</v>
      </c>
      <c r="AI19" s="20">
        <f t="shared" ca="1" si="15"/>
        <v>210000</v>
      </c>
      <c r="AJ19" s="20">
        <f t="shared" ca="1" si="15"/>
        <v>210000</v>
      </c>
      <c r="AK19" s="20">
        <f t="shared" ca="1" si="15"/>
        <v>210000</v>
      </c>
      <c r="AL19" s="20">
        <f t="shared" ca="1" si="15"/>
        <v>250000</v>
      </c>
      <c r="AM19" s="20">
        <f t="shared" ca="1" si="15"/>
        <v>250000</v>
      </c>
      <c r="AN19" s="20">
        <f t="shared" ca="1" si="15"/>
        <v>250000</v>
      </c>
      <c r="AO19" s="20">
        <f t="shared" ca="1" si="15"/>
        <v>250000</v>
      </c>
      <c r="AP19" s="20">
        <f t="shared" ca="1" si="15"/>
        <v>118500.00000000003</v>
      </c>
      <c r="AQ19" s="20">
        <f t="shared" ca="1" si="15"/>
        <v>141875</v>
      </c>
      <c r="AR19" s="20">
        <f t="shared" ca="1" si="16"/>
        <v>264621.375</v>
      </c>
      <c r="AS19" s="20">
        <f t="shared" ca="1" si="16"/>
        <v>264621.375</v>
      </c>
      <c r="AT19" s="20">
        <f t="shared" ca="1" si="16"/>
        <v>347210.74380165292</v>
      </c>
      <c r="AU19" s="20">
        <f t="shared" ca="1" si="16"/>
        <v>347210.74380165292</v>
      </c>
      <c r="AV19" s="20">
        <f t="shared" ca="1" si="16"/>
        <v>331140.49586776667</v>
      </c>
      <c r="AW19" s="20">
        <f t="shared" ca="1" si="16"/>
        <v>300000</v>
      </c>
      <c r="AX19" s="20">
        <f t="shared" ca="1" si="16"/>
        <v>330000</v>
      </c>
      <c r="AY19" s="20">
        <f t="shared" ca="1" si="16"/>
        <v>155000</v>
      </c>
      <c r="AZ19" s="20">
        <f t="shared" ca="1" si="16"/>
        <v>155000</v>
      </c>
      <c r="BA19" s="20">
        <f t="shared" ca="1" si="16"/>
        <v>155000</v>
      </c>
      <c r="BB19" s="20">
        <f t="shared" ca="1" si="17"/>
        <v>135000</v>
      </c>
      <c r="BC19" s="20">
        <f t="shared" ca="1" si="17"/>
        <v>335000</v>
      </c>
      <c r="BD19" s="20">
        <f t="shared" ca="1" si="17"/>
        <v>335000</v>
      </c>
      <c r="BE19" s="20">
        <f t="shared" ca="1" si="17"/>
        <v>335000</v>
      </c>
      <c r="BF19" s="12"/>
      <c r="BG19" s="12">
        <f t="shared" si="9"/>
        <v>8666.6666666666661</v>
      </c>
      <c r="BH19" s="12">
        <f t="shared" si="9"/>
        <v>8666.6666666666661</v>
      </c>
      <c r="BI19" s="12">
        <f t="shared" si="9"/>
        <v>8666.6666666666661</v>
      </c>
      <c r="BJ19" s="12">
        <f t="shared" si="10"/>
        <v>2258.3333333333335</v>
      </c>
      <c r="BK19" s="12">
        <f t="shared" si="10"/>
        <v>2258.3333333333335</v>
      </c>
      <c r="BL19" s="12">
        <f t="shared" si="10"/>
        <v>2258.3333333333335</v>
      </c>
      <c r="BM19" s="12">
        <f t="shared" si="11"/>
        <v>4042.5000000000005</v>
      </c>
      <c r="BN19" s="12">
        <f t="shared" si="11"/>
        <v>4042.5000000000005</v>
      </c>
      <c r="BO19" s="12">
        <f t="shared" si="11"/>
        <v>4042.5000000000005</v>
      </c>
      <c r="BP19" s="12">
        <f t="shared" si="12"/>
        <v>8333.3333333333339</v>
      </c>
      <c r="BQ19" s="12">
        <f t="shared" si="12"/>
        <v>8333.3333333333339</v>
      </c>
      <c r="BR19" s="12">
        <f t="shared" si="12"/>
        <v>8333.3333333333339</v>
      </c>
      <c r="BS19" s="20">
        <v>16666.666666666668</v>
      </c>
      <c r="BT19" s="20">
        <v>16666.666666666668</v>
      </c>
      <c r="BU19" s="20">
        <v>16666.666666666668</v>
      </c>
      <c r="BV19" s="20">
        <v>25000</v>
      </c>
      <c r="BW19" s="20">
        <v>25000</v>
      </c>
      <c r="BX19" s="20">
        <v>25000</v>
      </c>
      <c r="BY19" s="20">
        <v>58333.333333333336</v>
      </c>
      <c r="BZ19" s="20">
        <v>58333.333333333336</v>
      </c>
      <c r="CA19" s="20">
        <v>58333.333333333336</v>
      </c>
      <c r="CB19" s="20">
        <v>83333.333333333328</v>
      </c>
      <c r="CC19" s="20">
        <v>83333.333333333328</v>
      </c>
      <c r="CD19" s="20">
        <v>83333.333333333328</v>
      </c>
      <c r="CE19" s="106">
        <v>24093.333333333332</v>
      </c>
      <c r="CF19" s="106">
        <v>24093.333333333332</v>
      </c>
      <c r="CG19" s="106">
        <v>24093.333333333332</v>
      </c>
      <c r="CH19" s="106">
        <v>32395.666666666668</v>
      </c>
      <c r="CI19" s="106">
        <v>32395.666666666668</v>
      </c>
      <c r="CJ19" s="106">
        <v>32395.666666666668</v>
      </c>
      <c r="CK19" s="106">
        <v>50000</v>
      </c>
      <c r="CL19" s="106">
        <v>50000</v>
      </c>
      <c r="CM19" s="106">
        <v>50000</v>
      </c>
      <c r="CN19" s="106">
        <v>50000</v>
      </c>
      <c r="CO19" s="106">
        <v>50000</v>
      </c>
      <c r="CP19" s="106">
        <v>50000</v>
      </c>
      <c r="CQ19" s="106">
        <v>70000</v>
      </c>
      <c r="CR19" s="106">
        <v>70000</v>
      </c>
      <c r="CS19" s="106">
        <v>70000</v>
      </c>
      <c r="CT19" s="106">
        <v>70000</v>
      </c>
      <c r="CU19" s="106">
        <v>70000</v>
      </c>
      <c r="CV19" s="106">
        <v>70000</v>
      </c>
      <c r="CW19" s="106">
        <v>70000</v>
      </c>
      <c r="CX19" s="106">
        <v>70000</v>
      </c>
      <c r="CY19" s="106">
        <v>70000</v>
      </c>
      <c r="CZ19" s="106">
        <v>70000</v>
      </c>
      <c r="DA19" s="106">
        <v>70000</v>
      </c>
      <c r="DB19" s="106">
        <v>70000</v>
      </c>
      <c r="DC19" s="106">
        <v>83333.333333333328</v>
      </c>
      <c r="DD19" s="106">
        <v>83333.333333333328</v>
      </c>
      <c r="DE19" s="106">
        <v>83333.333333333328</v>
      </c>
      <c r="DF19" s="106">
        <v>83333.333333333328</v>
      </c>
      <c r="DG19" s="106">
        <v>83333.333333333328</v>
      </c>
      <c r="DH19" s="106">
        <v>83333.333333333328</v>
      </c>
      <c r="DI19" s="106">
        <v>83333.333333333328</v>
      </c>
      <c r="DJ19" s="106">
        <v>83333.333333333328</v>
      </c>
      <c r="DK19" s="106">
        <v>83333.333333333328</v>
      </c>
      <c r="DL19" s="106">
        <v>83333.333333333328</v>
      </c>
      <c r="DM19" s="106">
        <v>83333.333333333328</v>
      </c>
      <c r="DN19" s="106">
        <v>83333.333333333328</v>
      </c>
      <c r="DO19" s="106">
        <v>39500.000000000007</v>
      </c>
      <c r="DP19" s="106">
        <v>39500.000000000007</v>
      </c>
      <c r="DQ19" s="106">
        <v>39500.000000000007</v>
      </c>
      <c r="DR19" s="106">
        <v>47291.666666666664</v>
      </c>
      <c r="DS19" s="106">
        <v>47291.666666666664</v>
      </c>
      <c r="DT19" s="106">
        <v>47291.666666666664</v>
      </c>
      <c r="DU19" s="106">
        <v>88207.125</v>
      </c>
      <c r="DV19" s="106">
        <v>88207.125</v>
      </c>
      <c r="DW19" s="106">
        <v>88207.125</v>
      </c>
      <c r="DX19" s="106">
        <v>88207.125</v>
      </c>
      <c r="DY19" s="106">
        <v>88207.125</v>
      </c>
      <c r="DZ19" s="106">
        <v>88207.125</v>
      </c>
      <c r="EA19" s="106">
        <v>115736.91460055097</v>
      </c>
      <c r="EB19" s="106">
        <v>115736.91460055097</v>
      </c>
      <c r="EC19" s="106">
        <v>115736.91460055097</v>
      </c>
      <c r="ED19" s="106">
        <v>115736.91460055097</v>
      </c>
      <c r="EE19" s="106">
        <v>115736.91460055097</v>
      </c>
      <c r="EF19" s="106">
        <v>115736.91460055097</v>
      </c>
      <c r="EG19" s="106">
        <v>110380.16528925556</v>
      </c>
      <c r="EH19" s="106">
        <v>110380.16528925556</v>
      </c>
      <c r="EI19" s="106">
        <v>110380.16528925556</v>
      </c>
      <c r="EJ19" s="106">
        <v>100000</v>
      </c>
      <c r="EK19" s="106">
        <v>100000</v>
      </c>
      <c r="EL19" s="106">
        <v>100000</v>
      </c>
      <c r="EM19" s="106">
        <v>110000</v>
      </c>
      <c r="EN19" s="106">
        <v>110000</v>
      </c>
      <c r="EO19" s="106">
        <v>110000</v>
      </c>
      <c r="EP19" s="106">
        <v>51666.666666666664</v>
      </c>
      <c r="EQ19" s="106">
        <v>51666.666666666664</v>
      </c>
      <c r="ER19" s="106">
        <v>51666.666666666664</v>
      </c>
      <c r="ES19" s="106">
        <v>51666.666666666664</v>
      </c>
      <c r="ET19" s="106">
        <v>51666.666666666664</v>
      </c>
      <c r="EU19" s="106">
        <v>51666.666666666664</v>
      </c>
      <c r="EV19" s="106">
        <v>51666.666666666664</v>
      </c>
      <c r="EW19" s="106">
        <v>51666.666666666664</v>
      </c>
      <c r="EX19" s="106">
        <v>51666.666666666664</v>
      </c>
      <c r="EY19" s="106">
        <v>45000</v>
      </c>
      <c r="EZ19" s="789">
        <v>45000</v>
      </c>
      <c r="FA19" s="106">
        <v>45000</v>
      </c>
      <c r="FB19" s="106">
        <v>111666.66666666667</v>
      </c>
      <c r="FC19" s="106">
        <v>111666.66666666667</v>
      </c>
      <c r="FD19" s="106">
        <v>111666.66666666667</v>
      </c>
      <c r="FE19" s="106">
        <v>111666.66666666667</v>
      </c>
      <c r="FF19" s="106">
        <v>111666.66666666667</v>
      </c>
      <c r="FG19" s="106">
        <v>111666.66666666667</v>
      </c>
      <c r="FH19" s="106">
        <v>111666.66666666667</v>
      </c>
      <c r="FI19" s="106">
        <v>111666.66666666667</v>
      </c>
      <c r="FJ19" s="106">
        <v>111666.66666666667</v>
      </c>
    </row>
    <row r="20" spans="3:166" x14ac:dyDescent="0.35">
      <c r="E20" s="10" t="s">
        <v>186</v>
      </c>
      <c r="F20" s="11"/>
      <c r="G20" s="11"/>
      <c r="H20" s="11"/>
      <c r="I20" s="11">
        <f>SUM(BS20:CD20)</f>
        <v>0</v>
      </c>
      <c r="J20" s="11"/>
      <c r="K20" s="11"/>
      <c r="L20" s="11"/>
      <c r="M20" s="11"/>
      <c r="N20" s="11"/>
      <c r="O20" s="11"/>
      <c r="P20" s="11">
        <f t="shared" ca="1" si="14"/>
        <v>0</v>
      </c>
      <c r="Q20" s="12"/>
      <c r="R20" s="12"/>
      <c r="S20" s="12"/>
      <c r="T20" s="12"/>
      <c r="U20" s="12"/>
      <c r="V20" s="12"/>
      <c r="W20" s="12"/>
      <c r="X20" s="12"/>
      <c r="Y20" s="12"/>
      <c r="Z20" s="12">
        <f>SUM(BS20:BU20)</f>
        <v>0</v>
      </c>
      <c r="AA20" s="12">
        <f>SUM(BV20:BX20)</f>
        <v>0</v>
      </c>
      <c r="AB20" s="12">
        <f>SUM(BY20:CA20)</f>
        <v>0</v>
      </c>
      <c r="AC20" s="12">
        <f>SUM(CB20:CD20)</f>
        <v>0</v>
      </c>
      <c r="AD20" s="12">
        <f t="shared" si="6"/>
        <v>0</v>
      </c>
      <c r="AE20" s="12">
        <f t="shared" si="7"/>
        <v>0</v>
      </c>
      <c r="AF20" s="12">
        <f t="shared" si="3"/>
        <v>0</v>
      </c>
      <c r="AG20" s="12">
        <f t="shared" si="8"/>
        <v>0</v>
      </c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20">
        <v>0</v>
      </c>
      <c r="BT20" s="20">
        <v>0</v>
      </c>
      <c r="BU20" s="20">
        <v>0</v>
      </c>
      <c r="BV20" s="20">
        <v>0</v>
      </c>
      <c r="BW20" s="20">
        <v>0</v>
      </c>
      <c r="BX20" s="20">
        <v>0</v>
      </c>
      <c r="BY20" s="20">
        <v>0</v>
      </c>
      <c r="BZ20" s="20">
        <v>0</v>
      </c>
      <c r="CA20" s="20">
        <v>0</v>
      </c>
      <c r="CB20" s="20">
        <v>0</v>
      </c>
      <c r="CC20" s="20">
        <v>0</v>
      </c>
      <c r="CD20" s="20">
        <v>0</v>
      </c>
      <c r="CE20" s="54"/>
      <c r="CQ20" s="54"/>
      <c r="EZ20" s="384"/>
    </row>
    <row r="21" spans="3:166" x14ac:dyDescent="0.35">
      <c r="C21" s="21" t="s">
        <v>103</v>
      </c>
      <c r="D21" s="22"/>
      <c r="E21" s="22"/>
      <c r="F21" s="23">
        <f>SUM(F18:F19,F8)</f>
        <v>8879000</v>
      </c>
      <c r="G21" s="23">
        <f>SUM(G18:G19,G8)</f>
        <v>9337634.0984481312</v>
      </c>
      <c r="H21" s="23">
        <f>SUM(H18:H19,H8)</f>
        <v>10022103.9010856</v>
      </c>
      <c r="I21" s="23">
        <f>SUM(BS21:CD21)</f>
        <v>13496825.760476271</v>
      </c>
      <c r="J21" s="23">
        <f t="shared" ref="J21:O21" ca="1" si="18">J8+J18+J19</f>
        <v>14860916.042715782</v>
      </c>
      <c r="K21" s="23">
        <f t="shared" ca="1" si="18"/>
        <v>18364254.048156187</v>
      </c>
      <c r="L21" s="23">
        <f t="shared" ca="1" si="18"/>
        <v>22800000</v>
      </c>
      <c r="M21" s="23">
        <f t="shared" ca="1" si="18"/>
        <v>26280905.957207099</v>
      </c>
      <c r="N21" s="23">
        <f t="shared" ca="1" si="18"/>
        <v>27819299.61301741</v>
      </c>
      <c r="O21" s="23">
        <f t="shared" ca="1" si="18"/>
        <v>25730281.422600195</v>
      </c>
      <c r="P21" s="23">
        <f t="shared" ca="1" si="14"/>
        <v>30039008.369765289</v>
      </c>
      <c r="Q21" s="24"/>
      <c r="R21" s="24">
        <f t="shared" ref="R21:Y21" si="19">SUM(R18:R19,R8)</f>
        <v>2297080.3191076922</v>
      </c>
      <c r="S21" s="24">
        <f t="shared" si="19"/>
        <v>2078190.3756384614</v>
      </c>
      <c r="T21" s="24">
        <f t="shared" si="19"/>
        <v>2222918.0015730774</v>
      </c>
      <c r="U21" s="24">
        <f t="shared" si="19"/>
        <v>2739445.4021289004</v>
      </c>
      <c r="V21" s="24">
        <f t="shared" si="19"/>
        <v>2080000</v>
      </c>
      <c r="W21" s="24">
        <f t="shared" si="19"/>
        <v>2423214.5134676532</v>
      </c>
      <c r="X21" s="24">
        <f t="shared" si="19"/>
        <v>2676636.1400244203</v>
      </c>
      <c r="Y21" s="24">
        <f t="shared" si="19"/>
        <v>2842253.2475935249</v>
      </c>
      <c r="Z21" s="24">
        <f>SUM(BS21:BU21)</f>
        <v>2687653.504947288</v>
      </c>
      <c r="AA21" s="24">
        <f>SUM(BV21:BX21)</f>
        <v>3023787.5340982485</v>
      </c>
      <c r="AB21" s="24">
        <f>SUM(BY21:CA21)</f>
        <v>3566382.1403512736</v>
      </c>
      <c r="AC21" s="24">
        <f>SUM(CB21:CD21)</f>
        <v>4219002.5810794625</v>
      </c>
      <c r="AD21" s="24">
        <f>SUM(CE21:CG21)</f>
        <v>3757169</v>
      </c>
      <c r="AE21" s="24">
        <f>SUM(CH21:CJ21)</f>
        <v>3914162</v>
      </c>
      <c r="AF21" s="24">
        <f t="shared" si="3"/>
        <v>3418436.730042113</v>
      </c>
      <c r="AG21" s="24">
        <f t="shared" si="8"/>
        <v>3771148.3126736693</v>
      </c>
      <c r="AH21" s="24">
        <f t="shared" ref="AH21:AW21" ca="1" si="20">AH8+AH18+AH19</f>
        <v>4063823.2314158836</v>
      </c>
      <c r="AI21" s="24">
        <f t="shared" ca="1" si="20"/>
        <v>4404966.7988596484</v>
      </c>
      <c r="AJ21" s="24">
        <f t="shared" ca="1" si="20"/>
        <v>4750727.3316128403</v>
      </c>
      <c r="AK21" s="24">
        <f t="shared" ca="1" si="20"/>
        <v>5144736.6862678118</v>
      </c>
      <c r="AL21" s="24">
        <f t="shared" ca="1" si="20"/>
        <v>5025000</v>
      </c>
      <c r="AM21" s="24">
        <f t="shared" ca="1" si="20"/>
        <v>5425000</v>
      </c>
      <c r="AN21" s="24">
        <f t="shared" ca="1" si="20"/>
        <v>5925000</v>
      </c>
      <c r="AO21" s="24">
        <f t="shared" ca="1" si="20"/>
        <v>6425000</v>
      </c>
      <c r="AP21" s="24">
        <f t="shared" ca="1" si="20"/>
        <v>5834101.8358472763</v>
      </c>
      <c r="AQ21" s="24">
        <f t="shared" ca="1" si="20"/>
        <v>6157918.8074336248</v>
      </c>
      <c r="AR21" s="24">
        <f t="shared" ca="1" si="20"/>
        <v>6663430.4162271088</v>
      </c>
      <c r="AS21" s="24">
        <f t="shared" ca="1" si="20"/>
        <v>7625454.8976990879</v>
      </c>
      <c r="AT21" s="24">
        <f t="shared" ca="1" si="20"/>
        <v>6281228.7606458459</v>
      </c>
      <c r="AU21" s="24">
        <f t="shared" ca="1" si="20"/>
        <v>6851146.9846181422</v>
      </c>
      <c r="AV21" s="24">
        <f ca="1">AV8+AV18+AV19</f>
        <v>7107995.8694006633</v>
      </c>
      <c r="AW21" s="24">
        <f t="shared" ca="1" si="20"/>
        <v>7578927.9983527586</v>
      </c>
      <c r="AX21" s="24">
        <f t="shared" ref="AX21:BA21" ca="1" si="21">AX8+AX18+AX19</f>
        <v>6192541.3043740392</v>
      </c>
      <c r="AY21" s="24">
        <f t="shared" ca="1" si="21"/>
        <v>6162242.096870984</v>
      </c>
      <c r="AZ21" s="24">
        <f t="shared" ca="1" si="21"/>
        <v>6413422.0494446559</v>
      </c>
      <c r="BA21" s="24">
        <f t="shared" ca="1" si="21"/>
        <v>6962075.9719105158</v>
      </c>
      <c r="BB21" s="24">
        <f t="shared" ca="1" si="17"/>
        <v>6823024.595246641</v>
      </c>
      <c r="BC21" s="24">
        <f t="shared" ca="1" si="17"/>
        <v>7396873.1679455889</v>
      </c>
      <c r="BD21" s="24">
        <f t="shared" ca="1" si="17"/>
        <v>7748788.2523519685</v>
      </c>
      <c r="BE21" s="24">
        <f t="shared" ca="1" si="17"/>
        <v>8070322.3542210888</v>
      </c>
      <c r="BF21" s="24"/>
      <c r="BG21" s="24">
        <f t="shared" ref="BG21:BR21" si="22">SUM(BG18:BG19,BG8)</f>
        <v>693333.33333333326</v>
      </c>
      <c r="BH21" s="24">
        <f t="shared" si="22"/>
        <v>693333.33333333326</v>
      </c>
      <c r="BI21" s="24">
        <f t="shared" si="22"/>
        <v>693333.33333333326</v>
      </c>
      <c r="BJ21" s="24">
        <f t="shared" si="22"/>
        <v>807738.17115588428</v>
      </c>
      <c r="BK21" s="24">
        <f t="shared" si="22"/>
        <v>807738.17115588428</v>
      </c>
      <c r="BL21" s="24">
        <f t="shared" si="22"/>
        <v>807738.17115588428</v>
      </c>
      <c r="BM21" s="24">
        <f t="shared" si="22"/>
        <v>892212.04667480686</v>
      </c>
      <c r="BN21" s="24">
        <f t="shared" si="22"/>
        <v>892212.04667480686</v>
      </c>
      <c r="BO21" s="24">
        <f t="shared" si="22"/>
        <v>892212.04667480686</v>
      </c>
      <c r="BP21" s="24">
        <f t="shared" si="22"/>
        <v>947417.74919784162</v>
      </c>
      <c r="BQ21" s="24">
        <f t="shared" si="22"/>
        <v>947417.74919784162</v>
      </c>
      <c r="BR21" s="24">
        <f t="shared" si="22"/>
        <v>947417.74919784162</v>
      </c>
      <c r="BS21" s="24">
        <f>SUM(BS18:BS20,BS8)</f>
        <v>857142.73166080995</v>
      </c>
      <c r="BT21" s="24">
        <f t="shared" ref="BT21:DA21" si="23">SUM(BT18:BT20,BT8)</f>
        <v>895884.50164909614</v>
      </c>
      <c r="BU21" s="24">
        <f t="shared" si="23"/>
        <v>934626.27163738222</v>
      </c>
      <c r="BV21" s="24">
        <f t="shared" si="23"/>
        <v>973752.27487637743</v>
      </c>
      <c r="BW21" s="24">
        <f t="shared" si="23"/>
        <v>1007929.1780327493</v>
      </c>
      <c r="BX21" s="24">
        <f t="shared" si="23"/>
        <v>1042106.0811891216</v>
      </c>
      <c r="BY21" s="24">
        <f t="shared" si="23"/>
        <v>1141727.7041061244</v>
      </c>
      <c r="BZ21" s="24">
        <f t="shared" si="23"/>
        <v>1188794.0467837579</v>
      </c>
      <c r="CA21" s="24">
        <f t="shared" si="23"/>
        <v>1235860.3894613911</v>
      </c>
      <c r="CB21" s="24">
        <f t="shared" si="23"/>
        <v>1352151.5495423011</v>
      </c>
      <c r="CC21" s="24">
        <f t="shared" si="23"/>
        <v>1406334.1936931543</v>
      </c>
      <c r="CD21" s="24">
        <f t="shared" si="23"/>
        <v>1460516.8378440072</v>
      </c>
      <c r="CE21" s="24">
        <f t="shared" si="23"/>
        <v>1252389.6666666667</v>
      </c>
      <c r="CF21" s="24">
        <f t="shared" si="23"/>
        <v>1252389.6666666667</v>
      </c>
      <c r="CG21" s="24">
        <f t="shared" si="23"/>
        <v>1252389.6666666667</v>
      </c>
      <c r="CH21" s="24">
        <f t="shared" si="23"/>
        <v>1304720.6666666667</v>
      </c>
      <c r="CI21" s="24">
        <f t="shared" si="23"/>
        <v>1304720.6666666667</v>
      </c>
      <c r="CJ21" s="24">
        <f t="shared" si="23"/>
        <v>1304720.6666666667</v>
      </c>
      <c r="CK21" s="24">
        <f t="shared" si="23"/>
        <v>1139478.9100140377</v>
      </c>
      <c r="CL21" s="24">
        <f t="shared" si="23"/>
        <v>1139478.9100140377</v>
      </c>
      <c r="CM21" s="24">
        <f t="shared" si="23"/>
        <v>1139478.9100140377</v>
      </c>
      <c r="CN21" s="24">
        <f>SUM(CN18:CN20,CN8)</f>
        <v>1257049.4375578898</v>
      </c>
      <c r="CO21" s="24">
        <f t="shared" si="23"/>
        <v>1257049.4375578898</v>
      </c>
      <c r="CP21" s="24">
        <f t="shared" si="23"/>
        <v>1257049.4375578898</v>
      </c>
      <c r="CQ21" s="24">
        <f t="shared" si="23"/>
        <v>1337162.0018755586</v>
      </c>
      <c r="CR21" s="24">
        <f t="shared" si="23"/>
        <v>1354607.7438052946</v>
      </c>
      <c r="CS21" s="24">
        <f t="shared" si="23"/>
        <v>1372053.4857350306</v>
      </c>
      <c r="CT21" s="24">
        <f t="shared" si="23"/>
        <v>1439787.87601079</v>
      </c>
      <c r="CU21" s="24">
        <f t="shared" si="23"/>
        <v>1468322.2662865494</v>
      </c>
      <c r="CV21" s="24">
        <f t="shared" si="23"/>
        <v>1496856.656562309</v>
      </c>
      <c r="CW21" s="24">
        <f t="shared" si="23"/>
        <v>1553816.2168832945</v>
      </c>
      <c r="CX21" s="24">
        <f t="shared" si="23"/>
        <v>1583575.7772042803</v>
      </c>
      <c r="CY21" s="24">
        <f t="shared" si="23"/>
        <v>1613335.3375252658</v>
      </c>
      <c r="CZ21" s="24">
        <f t="shared" si="23"/>
        <v>1677723.7831406014</v>
      </c>
      <c r="DA21" s="24">
        <f t="shared" si="23"/>
        <v>1714912.2287559372</v>
      </c>
      <c r="DB21" s="24">
        <f>SUM(DB18:DB20,DB8)</f>
        <v>1752100.674371273</v>
      </c>
      <c r="DC21" s="24">
        <f t="shared" ref="DC21:DY21" si="24">SUM(DC18:DC20,DC8)</f>
        <v>1675000</v>
      </c>
      <c r="DD21" s="24">
        <f t="shared" si="24"/>
        <v>1675000</v>
      </c>
      <c r="DE21" s="24">
        <f t="shared" si="24"/>
        <v>1675000</v>
      </c>
      <c r="DF21" s="24">
        <f t="shared" si="24"/>
        <v>1808333.3333333335</v>
      </c>
      <c r="DG21" s="24">
        <f t="shared" si="24"/>
        <v>1808333.3333333335</v>
      </c>
      <c r="DH21" s="24">
        <f t="shared" si="24"/>
        <v>1808333.3333333335</v>
      </c>
      <c r="DI21" s="24">
        <f t="shared" si="24"/>
        <v>1975000</v>
      </c>
      <c r="DJ21" s="24">
        <f t="shared" si="24"/>
        <v>1975000</v>
      </c>
      <c r="DK21" s="24">
        <f t="shared" si="24"/>
        <v>1975000</v>
      </c>
      <c r="DL21" s="24">
        <f t="shared" si="24"/>
        <v>2141666.6666666665</v>
      </c>
      <c r="DM21" s="24">
        <f t="shared" si="24"/>
        <v>2141666.6666666665</v>
      </c>
      <c r="DN21" s="24">
        <f t="shared" si="24"/>
        <v>2141666.6666666665</v>
      </c>
      <c r="DO21" s="24">
        <f t="shared" si="24"/>
        <v>1944700.611949092</v>
      </c>
      <c r="DP21" s="24">
        <f t="shared" si="24"/>
        <v>1944700.611949092</v>
      </c>
      <c r="DQ21" s="24">
        <f t="shared" si="24"/>
        <v>1944700.611949092</v>
      </c>
      <c r="DR21" s="24">
        <f t="shared" si="24"/>
        <v>2052639.6024778751</v>
      </c>
      <c r="DS21" s="24">
        <f t="shared" si="24"/>
        <v>2052639.6024778751</v>
      </c>
      <c r="DT21" s="24">
        <f t="shared" si="24"/>
        <v>2052639.6024778751</v>
      </c>
      <c r="DU21" s="24">
        <f t="shared" si="24"/>
        <v>2221143.4720757026</v>
      </c>
      <c r="DV21" s="24">
        <f t="shared" si="24"/>
        <v>2221143.4720757026</v>
      </c>
      <c r="DW21" s="24">
        <f t="shared" si="24"/>
        <v>2221143.4720757026</v>
      </c>
      <c r="DX21" s="24">
        <f t="shared" si="24"/>
        <v>2541818.2992330291</v>
      </c>
      <c r="DY21" s="24">
        <f t="shared" si="24"/>
        <v>2541818.2992330291</v>
      </c>
      <c r="DZ21" s="24">
        <f>SUM(DZ18:DZ20,DZ8)</f>
        <v>2541818.2992330291</v>
      </c>
      <c r="EA21" s="24">
        <f t="shared" ref="EA21:EX21" si="25">SUM(EA18:EA20,EA8)</f>
        <v>2093742.9202152819</v>
      </c>
      <c r="EB21" s="24">
        <f t="shared" si="25"/>
        <v>2093742.9202152819</v>
      </c>
      <c r="EC21" s="24">
        <f t="shared" si="25"/>
        <v>2093742.9202152819</v>
      </c>
      <c r="ED21" s="24">
        <f t="shared" si="25"/>
        <v>2283715.6615393804</v>
      </c>
      <c r="EE21" s="24">
        <f t="shared" si="25"/>
        <v>2283715.6615393804</v>
      </c>
      <c r="EF21" s="24">
        <f t="shared" si="25"/>
        <v>2283715.6615393804</v>
      </c>
      <c r="EG21" s="24">
        <f t="shared" si="25"/>
        <v>2369331.9564668876</v>
      </c>
      <c r="EH21" s="24">
        <f t="shared" si="25"/>
        <v>2369331.9564668876</v>
      </c>
      <c r="EI21" s="24">
        <f t="shared" si="25"/>
        <v>2369331.9564668876</v>
      </c>
      <c r="EJ21" s="24">
        <f t="shared" si="25"/>
        <v>2526309.3327842532</v>
      </c>
      <c r="EK21" s="24">
        <f t="shared" si="25"/>
        <v>2526309.3327842532</v>
      </c>
      <c r="EL21" s="24">
        <f t="shared" si="25"/>
        <v>2526309.3327842532</v>
      </c>
      <c r="EM21" s="24">
        <f t="shared" si="25"/>
        <v>2064180.4347913465</v>
      </c>
      <c r="EN21" s="24">
        <f t="shared" si="25"/>
        <v>2064180.4347913465</v>
      </c>
      <c r="EO21" s="24">
        <f t="shared" si="25"/>
        <v>2064180.4347913465</v>
      </c>
      <c r="EP21" s="24">
        <f t="shared" si="25"/>
        <v>2054080.6989569946</v>
      </c>
      <c r="EQ21" s="24">
        <f t="shared" si="25"/>
        <v>2054080.6989569946</v>
      </c>
      <c r="ER21" s="24">
        <f t="shared" si="25"/>
        <v>2054080.6989569946</v>
      </c>
      <c r="ES21" s="24">
        <f t="shared" si="25"/>
        <v>2137807.3498148853</v>
      </c>
      <c r="ET21" s="24">
        <f t="shared" si="25"/>
        <v>2137807.3498148853</v>
      </c>
      <c r="EU21" s="24">
        <f t="shared" si="25"/>
        <v>2137807.3498148853</v>
      </c>
      <c r="EV21" s="24">
        <f t="shared" si="25"/>
        <v>2320691.9906368386</v>
      </c>
      <c r="EW21" s="24">
        <f t="shared" si="25"/>
        <v>2320691.9906368386</v>
      </c>
      <c r="EX21" s="24">
        <f t="shared" si="25"/>
        <v>2320691.9906368386</v>
      </c>
      <c r="EY21" s="24">
        <v>2274341.5317488802</v>
      </c>
      <c r="EZ21" s="455">
        <v>2274341.5317488802</v>
      </c>
      <c r="FA21" s="24">
        <v>2274341.5317488802</v>
      </c>
      <c r="FB21" s="24">
        <v>2465624.3893151963</v>
      </c>
      <c r="FC21" s="24">
        <v>2465624.3893151963</v>
      </c>
      <c r="FD21" s="24">
        <v>2465624.3893151963</v>
      </c>
      <c r="FE21" s="24">
        <v>2582929.4174506562</v>
      </c>
      <c r="FF21" s="24">
        <v>2582929.4174506562</v>
      </c>
      <c r="FG21" s="24">
        <v>2582929.4174506562</v>
      </c>
      <c r="FH21" s="24">
        <v>2690107.4514070298</v>
      </c>
      <c r="FI21" s="24">
        <v>2690107.4514070298</v>
      </c>
      <c r="FJ21" s="24">
        <v>2690107.4514070298</v>
      </c>
    </row>
    <row r="22" spans="3:166" s="5" customFormat="1" ht="7.5" customHeight="1" outlineLevel="1" x14ac:dyDescent="0.35">
      <c r="E22" s="6"/>
      <c r="F22" s="7"/>
      <c r="G22" s="7"/>
      <c r="H22" s="7"/>
      <c r="I22" s="7"/>
      <c r="J22" s="7"/>
      <c r="K22" s="7"/>
      <c r="L22" s="7"/>
      <c r="M22" s="7"/>
      <c r="N22" s="7"/>
      <c r="O22" s="7"/>
      <c r="P22" s="7">
        <f t="shared" ca="1" si="14"/>
        <v>0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12">
        <f t="shared" ref="AD22:AD63" si="26">SUM(CE22:CG22)</f>
        <v>0</v>
      </c>
      <c r="AE22" s="12">
        <f t="shared" ref="AE22:AE63" si="27">SUM(CH22:CJ22)</f>
        <v>0</v>
      </c>
      <c r="AF22" s="12">
        <f t="shared" si="3"/>
        <v>0</v>
      </c>
      <c r="AG22" s="12">
        <f t="shared" si="8"/>
        <v>0</v>
      </c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>
        <f t="shared" ca="1" si="17"/>
        <v>0</v>
      </c>
      <c r="BC22" s="12">
        <f t="shared" ca="1" si="17"/>
        <v>0</v>
      </c>
      <c r="BD22" s="12">
        <f t="shared" ca="1" si="17"/>
        <v>0</v>
      </c>
      <c r="BE22" s="12">
        <f t="shared" ca="1" si="17"/>
        <v>0</v>
      </c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Q22" s="8"/>
      <c r="EZ22" s="786"/>
    </row>
    <row r="23" spans="3:166" x14ac:dyDescent="0.35">
      <c r="D23" s="3" t="s">
        <v>104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>
        <f t="shared" ca="1" si="14"/>
        <v>0</v>
      </c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12">
        <f t="shared" si="26"/>
        <v>0</v>
      </c>
      <c r="AE23" s="12">
        <f t="shared" si="27"/>
        <v>0</v>
      </c>
      <c r="AF23" s="12">
        <f t="shared" si="3"/>
        <v>0</v>
      </c>
      <c r="AG23" s="12">
        <f t="shared" si="8"/>
        <v>0</v>
      </c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>
        <f t="shared" ca="1" si="17"/>
        <v>0</v>
      </c>
      <c r="BC23" s="12">
        <f t="shared" ca="1" si="17"/>
        <v>0</v>
      </c>
      <c r="BD23" s="12">
        <f t="shared" ca="1" si="17"/>
        <v>0</v>
      </c>
      <c r="BE23" s="12">
        <f t="shared" ca="1" si="17"/>
        <v>0</v>
      </c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54"/>
      <c r="CF23" s="54"/>
      <c r="CG23" s="54"/>
      <c r="CH23" s="54"/>
      <c r="CI23" s="54"/>
      <c r="CJ23" s="54"/>
      <c r="CK23" s="54"/>
      <c r="CL23" s="54"/>
      <c r="CM23" s="54"/>
      <c r="CN23" s="54"/>
      <c r="CO23" s="54"/>
      <c r="CP23" s="54"/>
      <c r="CQ23" s="54"/>
      <c r="CR23" s="54"/>
      <c r="CS23" s="54"/>
      <c r="CT23" s="54"/>
      <c r="CU23" s="54"/>
      <c r="CV23" s="54"/>
      <c r="CW23" s="54"/>
      <c r="CX23" s="54"/>
      <c r="CY23" s="54"/>
      <c r="CZ23" s="54"/>
      <c r="DA23" s="54"/>
      <c r="DB23" s="54"/>
      <c r="DC23" s="54"/>
      <c r="DD23" s="54"/>
      <c r="DE23" s="54"/>
      <c r="DF23" s="54"/>
      <c r="DG23" s="54"/>
      <c r="DH23" s="54"/>
      <c r="DI23" s="54"/>
      <c r="DJ23" s="54"/>
      <c r="DK23" s="54"/>
      <c r="DL23" s="54"/>
      <c r="DM23" s="54"/>
      <c r="DN23" s="54"/>
      <c r="DO23" s="54"/>
      <c r="DP23" s="54"/>
      <c r="DQ23" s="54"/>
      <c r="DR23" s="54"/>
      <c r="DS23" s="54"/>
      <c r="DT23" s="54"/>
      <c r="DU23" s="54"/>
      <c r="DV23" s="54"/>
      <c r="DW23" s="54"/>
      <c r="DX23" s="54"/>
      <c r="DY23" s="54"/>
      <c r="DZ23" s="54"/>
      <c r="EZ23" s="384"/>
    </row>
    <row r="24" spans="3:166" s="10" customFormat="1" x14ac:dyDescent="0.35">
      <c r="D24" s="3"/>
      <c r="E24" s="10" t="s">
        <v>9</v>
      </c>
      <c r="F24" s="11">
        <f>F29-F8</f>
        <v>-2971000</v>
      </c>
      <c r="G24" s="11">
        <f>SUM(R24:U24)</f>
        <v>-3823463.6439026771</v>
      </c>
      <c r="H24" s="11">
        <f>SUM(V24:Y24)</f>
        <v>-4111574.3105316958</v>
      </c>
      <c r="I24" s="11">
        <f>SUM(BS24:CD24)</f>
        <v>-5830476.3650286105</v>
      </c>
      <c r="J24" s="11">
        <f t="shared" ref="J24:O26" ca="1" si="28">OFFSET($Z24,0,J$4)+OFFSET($AA24,0,J$4)+OFFSET($AB24,0,J$4)+OFFSET($AC24,0,J$4)</f>
        <v>-6454331.6900041001</v>
      </c>
      <c r="K24" s="11">
        <f t="shared" ca="1" si="28"/>
        <v>-8013327.0240780925</v>
      </c>
      <c r="L24" s="11">
        <f t="shared" ca="1" si="28"/>
        <v>-10395000</v>
      </c>
      <c r="M24" s="11">
        <f t="shared" ca="1" si="28"/>
        <v>-13110460.890340272</v>
      </c>
      <c r="N24" s="11">
        <f t="shared" ca="1" si="28"/>
        <v>-12187046.54917736</v>
      </c>
      <c r="O24" s="11">
        <f t="shared" ca="1" si="28"/>
        <v>-11552990.694695165</v>
      </c>
      <c r="P24" s="11">
        <f t="shared" ca="1" si="14"/>
        <v>-14317773.161645049</v>
      </c>
      <c r="Q24" s="12"/>
      <c r="R24" s="12">
        <v>-903080.31910769222</v>
      </c>
      <c r="S24" s="12">
        <v>-1059190.3756384614</v>
      </c>
      <c r="T24" s="12">
        <v>-1041918.0015730772</v>
      </c>
      <c r="U24" s="12">
        <v>-819274.94758344605</v>
      </c>
      <c r="V24" s="12">
        <v>-793000</v>
      </c>
      <c r="W24" s="12">
        <v>-977693.36672272324</v>
      </c>
      <c r="X24" s="12">
        <v>-1132254.3200122102</v>
      </c>
      <c r="Y24" s="12">
        <v>-1208626.6237967624</v>
      </c>
      <c r="Z24" s="12">
        <f>SUM(BS24:BU24)</f>
        <v>-1170073.6823746983</v>
      </c>
      <c r="AA24" s="12">
        <f>SUM(BV24:BX24)</f>
        <v>-1319418.0163671593</v>
      </c>
      <c r="AB24" s="12">
        <f>SUM(BY24:CA24)</f>
        <v>-1531863.4273686111</v>
      </c>
      <c r="AC24" s="12">
        <f>SUM(CB24:CD24)</f>
        <v>-1809121.2389181419</v>
      </c>
      <c r="AD24" s="12">
        <f t="shared" si="26"/>
        <v>-1704857.0000000002</v>
      </c>
      <c r="AE24" s="12">
        <f t="shared" si="27"/>
        <v>-1640594.0000000002</v>
      </c>
      <c r="AF24" s="12">
        <f t="shared" si="3"/>
        <v>-1494046.3804578844</v>
      </c>
      <c r="AG24" s="12">
        <f t="shared" si="8"/>
        <v>-1614834.3095462155</v>
      </c>
      <c r="AH24" s="12">
        <f t="shared" ref="AH24:AQ26" ca="1" si="29">OFFSET($CN24,0,AH$4)+OFFSET($CO24,0,AH$4)+OFFSET($CP24,0,AH$4)</f>
        <v>-1724411.6157079418</v>
      </c>
      <c r="AI24" s="12">
        <f t="shared" ca="1" si="29"/>
        <v>-1896183.3994298242</v>
      </c>
      <c r="AJ24" s="12">
        <f t="shared" ca="1" si="29"/>
        <v>-2088263.6658064204</v>
      </c>
      <c r="AK24" s="12">
        <f t="shared" ca="1" si="29"/>
        <v>-2304468.3431339059</v>
      </c>
      <c r="AL24" s="12">
        <f t="shared" ca="1" si="29"/>
        <v>-2256475.6097560972</v>
      </c>
      <c r="AM24" s="12">
        <f t="shared" ca="1" si="29"/>
        <v>-2459304.8780487804</v>
      </c>
      <c r="AN24" s="12">
        <f t="shared" ca="1" si="29"/>
        <v>-2712841.4634146341</v>
      </c>
      <c r="AO24" s="12">
        <f t="shared" ca="1" si="29"/>
        <v>-2966378.0487804879</v>
      </c>
      <c r="AP24" s="12">
        <f t="shared" ca="1" si="29"/>
        <v>-2934375.0374648506</v>
      </c>
      <c r="AQ24" s="12">
        <f t="shared" ca="1" si="29"/>
        <v>-3051232.6145193791</v>
      </c>
      <c r="AR24" s="12">
        <f t="shared" ref="AR24:BA26" ca="1" si="30">OFFSET($CN24,0,AR$4)+OFFSET($CO24,0,AR$4)+OFFSET($CP24,0,AR$4)</f>
        <v>-3245565.0263062734</v>
      </c>
      <c r="AS24" s="12">
        <f t="shared" ca="1" si="30"/>
        <v>-3879288.2120497688</v>
      </c>
      <c r="AT24" s="12">
        <f t="shared" ca="1" si="30"/>
        <v>-2760504.6832154999</v>
      </c>
      <c r="AU24" s="12">
        <f t="shared" ca="1" si="30"/>
        <v>-2946888.6305699288</v>
      </c>
      <c r="AV24" s="12">
        <f t="shared" ca="1" si="30"/>
        <v>-3174517.681191301</v>
      </c>
      <c r="AW24" s="12">
        <f t="shared" ca="1" si="30"/>
        <v>-3305135.5542006302</v>
      </c>
      <c r="AX24" s="12">
        <f t="shared" ca="1" si="30"/>
        <v>-2755297.6758897821</v>
      </c>
      <c r="AY24" s="12">
        <f t="shared" ca="1" si="30"/>
        <v>-2828454.6364160515</v>
      </c>
      <c r="AZ24" s="12">
        <f t="shared" ca="1" si="30"/>
        <v>-2915309.5617098007</v>
      </c>
      <c r="BA24" s="12">
        <f t="shared" ca="1" si="30"/>
        <v>-3053928.8206795305</v>
      </c>
      <c r="BB24" s="12">
        <f t="shared" ca="1" si="17"/>
        <v>-3309442.8923178986</v>
      </c>
      <c r="BC24" s="12">
        <f t="shared" ca="1" si="17"/>
        <v>-3518689.5533781704</v>
      </c>
      <c r="BD24" s="12">
        <f t="shared" ca="1" si="17"/>
        <v>-3679988.1732294429</v>
      </c>
      <c r="BE24" s="12">
        <f t="shared" ca="1" si="17"/>
        <v>-3809652.5427195374</v>
      </c>
      <c r="BF24" s="12"/>
      <c r="BG24" s="12">
        <f>$V24/3</f>
        <v>-264333.33333333331</v>
      </c>
      <c r="BH24" s="12">
        <f t="shared" ref="BH24:BI26" si="31">$V24/3</f>
        <v>-264333.33333333331</v>
      </c>
      <c r="BI24" s="12">
        <f>$V24/3</f>
        <v>-264333.33333333331</v>
      </c>
      <c r="BJ24" s="12">
        <f t="shared" ref="BJ24:BL26" si="32">$W24/3</f>
        <v>-325897.78890757443</v>
      </c>
      <c r="BK24" s="12">
        <f t="shared" si="32"/>
        <v>-325897.78890757443</v>
      </c>
      <c r="BL24" s="12">
        <f t="shared" si="32"/>
        <v>-325897.78890757443</v>
      </c>
      <c r="BM24" s="12">
        <f t="shared" ref="BM24:BO26" si="33">$X24/3</f>
        <v>-377418.10667073674</v>
      </c>
      <c r="BN24" s="12">
        <f>$X24/3</f>
        <v>-377418.10667073674</v>
      </c>
      <c r="BO24" s="12">
        <f>$X24/3</f>
        <v>-377418.10667073674</v>
      </c>
      <c r="BP24" s="12">
        <f t="shared" ref="BP24:BR26" si="34">$Y24/3</f>
        <v>-402875.5412655875</v>
      </c>
      <c r="BQ24" s="12">
        <f t="shared" si="34"/>
        <v>-402875.5412655875</v>
      </c>
      <c r="BR24" s="12">
        <f t="shared" si="34"/>
        <v>-402875.5412655875</v>
      </c>
      <c r="BS24" s="12">
        <v>-371428.51119718875</v>
      </c>
      <c r="BT24" s="12">
        <v>-390024.56079156609</v>
      </c>
      <c r="BU24" s="12">
        <v>-408620.61038594344</v>
      </c>
      <c r="BV24" s="12">
        <v>-423401.09194066119</v>
      </c>
      <c r="BW24" s="12">
        <v>-439806.00545571966</v>
      </c>
      <c r="BX24" s="12">
        <v>-456210.91897077835</v>
      </c>
      <c r="BY24" s="12">
        <v>-488029.29797093966</v>
      </c>
      <c r="BZ24" s="12">
        <v>-510621.1424562037</v>
      </c>
      <c r="CA24" s="12">
        <v>-533212.98694146774</v>
      </c>
      <c r="CB24" s="12">
        <v>-577032.74378030456</v>
      </c>
      <c r="CC24" s="12">
        <v>-603040.41297271405</v>
      </c>
      <c r="CD24" s="12">
        <v>-629048.08216512343</v>
      </c>
      <c r="CE24" s="290">
        <f>CE29-CE8</f>
        <v>-568285.66666666674</v>
      </c>
      <c r="CF24" s="290">
        <f t="shared" ref="CF24:CP24" si="35">CF29-CF8</f>
        <v>-568285.66666666674</v>
      </c>
      <c r="CG24" s="290">
        <f t="shared" si="35"/>
        <v>-568285.66666666674</v>
      </c>
      <c r="CH24" s="290">
        <f t="shared" si="35"/>
        <v>-546864.66666666674</v>
      </c>
      <c r="CI24" s="290">
        <f t="shared" si="35"/>
        <v>-546864.66666666674</v>
      </c>
      <c r="CJ24" s="290">
        <f t="shared" si="35"/>
        <v>-546864.66666666674</v>
      </c>
      <c r="CK24" s="290">
        <f t="shared" si="35"/>
        <v>-498015.46015262813</v>
      </c>
      <c r="CL24" s="290">
        <f t="shared" si="35"/>
        <v>-498015.46015262813</v>
      </c>
      <c r="CM24" s="290">
        <f t="shared" si="35"/>
        <v>-498015.46015262813</v>
      </c>
      <c r="CN24" s="290">
        <f t="shared" si="35"/>
        <v>-538278.10318207182</v>
      </c>
      <c r="CO24" s="290">
        <f t="shared" si="35"/>
        <v>-538278.10318207182</v>
      </c>
      <c r="CP24" s="290">
        <f t="shared" si="35"/>
        <v>-538278.10318207182</v>
      </c>
      <c r="CQ24" s="290">
        <v>-566081.00093777932</v>
      </c>
      <c r="CR24" s="290">
        <v>-574803.87190264731</v>
      </c>
      <c r="CS24" s="290">
        <v>-583526.74286751531</v>
      </c>
      <c r="CT24" s="290">
        <v>-617793.938005395</v>
      </c>
      <c r="CU24" s="290">
        <v>-632061.1331432747</v>
      </c>
      <c r="CV24" s="290">
        <v>-646328.32828115451</v>
      </c>
      <c r="CW24" s="290">
        <v>-681208.10844164726</v>
      </c>
      <c r="CX24" s="290">
        <v>-696087.88860214013</v>
      </c>
      <c r="CY24" s="290">
        <v>-710967.66876263288</v>
      </c>
      <c r="CZ24" s="290">
        <v>-749561.89157030068</v>
      </c>
      <c r="DA24" s="290">
        <v>-768156.1143779686</v>
      </c>
      <c r="DB24" s="290">
        <v>-786750.33718563651</v>
      </c>
      <c r="DC24" s="290">
        <v>-752158.53658536577</v>
      </c>
      <c r="DD24" s="290">
        <v>-752158.53658536577</v>
      </c>
      <c r="DE24" s="290">
        <v>-752158.53658536577</v>
      </c>
      <c r="DF24" s="290">
        <v>-819768.29268292687</v>
      </c>
      <c r="DG24" s="290">
        <v>-819768.29268292687</v>
      </c>
      <c r="DH24" s="290">
        <v>-819768.29268292687</v>
      </c>
      <c r="DI24" s="290">
        <v>-904280.48780487804</v>
      </c>
      <c r="DJ24" s="290">
        <v>-904280.48780487804</v>
      </c>
      <c r="DK24" s="290">
        <v>-904280.48780487804</v>
      </c>
      <c r="DL24" s="290">
        <v>-988792.68292682932</v>
      </c>
      <c r="DM24" s="290">
        <v>-988792.68292682932</v>
      </c>
      <c r="DN24" s="290">
        <v>-988792.68292682932</v>
      </c>
      <c r="DO24" s="290">
        <v>-978125.01248828345</v>
      </c>
      <c r="DP24" s="290">
        <v>-978125.01248828345</v>
      </c>
      <c r="DQ24" s="290">
        <v>-978125.01248828345</v>
      </c>
      <c r="DR24" s="290">
        <v>-1017077.5381731263</v>
      </c>
      <c r="DS24" s="290">
        <v>-1017077.5381731263</v>
      </c>
      <c r="DT24" s="290">
        <v>-1017077.5381731263</v>
      </c>
      <c r="DU24" s="290">
        <v>-1081855.0087687578</v>
      </c>
      <c r="DV24" s="290">
        <v>-1081855.0087687578</v>
      </c>
      <c r="DW24" s="290">
        <v>-1081855.0087687578</v>
      </c>
      <c r="DX24" s="290">
        <v>-1293096.0706832563</v>
      </c>
      <c r="DY24" s="290">
        <v>-1293096.0706832563</v>
      </c>
      <c r="DZ24" s="290">
        <v>-1293096.0706832563</v>
      </c>
      <c r="EA24" s="290">
        <f>EA29-EA8</f>
        <v>-920168.22773849999</v>
      </c>
      <c r="EB24" s="290">
        <f t="shared" ref="EB24:EL24" si="36">EB29-EB8</f>
        <v>-920168.22773849999</v>
      </c>
      <c r="EC24" s="290">
        <f t="shared" si="36"/>
        <v>-920168.22773849999</v>
      </c>
      <c r="ED24" s="290">
        <f t="shared" si="36"/>
        <v>-982296.21018997626</v>
      </c>
      <c r="EE24" s="290">
        <f t="shared" si="36"/>
        <v>-982296.21018997626</v>
      </c>
      <c r="EF24" s="290">
        <f t="shared" si="36"/>
        <v>-982296.21018997626</v>
      </c>
      <c r="EG24" s="290">
        <f t="shared" si="36"/>
        <v>-1058172.5603971004</v>
      </c>
      <c r="EH24" s="290">
        <f t="shared" si="36"/>
        <v>-1058172.5603971004</v>
      </c>
      <c r="EI24" s="290">
        <f t="shared" si="36"/>
        <v>-1058172.5603971004</v>
      </c>
      <c r="EJ24" s="290">
        <f t="shared" si="36"/>
        <v>-1101711.8514002101</v>
      </c>
      <c r="EK24" s="290">
        <f t="shared" si="36"/>
        <v>-1101711.8514002101</v>
      </c>
      <c r="EL24" s="290">
        <f t="shared" si="36"/>
        <v>-1101711.8514002101</v>
      </c>
      <c r="EM24" s="290">
        <v>-918432.55862992734</v>
      </c>
      <c r="EN24" s="290">
        <v>-918432.55862992734</v>
      </c>
      <c r="EO24" s="290">
        <v>-918432.55862992734</v>
      </c>
      <c r="EP24" s="290">
        <v>-942818.21213868388</v>
      </c>
      <c r="EQ24" s="290">
        <v>-942818.21213868388</v>
      </c>
      <c r="ER24" s="290">
        <v>-942818.21213868388</v>
      </c>
      <c r="ES24" s="290">
        <v>-971769.85390326695</v>
      </c>
      <c r="ET24" s="290">
        <v>-971769.85390326695</v>
      </c>
      <c r="EU24" s="290">
        <v>-971769.85390326695</v>
      </c>
      <c r="EV24" s="290">
        <v>-1017976.2735598434</v>
      </c>
      <c r="EW24" s="290">
        <v>-1017976.2735598434</v>
      </c>
      <c r="EX24" s="290">
        <v>-1017976.2735598434</v>
      </c>
      <c r="EY24" s="290">
        <v>-1103147.6307726328</v>
      </c>
      <c r="EZ24" s="787">
        <v>-1103147.6307726328</v>
      </c>
      <c r="FA24" s="290">
        <v>-1103147.6307726328</v>
      </c>
      <c r="FB24" s="290">
        <v>-1172896.5177927234</v>
      </c>
      <c r="FC24" s="290">
        <v>-1172896.5177927234</v>
      </c>
      <c r="FD24" s="290">
        <v>-1172896.5177927234</v>
      </c>
      <c r="FE24" s="290">
        <v>-1226662.7244098142</v>
      </c>
      <c r="FF24" s="290">
        <v>-1226662.7244098142</v>
      </c>
      <c r="FG24" s="290">
        <v>-1226662.7244098142</v>
      </c>
      <c r="FH24" s="290">
        <v>-1269884.1809065125</v>
      </c>
      <c r="FI24" s="290">
        <v>-1269884.1809065125</v>
      </c>
      <c r="FJ24" s="290">
        <v>-1269884.1809065125</v>
      </c>
    </row>
    <row r="25" spans="3:166" s="10" customFormat="1" x14ac:dyDescent="0.35">
      <c r="D25" s="3"/>
      <c r="E25" s="10" t="s">
        <v>10</v>
      </c>
      <c r="F25" s="11">
        <f>F30-F18</f>
        <v>-2480000</v>
      </c>
      <c r="G25" s="11">
        <f>SUM(R25:U25)</f>
        <v>-1428170.4545454546</v>
      </c>
      <c r="H25" s="11">
        <f>SUM(V25:Y25)</f>
        <v>-822213.91919191927</v>
      </c>
      <c r="I25" s="11">
        <f>SUM(BS25:CD25)</f>
        <v>-520000.00000000017</v>
      </c>
      <c r="J25" s="11">
        <f t="shared" ca="1" si="28"/>
        <v>-1155648</v>
      </c>
      <c r="K25" s="11">
        <f t="shared" ca="1" si="28"/>
        <v>-1260000</v>
      </c>
      <c r="L25" s="11">
        <f t="shared" ca="1" si="28"/>
        <v>-1105000</v>
      </c>
      <c r="M25" s="11">
        <f t="shared" ca="1" si="28"/>
        <v>-992250</v>
      </c>
      <c r="N25" s="11">
        <f t="shared" ca="1" si="28"/>
        <v>-982637.50000000023</v>
      </c>
      <c r="O25" s="11">
        <f t="shared" ca="1" si="28"/>
        <v>-480000</v>
      </c>
      <c r="P25" s="11">
        <f t="shared" ca="1" si="14"/>
        <v>-1153924.2424242424</v>
      </c>
      <c r="Q25" s="12"/>
      <c r="R25" s="12">
        <v>-389000</v>
      </c>
      <c r="S25" s="12">
        <v>-278000</v>
      </c>
      <c r="T25" s="12">
        <v>-233000</v>
      </c>
      <c r="U25" s="12">
        <v>-528170.45454545459</v>
      </c>
      <c r="V25" s="12">
        <v>-83000</v>
      </c>
      <c r="W25" s="12">
        <v>-188213.91919191921</v>
      </c>
      <c r="X25" s="12">
        <v>-244000</v>
      </c>
      <c r="Y25" s="12">
        <v>-307000</v>
      </c>
      <c r="Z25" s="12">
        <f>SUM(BS25:BU25)</f>
        <v>-130000.00000000003</v>
      </c>
      <c r="AA25" s="12">
        <f>SUM(BV25:BX25)</f>
        <v>-130000.00000000003</v>
      </c>
      <c r="AB25" s="12">
        <f>SUM(BY25:CA25)</f>
        <v>-130000.00000000003</v>
      </c>
      <c r="AC25" s="12">
        <f>SUM(CB25:CD25)</f>
        <v>-129999.99999999999</v>
      </c>
      <c r="AD25" s="12">
        <f t="shared" si="26"/>
        <v>-282374</v>
      </c>
      <c r="AE25" s="12">
        <f t="shared" si="27"/>
        <v>-457874</v>
      </c>
      <c r="AF25" s="12">
        <f t="shared" si="3"/>
        <v>-161200</v>
      </c>
      <c r="AG25" s="12">
        <f t="shared" si="8"/>
        <v>-254199.99999999994</v>
      </c>
      <c r="AH25" s="12">
        <f t="shared" ca="1" si="29"/>
        <v>-315000</v>
      </c>
      <c r="AI25" s="12">
        <f t="shared" ca="1" si="29"/>
        <v>-315000</v>
      </c>
      <c r="AJ25" s="12">
        <f t="shared" ca="1" si="29"/>
        <v>-315000</v>
      </c>
      <c r="AK25" s="12">
        <f t="shared" ca="1" si="29"/>
        <v>-315000</v>
      </c>
      <c r="AL25" s="12">
        <f t="shared" ca="1" si="29"/>
        <v>-276250</v>
      </c>
      <c r="AM25" s="12">
        <f t="shared" ca="1" si="29"/>
        <v>-292500</v>
      </c>
      <c r="AN25" s="12">
        <f t="shared" ca="1" si="29"/>
        <v>-292500</v>
      </c>
      <c r="AO25" s="12">
        <f t="shared" ca="1" si="29"/>
        <v>-243750</v>
      </c>
      <c r="AP25" s="12">
        <f t="shared" ca="1" si="29"/>
        <v>-248062.5</v>
      </c>
      <c r="AQ25" s="12">
        <f t="shared" ca="1" si="29"/>
        <v>-248062.5</v>
      </c>
      <c r="AR25" s="12">
        <f t="shared" ca="1" si="30"/>
        <v>-248062.5</v>
      </c>
      <c r="AS25" s="12">
        <f t="shared" ca="1" si="30"/>
        <v>-248062.5</v>
      </c>
      <c r="AT25" s="12">
        <f t="shared" ca="1" si="30"/>
        <v>-134143.75000000003</v>
      </c>
      <c r="AU25" s="12">
        <f t="shared" ca="1" si="30"/>
        <v>-304362.50000000006</v>
      </c>
      <c r="AV25" s="12">
        <f t="shared" ca="1" si="30"/>
        <v>-239768.74999999997</v>
      </c>
      <c r="AW25" s="12">
        <f t="shared" ca="1" si="30"/>
        <v>-304362.50000000006</v>
      </c>
      <c r="AX25" s="12">
        <f t="shared" ca="1" si="30"/>
        <v>-120000</v>
      </c>
      <c r="AY25" s="12">
        <f t="shared" ca="1" si="30"/>
        <v>-120000</v>
      </c>
      <c r="AZ25" s="12">
        <f t="shared" ca="1" si="30"/>
        <v>-120000</v>
      </c>
      <c r="BA25" s="12">
        <f t="shared" ca="1" si="30"/>
        <v>-120000</v>
      </c>
      <c r="BB25" s="12">
        <f t="shared" ca="1" si="17"/>
        <v>-203253.7878787879</v>
      </c>
      <c r="BC25" s="12">
        <f t="shared" ca="1" si="17"/>
        <v>-260071.96969696967</v>
      </c>
      <c r="BD25" s="12">
        <f t="shared" ca="1" si="17"/>
        <v>-316890.15151515149</v>
      </c>
      <c r="BE25" s="12">
        <f t="shared" ca="1" si="17"/>
        <v>-373708.33333333331</v>
      </c>
      <c r="BF25" s="12"/>
      <c r="BG25" s="12">
        <f>$V25/3</f>
        <v>-27666.666666666668</v>
      </c>
      <c r="BH25" s="12">
        <f t="shared" si="31"/>
        <v>-27666.666666666668</v>
      </c>
      <c r="BI25" s="12">
        <f t="shared" si="31"/>
        <v>-27666.666666666668</v>
      </c>
      <c r="BJ25" s="12">
        <f t="shared" si="32"/>
        <v>-62737.97306397307</v>
      </c>
      <c r="BK25" s="12">
        <f t="shared" si="32"/>
        <v>-62737.97306397307</v>
      </c>
      <c r="BL25" s="12">
        <f t="shared" si="32"/>
        <v>-62737.97306397307</v>
      </c>
      <c r="BM25" s="12">
        <f t="shared" si="33"/>
        <v>-81333.333333333328</v>
      </c>
      <c r="BN25" s="12">
        <f t="shared" si="33"/>
        <v>-81333.333333333328</v>
      </c>
      <c r="BO25" s="12">
        <f t="shared" si="33"/>
        <v>-81333.333333333328</v>
      </c>
      <c r="BP25" s="12">
        <f t="shared" si="34"/>
        <v>-102333.33333333333</v>
      </c>
      <c r="BQ25" s="12">
        <f t="shared" si="34"/>
        <v>-102333.33333333333</v>
      </c>
      <c r="BR25" s="12">
        <f t="shared" si="34"/>
        <v>-102333.33333333333</v>
      </c>
      <c r="BS25" s="12">
        <v>-43333.333333333343</v>
      </c>
      <c r="BT25" s="12">
        <v>-43333.333333333343</v>
      </c>
      <c r="BU25" s="12">
        <v>-43333.333333333343</v>
      </c>
      <c r="BV25" s="12">
        <v>-43333.333333333343</v>
      </c>
      <c r="BW25" s="12">
        <v>-43333.333333333343</v>
      </c>
      <c r="BX25" s="12">
        <v>-43333.333333333343</v>
      </c>
      <c r="BY25" s="12">
        <v>-43333.333333333343</v>
      </c>
      <c r="BZ25" s="12">
        <v>-43333.333333333343</v>
      </c>
      <c r="CA25" s="12">
        <v>-43333.333333333343</v>
      </c>
      <c r="CB25" s="12">
        <v>-43333.333333333343</v>
      </c>
      <c r="CC25" s="12">
        <v>-43333.333333333343</v>
      </c>
      <c r="CD25" s="12">
        <v>-43333.333333333299</v>
      </c>
      <c r="CE25" s="12">
        <f>CE30-CE18</f>
        <v>-94124.666666666657</v>
      </c>
      <c r="CF25" s="12">
        <f t="shared" ref="CF25:CP26" si="37">CF30-CF18</f>
        <v>-94124.666666666657</v>
      </c>
      <c r="CG25" s="12">
        <f t="shared" si="37"/>
        <v>-94124.666666666657</v>
      </c>
      <c r="CH25" s="12">
        <f t="shared" si="37"/>
        <v>-152624.66666666666</v>
      </c>
      <c r="CI25" s="12">
        <f t="shared" si="37"/>
        <v>-152624.66666666666</v>
      </c>
      <c r="CJ25" s="12">
        <f t="shared" si="37"/>
        <v>-152624.66666666666</v>
      </c>
      <c r="CK25" s="12">
        <f t="shared" si="37"/>
        <v>-53733.333333333336</v>
      </c>
      <c r="CL25" s="12">
        <f t="shared" si="37"/>
        <v>-53733.333333333336</v>
      </c>
      <c r="CM25" s="12">
        <f t="shared" si="37"/>
        <v>-53733.333333333336</v>
      </c>
      <c r="CN25" s="12">
        <f t="shared" si="37"/>
        <v>-84733.333333333314</v>
      </c>
      <c r="CO25" s="12">
        <f t="shared" si="37"/>
        <v>-84733.333333333314</v>
      </c>
      <c r="CP25" s="12">
        <f t="shared" si="37"/>
        <v>-84733.333333333314</v>
      </c>
      <c r="CQ25" s="12">
        <v>-105000</v>
      </c>
      <c r="CR25" s="12">
        <v>-105000</v>
      </c>
      <c r="CS25" s="12">
        <v>-105000</v>
      </c>
      <c r="CT25" s="12">
        <v>-105000</v>
      </c>
      <c r="CU25" s="12">
        <v>-105000</v>
      </c>
      <c r="CV25" s="12">
        <v>-105000</v>
      </c>
      <c r="CW25" s="12">
        <v>-105000</v>
      </c>
      <c r="CX25" s="12">
        <v>-105000</v>
      </c>
      <c r="CY25" s="12">
        <v>-105000</v>
      </c>
      <c r="CZ25" s="12">
        <v>-105000</v>
      </c>
      <c r="DA25" s="12">
        <v>-105000</v>
      </c>
      <c r="DB25" s="12">
        <v>-105000</v>
      </c>
      <c r="DC25" s="12">
        <v>-92083.333333333328</v>
      </c>
      <c r="DD25" s="12">
        <v>-92083.333333333328</v>
      </c>
      <c r="DE25" s="12">
        <v>-92083.333333333328</v>
      </c>
      <c r="DF25" s="12">
        <v>-97500</v>
      </c>
      <c r="DG25" s="12">
        <v>-97500</v>
      </c>
      <c r="DH25" s="12">
        <v>-97500</v>
      </c>
      <c r="DI25" s="12">
        <v>-97500</v>
      </c>
      <c r="DJ25" s="12">
        <v>-97500</v>
      </c>
      <c r="DK25" s="12">
        <v>-97500</v>
      </c>
      <c r="DL25" s="12">
        <v>-81250</v>
      </c>
      <c r="DM25" s="12">
        <v>-81250</v>
      </c>
      <c r="DN25" s="12">
        <v>-81250</v>
      </c>
      <c r="DO25" s="12">
        <v>-82687.5</v>
      </c>
      <c r="DP25" s="12">
        <v>-82687.5</v>
      </c>
      <c r="DQ25" s="12">
        <v>-82687.5</v>
      </c>
      <c r="DR25" s="12">
        <v>-82687.5</v>
      </c>
      <c r="DS25" s="12">
        <v>-82687.5</v>
      </c>
      <c r="DT25" s="12">
        <v>-82687.5</v>
      </c>
      <c r="DU25" s="12">
        <v>-82687.5</v>
      </c>
      <c r="DV25" s="12">
        <v>-82687.5</v>
      </c>
      <c r="DW25" s="12">
        <v>-82687.5</v>
      </c>
      <c r="DX25" s="12">
        <v>-82687.5</v>
      </c>
      <c r="DY25" s="12">
        <v>-82687.5</v>
      </c>
      <c r="DZ25" s="12">
        <v>-82687.5</v>
      </c>
      <c r="EA25" s="290">
        <f>EA30-EA18</f>
        <v>-44714.583333333343</v>
      </c>
      <c r="EB25" s="290">
        <f t="shared" ref="EB25:EL26" si="38">EB30-EB18</f>
        <v>-44714.583333333343</v>
      </c>
      <c r="EC25" s="290">
        <f t="shared" si="38"/>
        <v>-44714.583333333343</v>
      </c>
      <c r="ED25" s="290">
        <f t="shared" si="38"/>
        <v>-101454.16666666669</v>
      </c>
      <c r="EE25" s="290">
        <f t="shared" si="38"/>
        <v>-101454.16666666669</v>
      </c>
      <c r="EF25" s="290">
        <f t="shared" si="38"/>
        <v>-101454.16666666669</v>
      </c>
      <c r="EG25" s="290">
        <f t="shared" si="38"/>
        <v>-79922.916666666657</v>
      </c>
      <c r="EH25" s="290">
        <f t="shared" si="38"/>
        <v>-79922.916666666657</v>
      </c>
      <c r="EI25" s="290">
        <f t="shared" si="38"/>
        <v>-79922.916666666657</v>
      </c>
      <c r="EJ25" s="290">
        <f t="shared" si="38"/>
        <v>-101454.16666666669</v>
      </c>
      <c r="EK25" s="290">
        <f t="shared" si="38"/>
        <v>-101454.16666666669</v>
      </c>
      <c r="EL25" s="290">
        <f t="shared" si="38"/>
        <v>-101454.16666666669</v>
      </c>
      <c r="EM25" s="290">
        <v>-40000</v>
      </c>
      <c r="EN25" s="290">
        <v>-40000</v>
      </c>
      <c r="EO25" s="290">
        <v>-40000</v>
      </c>
      <c r="EP25" s="290">
        <v>-40000</v>
      </c>
      <c r="EQ25" s="290">
        <v>-40000</v>
      </c>
      <c r="ER25" s="290">
        <v>-40000</v>
      </c>
      <c r="ES25" s="290">
        <v>-40000</v>
      </c>
      <c r="ET25" s="290">
        <v>-40000</v>
      </c>
      <c r="EU25" s="290">
        <v>-40000</v>
      </c>
      <c r="EV25" s="290">
        <v>-40000</v>
      </c>
      <c r="EW25" s="290">
        <v>-40000</v>
      </c>
      <c r="EX25" s="290">
        <v>-40000</v>
      </c>
      <c r="EY25" s="290">
        <v>-67751.262626262629</v>
      </c>
      <c r="EZ25" s="787">
        <v>-67751.262626262629</v>
      </c>
      <c r="FA25" s="290">
        <v>-67751.262626262629</v>
      </c>
      <c r="FB25" s="290">
        <v>-86690.656565656551</v>
      </c>
      <c r="FC25" s="290">
        <v>-86690.656565656551</v>
      </c>
      <c r="FD25" s="290">
        <v>-86690.656565656551</v>
      </c>
      <c r="FE25" s="290">
        <v>-105630.0505050505</v>
      </c>
      <c r="FF25" s="290">
        <v>-105630.0505050505</v>
      </c>
      <c r="FG25" s="290">
        <v>-105630.0505050505</v>
      </c>
      <c r="FH25" s="290">
        <v>-124569.44444444444</v>
      </c>
      <c r="FI25" s="290">
        <v>-124569.44444444444</v>
      </c>
      <c r="FJ25" s="290">
        <v>-124569.44444444444</v>
      </c>
    </row>
    <row r="26" spans="3:166" s="10" customFormat="1" x14ac:dyDescent="0.35">
      <c r="D26" s="3"/>
      <c r="E26" s="10" t="s">
        <v>11</v>
      </c>
      <c r="F26" s="11">
        <f>F31-F19</f>
        <v>-112000</v>
      </c>
      <c r="G26" s="11">
        <f>SUM(R26:U26)</f>
        <v>-70000</v>
      </c>
      <c r="H26" s="11">
        <f>SUM(V26:Y26)</f>
        <v>-22401.25</v>
      </c>
      <c r="I26" s="11">
        <f>SUM(BS26:CD26)</f>
        <v>0</v>
      </c>
      <c r="J26" s="11">
        <f t="shared" ca="1" si="28"/>
        <v>-14039.000000000004</v>
      </c>
      <c r="K26" s="11">
        <f t="shared" ca="1" si="28"/>
        <v>0</v>
      </c>
      <c r="L26" s="11">
        <f t="shared" ca="1" si="28"/>
        <v>0</v>
      </c>
      <c r="M26" s="11">
        <f t="shared" ca="1" si="28"/>
        <v>-61373.187499999971</v>
      </c>
      <c r="N26" s="11">
        <f t="shared" ca="1" si="28"/>
        <v>0</v>
      </c>
      <c r="O26" s="11">
        <f t="shared" ca="1" si="28"/>
        <v>0</v>
      </c>
      <c r="P26" s="11">
        <f t="shared" ca="1" si="14"/>
        <v>-2600</v>
      </c>
      <c r="Q26" s="12"/>
      <c r="R26" s="12">
        <v>-22000</v>
      </c>
      <c r="S26" s="12">
        <v>-23000</v>
      </c>
      <c r="T26" s="12">
        <v>-25000</v>
      </c>
      <c r="U26" s="12">
        <v>0</v>
      </c>
      <c r="V26" s="12">
        <v>-13000</v>
      </c>
      <c r="W26" s="12">
        <v>-3337.5</v>
      </c>
      <c r="X26" s="12">
        <v>-6063.7500000000009</v>
      </c>
      <c r="Y26" s="12">
        <v>0</v>
      </c>
      <c r="Z26" s="12">
        <f>SUM(BS26:BU26)</f>
        <v>0</v>
      </c>
      <c r="AA26" s="12">
        <f>SUM(BV26:BX26)</f>
        <v>0</v>
      </c>
      <c r="AB26" s="12">
        <f>SUM(BY26:CA26)</f>
        <v>0</v>
      </c>
      <c r="AC26" s="12">
        <f>SUM(CB26:CD26)</f>
        <v>0</v>
      </c>
      <c r="AD26" s="12">
        <f t="shared" si="26"/>
        <v>-3849.9999999999964</v>
      </c>
      <c r="AE26" s="12">
        <f t="shared" si="27"/>
        <v>-10189.000000000007</v>
      </c>
      <c r="AF26" s="12">
        <f t="shared" si="3"/>
        <v>0</v>
      </c>
      <c r="AG26" s="12">
        <f t="shared" si="8"/>
        <v>0</v>
      </c>
      <c r="AH26" s="12">
        <f t="shared" ca="1" si="29"/>
        <v>0</v>
      </c>
      <c r="AI26" s="12">
        <f t="shared" ca="1" si="29"/>
        <v>0</v>
      </c>
      <c r="AJ26" s="12">
        <f t="shared" ca="1" si="29"/>
        <v>0</v>
      </c>
      <c r="AK26" s="12">
        <f t="shared" ca="1" si="29"/>
        <v>0</v>
      </c>
      <c r="AL26" s="12">
        <f t="shared" ca="1" si="29"/>
        <v>0</v>
      </c>
      <c r="AM26" s="12">
        <f t="shared" ca="1" si="29"/>
        <v>0</v>
      </c>
      <c r="AN26" s="12">
        <f t="shared" ca="1" si="29"/>
        <v>0</v>
      </c>
      <c r="AO26" s="12">
        <f t="shared" ca="1" si="29"/>
        <v>0</v>
      </c>
      <c r="AP26" s="12">
        <f t="shared" ca="1" si="29"/>
        <v>0</v>
      </c>
      <c r="AQ26" s="12">
        <f t="shared" ca="1" si="29"/>
        <v>0</v>
      </c>
      <c r="AR26" s="12">
        <f t="shared" ca="1" si="30"/>
        <v>-30686.593749999985</v>
      </c>
      <c r="AS26" s="12">
        <f t="shared" ca="1" si="30"/>
        <v>-30686.593749999985</v>
      </c>
      <c r="AT26" s="12">
        <f t="shared" ca="1" si="30"/>
        <v>0</v>
      </c>
      <c r="AU26" s="12">
        <f t="shared" ca="1" si="30"/>
        <v>0</v>
      </c>
      <c r="AV26" s="12">
        <f t="shared" ca="1" si="30"/>
        <v>0</v>
      </c>
      <c r="AW26" s="12">
        <f t="shared" ca="1" si="30"/>
        <v>0</v>
      </c>
      <c r="AX26" s="12">
        <f t="shared" ca="1" si="30"/>
        <v>0</v>
      </c>
      <c r="AY26" s="12">
        <f t="shared" ca="1" si="30"/>
        <v>0</v>
      </c>
      <c r="AZ26" s="12">
        <f t="shared" ca="1" si="30"/>
        <v>0</v>
      </c>
      <c r="BA26" s="12">
        <f t="shared" ca="1" si="30"/>
        <v>0</v>
      </c>
      <c r="BB26" s="12">
        <f t="shared" ca="1" si="17"/>
        <v>-2600</v>
      </c>
      <c r="BC26" s="12">
        <f t="shared" ca="1" si="17"/>
        <v>0</v>
      </c>
      <c r="BD26" s="12">
        <f t="shared" ca="1" si="17"/>
        <v>0</v>
      </c>
      <c r="BE26" s="12">
        <f t="shared" ca="1" si="17"/>
        <v>0</v>
      </c>
      <c r="BF26" s="12"/>
      <c r="BG26" s="12">
        <f>$V26/3</f>
        <v>-4333.333333333333</v>
      </c>
      <c r="BH26" s="12">
        <f t="shared" si="31"/>
        <v>-4333.333333333333</v>
      </c>
      <c r="BI26" s="12">
        <f t="shared" si="31"/>
        <v>-4333.333333333333</v>
      </c>
      <c r="BJ26" s="12">
        <f t="shared" si="32"/>
        <v>-1112.5</v>
      </c>
      <c r="BK26" s="12">
        <f t="shared" si="32"/>
        <v>-1112.5</v>
      </c>
      <c r="BL26" s="12">
        <f t="shared" si="32"/>
        <v>-1112.5</v>
      </c>
      <c r="BM26" s="12">
        <f t="shared" si="33"/>
        <v>-2021.2500000000002</v>
      </c>
      <c r="BN26" s="12">
        <f t="shared" si="33"/>
        <v>-2021.2500000000002</v>
      </c>
      <c r="BO26" s="12">
        <f t="shared" si="33"/>
        <v>-2021.2500000000002</v>
      </c>
      <c r="BP26" s="12">
        <f t="shared" si="34"/>
        <v>0</v>
      </c>
      <c r="BQ26" s="12">
        <f t="shared" si="34"/>
        <v>0</v>
      </c>
      <c r="BR26" s="12">
        <f t="shared" si="34"/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f>CE31-CE19</f>
        <v>-1283.3333333333321</v>
      </c>
      <c r="CF26" s="12">
        <f t="shared" si="37"/>
        <v>-1283.3333333333321</v>
      </c>
      <c r="CG26" s="12">
        <f t="shared" si="37"/>
        <v>-1283.3333333333321</v>
      </c>
      <c r="CH26" s="12">
        <f t="shared" si="37"/>
        <v>-3396.3333333333358</v>
      </c>
      <c r="CI26" s="12">
        <f t="shared" si="37"/>
        <v>-3396.3333333333358</v>
      </c>
      <c r="CJ26" s="12">
        <f t="shared" si="37"/>
        <v>-3396.3333333333358</v>
      </c>
      <c r="CK26" s="12">
        <f t="shared" si="37"/>
        <v>0</v>
      </c>
      <c r="CL26" s="12">
        <f t="shared" si="37"/>
        <v>0</v>
      </c>
      <c r="CM26" s="12">
        <f t="shared" si="37"/>
        <v>0</v>
      </c>
      <c r="CN26" s="12">
        <f t="shared" si="37"/>
        <v>0</v>
      </c>
      <c r="CO26" s="12">
        <f t="shared" si="37"/>
        <v>0</v>
      </c>
      <c r="CP26" s="12">
        <f t="shared" si="37"/>
        <v>0</v>
      </c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-10228.864583333328</v>
      </c>
      <c r="DV26" s="12">
        <v>-10228.864583333328</v>
      </c>
      <c r="DW26" s="12">
        <v>-10228.864583333328</v>
      </c>
      <c r="DX26" s="12">
        <v>-10228.864583333328</v>
      </c>
      <c r="DY26" s="12">
        <v>-10228.864583333328</v>
      </c>
      <c r="DZ26" s="12">
        <v>-10228.864583333328</v>
      </c>
      <c r="EA26" s="290">
        <f>EA31-EA19</f>
        <v>0</v>
      </c>
      <c r="EB26" s="290">
        <f t="shared" si="38"/>
        <v>0</v>
      </c>
      <c r="EC26" s="290">
        <f t="shared" si="38"/>
        <v>0</v>
      </c>
      <c r="ED26" s="290">
        <f t="shared" si="38"/>
        <v>0</v>
      </c>
      <c r="EE26" s="290">
        <f t="shared" si="38"/>
        <v>0</v>
      </c>
      <c r="EF26" s="290">
        <f t="shared" si="38"/>
        <v>0</v>
      </c>
      <c r="EG26" s="290">
        <f t="shared" si="38"/>
        <v>0</v>
      </c>
      <c r="EH26" s="290">
        <f t="shared" si="38"/>
        <v>0</v>
      </c>
      <c r="EI26" s="290">
        <f t="shared" si="38"/>
        <v>0</v>
      </c>
      <c r="EJ26" s="290">
        <f t="shared" si="38"/>
        <v>0</v>
      </c>
      <c r="EK26" s="290">
        <f t="shared" si="38"/>
        <v>0</v>
      </c>
      <c r="EL26" s="290">
        <f t="shared" si="38"/>
        <v>0</v>
      </c>
      <c r="EM26" s="290">
        <v>0</v>
      </c>
      <c r="EN26" s="290">
        <v>0</v>
      </c>
      <c r="EO26" s="290">
        <v>0</v>
      </c>
      <c r="EP26" s="290">
        <v>0</v>
      </c>
      <c r="EQ26" s="290">
        <v>0</v>
      </c>
      <c r="ER26" s="290">
        <v>0</v>
      </c>
      <c r="ES26" s="290">
        <v>0</v>
      </c>
      <c r="ET26" s="290">
        <v>0</v>
      </c>
      <c r="EU26" s="290">
        <v>0</v>
      </c>
      <c r="EV26" s="290">
        <v>0</v>
      </c>
      <c r="EW26" s="290">
        <v>0</v>
      </c>
      <c r="EX26" s="290">
        <v>0</v>
      </c>
      <c r="EY26" s="290">
        <v>-866.66666666666663</v>
      </c>
      <c r="EZ26" s="787">
        <v>-866.66666666666663</v>
      </c>
      <c r="FA26" s="290">
        <v>-866.66666666666663</v>
      </c>
      <c r="FB26" s="290">
        <v>0</v>
      </c>
      <c r="FC26" s="290">
        <v>0</v>
      </c>
      <c r="FD26" s="290">
        <v>0</v>
      </c>
      <c r="FE26" s="290">
        <v>0</v>
      </c>
      <c r="FF26" s="290">
        <v>0</v>
      </c>
      <c r="FG26" s="290">
        <v>0</v>
      </c>
      <c r="FH26" s="290">
        <v>0</v>
      </c>
      <c r="FI26" s="290">
        <v>0</v>
      </c>
      <c r="FJ26" s="290">
        <v>0</v>
      </c>
    </row>
    <row r="27" spans="3:166" s="10" customFormat="1" ht="7.5" customHeight="1" x14ac:dyDescent="0.35">
      <c r="D27" s="3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f t="shared" ca="1" si="14"/>
        <v>0</v>
      </c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297"/>
      <c r="CQ27" s="297"/>
      <c r="EZ27" s="790"/>
    </row>
    <row r="28" spans="3:166" s="10" customFormat="1" x14ac:dyDescent="0.35">
      <c r="D28" s="3" t="s">
        <v>13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f t="shared" ca="1" si="14"/>
        <v>0</v>
      </c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297"/>
      <c r="CQ28" s="297"/>
      <c r="EZ28" s="790"/>
    </row>
    <row r="29" spans="3:166" s="10" customFormat="1" x14ac:dyDescent="0.35">
      <c r="E29" s="10" t="s">
        <v>9</v>
      </c>
      <c r="F29" s="11">
        <v>2272000</v>
      </c>
      <c r="G29" s="11">
        <f>G8+G24</f>
        <v>2996000</v>
      </c>
      <c r="H29" s="11">
        <f>H8+H24</f>
        <v>4605965.7774225902</v>
      </c>
      <c r="I29" s="11">
        <f>SUM(BS29:CD29)</f>
        <v>6316349.3954476612</v>
      </c>
      <c r="J29" s="11">
        <f t="shared" ref="J29:O31" ca="1" si="39">OFFSET($Z29,0,J$4)+OFFSET($AA29,0,J$4)+OFFSET($AB29,0,J$4)+OFFSET($AC29,0,J$4)</f>
        <v>6119133.3527116822</v>
      </c>
      <c r="K29" s="11">
        <f t="shared" ca="1" si="39"/>
        <v>7410927.0240780925</v>
      </c>
      <c r="L29" s="11">
        <f t="shared" ca="1" si="39"/>
        <v>10105000</v>
      </c>
      <c r="M29" s="11">
        <f t="shared" ca="1" si="39"/>
        <v>10963327.316866826</v>
      </c>
      <c r="N29" s="11">
        <f t="shared" ca="1" si="39"/>
        <v>12794941.080368977</v>
      </c>
      <c r="O29" s="11">
        <f t="shared" ca="1" si="39"/>
        <v>12582290.727905029</v>
      </c>
      <c r="P29" s="11">
        <f t="shared" ca="1" si="14"/>
        <v>13020704.905089935</v>
      </c>
      <c r="Q29" s="12"/>
      <c r="R29" s="12">
        <f t="shared" ref="R29:Y29" si="40">R8+R24</f>
        <v>603000</v>
      </c>
      <c r="S29" s="12">
        <f t="shared" si="40"/>
        <v>600000</v>
      </c>
      <c r="T29" s="12">
        <f t="shared" si="40"/>
        <v>761000</v>
      </c>
      <c r="U29" s="12">
        <f t="shared" si="40"/>
        <v>1032000</v>
      </c>
      <c r="V29" s="12">
        <f t="shared" si="40"/>
        <v>1132000</v>
      </c>
      <c r="W29" s="12">
        <f t="shared" si="40"/>
        <v>1133084.8336136166</v>
      </c>
      <c r="X29" s="12">
        <f t="shared" si="40"/>
        <v>1132254.3200122102</v>
      </c>
      <c r="Y29" s="12">
        <f t="shared" si="40"/>
        <v>1208626.6237967624</v>
      </c>
      <c r="Z29" s="12">
        <f>SUM(BS29:BU29)</f>
        <v>1267579.8225725899</v>
      </c>
      <c r="AA29" s="12">
        <f>SUM(BV29:BX29)</f>
        <v>1429369.5177310891</v>
      </c>
      <c r="AB29" s="12">
        <f>SUM(BY29:CA29)</f>
        <v>1659518.7129826623</v>
      </c>
      <c r="AC29" s="12">
        <f>SUM(CB29:CD29)</f>
        <v>1959881.3421613206</v>
      </c>
      <c r="AD29" s="12">
        <f t="shared" si="26"/>
        <v>1522479</v>
      </c>
      <c r="AE29" s="12">
        <f t="shared" si="27"/>
        <v>1485950</v>
      </c>
      <c r="AF29" s="12">
        <f t="shared" si="3"/>
        <v>1514390.3495842286</v>
      </c>
      <c r="AG29" s="12">
        <f t="shared" si="8"/>
        <v>1596314.0031274538</v>
      </c>
      <c r="AH29" s="12">
        <f t="shared" ref="AH29:AQ31" ca="1" si="41">OFFSET($CN29,0,AH$4)+OFFSET($CO29,0,AH$4)+OFFSET($CP29,0,AH$4)</f>
        <v>1604411.6157079418</v>
      </c>
      <c r="AI29" s="12">
        <f t="shared" ca="1" si="41"/>
        <v>1773783.3994298242</v>
      </c>
      <c r="AJ29" s="12">
        <f t="shared" ca="1" si="41"/>
        <v>1927463.6658064204</v>
      </c>
      <c r="AK29" s="12">
        <f t="shared" ca="1" si="41"/>
        <v>2105268.3431339059</v>
      </c>
      <c r="AL29" s="12">
        <f t="shared" ca="1" si="41"/>
        <v>2193524.3902439023</v>
      </c>
      <c r="AM29" s="12">
        <f t="shared" ca="1" si="41"/>
        <v>2390695.1219512196</v>
      </c>
      <c r="AN29" s="12">
        <f t="shared" ca="1" si="41"/>
        <v>2637158.5365853654</v>
      </c>
      <c r="AO29" s="12">
        <f t="shared" ca="1" si="41"/>
        <v>2883621.9512195121</v>
      </c>
      <c r="AP29" s="12">
        <f t="shared" ca="1" si="41"/>
        <v>2426851.7983824257</v>
      </c>
      <c r="AQ29" s="12">
        <f t="shared" ca="1" si="41"/>
        <v>2610436.1929142461</v>
      </c>
      <c r="AR29" s="12">
        <f t="shared" ref="AR29:BA31" ca="1" si="42">OFFSET($CN29,0,AR$4)+OFFSET($CO29,0,AR$4)+OFFSET($CP29,0,AR$4)</f>
        <v>2798869.0149208354</v>
      </c>
      <c r="AS29" s="12">
        <f t="shared" ca="1" si="42"/>
        <v>3127170.3106493186</v>
      </c>
      <c r="AT29" s="12">
        <f t="shared" ca="1" si="42"/>
        <v>2967138.3336286927</v>
      </c>
      <c r="AU29" s="12">
        <f t="shared" ca="1" si="42"/>
        <v>3088797.6102465601</v>
      </c>
      <c r="AV29" s="12">
        <f t="shared" ca="1" si="42"/>
        <v>3233462.692341595</v>
      </c>
      <c r="AW29" s="12">
        <f t="shared" ca="1" si="42"/>
        <v>3505542.4441521289</v>
      </c>
      <c r="AX29" s="12">
        <f t="shared" ca="1" si="42"/>
        <v>2907243.6284842575</v>
      </c>
      <c r="AY29" s="12">
        <f t="shared" ca="1" si="42"/>
        <v>2978787.4604549324</v>
      </c>
      <c r="AZ29" s="12">
        <f t="shared" ca="1" si="42"/>
        <v>3143112.4877348552</v>
      </c>
      <c r="BA29" s="12">
        <f t="shared" ca="1" si="42"/>
        <v>3553147.1512309853</v>
      </c>
      <c r="BB29" s="12">
        <f t="shared" ca="1" si="17"/>
        <v>3094983.2180802571</v>
      </c>
      <c r="BC29" s="12">
        <f t="shared" ca="1" si="17"/>
        <v>3188562.4024462067</v>
      </c>
      <c r="BD29" s="12">
        <f t="shared" ca="1" si="17"/>
        <v>3308156.1397285862</v>
      </c>
      <c r="BE29" s="12">
        <f t="shared" ca="1" si="17"/>
        <v>3429003.1448348854</v>
      </c>
      <c r="BF29" s="12"/>
      <c r="BG29" s="12">
        <f t="shared" ref="BG29:CD29" si="43">BG8+BG24</f>
        <v>377333.33333333331</v>
      </c>
      <c r="BH29" s="12">
        <f t="shared" si="43"/>
        <v>377333.33333333331</v>
      </c>
      <c r="BI29" s="12">
        <f t="shared" si="43"/>
        <v>377333.33333333331</v>
      </c>
      <c r="BJ29" s="12">
        <f t="shared" si="43"/>
        <v>377694.94453787216</v>
      </c>
      <c r="BK29" s="12">
        <f t="shared" si="43"/>
        <v>377694.94453787216</v>
      </c>
      <c r="BL29" s="12">
        <f t="shared" si="43"/>
        <v>377694.94453787216</v>
      </c>
      <c r="BM29" s="298">
        <f t="shared" si="43"/>
        <v>377418.10667073674</v>
      </c>
      <c r="BN29" s="298">
        <f>BN8+BN24</f>
        <v>377418.10667073674</v>
      </c>
      <c r="BO29" s="298">
        <f>BO8+BO24</f>
        <v>377418.10667073674</v>
      </c>
      <c r="BP29" s="12">
        <f t="shared" si="43"/>
        <v>402875.5412655875</v>
      </c>
      <c r="BQ29" s="12">
        <f t="shared" si="43"/>
        <v>402875.5412655875</v>
      </c>
      <c r="BR29" s="12">
        <f t="shared" si="43"/>
        <v>402875.5412655875</v>
      </c>
      <c r="BS29" s="12">
        <f t="shared" si="43"/>
        <v>402380.88713028783</v>
      </c>
      <c r="BT29" s="12">
        <f t="shared" si="43"/>
        <v>422526.60752419668</v>
      </c>
      <c r="BU29" s="12">
        <f t="shared" si="43"/>
        <v>442672.32791810541</v>
      </c>
      <c r="BV29" s="12">
        <f t="shared" si="43"/>
        <v>458684.51626904961</v>
      </c>
      <c r="BW29" s="12">
        <f t="shared" si="43"/>
        <v>476456.50591036305</v>
      </c>
      <c r="BX29" s="12">
        <f t="shared" si="43"/>
        <v>494228.49555167661</v>
      </c>
      <c r="BY29" s="12">
        <f t="shared" si="43"/>
        <v>528698.40613518469</v>
      </c>
      <c r="BZ29" s="12">
        <f t="shared" si="43"/>
        <v>553172.90432755416</v>
      </c>
      <c r="CA29" s="12">
        <f t="shared" si="43"/>
        <v>577647.4025199234</v>
      </c>
      <c r="CB29" s="12">
        <f t="shared" si="43"/>
        <v>625118.80576199654</v>
      </c>
      <c r="CC29" s="12">
        <f t="shared" si="43"/>
        <v>653293.78072044021</v>
      </c>
      <c r="CD29" s="12">
        <f t="shared" si="43"/>
        <v>681468.75567888375</v>
      </c>
      <c r="CE29" s="290">
        <v>507493</v>
      </c>
      <c r="CF29" s="290">
        <v>507493</v>
      </c>
      <c r="CG29" s="290">
        <v>507493</v>
      </c>
      <c r="CH29" s="290">
        <v>495316.66666666669</v>
      </c>
      <c r="CI29" s="290">
        <v>495316.66666666669</v>
      </c>
      <c r="CJ29" s="290">
        <v>495316.66666666669</v>
      </c>
      <c r="CK29" s="290">
        <v>504796.78319474286</v>
      </c>
      <c r="CL29" s="290">
        <v>504796.78319474286</v>
      </c>
      <c r="CM29" s="290">
        <v>504796.78319474286</v>
      </c>
      <c r="CN29" s="290">
        <v>532104.66770915128</v>
      </c>
      <c r="CO29" s="290">
        <v>532104.66770915128</v>
      </c>
      <c r="CP29" s="290">
        <v>532104.66770915128</v>
      </c>
      <c r="CQ29" s="290">
        <f>CQ8+CQ24</f>
        <v>526081.00093777932</v>
      </c>
      <c r="CR29" s="290">
        <f t="shared" ref="CR29:DB29" si="44">CR8+CR24</f>
        <v>534803.87190264731</v>
      </c>
      <c r="CS29" s="290">
        <f t="shared" si="44"/>
        <v>543526.74286751531</v>
      </c>
      <c r="CT29" s="290">
        <f t="shared" si="44"/>
        <v>576993.938005395</v>
      </c>
      <c r="CU29" s="290">
        <f t="shared" si="44"/>
        <v>591261.1331432747</v>
      </c>
      <c r="CV29" s="290">
        <f t="shared" si="44"/>
        <v>605528.32828115451</v>
      </c>
      <c r="CW29" s="290">
        <f t="shared" si="44"/>
        <v>627608.10844164726</v>
      </c>
      <c r="CX29" s="290">
        <f t="shared" si="44"/>
        <v>642487.88860214013</v>
      </c>
      <c r="CY29" s="290">
        <f t="shared" si="44"/>
        <v>657367.66876263288</v>
      </c>
      <c r="CZ29" s="290">
        <f t="shared" si="44"/>
        <v>683161.89157030068</v>
      </c>
      <c r="DA29" s="290">
        <f t="shared" si="44"/>
        <v>701756.1143779686</v>
      </c>
      <c r="DB29" s="290">
        <f t="shared" si="44"/>
        <v>720350.33718563651</v>
      </c>
      <c r="DC29" s="290">
        <v>731174.79674796748</v>
      </c>
      <c r="DD29" s="290">
        <v>731174.79674796748</v>
      </c>
      <c r="DE29" s="290">
        <v>731174.79674796748</v>
      </c>
      <c r="DF29" s="290">
        <v>796898.37398373988</v>
      </c>
      <c r="DG29" s="290">
        <v>796898.37398373988</v>
      </c>
      <c r="DH29" s="290">
        <v>796898.37398373988</v>
      </c>
      <c r="DI29" s="290">
        <v>879052.84552845522</v>
      </c>
      <c r="DJ29" s="290">
        <v>879052.84552845522</v>
      </c>
      <c r="DK29" s="290">
        <v>879052.84552845522</v>
      </c>
      <c r="DL29" s="290">
        <v>961207.31707317068</v>
      </c>
      <c r="DM29" s="290">
        <v>961207.31707317068</v>
      </c>
      <c r="DN29" s="290">
        <v>961207.31707317068</v>
      </c>
      <c r="DO29" s="290">
        <v>808950.59946080856</v>
      </c>
      <c r="DP29" s="290">
        <v>808950.59946080856</v>
      </c>
      <c r="DQ29" s="290">
        <v>808950.59946080856</v>
      </c>
      <c r="DR29" s="290">
        <v>870145.39763808204</v>
      </c>
      <c r="DS29" s="290">
        <v>870145.39763808204</v>
      </c>
      <c r="DT29" s="290">
        <v>870145.39763808204</v>
      </c>
      <c r="DU29" s="290">
        <v>932956.33830694517</v>
      </c>
      <c r="DV29" s="290">
        <v>932956.33830694517</v>
      </c>
      <c r="DW29" s="290">
        <v>932956.33830694517</v>
      </c>
      <c r="DX29" s="290">
        <v>1042390.1035497729</v>
      </c>
      <c r="DY29" s="290">
        <v>1042390.1035497729</v>
      </c>
      <c r="DZ29" s="290">
        <v>1042390.1035497729</v>
      </c>
      <c r="EA29" s="12">
        <v>989046.11120956426</v>
      </c>
      <c r="EB29" s="12">
        <v>989046.11120956426</v>
      </c>
      <c r="EC29" s="12">
        <v>989046.11120956426</v>
      </c>
      <c r="ED29" s="12">
        <v>1029599.20341552</v>
      </c>
      <c r="EE29" s="12">
        <v>1029599.20341552</v>
      </c>
      <c r="EF29" s="12">
        <v>1029599.20341552</v>
      </c>
      <c r="EG29" s="12">
        <v>1077820.8974471984</v>
      </c>
      <c r="EH29" s="12">
        <v>1077820.8974471984</v>
      </c>
      <c r="EI29" s="12">
        <v>1077820.8974471984</v>
      </c>
      <c r="EJ29" s="12">
        <v>1168514.1480507096</v>
      </c>
      <c r="EK29" s="12">
        <v>1168514.1480507096</v>
      </c>
      <c r="EL29" s="12">
        <v>1168514.1480507096</v>
      </c>
      <c r="EM29" s="12">
        <v>969081.20949475246</v>
      </c>
      <c r="EN29" s="12">
        <v>969081.20949475246</v>
      </c>
      <c r="EO29" s="12">
        <v>969081.20949475246</v>
      </c>
      <c r="EP29" s="12">
        <v>992929.15348497743</v>
      </c>
      <c r="EQ29" s="12">
        <v>992929.15348497743</v>
      </c>
      <c r="ER29" s="12">
        <v>992929.15348497743</v>
      </c>
      <c r="ES29" s="12">
        <v>1047704.1625782851</v>
      </c>
      <c r="ET29" s="12">
        <v>1047704.1625782851</v>
      </c>
      <c r="EU29" s="12">
        <v>1047704.1625782851</v>
      </c>
      <c r="EV29" s="12">
        <v>1184382.3837436617</v>
      </c>
      <c r="EW29" s="12">
        <v>1184382.3837436617</v>
      </c>
      <c r="EX29" s="12">
        <v>1184382.3837436617</v>
      </c>
      <c r="EY29" s="12">
        <v>1031661.0726934191</v>
      </c>
      <c r="EZ29" s="451">
        <v>1031661.0726934191</v>
      </c>
      <c r="FA29" s="12">
        <v>1031661.0726934191</v>
      </c>
      <c r="FB29" s="12">
        <v>1062854.1341487356</v>
      </c>
      <c r="FC29" s="12">
        <v>1062854.1341487356</v>
      </c>
      <c r="FD29" s="12">
        <v>1062854.1341487356</v>
      </c>
      <c r="FE29" s="12">
        <v>1102718.7132428621</v>
      </c>
      <c r="FF29" s="12">
        <v>1102718.7132428621</v>
      </c>
      <c r="FG29" s="12">
        <v>1102718.7132428621</v>
      </c>
      <c r="FH29" s="12">
        <v>1143001.0482782952</v>
      </c>
      <c r="FI29" s="12">
        <v>1143001.0482782952</v>
      </c>
      <c r="FJ29" s="12">
        <v>1143001.0482782952</v>
      </c>
    </row>
    <row r="30" spans="3:166" s="10" customFormat="1" x14ac:dyDescent="0.35">
      <c r="E30" s="10" t="s">
        <v>10</v>
      </c>
      <c r="F30" s="11">
        <v>983000</v>
      </c>
      <c r="G30" s="11">
        <f>SUM(R30:U30)</f>
        <v>939000</v>
      </c>
      <c r="H30" s="11">
        <f>SUM(V30:Y30)</f>
        <v>412447.39393939392</v>
      </c>
      <c r="I30" s="11">
        <f>SUM(BS30:CD30)</f>
        <v>279999.99999999994</v>
      </c>
      <c r="J30" s="11">
        <f t="shared" ca="1" si="39"/>
        <v>662336</v>
      </c>
      <c r="K30" s="11">
        <f t="shared" ca="1" si="39"/>
        <v>840000</v>
      </c>
      <c r="L30" s="11">
        <f t="shared" ca="1" si="39"/>
        <v>194999.99999999994</v>
      </c>
      <c r="M30" s="11">
        <f t="shared" ca="1" si="39"/>
        <v>425250</v>
      </c>
      <c r="N30" s="11">
        <f t="shared" ca="1" si="39"/>
        <v>529112.5</v>
      </c>
      <c r="O30" s="11">
        <f t="shared" ca="1" si="39"/>
        <v>320000</v>
      </c>
      <c r="P30" s="11">
        <f t="shared" ca="1" si="14"/>
        <v>406606.06060606061</v>
      </c>
      <c r="Q30" s="12"/>
      <c r="R30" s="12">
        <f t="shared" ref="R30:Y31" si="45">R18+R25</f>
        <v>359000</v>
      </c>
      <c r="S30" s="12">
        <f t="shared" si="45"/>
        <v>89000</v>
      </c>
      <c r="T30" s="12">
        <f t="shared" si="45"/>
        <v>141000</v>
      </c>
      <c r="U30" s="12">
        <f t="shared" si="45"/>
        <v>350000</v>
      </c>
      <c r="V30" s="12">
        <f t="shared" si="45"/>
        <v>46000</v>
      </c>
      <c r="W30" s="12">
        <f t="shared" si="45"/>
        <v>117447.39393939392</v>
      </c>
      <c r="X30" s="12">
        <f t="shared" si="45"/>
        <v>156000</v>
      </c>
      <c r="Y30" s="12">
        <f t="shared" si="45"/>
        <v>93000</v>
      </c>
      <c r="Z30" s="12">
        <f>SUM(BS30:BU30)</f>
        <v>69999.999999999985</v>
      </c>
      <c r="AA30" s="12">
        <f>SUM(BV30:BX30)</f>
        <v>69999.999999999985</v>
      </c>
      <c r="AB30" s="12">
        <f>SUM(BY30:CA30)</f>
        <v>69999.999999999985</v>
      </c>
      <c r="AC30" s="12">
        <f>SUM(CB30:CD30)</f>
        <v>70000.000000000029</v>
      </c>
      <c r="AD30" s="12">
        <f t="shared" si="26"/>
        <v>175179</v>
      </c>
      <c r="AE30" s="12">
        <f t="shared" si="27"/>
        <v>232557</v>
      </c>
      <c r="AF30" s="12">
        <f t="shared" si="3"/>
        <v>98800</v>
      </c>
      <c r="AG30" s="12">
        <f t="shared" si="8"/>
        <v>155800</v>
      </c>
      <c r="AH30" s="12">
        <f t="shared" ca="1" si="41"/>
        <v>210000</v>
      </c>
      <c r="AI30" s="12">
        <f t="shared" ca="1" si="41"/>
        <v>210000</v>
      </c>
      <c r="AJ30" s="12">
        <f t="shared" ca="1" si="41"/>
        <v>210000</v>
      </c>
      <c r="AK30" s="12">
        <f t="shared" ca="1" si="41"/>
        <v>210000</v>
      </c>
      <c r="AL30" s="12">
        <f t="shared" ca="1" si="41"/>
        <v>48750</v>
      </c>
      <c r="AM30" s="12">
        <f t="shared" ca="1" si="41"/>
        <v>32499.999999999985</v>
      </c>
      <c r="AN30" s="12">
        <f t="shared" ca="1" si="41"/>
        <v>32499.999999999985</v>
      </c>
      <c r="AO30" s="12">
        <f t="shared" ca="1" si="41"/>
        <v>81249.999999999985</v>
      </c>
      <c r="AP30" s="12">
        <f t="shared" ca="1" si="41"/>
        <v>106312.5</v>
      </c>
      <c r="AQ30" s="12">
        <f t="shared" ca="1" si="41"/>
        <v>106312.5</v>
      </c>
      <c r="AR30" s="12">
        <f t="shared" ca="1" si="42"/>
        <v>106312.5</v>
      </c>
      <c r="AS30" s="12">
        <f t="shared" ca="1" si="42"/>
        <v>106312.5</v>
      </c>
      <c r="AT30" s="12">
        <f t="shared" ca="1" si="42"/>
        <v>72231.25</v>
      </c>
      <c r="AU30" s="12">
        <f t="shared" ca="1" si="42"/>
        <v>163887.5</v>
      </c>
      <c r="AV30" s="12">
        <f t="shared" ca="1" si="42"/>
        <v>129106.25</v>
      </c>
      <c r="AW30" s="12">
        <f t="shared" ca="1" si="42"/>
        <v>163887.5</v>
      </c>
      <c r="AX30" s="12">
        <f t="shared" ca="1" si="42"/>
        <v>80000</v>
      </c>
      <c r="AY30" s="12">
        <f t="shared" ca="1" si="42"/>
        <v>80000</v>
      </c>
      <c r="AZ30" s="12">
        <f t="shared" ca="1" si="42"/>
        <v>80000</v>
      </c>
      <c r="BA30" s="12">
        <f t="shared" ca="1" si="42"/>
        <v>80000</v>
      </c>
      <c r="BB30" s="12">
        <f t="shared" ca="1" si="17"/>
        <v>80344.696969696961</v>
      </c>
      <c r="BC30" s="12">
        <f t="shared" ca="1" si="17"/>
        <v>94549.242424242417</v>
      </c>
      <c r="BD30" s="12">
        <f t="shared" ca="1" si="17"/>
        <v>108753.78787878787</v>
      </c>
      <c r="BE30" s="12">
        <f t="shared" ca="1" si="17"/>
        <v>122958.33333333333</v>
      </c>
      <c r="BF30" s="12"/>
      <c r="BG30" s="12">
        <f t="shared" ref="BG30:CD32" si="46">BG18+BG25</f>
        <v>15333.333333333332</v>
      </c>
      <c r="BH30" s="12">
        <f t="shared" si="46"/>
        <v>15333.333333333332</v>
      </c>
      <c r="BI30" s="12">
        <f t="shared" si="46"/>
        <v>15333.333333333332</v>
      </c>
      <c r="BJ30" s="12">
        <f t="shared" si="46"/>
        <v>39149.131313131307</v>
      </c>
      <c r="BK30" s="12">
        <f t="shared" si="46"/>
        <v>39149.131313131307</v>
      </c>
      <c r="BL30" s="12">
        <f t="shared" si="46"/>
        <v>39149.131313131307</v>
      </c>
      <c r="BM30" s="298">
        <f t="shared" si="46"/>
        <v>52000.000000000015</v>
      </c>
      <c r="BN30" s="298">
        <f t="shared" si="46"/>
        <v>52000.000000000015</v>
      </c>
      <c r="BO30" s="298">
        <f t="shared" si="46"/>
        <v>52000.000000000015</v>
      </c>
      <c r="BP30" s="12">
        <f t="shared" si="46"/>
        <v>31000.000000000015</v>
      </c>
      <c r="BQ30" s="12">
        <f t="shared" si="46"/>
        <v>31000.000000000015</v>
      </c>
      <c r="BR30" s="12">
        <f t="shared" si="46"/>
        <v>31000.000000000015</v>
      </c>
      <c r="BS30" s="12">
        <f t="shared" si="46"/>
        <v>23333.333333333328</v>
      </c>
      <c r="BT30" s="12">
        <f t="shared" si="46"/>
        <v>23333.333333333328</v>
      </c>
      <c r="BU30" s="12">
        <f t="shared" si="46"/>
        <v>23333.333333333328</v>
      </c>
      <c r="BV30" s="12">
        <f t="shared" si="46"/>
        <v>23333.333333333328</v>
      </c>
      <c r="BW30" s="12">
        <f t="shared" si="46"/>
        <v>23333.333333333328</v>
      </c>
      <c r="BX30" s="12">
        <f t="shared" si="46"/>
        <v>23333.333333333328</v>
      </c>
      <c r="BY30" s="12">
        <f t="shared" si="46"/>
        <v>23333.333333333328</v>
      </c>
      <c r="BZ30" s="12">
        <f t="shared" si="46"/>
        <v>23333.333333333328</v>
      </c>
      <c r="CA30" s="12">
        <f t="shared" si="46"/>
        <v>23333.333333333328</v>
      </c>
      <c r="CB30" s="12">
        <f t="shared" si="46"/>
        <v>23333.333333333328</v>
      </c>
      <c r="CC30" s="12">
        <f t="shared" si="46"/>
        <v>23333.333333333328</v>
      </c>
      <c r="CD30" s="12">
        <f t="shared" si="46"/>
        <v>23333.333333333372</v>
      </c>
      <c r="CE30" s="290">
        <v>58393</v>
      </c>
      <c r="CF30" s="290">
        <v>58393</v>
      </c>
      <c r="CG30" s="290">
        <v>58393</v>
      </c>
      <c r="CH30" s="290">
        <v>77519</v>
      </c>
      <c r="CI30" s="290">
        <v>77519</v>
      </c>
      <c r="CJ30" s="290">
        <v>77519</v>
      </c>
      <c r="CK30" s="290">
        <v>32933.333333333336</v>
      </c>
      <c r="CL30" s="290">
        <v>32933.333333333336</v>
      </c>
      <c r="CM30" s="290">
        <v>32933.333333333336</v>
      </c>
      <c r="CN30" s="290">
        <v>51933.333333333336</v>
      </c>
      <c r="CO30" s="290">
        <v>51933.333333333336</v>
      </c>
      <c r="CP30" s="290">
        <v>51933.333333333336</v>
      </c>
      <c r="CQ30" s="290">
        <f>CQ18+CQ25</f>
        <v>70000</v>
      </c>
      <c r="CR30" s="290">
        <f t="shared" ref="CR30:DB31" si="47">CR18+CR25</f>
        <v>70000</v>
      </c>
      <c r="CS30" s="290">
        <f t="shared" si="47"/>
        <v>70000</v>
      </c>
      <c r="CT30" s="290">
        <f t="shared" si="47"/>
        <v>70000</v>
      </c>
      <c r="CU30" s="290">
        <f t="shared" si="47"/>
        <v>70000</v>
      </c>
      <c r="CV30" s="290">
        <f t="shared" si="47"/>
        <v>70000</v>
      </c>
      <c r="CW30" s="290">
        <f t="shared" si="47"/>
        <v>70000</v>
      </c>
      <c r="CX30" s="290">
        <f t="shared" si="47"/>
        <v>70000</v>
      </c>
      <c r="CY30" s="290">
        <f t="shared" si="47"/>
        <v>70000</v>
      </c>
      <c r="CZ30" s="290">
        <f t="shared" si="47"/>
        <v>70000</v>
      </c>
      <c r="DA30" s="290">
        <f t="shared" si="47"/>
        <v>70000</v>
      </c>
      <c r="DB30" s="290">
        <f t="shared" si="47"/>
        <v>70000</v>
      </c>
      <c r="DC30" s="290">
        <v>16250</v>
      </c>
      <c r="DD30" s="290">
        <v>16250</v>
      </c>
      <c r="DE30" s="290">
        <v>16250</v>
      </c>
      <c r="DF30" s="290">
        <v>10833.333333333328</v>
      </c>
      <c r="DG30" s="290">
        <v>10833.333333333328</v>
      </c>
      <c r="DH30" s="290">
        <v>10833.333333333328</v>
      </c>
      <c r="DI30" s="290">
        <v>10833.333333333328</v>
      </c>
      <c r="DJ30" s="290">
        <v>10833.333333333328</v>
      </c>
      <c r="DK30" s="290">
        <v>10833.333333333328</v>
      </c>
      <c r="DL30" s="290">
        <v>27083.333333333328</v>
      </c>
      <c r="DM30" s="290">
        <v>27083.333333333328</v>
      </c>
      <c r="DN30" s="290">
        <v>27083.333333333328</v>
      </c>
      <c r="DO30" s="290">
        <v>35437.5</v>
      </c>
      <c r="DP30" s="290">
        <v>35437.5</v>
      </c>
      <c r="DQ30" s="290">
        <v>35437.5</v>
      </c>
      <c r="DR30" s="290">
        <v>35437.5</v>
      </c>
      <c r="DS30" s="290">
        <v>35437.5</v>
      </c>
      <c r="DT30" s="290">
        <v>35437.5</v>
      </c>
      <c r="DU30" s="290">
        <v>35437.5</v>
      </c>
      <c r="DV30" s="290">
        <v>35437.5</v>
      </c>
      <c r="DW30" s="290">
        <v>35437.5</v>
      </c>
      <c r="DX30" s="290">
        <v>35437.5</v>
      </c>
      <c r="DY30" s="290">
        <v>35437.5</v>
      </c>
      <c r="DZ30" s="290">
        <v>35437.5</v>
      </c>
      <c r="EA30" s="12">
        <v>24077.083333333332</v>
      </c>
      <c r="EB30" s="12">
        <v>24077.083333333332</v>
      </c>
      <c r="EC30" s="12">
        <v>24077.083333333332</v>
      </c>
      <c r="ED30" s="12">
        <v>54629.166666666664</v>
      </c>
      <c r="EE30" s="12">
        <v>54629.166666666664</v>
      </c>
      <c r="EF30" s="12">
        <v>54629.166666666664</v>
      </c>
      <c r="EG30" s="12">
        <v>43035.416666666664</v>
      </c>
      <c r="EH30" s="12">
        <v>43035.416666666664</v>
      </c>
      <c r="EI30" s="12">
        <v>43035.416666666664</v>
      </c>
      <c r="EJ30" s="12">
        <v>54629.166666666664</v>
      </c>
      <c r="EK30" s="12">
        <v>54629.166666666664</v>
      </c>
      <c r="EL30" s="12">
        <v>54629.166666666664</v>
      </c>
      <c r="EM30" s="12">
        <v>26666.666666666668</v>
      </c>
      <c r="EN30" s="12">
        <v>26666.666666666668</v>
      </c>
      <c r="EO30" s="12">
        <v>26666.666666666668</v>
      </c>
      <c r="EP30" s="12">
        <v>26666.666666666668</v>
      </c>
      <c r="EQ30" s="12">
        <v>26666.666666666668</v>
      </c>
      <c r="ER30" s="12">
        <v>26666.666666666668</v>
      </c>
      <c r="ES30" s="12">
        <v>26666.666666666668</v>
      </c>
      <c r="ET30" s="12">
        <v>26666.666666666668</v>
      </c>
      <c r="EU30" s="12">
        <v>26666.666666666668</v>
      </c>
      <c r="EV30" s="12">
        <v>26666.666666666668</v>
      </c>
      <c r="EW30" s="12">
        <v>26666.666666666668</v>
      </c>
      <c r="EX30" s="12">
        <v>26666.666666666668</v>
      </c>
      <c r="EY30" s="12">
        <v>26781.565656565654</v>
      </c>
      <c r="EZ30" s="451">
        <v>26781.565656565654</v>
      </c>
      <c r="FA30" s="12">
        <v>26781.565656565654</v>
      </c>
      <c r="FB30" s="12">
        <v>31516.414141414138</v>
      </c>
      <c r="FC30" s="12">
        <v>31516.414141414138</v>
      </c>
      <c r="FD30" s="12">
        <v>31516.414141414138</v>
      </c>
      <c r="FE30" s="12">
        <v>36251.262626262622</v>
      </c>
      <c r="FF30" s="12">
        <v>36251.262626262622</v>
      </c>
      <c r="FG30" s="12">
        <v>36251.262626262622</v>
      </c>
      <c r="FH30" s="12">
        <v>40986.111111111109</v>
      </c>
      <c r="FI30" s="12">
        <v>40986.111111111109</v>
      </c>
      <c r="FJ30" s="12">
        <v>40986.111111111109</v>
      </c>
    </row>
    <row r="31" spans="3:166" s="10" customFormat="1" x14ac:dyDescent="0.35">
      <c r="E31" s="10" t="s">
        <v>187</v>
      </c>
      <c r="F31" s="11">
        <v>61000</v>
      </c>
      <c r="G31" s="11">
        <f>SUM(R31:U31)</f>
        <v>81000</v>
      </c>
      <c r="H31" s="11">
        <f>SUM(V31:Y31)</f>
        <v>47501.25</v>
      </c>
      <c r="I31" s="11">
        <f>SUM(BS31:CD31)</f>
        <v>550000</v>
      </c>
      <c r="J31" s="11">
        <f t="shared" ca="1" si="39"/>
        <v>455428</v>
      </c>
      <c r="K31" s="11">
        <f t="shared" ca="1" si="39"/>
        <v>840000</v>
      </c>
      <c r="L31" s="11">
        <f t="shared" ca="1" si="39"/>
        <v>1000000</v>
      </c>
      <c r="M31" s="11">
        <f t="shared" ca="1" si="39"/>
        <v>728244.5625</v>
      </c>
      <c r="N31" s="11">
        <f t="shared" ca="1" si="39"/>
        <v>1325561.9834710725</v>
      </c>
      <c r="O31" s="11">
        <f t="shared" ca="1" si="39"/>
        <v>795000</v>
      </c>
      <c r="P31" s="11">
        <f t="shared" ca="1" si="14"/>
        <v>1137400</v>
      </c>
      <c r="Q31" s="12"/>
      <c r="R31" s="12">
        <f t="shared" si="45"/>
        <v>21000</v>
      </c>
      <c r="S31" s="12">
        <f t="shared" si="45"/>
        <v>29000</v>
      </c>
      <c r="T31" s="12">
        <f t="shared" si="45"/>
        <v>21000</v>
      </c>
      <c r="U31" s="12">
        <f t="shared" si="45"/>
        <v>10000</v>
      </c>
      <c r="V31" s="12">
        <f t="shared" si="45"/>
        <v>13000</v>
      </c>
      <c r="W31" s="12">
        <f t="shared" si="45"/>
        <v>3437.5</v>
      </c>
      <c r="X31" s="12">
        <f t="shared" si="45"/>
        <v>6063.7500000000009</v>
      </c>
      <c r="Y31" s="12">
        <f t="shared" si="45"/>
        <v>25000</v>
      </c>
      <c r="Z31" s="12">
        <f>SUM(BS31:BU31)</f>
        <v>50000</v>
      </c>
      <c r="AA31" s="12">
        <f>SUM(BV31:BX31)</f>
        <v>75000</v>
      </c>
      <c r="AB31" s="12">
        <f>SUM(BY31:CA31)</f>
        <v>175000</v>
      </c>
      <c r="AC31" s="12">
        <f>SUM(CB31:CD31)</f>
        <v>250000</v>
      </c>
      <c r="AD31" s="12">
        <f t="shared" si="26"/>
        <v>68430</v>
      </c>
      <c r="AE31" s="12">
        <f t="shared" si="27"/>
        <v>86998</v>
      </c>
      <c r="AF31" s="12">
        <f t="shared" si="3"/>
        <v>150000</v>
      </c>
      <c r="AG31" s="12">
        <f t="shared" si="8"/>
        <v>150000</v>
      </c>
      <c r="AH31" s="12">
        <f t="shared" ca="1" si="41"/>
        <v>210000</v>
      </c>
      <c r="AI31" s="12">
        <f t="shared" ca="1" si="41"/>
        <v>210000</v>
      </c>
      <c r="AJ31" s="12">
        <f t="shared" ca="1" si="41"/>
        <v>210000</v>
      </c>
      <c r="AK31" s="12">
        <f t="shared" ca="1" si="41"/>
        <v>210000</v>
      </c>
      <c r="AL31" s="12">
        <f t="shared" ca="1" si="41"/>
        <v>250000</v>
      </c>
      <c r="AM31" s="12">
        <f t="shared" ca="1" si="41"/>
        <v>250000</v>
      </c>
      <c r="AN31" s="12">
        <f t="shared" ca="1" si="41"/>
        <v>250000</v>
      </c>
      <c r="AO31" s="12">
        <f t="shared" ca="1" si="41"/>
        <v>250000</v>
      </c>
      <c r="AP31" s="12">
        <f t="shared" ca="1" si="41"/>
        <v>118500.00000000003</v>
      </c>
      <c r="AQ31" s="12">
        <f t="shared" ca="1" si="41"/>
        <v>141875</v>
      </c>
      <c r="AR31" s="12">
        <f t="shared" ca="1" si="42"/>
        <v>233934.78125</v>
      </c>
      <c r="AS31" s="12">
        <f t="shared" ca="1" si="42"/>
        <v>233934.78125</v>
      </c>
      <c r="AT31" s="12">
        <f t="shared" ca="1" si="42"/>
        <v>347210.74380165292</v>
      </c>
      <c r="AU31" s="12">
        <f t="shared" ca="1" si="42"/>
        <v>347210.74380165292</v>
      </c>
      <c r="AV31" s="12">
        <f t="shared" ca="1" si="42"/>
        <v>331140.49586776667</v>
      </c>
      <c r="AW31" s="12">
        <f t="shared" ca="1" si="42"/>
        <v>300000</v>
      </c>
      <c r="AX31" s="12">
        <f t="shared" ca="1" si="42"/>
        <v>330000</v>
      </c>
      <c r="AY31" s="12">
        <f t="shared" ca="1" si="42"/>
        <v>155000</v>
      </c>
      <c r="AZ31" s="12">
        <f t="shared" ca="1" si="42"/>
        <v>155000</v>
      </c>
      <c r="BA31" s="12">
        <f t="shared" ca="1" si="42"/>
        <v>155000</v>
      </c>
      <c r="BB31" s="12">
        <f t="shared" ca="1" si="17"/>
        <v>132400</v>
      </c>
      <c r="BC31" s="12">
        <f t="shared" ca="1" si="17"/>
        <v>335000</v>
      </c>
      <c r="BD31" s="12">
        <f t="shared" ca="1" si="17"/>
        <v>335000</v>
      </c>
      <c r="BE31" s="12">
        <f t="shared" ca="1" si="17"/>
        <v>335000</v>
      </c>
      <c r="BF31" s="12"/>
      <c r="BG31" s="12">
        <f t="shared" si="46"/>
        <v>4333.333333333333</v>
      </c>
      <c r="BH31" s="12">
        <f t="shared" si="46"/>
        <v>4333.333333333333</v>
      </c>
      <c r="BI31" s="12">
        <f t="shared" si="46"/>
        <v>4333.333333333333</v>
      </c>
      <c r="BJ31" s="12">
        <f t="shared" si="46"/>
        <v>1145.8333333333335</v>
      </c>
      <c r="BK31" s="12">
        <f t="shared" si="46"/>
        <v>1145.8333333333335</v>
      </c>
      <c r="BL31" s="12">
        <f t="shared" si="46"/>
        <v>1145.8333333333335</v>
      </c>
      <c r="BM31" s="298">
        <f t="shared" si="46"/>
        <v>2021.2500000000002</v>
      </c>
      <c r="BN31" s="298">
        <f t="shared" si="46"/>
        <v>2021.2500000000002</v>
      </c>
      <c r="BO31" s="298">
        <f t="shared" si="46"/>
        <v>2021.2500000000002</v>
      </c>
      <c r="BP31" s="12">
        <f t="shared" si="46"/>
        <v>8333.3333333333339</v>
      </c>
      <c r="BQ31" s="12">
        <f t="shared" si="46"/>
        <v>8333.3333333333339</v>
      </c>
      <c r="BR31" s="12">
        <f t="shared" si="46"/>
        <v>8333.3333333333339</v>
      </c>
      <c r="BS31" s="12">
        <f t="shared" si="46"/>
        <v>16666.666666666668</v>
      </c>
      <c r="BT31" s="12">
        <f t="shared" si="46"/>
        <v>16666.666666666668</v>
      </c>
      <c r="BU31" s="12">
        <f t="shared" si="46"/>
        <v>16666.666666666668</v>
      </c>
      <c r="BV31" s="12">
        <f t="shared" si="46"/>
        <v>25000</v>
      </c>
      <c r="BW31" s="12">
        <f t="shared" si="46"/>
        <v>25000</v>
      </c>
      <c r="BX31" s="12">
        <f t="shared" si="46"/>
        <v>25000</v>
      </c>
      <c r="BY31" s="12">
        <f t="shared" si="46"/>
        <v>58333.333333333336</v>
      </c>
      <c r="BZ31" s="12">
        <f t="shared" si="46"/>
        <v>58333.333333333336</v>
      </c>
      <c r="CA31" s="12">
        <f t="shared" si="46"/>
        <v>58333.333333333336</v>
      </c>
      <c r="CB31" s="12">
        <f t="shared" si="46"/>
        <v>83333.333333333328</v>
      </c>
      <c r="CC31" s="12">
        <f t="shared" si="46"/>
        <v>83333.333333333328</v>
      </c>
      <c r="CD31" s="12">
        <f t="shared" si="46"/>
        <v>83333.333333333328</v>
      </c>
      <c r="CE31" s="290">
        <v>22810</v>
      </c>
      <c r="CF31" s="290">
        <v>22810</v>
      </c>
      <c r="CG31" s="290">
        <v>22810</v>
      </c>
      <c r="CH31" s="290">
        <v>28999.333333333332</v>
      </c>
      <c r="CI31" s="290">
        <v>28999.333333333332</v>
      </c>
      <c r="CJ31" s="290">
        <v>28999.333333333332</v>
      </c>
      <c r="CK31" s="290">
        <v>50000</v>
      </c>
      <c r="CL31" s="290">
        <v>50000</v>
      </c>
      <c r="CM31" s="290">
        <v>50000</v>
      </c>
      <c r="CN31" s="290">
        <v>50000</v>
      </c>
      <c r="CO31" s="290">
        <v>50000</v>
      </c>
      <c r="CP31" s="290">
        <v>50000</v>
      </c>
      <c r="CQ31" s="290">
        <f>CQ19+CQ26</f>
        <v>70000</v>
      </c>
      <c r="CR31" s="290">
        <f t="shared" si="47"/>
        <v>70000</v>
      </c>
      <c r="CS31" s="290">
        <f t="shared" si="47"/>
        <v>70000</v>
      </c>
      <c r="CT31" s="290">
        <f t="shared" si="47"/>
        <v>70000</v>
      </c>
      <c r="CU31" s="290">
        <f t="shared" si="47"/>
        <v>70000</v>
      </c>
      <c r="CV31" s="290">
        <f t="shared" si="47"/>
        <v>70000</v>
      </c>
      <c r="CW31" s="290">
        <f t="shared" si="47"/>
        <v>70000</v>
      </c>
      <c r="CX31" s="290">
        <f t="shared" si="47"/>
        <v>70000</v>
      </c>
      <c r="CY31" s="290">
        <f t="shared" si="47"/>
        <v>70000</v>
      </c>
      <c r="CZ31" s="290">
        <f t="shared" si="47"/>
        <v>70000</v>
      </c>
      <c r="DA31" s="290">
        <f t="shared" si="47"/>
        <v>70000</v>
      </c>
      <c r="DB31" s="290">
        <f t="shared" si="47"/>
        <v>70000</v>
      </c>
      <c r="DC31" s="290">
        <v>83333.333333333328</v>
      </c>
      <c r="DD31" s="290">
        <v>83333.333333333328</v>
      </c>
      <c r="DE31" s="290">
        <v>83333.333333333328</v>
      </c>
      <c r="DF31" s="290">
        <v>83333.333333333328</v>
      </c>
      <c r="DG31" s="290">
        <v>83333.333333333328</v>
      </c>
      <c r="DH31" s="290">
        <v>83333.333333333328</v>
      </c>
      <c r="DI31" s="290">
        <v>83333.333333333328</v>
      </c>
      <c r="DJ31" s="290">
        <v>83333.333333333328</v>
      </c>
      <c r="DK31" s="290">
        <v>83333.333333333328</v>
      </c>
      <c r="DL31" s="290">
        <v>83333.333333333328</v>
      </c>
      <c r="DM31" s="290">
        <v>83333.333333333328</v>
      </c>
      <c r="DN31" s="290">
        <v>83333.333333333328</v>
      </c>
      <c r="DO31" s="290">
        <v>39500.000000000007</v>
      </c>
      <c r="DP31" s="290">
        <v>39500.000000000007</v>
      </c>
      <c r="DQ31" s="290">
        <v>39500.000000000007</v>
      </c>
      <c r="DR31" s="290">
        <v>47291.666666666664</v>
      </c>
      <c r="DS31" s="290">
        <v>47291.666666666664</v>
      </c>
      <c r="DT31" s="290">
        <v>47291.666666666664</v>
      </c>
      <c r="DU31" s="290">
        <v>77978.260416666672</v>
      </c>
      <c r="DV31" s="290">
        <v>77978.260416666672</v>
      </c>
      <c r="DW31" s="290">
        <v>77978.260416666672</v>
      </c>
      <c r="DX31" s="290">
        <v>77978.260416666672</v>
      </c>
      <c r="DY31" s="290">
        <v>77978.260416666672</v>
      </c>
      <c r="DZ31" s="290">
        <v>77978.260416666672</v>
      </c>
      <c r="EA31" s="12">
        <v>115736.91460055097</v>
      </c>
      <c r="EB31" s="12">
        <v>115736.91460055097</v>
      </c>
      <c r="EC31" s="12">
        <v>115736.91460055097</v>
      </c>
      <c r="ED31" s="12">
        <v>115736.91460055097</v>
      </c>
      <c r="EE31" s="12">
        <v>115736.91460055097</v>
      </c>
      <c r="EF31" s="12">
        <v>115736.91460055097</v>
      </c>
      <c r="EG31" s="12">
        <v>110380.16528925556</v>
      </c>
      <c r="EH31" s="12">
        <v>110380.16528925556</v>
      </c>
      <c r="EI31" s="12">
        <v>110380.16528925556</v>
      </c>
      <c r="EJ31" s="12">
        <v>100000</v>
      </c>
      <c r="EK31" s="12">
        <v>100000</v>
      </c>
      <c r="EL31" s="12">
        <v>100000</v>
      </c>
      <c r="EM31" s="12">
        <v>110000</v>
      </c>
      <c r="EN31" s="12">
        <v>110000</v>
      </c>
      <c r="EO31" s="12">
        <v>110000</v>
      </c>
      <c r="EP31" s="12">
        <v>51666.666666666664</v>
      </c>
      <c r="EQ31" s="12">
        <v>51666.666666666664</v>
      </c>
      <c r="ER31" s="12">
        <v>51666.666666666664</v>
      </c>
      <c r="ES31" s="12">
        <v>51666.666666666664</v>
      </c>
      <c r="ET31" s="12">
        <v>51666.666666666664</v>
      </c>
      <c r="EU31" s="12">
        <v>51666.666666666664</v>
      </c>
      <c r="EV31" s="12">
        <v>51666.666666666664</v>
      </c>
      <c r="EW31" s="12">
        <v>51666.666666666664</v>
      </c>
      <c r="EX31" s="12">
        <v>51666.666666666664</v>
      </c>
      <c r="EY31" s="12">
        <v>44133.333333333336</v>
      </c>
      <c r="EZ31" s="451">
        <v>44133.333333333336</v>
      </c>
      <c r="FA31" s="12">
        <v>44133.333333333336</v>
      </c>
      <c r="FB31" s="12">
        <v>111666.66666666667</v>
      </c>
      <c r="FC31" s="12">
        <v>111666.66666666667</v>
      </c>
      <c r="FD31" s="12">
        <v>111666.66666666667</v>
      </c>
      <c r="FE31" s="12">
        <v>111666.66666666667</v>
      </c>
      <c r="FF31" s="12">
        <v>111666.66666666667</v>
      </c>
      <c r="FG31" s="12">
        <v>111666.66666666667</v>
      </c>
      <c r="FH31" s="12">
        <v>111666.66666666667</v>
      </c>
      <c r="FI31" s="12">
        <v>111666.66666666667</v>
      </c>
      <c r="FJ31" s="12">
        <v>111666.66666666667</v>
      </c>
    </row>
    <row r="32" spans="3:166" s="10" customFormat="1" x14ac:dyDescent="0.35">
      <c r="E32" s="10" t="s">
        <v>186</v>
      </c>
      <c r="F32" s="11"/>
      <c r="G32" s="11"/>
      <c r="H32" s="11"/>
      <c r="I32" s="11">
        <f>SUM(BS32:CD32)</f>
        <v>0</v>
      </c>
      <c r="J32" s="11"/>
      <c r="K32" s="11"/>
      <c r="L32" s="11"/>
      <c r="M32" s="11"/>
      <c r="N32" s="11"/>
      <c r="O32" s="11"/>
      <c r="P32" s="11"/>
      <c r="Q32" s="12"/>
      <c r="R32" s="12"/>
      <c r="S32" s="12"/>
      <c r="T32" s="12"/>
      <c r="U32" s="12"/>
      <c r="V32" s="12"/>
      <c r="W32" s="12"/>
      <c r="X32" s="12"/>
      <c r="Y32" s="12"/>
      <c r="Z32" s="12">
        <f>SUM(BS32:BU32)</f>
        <v>0</v>
      </c>
      <c r="AA32" s="12">
        <f>SUM(BV32:BX32)</f>
        <v>0</v>
      </c>
      <c r="AB32" s="12">
        <f>SUM(BY32:CA32)</f>
        <v>0</v>
      </c>
      <c r="AC32" s="12">
        <f>SUM(CB32:CD32)</f>
        <v>0</v>
      </c>
      <c r="AD32" s="12">
        <f t="shared" si="26"/>
        <v>0</v>
      </c>
      <c r="AE32" s="12">
        <f t="shared" si="27"/>
        <v>0</v>
      </c>
      <c r="AF32" s="12">
        <f t="shared" si="3"/>
        <v>0</v>
      </c>
      <c r="AG32" s="12">
        <f t="shared" si="8"/>
        <v>0</v>
      </c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298"/>
      <c r="BN32" s="298"/>
      <c r="BO32" s="298"/>
      <c r="BP32" s="12"/>
      <c r="BQ32" s="12"/>
      <c r="BR32" s="12"/>
      <c r="BS32" s="12">
        <f t="shared" si="46"/>
        <v>0</v>
      </c>
      <c r="BT32" s="12">
        <f t="shared" si="46"/>
        <v>0</v>
      </c>
      <c r="BU32" s="12">
        <f t="shared" si="46"/>
        <v>0</v>
      </c>
      <c r="BV32" s="12">
        <f t="shared" si="46"/>
        <v>0</v>
      </c>
      <c r="BW32" s="12">
        <f t="shared" si="46"/>
        <v>0</v>
      </c>
      <c r="BX32" s="12">
        <f t="shared" si="46"/>
        <v>0</v>
      </c>
      <c r="BY32" s="12">
        <f t="shared" si="46"/>
        <v>0</v>
      </c>
      <c r="BZ32" s="12">
        <f t="shared" si="46"/>
        <v>0</v>
      </c>
      <c r="CA32" s="12">
        <f t="shared" si="46"/>
        <v>0</v>
      </c>
      <c r="CB32" s="12">
        <f t="shared" si="46"/>
        <v>0</v>
      </c>
      <c r="CC32" s="12">
        <f t="shared" si="46"/>
        <v>0</v>
      </c>
      <c r="CD32" s="12">
        <f t="shared" si="46"/>
        <v>0</v>
      </c>
      <c r="CE32" s="12">
        <f t="shared" ref="CE32:CP32" si="48">CE20+CE27</f>
        <v>0</v>
      </c>
      <c r="CF32" s="12">
        <f t="shared" si="48"/>
        <v>0</v>
      </c>
      <c r="CG32" s="12">
        <f t="shared" si="48"/>
        <v>0</v>
      </c>
      <c r="CH32" s="12">
        <f t="shared" si="48"/>
        <v>0</v>
      </c>
      <c r="CI32" s="12">
        <f t="shared" si="48"/>
        <v>0</v>
      </c>
      <c r="CJ32" s="12">
        <f t="shared" si="48"/>
        <v>0</v>
      </c>
      <c r="CK32" s="12">
        <f t="shared" si="48"/>
        <v>0</v>
      </c>
      <c r="CL32" s="12">
        <f t="shared" si="48"/>
        <v>0</v>
      </c>
      <c r="CM32" s="12">
        <f t="shared" si="48"/>
        <v>0</v>
      </c>
      <c r="CN32" s="12">
        <f t="shared" si="48"/>
        <v>0</v>
      </c>
      <c r="CO32" s="12">
        <f t="shared" si="48"/>
        <v>0</v>
      </c>
      <c r="CP32" s="12">
        <f t="shared" si="48"/>
        <v>0</v>
      </c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Z32" s="790"/>
    </row>
    <row r="33" spans="3:167" ht="7.5" customHeight="1" x14ac:dyDescent="0.35"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54"/>
      <c r="BT33" s="54"/>
      <c r="BU33" s="54"/>
      <c r="BV33" s="54"/>
      <c r="BW33" s="54"/>
      <c r="BX33" s="54"/>
      <c r="BY33" s="54"/>
      <c r="BZ33" s="54"/>
      <c r="CA33" s="54"/>
      <c r="CB33" s="54"/>
      <c r="CC33" s="54"/>
      <c r="CD33" s="54"/>
      <c r="CE33" s="54"/>
      <c r="CQ33" s="54"/>
      <c r="EZ33" s="384"/>
    </row>
    <row r="34" spans="3:167" s="9" customFormat="1" x14ac:dyDescent="0.35">
      <c r="D34" s="25" t="s">
        <v>105</v>
      </c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99"/>
      <c r="BT34" s="299"/>
      <c r="BU34" s="299"/>
      <c r="BV34" s="299"/>
      <c r="BW34" s="299"/>
      <c r="BX34" s="299"/>
      <c r="BY34" s="299"/>
      <c r="BZ34" s="299"/>
      <c r="CA34" s="299"/>
      <c r="CB34" s="299"/>
      <c r="CC34" s="299"/>
      <c r="CD34" s="299"/>
      <c r="CE34" s="299"/>
      <c r="CQ34" s="299"/>
      <c r="EZ34" s="766"/>
    </row>
    <row r="35" spans="3:167" s="9" customFormat="1" ht="12" x14ac:dyDescent="0.3">
      <c r="E35" s="9" t="s">
        <v>9</v>
      </c>
      <c r="F35" s="29">
        <f t="shared" ref="F35:N35" si="49">F29/F8</f>
        <v>0.43333969101659353</v>
      </c>
      <c r="G35" s="29">
        <f t="shared" si="49"/>
        <v>0.43933073866868422</v>
      </c>
      <c r="H35" s="29">
        <f t="shared" si="49"/>
        <v>0.52835613383493552</v>
      </c>
      <c r="I35" s="29">
        <f t="shared" si="49"/>
        <v>0.52</v>
      </c>
      <c r="J35" s="29">
        <f t="shared" ca="1" si="49"/>
        <v>0.48667040723644395</v>
      </c>
      <c r="K35" s="29">
        <f t="shared" ca="1" si="49"/>
        <v>0.48047231334107821</v>
      </c>
      <c r="L35" s="29">
        <f t="shared" ca="1" si="49"/>
        <v>0.49292682926829268</v>
      </c>
      <c r="M35" s="29">
        <f t="shared" ca="1" si="49"/>
        <v>0.45540515778005708</v>
      </c>
      <c r="N35" s="29">
        <f t="shared" ca="1" si="49"/>
        <v>0.51216665663689342</v>
      </c>
      <c r="O35" s="29">
        <f t="shared" ref="O35:P35" ca="1" si="50">O29/O8</f>
        <v>0.52132355565255661</v>
      </c>
      <c r="P35" s="29">
        <f t="shared" ca="1" si="50"/>
        <v>0.47627760672359143</v>
      </c>
      <c r="Q35" s="27"/>
      <c r="R35" s="29">
        <f t="shared" ref="R35:AW35" si="51">IFERROR(R29/R8,"")</f>
        <v>0.40037705316889044</v>
      </c>
      <c r="S35" s="29">
        <f t="shared" si="51"/>
        <v>0.36162215548599613</v>
      </c>
      <c r="T35" s="29">
        <f t="shared" si="51"/>
        <v>0.42209351691869201</v>
      </c>
      <c r="U35" s="29">
        <f t="shared" si="51"/>
        <v>0.55745366259459017</v>
      </c>
      <c r="V35" s="29">
        <f t="shared" si="51"/>
        <v>0.58805194805194805</v>
      </c>
      <c r="W35" s="29">
        <f t="shared" si="51"/>
        <v>0.53680904674544505</v>
      </c>
      <c r="X35" s="29">
        <f t="shared" si="51"/>
        <v>0.5</v>
      </c>
      <c r="Y35" s="29">
        <f t="shared" si="51"/>
        <v>0.5</v>
      </c>
      <c r="Z35" s="29">
        <f t="shared" si="51"/>
        <v>0.51999999999999991</v>
      </c>
      <c r="AA35" s="29">
        <f t="shared" si="51"/>
        <v>0.52</v>
      </c>
      <c r="AB35" s="29">
        <f t="shared" si="51"/>
        <v>0.52</v>
      </c>
      <c r="AC35" s="29">
        <f t="shared" si="51"/>
        <v>0.52</v>
      </c>
      <c r="AD35" s="29">
        <f t="shared" si="51"/>
        <v>0.47174480748208431</v>
      </c>
      <c r="AE35" s="29">
        <f t="shared" si="51"/>
        <v>0.4752691790040377</v>
      </c>
      <c r="AF35" s="29">
        <f t="shared" si="51"/>
        <v>0.50338115289631824</v>
      </c>
      <c r="AG35" s="29">
        <f t="shared" si="51"/>
        <v>0.4971162486725284</v>
      </c>
      <c r="AH35" s="29">
        <f t="shared" ca="1" si="51"/>
        <v>0.48197561245254844</v>
      </c>
      <c r="AI35" s="29">
        <f t="shared" ca="1" si="51"/>
        <v>0.48332409982046259</v>
      </c>
      <c r="AJ35" s="29">
        <f t="shared" ca="1" si="51"/>
        <v>0.47997872032618588</v>
      </c>
      <c r="AK35" s="29">
        <f t="shared" ca="1" si="51"/>
        <v>0.47741361739122418</v>
      </c>
      <c r="AL35" s="29">
        <f t="shared" ca="1" si="51"/>
        <v>0.49292682926829268</v>
      </c>
      <c r="AM35" s="29">
        <f t="shared" ca="1" si="51"/>
        <v>0.49292682926829273</v>
      </c>
      <c r="AN35" s="29">
        <f t="shared" ca="1" si="51"/>
        <v>0.49292682926829262</v>
      </c>
      <c r="AO35" s="29">
        <f t="shared" ca="1" si="51"/>
        <v>0.49292682926829268</v>
      </c>
      <c r="AP35" s="29">
        <f t="shared" ca="1" si="51"/>
        <v>0.45266724812976344</v>
      </c>
      <c r="AQ35" s="29">
        <f t="shared" ca="1" si="51"/>
        <v>0.46107186444512804</v>
      </c>
      <c r="AR35" s="29">
        <f t="shared" ca="1" si="51"/>
        <v>0.46304897957867763</v>
      </c>
      <c r="AS35" s="29">
        <f t="shared" ca="1" si="51"/>
        <v>0.44632681411273711</v>
      </c>
      <c r="AT35" s="29">
        <f t="shared" ca="1" si="51"/>
        <v>0.51803827942886038</v>
      </c>
      <c r="AU35" s="29">
        <f t="shared" ca="1" si="51"/>
        <v>0.51175582808769682</v>
      </c>
      <c r="AV35" s="29">
        <f t="shared" ca="1" si="51"/>
        <v>0.50459934392072703</v>
      </c>
      <c r="AW35" s="29">
        <f t="shared" ca="1" si="51"/>
        <v>0.51471269747299531</v>
      </c>
      <c r="AX35" s="29">
        <f t="shared" ref="AX35:BA35" ca="1" si="52">IFERROR(AX29/AX8,"")</f>
        <v>0.51341676328940022</v>
      </c>
      <c r="AY35" s="29">
        <f t="shared" ca="1" si="52"/>
        <v>0.51294356439176891</v>
      </c>
      <c r="AZ35" s="29">
        <f t="shared" ca="1" si="52"/>
        <v>0.5188005163857754</v>
      </c>
      <c r="BA35" s="29">
        <f t="shared" ca="1" si="52"/>
        <v>0.5377790669180923</v>
      </c>
      <c r="BB35" s="29">
        <f t="shared" ref="BB35:BE35" ca="1" si="53">IFERROR(BB29/BB8,"")</f>
        <v>0.48325691712724689</v>
      </c>
      <c r="BC35" s="29">
        <f t="shared" ca="1" si="53"/>
        <v>0.47539028255489263</v>
      </c>
      <c r="BD35" s="29">
        <f t="shared" ca="1" si="53"/>
        <v>0.47339550982001238</v>
      </c>
      <c r="BE35" s="29">
        <f t="shared" ca="1" si="53"/>
        <v>0.47370717614465963</v>
      </c>
      <c r="BF35" s="29"/>
      <c r="BG35" s="29">
        <f t="shared" ref="BG35:DA35" si="54">IFERROR(BG29/BG8,"")</f>
        <v>0.58805194805194805</v>
      </c>
      <c r="BH35" s="29">
        <f t="shared" si="54"/>
        <v>0.58805194805194805</v>
      </c>
      <c r="BI35" s="29">
        <f t="shared" si="54"/>
        <v>0.58805194805194805</v>
      </c>
      <c r="BJ35" s="29">
        <f t="shared" si="54"/>
        <v>0.53680904674544494</v>
      </c>
      <c r="BK35" s="29">
        <f t="shared" si="54"/>
        <v>0.53680904674544494</v>
      </c>
      <c r="BL35" s="29">
        <f t="shared" si="54"/>
        <v>0.53680904674544494</v>
      </c>
      <c r="BM35" s="29">
        <f t="shared" si="54"/>
        <v>0.5</v>
      </c>
      <c r="BN35" s="29">
        <f t="shared" si="54"/>
        <v>0.5</v>
      </c>
      <c r="BO35" s="29">
        <f t="shared" si="54"/>
        <v>0.5</v>
      </c>
      <c r="BP35" s="29">
        <f t="shared" si="54"/>
        <v>0.5</v>
      </c>
      <c r="BQ35" s="29">
        <f t="shared" si="54"/>
        <v>0.5</v>
      </c>
      <c r="BR35" s="29">
        <f t="shared" si="54"/>
        <v>0.5</v>
      </c>
      <c r="BS35" s="29">
        <f t="shared" si="54"/>
        <v>0.52</v>
      </c>
      <c r="BT35" s="29">
        <f t="shared" si="54"/>
        <v>0.52</v>
      </c>
      <c r="BU35" s="29">
        <f t="shared" si="54"/>
        <v>0.52</v>
      </c>
      <c r="BV35" s="29">
        <f t="shared" si="54"/>
        <v>0.52</v>
      </c>
      <c r="BW35" s="29">
        <f t="shared" si="54"/>
        <v>0.52</v>
      </c>
      <c r="BX35" s="29">
        <f t="shared" si="54"/>
        <v>0.52</v>
      </c>
      <c r="BY35" s="29">
        <f t="shared" si="54"/>
        <v>0.52</v>
      </c>
      <c r="BZ35" s="29">
        <f t="shared" si="54"/>
        <v>0.52</v>
      </c>
      <c r="CA35" s="29">
        <f t="shared" si="54"/>
        <v>0.52</v>
      </c>
      <c r="CB35" s="29">
        <f t="shared" si="54"/>
        <v>0.52</v>
      </c>
      <c r="CC35" s="29">
        <f t="shared" si="54"/>
        <v>0.52</v>
      </c>
      <c r="CD35" s="50">
        <f t="shared" si="54"/>
        <v>0.52</v>
      </c>
      <c r="CE35" s="29">
        <f t="shared" si="54"/>
        <v>0.47174480748208425</v>
      </c>
      <c r="CF35" s="29">
        <f t="shared" si="54"/>
        <v>0.47174480748208425</v>
      </c>
      <c r="CG35" s="50">
        <f>IFERROR(CG29/CG8,"")</f>
        <v>0.47174480748208425</v>
      </c>
      <c r="CH35" s="50">
        <f t="shared" si="54"/>
        <v>0.4752691790040377</v>
      </c>
      <c r="CI35" s="50">
        <f t="shared" si="54"/>
        <v>0.4752691790040377</v>
      </c>
      <c r="CJ35" s="50">
        <f t="shared" si="54"/>
        <v>0.4752691790040377</v>
      </c>
      <c r="CK35" s="50">
        <f t="shared" si="54"/>
        <v>0.50338115289631824</v>
      </c>
      <c r="CL35" s="50">
        <f t="shared" si="54"/>
        <v>0.50338115289631824</v>
      </c>
      <c r="CM35" s="50">
        <f t="shared" si="54"/>
        <v>0.50338115289631824</v>
      </c>
      <c r="CN35" s="50">
        <f>IFERROR(CN29/CN8,"")</f>
        <v>0.4971162486725284</v>
      </c>
      <c r="CO35" s="50">
        <f t="shared" si="54"/>
        <v>0.4971162486725284</v>
      </c>
      <c r="CP35" s="50">
        <f t="shared" si="54"/>
        <v>0.4971162486725284</v>
      </c>
      <c r="CQ35" s="50">
        <f t="shared" si="54"/>
        <v>0.48168769837656483</v>
      </c>
      <c r="CR35" s="50">
        <f t="shared" si="54"/>
        <v>0.48197561245254844</v>
      </c>
      <c r="CS35" s="50">
        <f t="shared" si="54"/>
        <v>0.48225461324317132</v>
      </c>
      <c r="CT35" s="50">
        <f t="shared" si="54"/>
        <v>0.48292583946523426</v>
      </c>
      <c r="CU35" s="50">
        <f t="shared" si="54"/>
        <v>0.48332409982046259</v>
      </c>
      <c r="CV35" s="50">
        <f t="shared" si="54"/>
        <v>0.48370420455643864</v>
      </c>
      <c r="CW35" s="50">
        <f t="shared" si="54"/>
        <v>0.47952348110125098</v>
      </c>
      <c r="CX35" s="50">
        <f t="shared" si="54"/>
        <v>0.47997872032618588</v>
      </c>
      <c r="CY35" s="50">
        <f t="shared" si="54"/>
        <v>0.48041415779813906</v>
      </c>
      <c r="CZ35" s="50">
        <f t="shared" si="54"/>
        <v>0.47682735472763355</v>
      </c>
      <c r="DA35" s="50">
        <f t="shared" si="54"/>
        <v>0.47741361739122418</v>
      </c>
      <c r="DB35" s="50">
        <f>IFERROR(DB29/DB8,"")</f>
        <v>0.47797094741938839</v>
      </c>
      <c r="DC35" s="50">
        <f t="shared" ref="DC35:EL35" si="55">IFERROR(DC29/DC8,"")</f>
        <v>0.49292682926829273</v>
      </c>
      <c r="DD35" s="50">
        <f t="shared" si="55"/>
        <v>0.49292682926829273</v>
      </c>
      <c r="DE35" s="50">
        <f t="shared" si="55"/>
        <v>0.49292682926829273</v>
      </c>
      <c r="DF35" s="50">
        <f t="shared" si="55"/>
        <v>0.49292682926829268</v>
      </c>
      <c r="DG35" s="50">
        <f t="shared" si="55"/>
        <v>0.49292682926829268</v>
      </c>
      <c r="DH35" s="50">
        <f t="shared" si="55"/>
        <v>0.49292682926829268</v>
      </c>
      <c r="DI35" s="50">
        <f>IFERROR(DI29/DI8,"")</f>
        <v>0.49292682926829268</v>
      </c>
      <c r="DJ35" s="50">
        <f t="shared" si="55"/>
        <v>0.49292682926829268</v>
      </c>
      <c r="DK35" s="50">
        <f t="shared" si="55"/>
        <v>0.49292682926829268</v>
      </c>
      <c r="DL35" s="50">
        <f t="shared" si="55"/>
        <v>0.49292682926829268</v>
      </c>
      <c r="DM35" s="50">
        <f t="shared" si="55"/>
        <v>0.49292682926829268</v>
      </c>
      <c r="DN35" s="50">
        <f t="shared" si="55"/>
        <v>0.49292682926829268</v>
      </c>
      <c r="DO35" s="50">
        <f t="shared" si="55"/>
        <v>0.4526672481297635</v>
      </c>
      <c r="DP35" s="50">
        <f t="shared" si="55"/>
        <v>0.4526672481297635</v>
      </c>
      <c r="DQ35" s="50">
        <f t="shared" si="55"/>
        <v>0.4526672481297635</v>
      </c>
      <c r="DR35" s="50">
        <f t="shared" si="55"/>
        <v>0.46107186444512804</v>
      </c>
      <c r="DS35" s="50">
        <f t="shared" si="55"/>
        <v>0.46107186444512804</v>
      </c>
      <c r="DT35" s="50">
        <f t="shared" si="55"/>
        <v>0.46107186444512804</v>
      </c>
      <c r="DU35" s="50">
        <f t="shared" si="55"/>
        <v>0.46304897957867769</v>
      </c>
      <c r="DV35" s="50">
        <f t="shared" si="55"/>
        <v>0.46304897957867769</v>
      </c>
      <c r="DW35" s="50">
        <f t="shared" si="55"/>
        <v>0.46304897957867769</v>
      </c>
      <c r="DX35" s="50">
        <f t="shared" si="55"/>
        <v>0.44632681411273717</v>
      </c>
      <c r="DY35" s="50">
        <f t="shared" si="55"/>
        <v>0.44632681411273717</v>
      </c>
      <c r="DZ35" s="50">
        <f t="shared" si="55"/>
        <v>0.44632681411273717</v>
      </c>
      <c r="EA35" s="50">
        <f t="shared" si="55"/>
        <v>0.51803827942886038</v>
      </c>
      <c r="EB35" s="50">
        <f t="shared" si="55"/>
        <v>0.51803827942886038</v>
      </c>
      <c r="EC35" s="50">
        <f t="shared" si="55"/>
        <v>0.51803827942886038</v>
      </c>
      <c r="ED35" s="50">
        <f t="shared" si="55"/>
        <v>0.51175582808769682</v>
      </c>
      <c r="EE35" s="50">
        <f t="shared" si="55"/>
        <v>0.51175582808769682</v>
      </c>
      <c r="EF35" s="50">
        <f t="shared" si="55"/>
        <v>0.51175582808769682</v>
      </c>
      <c r="EG35" s="50">
        <f t="shared" si="55"/>
        <v>0.50459934392072703</v>
      </c>
      <c r="EH35" s="50">
        <f t="shared" si="55"/>
        <v>0.50459934392072703</v>
      </c>
      <c r="EI35" s="50">
        <f t="shared" si="55"/>
        <v>0.50459934392072703</v>
      </c>
      <c r="EJ35" s="50">
        <f t="shared" si="55"/>
        <v>0.51471269747299531</v>
      </c>
      <c r="EK35" s="50">
        <f t="shared" si="55"/>
        <v>0.51471269747299531</v>
      </c>
      <c r="EL35" s="50">
        <f t="shared" si="55"/>
        <v>0.51471269747299531</v>
      </c>
      <c r="EM35" s="50">
        <f t="shared" ref="EM35:EX35" si="56">IFERROR(EM29/EM8,"")</f>
        <v>0.51341676328940011</v>
      </c>
      <c r="EN35" s="50">
        <f t="shared" si="56"/>
        <v>0.51341676328940011</v>
      </c>
      <c r="EO35" s="50">
        <f t="shared" si="56"/>
        <v>0.51341676328940011</v>
      </c>
      <c r="EP35" s="50">
        <f t="shared" si="56"/>
        <v>0.5129435643917688</v>
      </c>
      <c r="EQ35" s="50">
        <f t="shared" si="56"/>
        <v>0.5129435643917688</v>
      </c>
      <c r="ER35" s="50">
        <f t="shared" si="56"/>
        <v>0.5129435643917688</v>
      </c>
      <c r="ES35" s="50">
        <f t="shared" si="56"/>
        <v>0.5188005163857754</v>
      </c>
      <c r="ET35" s="50">
        <f t="shared" si="56"/>
        <v>0.5188005163857754</v>
      </c>
      <c r="EU35" s="50">
        <f t="shared" si="56"/>
        <v>0.5188005163857754</v>
      </c>
      <c r="EV35" s="50">
        <f t="shared" si="56"/>
        <v>0.5377790669180923</v>
      </c>
      <c r="EW35" s="50">
        <f t="shared" si="56"/>
        <v>0.5377790669180923</v>
      </c>
      <c r="EX35" s="50">
        <f t="shared" si="56"/>
        <v>0.5377790669180923</v>
      </c>
      <c r="EY35" s="50">
        <v>0.48325691712724683</v>
      </c>
      <c r="EZ35" s="452">
        <v>0.48325691712724683</v>
      </c>
      <c r="FA35" s="50">
        <v>0.48325691712724683</v>
      </c>
      <c r="FB35" s="50">
        <v>0.47539028255489257</v>
      </c>
      <c r="FC35" s="50">
        <v>0.47539028255489257</v>
      </c>
      <c r="FD35" s="50">
        <v>0.47539028255489257</v>
      </c>
      <c r="FE35" s="50">
        <v>0.47339550982001238</v>
      </c>
      <c r="FF35" s="50">
        <v>0.47339550982001238</v>
      </c>
      <c r="FG35" s="50">
        <v>0.47339550982001238</v>
      </c>
      <c r="FH35" s="50">
        <v>0.47370717614465968</v>
      </c>
      <c r="FI35" s="50">
        <v>0.47370717614465968</v>
      </c>
      <c r="FJ35" s="50">
        <v>0.47370717614465968</v>
      </c>
    </row>
    <row r="36" spans="3:167" s="9" customFormat="1" ht="12" x14ac:dyDescent="0.3">
      <c r="E36" s="9" t="s">
        <v>10</v>
      </c>
      <c r="F36" s="29">
        <f t="shared" ref="F36:N37" si="57">F30/F18</f>
        <v>0.28385792665319087</v>
      </c>
      <c r="G36" s="29">
        <f t="shared" si="57"/>
        <v>0.39667612368045851</v>
      </c>
      <c r="H36" s="29">
        <f t="shared" si="57"/>
        <v>0.33405711311497766</v>
      </c>
      <c r="I36" s="29">
        <f t="shared" si="57"/>
        <v>0.35</v>
      </c>
      <c r="J36" s="29">
        <f t="shared" ca="1" si="57"/>
        <v>0.36432443849890866</v>
      </c>
      <c r="K36" s="29">
        <f t="shared" ca="1" si="57"/>
        <v>0.4</v>
      </c>
      <c r="L36" s="29">
        <f t="shared" ca="1" si="57"/>
        <v>0.14999999999999997</v>
      </c>
      <c r="M36" s="29">
        <f t="shared" ca="1" si="57"/>
        <v>0.3</v>
      </c>
      <c r="N36" s="29">
        <f t="shared" ca="1" si="57"/>
        <v>0.35</v>
      </c>
      <c r="O36" s="29">
        <f t="shared" ref="O36:P36" ca="1" si="58">O30/O18</f>
        <v>0.4</v>
      </c>
      <c r="P36" s="29">
        <f t="shared" ca="1" si="58"/>
        <v>0.26055633768629549</v>
      </c>
      <c r="Q36" s="27"/>
      <c r="R36" s="29">
        <f t="shared" ref="R36:Y37" si="59">IFERROR(R30/R18,"")</f>
        <v>0.4799465240641711</v>
      </c>
      <c r="S36" s="29">
        <f t="shared" si="59"/>
        <v>0.24250681198910082</v>
      </c>
      <c r="T36" s="29">
        <f t="shared" si="59"/>
        <v>0.3770053475935829</v>
      </c>
      <c r="U36" s="29">
        <f t="shared" si="59"/>
        <v>0.39855588193429003</v>
      </c>
      <c r="V36" s="29">
        <f t="shared" si="59"/>
        <v>0.35658914728682173</v>
      </c>
      <c r="W36" s="29">
        <f t="shared" si="59"/>
        <v>0.38424029765565432</v>
      </c>
      <c r="X36" s="29">
        <f t="shared" si="59"/>
        <v>0.39</v>
      </c>
      <c r="Y36" s="29">
        <f t="shared" si="59"/>
        <v>0.23250000000000001</v>
      </c>
      <c r="Z36" s="29">
        <f>IFERROR(Z30/Z18,"")</f>
        <v>0.34999999999999992</v>
      </c>
      <c r="AA36" s="29">
        <f t="shared" ref="AA36:AW37" si="60">IFERROR(AA30/AA18,"")</f>
        <v>0.34999999999999992</v>
      </c>
      <c r="AB36" s="29">
        <f t="shared" si="60"/>
        <v>0.34999999999999992</v>
      </c>
      <c r="AC36" s="29">
        <f t="shared" si="60"/>
        <v>0.35000000000000014</v>
      </c>
      <c r="AD36" s="29">
        <f t="shared" si="60"/>
        <v>0.38286056478703012</v>
      </c>
      <c r="AE36" s="29">
        <f t="shared" si="60"/>
        <v>0.33682873451510725</v>
      </c>
      <c r="AF36" s="29">
        <f t="shared" si="60"/>
        <v>0.38</v>
      </c>
      <c r="AG36" s="29">
        <f t="shared" si="60"/>
        <v>0.38</v>
      </c>
      <c r="AH36" s="29">
        <f t="shared" ca="1" si="60"/>
        <v>0.4</v>
      </c>
      <c r="AI36" s="29">
        <f t="shared" ca="1" si="60"/>
        <v>0.4</v>
      </c>
      <c r="AJ36" s="29">
        <f t="shared" ca="1" si="60"/>
        <v>0.4</v>
      </c>
      <c r="AK36" s="29">
        <f t="shared" ca="1" si="60"/>
        <v>0.4</v>
      </c>
      <c r="AL36" s="29">
        <f t="shared" ca="1" si="60"/>
        <v>0.15</v>
      </c>
      <c r="AM36" s="29">
        <f t="shared" ca="1" si="60"/>
        <v>9.999999999999995E-2</v>
      </c>
      <c r="AN36" s="29">
        <f t="shared" ca="1" si="60"/>
        <v>9.999999999999995E-2</v>
      </c>
      <c r="AO36" s="29">
        <f t="shared" ca="1" si="60"/>
        <v>0.24999999999999994</v>
      </c>
      <c r="AP36" s="29">
        <f t="shared" ca="1" si="60"/>
        <v>0.3</v>
      </c>
      <c r="AQ36" s="29">
        <f t="shared" ca="1" si="60"/>
        <v>0.3</v>
      </c>
      <c r="AR36" s="29">
        <f t="shared" ca="1" si="60"/>
        <v>0.3</v>
      </c>
      <c r="AS36" s="29">
        <f t="shared" ca="1" si="60"/>
        <v>0.3</v>
      </c>
      <c r="AT36" s="29">
        <f t="shared" ca="1" si="60"/>
        <v>0.35</v>
      </c>
      <c r="AU36" s="29">
        <f t="shared" ca="1" si="60"/>
        <v>0.35</v>
      </c>
      <c r="AV36" s="29">
        <f t="shared" ca="1" si="60"/>
        <v>0.35</v>
      </c>
      <c r="AW36" s="29">
        <f t="shared" ca="1" si="60"/>
        <v>0.35</v>
      </c>
      <c r="AX36" s="29">
        <f t="shared" ref="AX36:BA36" ca="1" si="61">IFERROR(AX30/AX18,"")</f>
        <v>0.4</v>
      </c>
      <c r="AY36" s="29">
        <f t="shared" ca="1" si="61"/>
        <v>0.4</v>
      </c>
      <c r="AZ36" s="29">
        <f t="shared" ca="1" si="61"/>
        <v>0.4</v>
      </c>
      <c r="BA36" s="29">
        <f t="shared" ca="1" si="61"/>
        <v>0.4</v>
      </c>
      <c r="BB36" s="29">
        <f t="shared" ref="BB36:BE36" ca="1" si="62">IFERROR(BB30/BB18,"")</f>
        <v>0.28330439428342458</v>
      </c>
      <c r="BC36" s="29">
        <f t="shared" ca="1" si="62"/>
        <v>0.26662038026062806</v>
      </c>
      <c r="BD36" s="29">
        <f t="shared" ca="1" si="62"/>
        <v>0.25550413811515532</v>
      </c>
      <c r="BE36" s="29">
        <f t="shared" ca="1" si="62"/>
        <v>0.24756711409395973</v>
      </c>
      <c r="BF36" s="29"/>
      <c r="BG36" s="29">
        <f t="shared" ref="BG36:CD37" si="63">IFERROR(BG30/BG18,"")</f>
        <v>0.35658914728682167</v>
      </c>
      <c r="BH36" s="29">
        <f t="shared" si="63"/>
        <v>0.35658914728682167</v>
      </c>
      <c r="BI36" s="29">
        <f t="shared" si="63"/>
        <v>0.35658914728682167</v>
      </c>
      <c r="BJ36" s="29">
        <f t="shared" si="63"/>
        <v>0.38424029765565432</v>
      </c>
      <c r="BK36" s="29">
        <f t="shared" si="63"/>
        <v>0.38424029765565432</v>
      </c>
      <c r="BL36" s="29">
        <f t="shared" si="63"/>
        <v>0.38424029765565432</v>
      </c>
      <c r="BM36" s="29">
        <f t="shared" si="63"/>
        <v>0.39000000000000007</v>
      </c>
      <c r="BN36" s="29">
        <f t="shared" si="63"/>
        <v>0.39000000000000007</v>
      </c>
      <c r="BO36" s="29">
        <f t="shared" si="63"/>
        <v>0.39000000000000007</v>
      </c>
      <c r="BP36" s="29">
        <f t="shared" si="63"/>
        <v>0.2325000000000001</v>
      </c>
      <c r="BQ36" s="29">
        <f t="shared" si="63"/>
        <v>0.2325000000000001</v>
      </c>
      <c r="BR36" s="29">
        <f t="shared" si="63"/>
        <v>0.2325000000000001</v>
      </c>
      <c r="BS36" s="29">
        <f t="shared" si="63"/>
        <v>0.34999999999999992</v>
      </c>
      <c r="BT36" s="29">
        <f t="shared" si="63"/>
        <v>0.34999999999999992</v>
      </c>
      <c r="BU36" s="29">
        <f t="shared" si="63"/>
        <v>0.34999999999999992</v>
      </c>
      <c r="BV36" s="29">
        <f t="shared" si="63"/>
        <v>0.34999999999999992</v>
      </c>
      <c r="BW36" s="29">
        <f t="shared" si="63"/>
        <v>0.34999999999999992</v>
      </c>
      <c r="BX36" s="29">
        <f t="shared" si="63"/>
        <v>0.34999999999999992</v>
      </c>
      <c r="BY36" s="29">
        <f t="shared" si="63"/>
        <v>0.34999999999999992</v>
      </c>
      <c r="BZ36" s="29">
        <f t="shared" si="63"/>
        <v>0.34999999999999992</v>
      </c>
      <c r="CA36" s="29">
        <f t="shared" si="63"/>
        <v>0.34999999999999992</v>
      </c>
      <c r="CB36" s="29">
        <f t="shared" si="63"/>
        <v>0.34999999999999992</v>
      </c>
      <c r="CC36" s="29">
        <f t="shared" si="63"/>
        <v>0.34999999999999992</v>
      </c>
      <c r="CD36" s="50">
        <f t="shared" si="63"/>
        <v>0.35000000000000053</v>
      </c>
      <c r="CE36" s="29">
        <f>IFERROR(CE30/CE18,"")</f>
        <v>0.38286056478703018</v>
      </c>
      <c r="CF36" s="29">
        <f t="shared" ref="CF36:EL37" si="64">IFERROR(CF30/CF18,"")</f>
        <v>0.38286056478703018</v>
      </c>
      <c r="CG36" s="50">
        <f t="shared" si="64"/>
        <v>0.38286056478703018</v>
      </c>
      <c r="CH36" s="50">
        <f t="shared" si="64"/>
        <v>0.33682873451510725</v>
      </c>
      <c r="CI36" s="50">
        <f t="shared" si="64"/>
        <v>0.33682873451510725</v>
      </c>
      <c r="CJ36" s="50">
        <f t="shared" si="64"/>
        <v>0.33682873451510725</v>
      </c>
      <c r="CK36" s="50">
        <f t="shared" si="64"/>
        <v>0.38</v>
      </c>
      <c r="CL36" s="50">
        <f t="shared" si="64"/>
        <v>0.38</v>
      </c>
      <c r="CM36" s="50">
        <f t="shared" si="64"/>
        <v>0.38</v>
      </c>
      <c r="CN36" s="50">
        <f t="shared" si="64"/>
        <v>0.38000000000000006</v>
      </c>
      <c r="CO36" s="50">
        <f t="shared" si="64"/>
        <v>0.38000000000000006</v>
      </c>
      <c r="CP36" s="50">
        <f t="shared" si="64"/>
        <v>0.38000000000000006</v>
      </c>
      <c r="CQ36" s="50">
        <f t="shared" si="64"/>
        <v>0.4</v>
      </c>
      <c r="CR36" s="50">
        <f t="shared" si="64"/>
        <v>0.4</v>
      </c>
      <c r="CS36" s="50">
        <f t="shared" si="64"/>
        <v>0.4</v>
      </c>
      <c r="CT36" s="50">
        <f t="shared" si="64"/>
        <v>0.4</v>
      </c>
      <c r="CU36" s="50">
        <f t="shared" si="64"/>
        <v>0.4</v>
      </c>
      <c r="CV36" s="50">
        <f t="shared" si="64"/>
        <v>0.4</v>
      </c>
      <c r="CW36" s="50">
        <f t="shared" si="64"/>
        <v>0.4</v>
      </c>
      <c r="CX36" s="50">
        <f t="shared" si="64"/>
        <v>0.4</v>
      </c>
      <c r="CY36" s="50">
        <f t="shared" si="64"/>
        <v>0.4</v>
      </c>
      <c r="CZ36" s="50">
        <f t="shared" si="64"/>
        <v>0.4</v>
      </c>
      <c r="DA36" s="50">
        <f t="shared" si="64"/>
        <v>0.4</v>
      </c>
      <c r="DB36" s="50">
        <f t="shared" si="64"/>
        <v>0.4</v>
      </c>
      <c r="DC36" s="50">
        <f t="shared" si="64"/>
        <v>0.15</v>
      </c>
      <c r="DD36" s="50">
        <f t="shared" si="64"/>
        <v>0.15</v>
      </c>
      <c r="DE36" s="50">
        <f t="shared" si="64"/>
        <v>0.15</v>
      </c>
      <c r="DF36" s="50">
        <f t="shared" si="64"/>
        <v>9.9999999999999964E-2</v>
      </c>
      <c r="DG36" s="50">
        <f t="shared" si="64"/>
        <v>9.9999999999999964E-2</v>
      </c>
      <c r="DH36" s="50">
        <f t="shared" si="64"/>
        <v>9.9999999999999964E-2</v>
      </c>
      <c r="DI36" s="50">
        <f t="shared" si="64"/>
        <v>9.9999999999999964E-2</v>
      </c>
      <c r="DJ36" s="50">
        <f t="shared" si="64"/>
        <v>9.9999999999999964E-2</v>
      </c>
      <c r="DK36" s="50">
        <f t="shared" si="64"/>
        <v>9.9999999999999964E-2</v>
      </c>
      <c r="DL36" s="50">
        <f t="shared" si="64"/>
        <v>0.24999999999999997</v>
      </c>
      <c r="DM36" s="50">
        <f t="shared" si="64"/>
        <v>0.24999999999999997</v>
      </c>
      <c r="DN36" s="50">
        <f t="shared" si="64"/>
        <v>0.24999999999999997</v>
      </c>
      <c r="DO36" s="50">
        <f t="shared" si="64"/>
        <v>0.3</v>
      </c>
      <c r="DP36" s="50">
        <f t="shared" si="64"/>
        <v>0.3</v>
      </c>
      <c r="DQ36" s="50">
        <f t="shared" si="64"/>
        <v>0.3</v>
      </c>
      <c r="DR36" s="50">
        <f t="shared" si="64"/>
        <v>0.3</v>
      </c>
      <c r="DS36" s="50">
        <f t="shared" si="64"/>
        <v>0.3</v>
      </c>
      <c r="DT36" s="50">
        <f t="shared" si="64"/>
        <v>0.3</v>
      </c>
      <c r="DU36" s="50">
        <f t="shared" si="64"/>
        <v>0.3</v>
      </c>
      <c r="DV36" s="50">
        <f t="shared" si="64"/>
        <v>0.3</v>
      </c>
      <c r="DW36" s="50">
        <f t="shared" si="64"/>
        <v>0.3</v>
      </c>
      <c r="DX36" s="50">
        <f t="shared" si="64"/>
        <v>0.3</v>
      </c>
      <c r="DY36" s="50">
        <f t="shared" si="64"/>
        <v>0.3</v>
      </c>
      <c r="DZ36" s="50">
        <f t="shared" si="64"/>
        <v>0.3</v>
      </c>
      <c r="EA36" s="50">
        <f t="shared" si="64"/>
        <v>0.35</v>
      </c>
      <c r="EB36" s="50">
        <f t="shared" si="64"/>
        <v>0.35</v>
      </c>
      <c r="EC36" s="50">
        <f t="shared" si="64"/>
        <v>0.35</v>
      </c>
      <c r="ED36" s="50">
        <f t="shared" si="64"/>
        <v>0.35</v>
      </c>
      <c r="EE36" s="50">
        <f t="shared" si="64"/>
        <v>0.35</v>
      </c>
      <c r="EF36" s="50">
        <f t="shared" si="64"/>
        <v>0.35</v>
      </c>
      <c r="EG36" s="50">
        <f t="shared" si="64"/>
        <v>0.35</v>
      </c>
      <c r="EH36" s="50">
        <f t="shared" si="64"/>
        <v>0.35</v>
      </c>
      <c r="EI36" s="50">
        <f t="shared" si="64"/>
        <v>0.35</v>
      </c>
      <c r="EJ36" s="50">
        <f t="shared" si="64"/>
        <v>0.35</v>
      </c>
      <c r="EK36" s="50">
        <f t="shared" si="64"/>
        <v>0.35</v>
      </c>
      <c r="EL36" s="50">
        <f t="shared" si="64"/>
        <v>0.35</v>
      </c>
      <c r="EM36" s="50">
        <f t="shared" ref="EM36:EX36" si="65">IFERROR(EM30/EM18,"")</f>
        <v>0.39999999999999997</v>
      </c>
      <c r="EN36" s="50">
        <f t="shared" si="65"/>
        <v>0.39999999999999997</v>
      </c>
      <c r="EO36" s="50">
        <f t="shared" si="65"/>
        <v>0.39999999999999997</v>
      </c>
      <c r="EP36" s="50">
        <f t="shared" si="65"/>
        <v>0.39999999999999997</v>
      </c>
      <c r="EQ36" s="50">
        <f t="shared" si="65"/>
        <v>0.39999999999999997</v>
      </c>
      <c r="ER36" s="50">
        <f t="shared" si="65"/>
        <v>0.39999999999999997</v>
      </c>
      <c r="ES36" s="50">
        <f t="shared" si="65"/>
        <v>0.39999999999999997</v>
      </c>
      <c r="ET36" s="50">
        <f t="shared" si="65"/>
        <v>0.39999999999999997</v>
      </c>
      <c r="EU36" s="50">
        <f t="shared" si="65"/>
        <v>0.39999999999999997</v>
      </c>
      <c r="EV36" s="50">
        <f t="shared" si="65"/>
        <v>0.39999999999999997</v>
      </c>
      <c r="EW36" s="50">
        <f t="shared" si="65"/>
        <v>0.39999999999999997</v>
      </c>
      <c r="EX36" s="50">
        <f t="shared" si="65"/>
        <v>0.39999999999999997</v>
      </c>
      <c r="EY36" s="50">
        <v>0.28330439428342458</v>
      </c>
      <c r="EZ36" s="452">
        <v>0.28330439428342458</v>
      </c>
      <c r="FA36" s="50">
        <v>0.28330439428342458</v>
      </c>
      <c r="FB36" s="50">
        <v>0.26662038026062806</v>
      </c>
      <c r="FC36" s="50">
        <v>0.26662038026062806</v>
      </c>
      <c r="FD36" s="50">
        <v>0.26662038026062806</v>
      </c>
      <c r="FE36" s="50">
        <v>0.25550413811515532</v>
      </c>
      <c r="FF36" s="50">
        <v>0.25550413811515532</v>
      </c>
      <c r="FG36" s="50">
        <v>0.25550413811515532</v>
      </c>
      <c r="FH36" s="50">
        <v>0.24756711409395976</v>
      </c>
      <c r="FI36" s="50">
        <v>0.24756711409395976</v>
      </c>
      <c r="FJ36" s="50">
        <v>0.24756711409395976</v>
      </c>
    </row>
    <row r="37" spans="3:167" s="9" customFormat="1" ht="12" x14ac:dyDescent="0.3">
      <c r="E37" s="9" t="s">
        <v>11</v>
      </c>
      <c r="F37" s="29">
        <f t="shared" si="57"/>
        <v>0.35260115606936415</v>
      </c>
      <c r="G37" s="29">
        <f t="shared" si="57"/>
        <v>0.53642384105960261</v>
      </c>
      <c r="H37" s="29">
        <f t="shared" si="57"/>
        <v>0.67953578198204645</v>
      </c>
      <c r="I37" s="29">
        <f t="shared" si="57"/>
        <v>1</v>
      </c>
      <c r="J37" s="29">
        <f t="shared" ca="1" si="57"/>
        <v>0.97009587468341762</v>
      </c>
      <c r="K37" s="29">
        <f t="shared" ca="1" si="57"/>
        <v>1</v>
      </c>
      <c r="L37" s="29">
        <f t="shared" ca="1" si="57"/>
        <v>1</v>
      </c>
      <c r="M37" s="29">
        <f t="shared" ca="1" si="57"/>
        <v>0.92227481271792588</v>
      </c>
      <c r="N37" s="29">
        <f t="shared" ca="1" si="57"/>
        <v>1</v>
      </c>
      <c r="O37" s="29">
        <f t="shared" ref="O37:P37" ca="1" si="66">O31/O19</f>
        <v>1</v>
      </c>
      <c r="P37" s="29">
        <f t="shared" ca="1" si="66"/>
        <v>0.99771929824561401</v>
      </c>
      <c r="Q37" s="27"/>
      <c r="R37" s="29">
        <f t="shared" si="59"/>
        <v>0.48837209302325579</v>
      </c>
      <c r="S37" s="29">
        <f t="shared" si="59"/>
        <v>0.55769230769230771</v>
      </c>
      <c r="T37" s="29">
        <f t="shared" si="59"/>
        <v>0.45652173913043476</v>
      </c>
      <c r="U37" s="29">
        <f t="shared" si="59"/>
        <v>1</v>
      </c>
      <c r="V37" s="29">
        <f t="shared" si="59"/>
        <v>0.5</v>
      </c>
      <c r="W37" s="29">
        <f t="shared" si="59"/>
        <v>0.50738007380073802</v>
      </c>
      <c r="X37" s="29">
        <f t="shared" si="59"/>
        <v>0.5</v>
      </c>
      <c r="Y37" s="29">
        <f t="shared" si="59"/>
        <v>1</v>
      </c>
      <c r="Z37" s="29">
        <f>IFERROR(Z31/Z19,"")</f>
        <v>1</v>
      </c>
      <c r="AA37" s="29">
        <f t="shared" si="60"/>
        <v>1</v>
      </c>
      <c r="AB37" s="29">
        <f t="shared" si="60"/>
        <v>1</v>
      </c>
      <c r="AC37" s="29">
        <f t="shared" si="60"/>
        <v>1</v>
      </c>
      <c r="AD37" s="29">
        <f t="shared" si="60"/>
        <v>0.94673491975650248</v>
      </c>
      <c r="AE37" s="29">
        <f t="shared" si="60"/>
        <v>0.89516087542572564</v>
      </c>
      <c r="AF37" s="29">
        <f t="shared" si="60"/>
        <v>1</v>
      </c>
      <c r="AG37" s="29">
        <f t="shared" si="60"/>
        <v>1</v>
      </c>
      <c r="AH37" s="29">
        <f t="shared" ca="1" si="60"/>
        <v>1</v>
      </c>
      <c r="AI37" s="29">
        <f t="shared" ca="1" si="60"/>
        <v>1</v>
      </c>
      <c r="AJ37" s="29">
        <f t="shared" ca="1" si="60"/>
        <v>1</v>
      </c>
      <c r="AK37" s="29">
        <f t="shared" ca="1" si="60"/>
        <v>1</v>
      </c>
      <c r="AL37" s="29">
        <f t="shared" ca="1" si="60"/>
        <v>1</v>
      </c>
      <c r="AM37" s="29">
        <f t="shared" ca="1" si="60"/>
        <v>1</v>
      </c>
      <c r="AN37" s="29">
        <f t="shared" ca="1" si="60"/>
        <v>1</v>
      </c>
      <c r="AO37" s="29">
        <f t="shared" ca="1" si="60"/>
        <v>1</v>
      </c>
      <c r="AP37" s="29">
        <f t="shared" ca="1" si="60"/>
        <v>1</v>
      </c>
      <c r="AQ37" s="29">
        <f t="shared" ca="1" si="60"/>
        <v>1</v>
      </c>
      <c r="AR37" s="29">
        <f t="shared" ca="1" si="60"/>
        <v>0.88403584649955058</v>
      </c>
      <c r="AS37" s="29">
        <f t="shared" ca="1" si="60"/>
        <v>0.88403584649955058</v>
      </c>
      <c r="AT37" s="29">
        <f t="shared" ca="1" si="60"/>
        <v>1</v>
      </c>
      <c r="AU37" s="29">
        <f t="shared" ca="1" si="60"/>
        <v>1</v>
      </c>
      <c r="AV37" s="29">
        <f t="shared" ca="1" si="60"/>
        <v>1</v>
      </c>
      <c r="AW37" s="29">
        <f t="shared" ca="1" si="60"/>
        <v>1</v>
      </c>
      <c r="AX37" s="29">
        <f t="shared" ref="AX37:BA37" ca="1" si="67">IFERROR(AX31/AX19,"")</f>
        <v>1</v>
      </c>
      <c r="AY37" s="29">
        <f t="shared" ca="1" si="67"/>
        <v>1</v>
      </c>
      <c r="AZ37" s="29">
        <f t="shared" ca="1" si="67"/>
        <v>1</v>
      </c>
      <c r="BA37" s="29">
        <f t="shared" ca="1" si="67"/>
        <v>1</v>
      </c>
      <c r="BB37" s="29">
        <f t="shared" ref="BB37:BE37" ca="1" si="68">IFERROR(BB31/BB19,"")</f>
        <v>0.98074074074074069</v>
      </c>
      <c r="BC37" s="29">
        <f t="shared" ca="1" si="68"/>
        <v>1</v>
      </c>
      <c r="BD37" s="29">
        <f t="shared" ca="1" si="68"/>
        <v>1</v>
      </c>
      <c r="BE37" s="29">
        <f t="shared" ca="1" si="68"/>
        <v>1</v>
      </c>
      <c r="BF37" s="29"/>
      <c r="BG37" s="29">
        <f t="shared" si="63"/>
        <v>0.5</v>
      </c>
      <c r="BH37" s="29">
        <f t="shared" si="63"/>
        <v>0.5</v>
      </c>
      <c r="BI37" s="29">
        <f t="shared" si="63"/>
        <v>0.5</v>
      </c>
      <c r="BJ37" s="29">
        <f t="shared" si="63"/>
        <v>0.50738007380073802</v>
      </c>
      <c r="BK37" s="29">
        <f t="shared" si="63"/>
        <v>0.50738007380073802</v>
      </c>
      <c r="BL37" s="29">
        <f t="shared" si="63"/>
        <v>0.50738007380073802</v>
      </c>
      <c r="BM37" s="29">
        <f t="shared" si="63"/>
        <v>0.5</v>
      </c>
      <c r="BN37" s="29">
        <f t="shared" si="63"/>
        <v>0.5</v>
      </c>
      <c r="BO37" s="29">
        <f t="shared" si="63"/>
        <v>0.5</v>
      </c>
      <c r="BP37" s="29">
        <f t="shared" si="63"/>
        <v>1</v>
      </c>
      <c r="BQ37" s="29">
        <f t="shared" si="63"/>
        <v>1</v>
      </c>
      <c r="BR37" s="29">
        <f t="shared" si="63"/>
        <v>1</v>
      </c>
      <c r="BS37" s="29">
        <f t="shared" si="63"/>
        <v>1</v>
      </c>
      <c r="BT37" s="29">
        <f t="shared" si="63"/>
        <v>1</v>
      </c>
      <c r="BU37" s="29">
        <f t="shared" si="63"/>
        <v>1</v>
      </c>
      <c r="BV37" s="29">
        <f t="shared" si="63"/>
        <v>1</v>
      </c>
      <c r="BW37" s="29">
        <f t="shared" si="63"/>
        <v>1</v>
      </c>
      <c r="BX37" s="29">
        <f t="shared" si="63"/>
        <v>1</v>
      </c>
      <c r="BY37" s="29">
        <f t="shared" si="63"/>
        <v>1</v>
      </c>
      <c r="BZ37" s="29">
        <f t="shared" si="63"/>
        <v>1</v>
      </c>
      <c r="CA37" s="29">
        <f t="shared" si="63"/>
        <v>1</v>
      </c>
      <c r="CB37" s="29">
        <f t="shared" si="63"/>
        <v>1</v>
      </c>
      <c r="CC37" s="29">
        <f t="shared" si="63"/>
        <v>1</v>
      </c>
      <c r="CD37" s="50">
        <f>IFERROR(CD31/CD19,"")</f>
        <v>1</v>
      </c>
      <c r="CE37" s="29">
        <f>IFERROR(CE31/CE19,"")</f>
        <v>0.94673491975650259</v>
      </c>
      <c r="CF37" s="29">
        <f t="shared" si="64"/>
        <v>0.94673491975650259</v>
      </c>
      <c r="CG37" s="50">
        <f t="shared" si="64"/>
        <v>0.94673491975650259</v>
      </c>
      <c r="CH37" s="50">
        <f t="shared" si="64"/>
        <v>0.89516087542572564</v>
      </c>
      <c r="CI37" s="50">
        <f t="shared" si="64"/>
        <v>0.89516087542572564</v>
      </c>
      <c r="CJ37" s="50">
        <f t="shared" si="64"/>
        <v>0.89516087542572564</v>
      </c>
      <c r="CK37" s="50">
        <f t="shared" si="64"/>
        <v>1</v>
      </c>
      <c r="CL37" s="50">
        <f t="shared" si="64"/>
        <v>1</v>
      </c>
      <c r="CM37" s="50">
        <f t="shared" si="64"/>
        <v>1</v>
      </c>
      <c r="CN37" s="50">
        <f t="shared" si="64"/>
        <v>1</v>
      </c>
      <c r="CO37" s="50">
        <f t="shared" si="64"/>
        <v>1</v>
      </c>
      <c r="CP37" s="50">
        <f t="shared" si="64"/>
        <v>1</v>
      </c>
      <c r="CQ37" s="50">
        <f t="shared" si="64"/>
        <v>1</v>
      </c>
      <c r="CR37" s="50">
        <f t="shared" si="64"/>
        <v>1</v>
      </c>
      <c r="CS37" s="50">
        <f t="shared" si="64"/>
        <v>1</v>
      </c>
      <c r="CT37" s="50">
        <f t="shared" si="64"/>
        <v>1</v>
      </c>
      <c r="CU37" s="50">
        <f t="shared" si="64"/>
        <v>1</v>
      </c>
      <c r="CV37" s="50">
        <f t="shared" si="64"/>
        <v>1</v>
      </c>
      <c r="CW37" s="50">
        <f t="shared" si="64"/>
        <v>1</v>
      </c>
      <c r="CX37" s="50">
        <f t="shared" si="64"/>
        <v>1</v>
      </c>
      <c r="CY37" s="50">
        <f t="shared" si="64"/>
        <v>1</v>
      </c>
      <c r="CZ37" s="50">
        <f t="shared" si="64"/>
        <v>1</v>
      </c>
      <c r="DA37" s="50">
        <f t="shared" si="64"/>
        <v>1</v>
      </c>
      <c r="DB37" s="50">
        <f t="shared" si="64"/>
        <v>1</v>
      </c>
      <c r="DC37" s="50">
        <f t="shared" si="64"/>
        <v>1</v>
      </c>
      <c r="DD37" s="50">
        <f t="shared" si="64"/>
        <v>1</v>
      </c>
      <c r="DE37" s="50">
        <f t="shared" si="64"/>
        <v>1</v>
      </c>
      <c r="DF37" s="50">
        <f t="shared" si="64"/>
        <v>1</v>
      </c>
      <c r="DG37" s="50">
        <f t="shared" si="64"/>
        <v>1</v>
      </c>
      <c r="DH37" s="50">
        <f t="shared" si="64"/>
        <v>1</v>
      </c>
      <c r="DI37" s="50">
        <f t="shared" si="64"/>
        <v>1</v>
      </c>
      <c r="DJ37" s="50">
        <f t="shared" si="64"/>
        <v>1</v>
      </c>
      <c r="DK37" s="50">
        <f t="shared" si="64"/>
        <v>1</v>
      </c>
      <c r="DL37" s="50">
        <f t="shared" si="64"/>
        <v>1</v>
      </c>
      <c r="DM37" s="50">
        <f t="shared" si="64"/>
        <v>1</v>
      </c>
      <c r="DN37" s="50">
        <f t="shared" si="64"/>
        <v>1</v>
      </c>
      <c r="DO37" s="50">
        <f t="shared" si="64"/>
        <v>1</v>
      </c>
      <c r="DP37" s="50">
        <f t="shared" si="64"/>
        <v>1</v>
      </c>
      <c r="DQ37" s="50">
        <f t="shared" si="64"/>
        <v>1</v>
      </c>
      <c r="DR37" s="50">
        <f t="shared" si="64"/>
        <v>1</v>
      </c>
      <c r="DS37" s="50">
        <f t="shared" si="64"/>
        <v>1</v>
      </c>
      <c r="DT37" s="50">
        <f t="shared" si="64"/>
        <v>1</v>
      </c>
      <c r="DU37" s="50">
        <f t="shared" si="64"/>
        <v>0.88403584649955058</v>
      </c>
      <c r="DV37" s="50">
        <f t="shared" si="64"/>
        <v>0.88403584649955058</v>
      </c>
      <c r="DW37" s="50">
        <f t="shared" si="64"/>
        <v>0.88403584649955058</v>
      </c>
      <c r="DX37" s="50">
        <f t="shared" si="64"/>
        <v>0.88403584649955058</v>
      </c>
      <c r="DY37" s="50">
        <f t="shared" si="64"/>
        <v>0.88403584649955058</v>
      </c>
      <c r="DZ37" s="50">
        <f t="shared" si="64"/>
        <v>0.88403584649955058</v>
      </c>
      <c r="EA37" s="50">
        <f t="shared" si="64"/>
        <v>1</v>
      </c>
      <c r="EB37" s="50">
        <f t="shared" si="64"/>
        <v>1</v>
      </c>
      <c r="EC37" s="50">
        <f t="shared" si="64"/>
        <v>1</v>
      </c>
      <c r="ED37" s="50">
        <f t="shared" si="64"/>
        <v>1</v>
      </c>
      <c r="EE37" s="50">
        <f t="shared" si="64"/>
        <v>1</v>
      </c>
      <c r="EF37" s="50">
        <f t="shared" si="64"/>
        <v>1</v>
      </c>
      <c r="EG37" s="50">
        <f t="shared" si="64"/>
        <v>1</v>
      </c>
      <c r="EH37" s="50">
        <f t="shared" si="64"/>
        <v>1</v>
      </c>
      <c r="EI37" s="50">
        <f t="shared" si="64"/>
        <v>1</v>
      </c>
      <c r="EJ37" s="50">
        <f t="shared" si="64"/>
        <v>1</v>
      </c>
      <c r="EK37" s="50">
        <f t="shared" si="64"/>
        <v>1</v>
      </c>
      <c r="EL37" s="50">
        <f t="shared" si="64"/>
        <v>1</v>
      </c>
      <c r="EM37" s="50">
        <f t="shared" ref="EM37:EX37" si="69">IFERROR(EM31/EM19,"")</f>
        <v>1</v>
      </c>
      <c r="EN37" s="50">
        <f t="shared" si="69"/>
        <v>1</v>
      </c>
      <c r="EO37" s="50">
        <f t="shared" si="69"/>
        <v>1</v>
      </c>
      <c r="EP37" s="50">
        <f t="shared" si="69"/>
        <v>1</v>
      </c>
      <c r="EQ37" s="50">
        <f t="shared" si="69"/>
        <v>1</v>
      </c>
      <c r="ER37" s="50">
        <f t="shared" si="69"/>
        <v>1</v>
      </c>
      <c r="ES37" s="50">
        <f t="shared" si="69"/>
        <v>1</v>
      </c>
      <c r="ET37" s="50">
        <f t="shared" si="69"/>
        <v>1</v>
      </c>
      <c r="EU37" s="50">
        <f t="shared" si="69"/>
        <v>1</v>
      </c>
      <c r="EV37" s="50">
        <f t="shared" si="69"/>
        <v>1</v>
      </c>
      <c r="EW37" s="50">
        <f t="shared" si="69"/>
        <v>1</v>
      </c>
      <c r="EX37" s="50">
        <f t="shared" si="69"/>
        <v>1</v>
      </c>
      <c r="EY37" s="50">
        <v>0.9807407407407408</v>
      </c>
      <c r="EZ37" s="452">
        <v>0.9807407407407408</v>
      </c>
      <c r="FA37" s="50">
        <v>0.9807407407407408</v>
      </c>
      <c r="FB37" s="50">
        <v>1</v>
      </c>
      <c r="FC37" s="50">
        <v>1</v>
      </c>
      <c r="FD37" s="50">
        <v>1</v>
      </c>
      <c r="FE37" s="50">
        <v>1</v>
      </c>
      <c r="FF37" s="50">
        <v>1</v>
      </c>
      <c r="FG37" s="50">
        <v>1</v>
      </c>
      <c r="FH37" s="50">
        <v>1</v>
      </c>
      <c r="FI37" s="50">
        <v>1</v>
      </c>
      <c r="FJ37" s="50">
        <v>1</v>
      </c>
    </row>
    <row r="38" spans="3:167" s="5" customFormat="1" ht="4.5" customHeight="1" x14ac:dyDescent="0.35">
      <c r="E38" s="6"/>
      <c r="F38" s="7"/>
      <c r="G38" s="7"/>
      <c r="H38" s="7"/>
      <c r="I38" s="7"/>
      <c r="J38" s="7"/>
      <c r="K38" s="7"/>
      <c r="L38" s="7"/>
      <c r="M38" s="7"/>
      <c r="N38" s="7"/>
      <c r="O38" s="7"/>
      <c r="P38" s="7">
        <f t="shared" ca="1" si="14"/>
        <v>0</v>
      </c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12">
        <f t="shared" si="26"/>
        <v>0</v>
      </c>
      <c r="AE38" s="12">
        <f t="shared" si="27"/>
        <v>0</v>
      </c>
      <c r="AF38" s="12">
        <f t="shared" si="3"/>
        <v>0</v>
      </c>
      <c r="AG38" s="12">
        <f t="shared" si="8"/>
        <v>0</v>
      </c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>
        <f t="shared" ca="1" si="17"/>
        <v>0</v>
      </c>
      <c r="BC38" s="12">
        <f t="shared" ca="1" si="17"/>
        <v>0</v>
      </c>
      <c r="BD38" s="12">
        <f t="shared" ca="1" si="17"/>
        <v>0</v>
      </c>
      <c r="BE38" s="12">
        <f t="shared" ca="1" si="17"/>
        <v>0</v>
      </c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  <c r="BR38" s="8"/>
      <c r="BS38"/>
      <c r="BT3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Q38" s="8"/>
      <c r="EZ38" s="786"/>
    </row>
    <row r="39" spans="3:167" x14ac:dyDescent="0.35">
      <c r="C39" s="21" t="s">
        <v>109</v>
      </c>
      <c r="D39" s="22"/>
      <c r="E39" s="22"/>
      <c r="F39" s="23">
        <f>SUM(F29:F33)</f>
        <v>3316000</v>
      </c>
      <c r="G39" s="23">
        <f>SUM(G29:G33)</f>
        <v>4016000</v>
      </c>
      <c r="H39" s="23">
        <f t="shared" ref="H39:CP39" si="70">SUM(H29:H33)</f>
        <v>5065914.4213619838</v>
      </c>
      <c r="I39" s="23">
        <f>SUM(BS39:CD39)</f>
        <v>7146349.395447663</v>
      </c>
      <c r="J39" s="23">
        <f t="shared" ref="J39:O39" ca="1" si="71">SUM(J29:J31)</f>
        <v>7236897.3527116822</v>
      </c>
      <c r="K39" s="23">
        <f t="shared" ca="1" si="71"/>
        <v>9090927.0240780935</v>
      </c>
      <c r="L39" s="23">
        <f t="shared" ca="1" si="71"/>
        <v>11300000</v>
      </c>
      <c r="M39" s="23">
        <f t="shared" ca="1" si="71"/>
        <v>12116821.879366826</v>
      </c>
      <c r="N39" s="23">
        <f t="shared" ca="1" si="71"/>
        <v>14649615.56384005</v>
      </c>
      <c r="O39" s="23">
        <f t="shared" ca="1" si="71"/>
        <v>13697290.727905029</v>
      </c>
      <c r="P39" s="23">
        <f t="shared" ca="1" si="14"/>
        <v>14564710.965695998</v>
      </c>
      <c r="Q39" s="24"/>
      <c r="R39" s="24">
        <f t="shared" si="70"/>
        <v>983000</v>
      </c>
      <c r="S39" s="24">
        <f t="shared" si="70"/>
        <v>718000</v>
      </c>
      <c r="T39" s="24">
        <f t="shared" si="70"/>
        <v>923000</v>
      </c>
      <c r="U39" s="24">
        <f t="shared" si="70"/>
        <v>1392000</v>
      </c>
      <c r="V39" s="24">
        <f t="shared" si="70"/>
        <v>1191000</v>
      </c>
      <c r="W39" s="24">
        <f>SUM(W29:W33)</f>
        <v>1253969.7275530105</v>
      </c>
      <c r="X39" s="24">
        <f>SUM(X29:X33)</f>
        <v>1294318.0700122102</v>
      </c>
      <c r="Y39" s="24">
        <f>SUM(Y29:Y33)</f>
        <v>1326626.6237967624</v>
      </c>
      <c r="Z39" s="24">
        <f>SUM(BS39:BU39)</f>
        <v>1387579.8225725899</v>
      </c>
      <c r="AA39" s="24">
        <f>SUM(BV39:BX39)</f>
        <v>1574369.5177310891</v>
      </c>
      <c r="AB39" s="24">
        <f>SUM(BY39:CA39)</f>
        <v>1904518.7129826625</v>
      </c>
      <c r="AC39" s="24">
        <f>SUM(CB39:CD39)</f>
        <v>2279881.3421613211</v>
      </c>
      <c r="AD39" s="24">
        <f t="shared" si="26"/>
        <v>1766088</v>
      </c>
      <c r="AE39" s="24">
        <f t="shared" si="27"/>
        <v>1805505.0000000005</v>
      </c>
      <c r="AF39" s="24">
        <f t="shared" si="3"/>
        <v>1763190.3495842288</v>
      </c>
      <c r="AG39" s="24">
        <f>SUM(CN39:CP39)</f>
        <v>1902114.0031274538</v>
      </c>
      <c r="AH39" s="24">
        <f t="shared" ref="AH39:AW39" ca="1" si="72">SUM(AH29:AH31)</f>
        <v>2024411.6157079418</v>
      </c>
      <c r="AI39" s="24">
        <f t="shared" ca="1" si="72"/>
        <v>2193783.3994298242</v>
      </c>
      <c r="AJ39" s="24">
        <f t="shared" ca="1" si="72"/>
        <v>2347463.6658064201</v>
      </c>
      <c r="AK39" s="24">
        <f t="shared" ca="1" si="72"/>
        <v>2525268.3431339059</v>
      </c>
      <c r="AL39" s="24">
        <f t="shared" ca="1" si="72"/>
        <v>2492274.3902439023</v>
      </c>
      <c r="AM39" s="24">
        <f t="shared" ca="1" si="72"/>
        <v>2673195.1219512196</v>
      </c>
      <c r="AN39" s="24">
        <f t="shared" ca="1" si="72"/>
        <v>2919658.5365853654</v>
      </c>
      <c r="AO39" s="24">
        <f t="shared" ca="1" si="72"/>
        <v>3214871.9512195121</v>
      </c>
      <c r="AP39" s="24">
        <f t="shared" ca="1" si="72"/>
        <v>2651664.2983824257</v>
      </c>
      <c r="AQ39" s="24">
        <f t="shared" ca="1" si="72"/>
        <v>2858623.6929142461</v>
      </c>
      <c r="AR39" s="24">
        <f t="shared" ca="1" si="72"/>
        <v>3139116.2961708354</v>
      </c>
      <c r="AS39" s="24">
        <f t="shared" ca="1" si="72"/>
        <v>3467417.5918993186</v>
      </c>
      <c r="AT39" s="24">
        <f t="shared" ca="1" si="72"/>
        <v>3386580.3274303456</v>
      </c>
      <c r="AU39" s="24">
        <f t="shared" ca="1" si="72"/>
        <v>3599895.854048213</v>
      </c>
      <c r="AV39" s="24">
        <f t="shared" ca="1" si="72"/>
        <v>3693709.4382093614</v>
      </c>
      <c r="AW39" s="24">
        <f t="shared" ca="1" si="72"/>
        <v>3969429.9441521289</v>
      </c>
      <c r="AX39" s="24">
        <f t="shared" ref="AX39:BA39" ca="1" si="73">SUM(AX29:AX31)</f>
        <v>3317243.6284842575</v>
      </c>
      <c r="AY39" s="24">
        <f t="shared" ca="1" si="73"/>
        <v>3213787.4604549324</v>
      </c>
      <c r="AZ39" s="24">
        <f t="shared" ca="1" si="73"/>
        <v>3378112.4877348552</v>
      </c>
      <c r="BA39" s="24">
        <f t="shared" ca="1" si="73"/>
        <v>3788147.1512309853</v>
      </c>
      <c r="BB39" s="24">
        <f t="shared" ca="1" si="17"/>
        <v>3307727.9150499543</v>
      </c>
      <c r="BC39" s="24">
        <f t="shared" ca="1" si="17"/>
        <v>3618111.6448704498</v>
      </c>
      <c r="BD39" s="24">
        <f t="shared" ca="1" si="17"/>
        <v>3751909.9276073743</v>
      </c>
      <c r="BE39" s="24">
        <f t="shared" ca="1" si="17"/>
        <v>3886961.4781682189</v>
      </c>
      <c r="BF39" s="24"/>
      <c r="BG39" s="24">
        <f t="shared" si="70"/>
        <v>396999.99999999994</v>
      </c>
      <c r="BH39" s="24">
        <f t="shared" si="70"/>
        <v>396999.99999999994</v>
      </c>
      <c r="BI39" s="24">
        <f t="shared" si="70"/>
        <v>396999.99999999994</v>
      </c>
      <c r="BJ39" s="24">
        <f t="shared" si="70"/>
        <v>417989.90918433678</v>
      </c>
      <c r="BK39" s="24">
        <f t="shared" si="70"/>
        <v>417989.90918433678</v>
      </c>
      <c r="BL39" s="24">
        <f t="shared" si="70"/>
        <v>417989.90918433678</v>
      </c>
      <c r="BM39" s="24">
        <f t="shared" si="70"/>
        <v>431439.35667073674</v>
      </c>
      <c r="BN39" s="24">
        <f t="shared" si="70"/>
        <v>431439.35667073674</v>
      </c>
      <c r="BO39" s="24">
        <f t="shared" si="70"/>
        <v>431439.35667073674</v>
      </c>
      <c r="BP39" s="24">
        <f t="shared" si="70"/>
        <v>442208.87459892081</v>
      </c>
      <c r="BQ39" s="24">
        <f t="shared" si="70"/>
        <v>442208.87459892081</v>
      </c>
      <c r="BR39" s="24">
        <f t="shared" si="70"/>
        <v>442208.87459892081</v>
      </c>
      <c r="BS39" s="24">
        <f>SUM(BS29:BS33)</f>
        <v>442380.88713028783</v>
      </c>
      <c r="BT39" s="24">
        <f t="shared" si="70"/>
        <v>462526.60752419668</v>
      </c>
      <c r="BU39" s="24">
        <f t="shared" si="70"/>
        <v>482672.32791810541</v>
      </c>
      <c r="BV39" s="24">
        <f t="shared" si="70"/>
        <v>507017.84960238292</v>
      </c>
      <c r="BW39" s="24">
        <f t="shared" si="70"/>
        <v>524789.8392436963</v>
      </c>
      <c r="BX39" s="24">
        <f t="shared" si="70"/>
        <v>542561.82888500998</v>
      </c>
      <c r="BY39" s="24">
        <f t="shared" si="70"/>
        <v>610365.07280185143</v>
      </c>
      <c r="BZ39" s="24">
        <f>SUM(BZ29:BZ33)</f>
        <v>634839.57099422091</v>
      </c>
      <c r="CA39" s="24">
        <f t="shared" si="70"/>
        <v>659314.06918659015</v>
      </c>
      <c r="CB39" s="24">
        <f t="shared" si="70"/>
        <v>731785.47242866328</v>
      </c>
      <c r="CC39" s="24">
        <f t="shared" si="70"/>
        <v>759960.44738710695</v>
      </c>
      <c r="CD39" s="24">
        <f t="shared" si="70"/>
        <v>788135.4223455505</v>
      </c>
      <c r="CE39" s="24">
        <f>SUM(CE29:CE33)</f>
        <v>588696</v>
      </c>
      <c r="CF39" s="24">
        <f t="shared" si="70"/>
        <v>588696</v>
      </c>
      <c r="CG39" s="24">
        <f t="shared" si="70"/>
        <v>588696</v>
      </c>
      <c r="CH39" s="24">
        <f t="shared" si="70"/>
        <v>601835.00000000012</v>
      </c>
      <c r="CI39" s="24">
        <f t="shared" si="70"/>
        <v>601835.00000000012</v>
      </c>
      <c r="CJ39" s="24">
        <f t="shared" si="70"/>
        <v>601835.00000000012</v>
      </c>
      <c r="CK39" s="24">
        <f t="shared" si="70"/>
        <v>587730.11652807624</v>
      </c>
      <c r="CL39" s="24">
        <f t="shared" si="70"/>
        <v>587730.11652807624</v>
      </c>
      <c r="CM39" s="24">
        <f t="shared" si="70"/>
        <v>587730.11652807624</v>
      </c>
      <c r="CN39" s="24">
        <f t="shared" si="70"/>
        <v>634038.00104248466</v>
      </c>
      <c r="CO39" s="24">
        <f t="shared" si="70"/>
        <v>634038.00104248466</v>
      </c>
      <c r="CP39" s="24">
        <f t="shared" si="70"/>
        <v>634038.00104248466</v>
      </c>
      <c r="CQ39" s="24">
        <f>CQ29+CQ30+CQ31</f>
        <v>666081.00093777932</v>
      </c>
      <c r="CR39" s="24">
        <f t="shared" ref="CR39:DA39" si="74">CR29+CR30+CR31</f>
        <v>674803.87190264731</v>
      </c>
      <c r="CS39" s="24">
        <f t="shared" si="74"/>
        <v>683526.74286751531</v>
      </c>
      <c r="CT39" s="24">
        <f t="shared" si="74"/>
        <v>716993.938005395</v>
      </c>
      <c r="CU39" s="24">
        <f t="shared" si="74"/>
        <v>731261.1331432747</v>
      </c>
      <c r="CV39" s="24">
        <f t="shared" si="74"/>
        <v>745528.32828115451</v>
      </c>
      <c r="CW39" s="24">
        <f t="shared" si="74"/>
        <v>767608.10844164726</v>
      </c>
      <c r="CX39" s="24">
        <f t="shared" si="74"/>
        <v>782487.88860214013</v>
      </c>
      <c r="CY39" s="24">
        <f t="shared" si="74"/>
        <v>797367.66876263288</v>
      </c>
      <c r="CZ39" s="24">
        <f t="shared" si="74"/>
        <v>823161.89157030068</v>
      </c>
      <c r="DA39" s="24">
        <f t="shared" si="74"/>
        <v>841756.1143779686</v>
      </c>
      <c r="DB39" s="24">
        <f>DB29+DB30+DB31</f>
        <v>860350.33718563651</v>
      </c>
      <c r="DC39" s="24">
        <f t="shared" ref="DC39:EL39" si="75">DC29+DC30+DC31</f>
        <v>830758.13008130086</v>
      </c>
      <c r="DD39" s="24">
        <f t="shared" si="75"/>
        <v>830758.13008130086</v>
      </c>
      <c r="DE39" s="24">
        <f t="shared" si="75"/>
        <v>830758.13008130086</v>
      </c>
      <c r="DF39" s="24">
        <f t="shared" si="75"/>
        <v>891065.04065040662</v>
      </c>
      <c r="DG39" s="24">
        <f t="shared" si="75"/>
        <v>891065.04065040662</v>
      </c>
      <c r="DH39" s="24">
        <f t="shared" si="75"/>
        <v>891065.04065040662</v>
      </c>
      <c r="DI39" s="24">
        <f t="shared" si="75"/>
        <v>973219.51219512196</v>
      </c>
      <c r="DJ39" s="24">
        <f t="shared" si="75"/>
        <v>973219.51219512196</v>
      </c>
      <c r="DK39" s="24">
        <f t="shared" si="75"/>
        <v>973219.51219512196</v>
      </c>
      <c r="DL39" s="24">
        <f t="shared" si="75"/>
        <v>1071623.9837398373</v>
      </c>
      <c r="DM39" s="24">
        <f t="shared" si="75"/>
        <v>1071623.9837398373</v>
      </c>
      <c r="DN39" s="24">
        <f t="shared" si="75"/>
        <v>1071623.9837398373</v>
      </c>
      <c r="DO39" s="24">
        <f t="shared" si="75"/>
        <v>883888.09946080856</v>
      </c>
      <c r="DP39" s="24">
        <f t="shared" si="75"/>
        <v>883888.09946080856</v>
      </c>
      <c r="DQ39" s="24">
        <f t="shared" si="75"/>
        <v>883888.09946080856</v>
      </c>
      <c r="DR39" s="24">
        <f t="shared" si="75"/>
        <v>952874.56430474867</v>
      </c>
      <c r="DS39" s="24">
        <f t="shared" si="75"/>
        <v>952874.56430474867</v>
      </c>
      <c r="DT39" s="24">
        <f t="shared" si="75"/>
        <v>952874.56430474867</v>
      </c>
      <c r="DU39" s="24">
        <f t="shared" si="75"/>
        <v>1046372.0987236118</v>
      </c>
      <c r="DV39" s="24">
        <f t="shared" si="75"/>
        <v>1046372.0987236118</v>
      </c>
      <c r="DW39" s="24">
        <f t="shared" si="75"/>
        <v>1046372.0987236118</v>
      </c>
      <c r="DX39" s="24">
        <f t="shared" si="75"/>
        <v>1155805.8639664396</v>
      </c>
      <c r="DY39" s="24">
        <f t="shared" si="75"/>
        <v>1155805.8639664396</v>
      </c>
      <c r="DZ39" s="24">
        <f t="shared" si="75"/>
        <v>1155805.8639664396</v>
      </c>
      <c r="EA39" s="24">
        <f t="shared" si="75"/>
        <v>1128860.1091434485</v>
      </c>
      <c r="EB39" s="24">
        <f t="shared" si="75"/>
        <v>1128860.1091434485</v>
      </c>
      <c r="EC39" s="24">
        <f t="shared" si="75"/>
        <v>1128860.1091434485</v>
      </c>
      <c r="ED39" s="24">
        <f t="shared" si="75"/>
        <v>1199965.2846827377</v>
      </c>
      <c r="EE39" s="24">
        <f t="shared" si="75"/>
        <v>1199965.2846827377</v>
      </c>
      <c r="EF39" s="24">
        <f t="shared" si="75"/>
        <v>1199965.2846827377</v>
      </c>
      <c r="EG39" s="24">
        <f t="shared" si="75"/>
        <v>1231236.4794031207</v>
      </c>
      <c r="EH39" s="24">
        <f t="shared" si="75"/>
        <v>1231236.4794031207</v>
      </c>
      <c r="EI39" s="24">
        <f t="shared" si="75"/>
        <v>1231236.4794031207</v>
      </c>
      <c r="EJ39" s="24">
        <f t="shared" si="75"/>
        <v>1323143.3147173764</v>
      </c>
      <c r="EK39" s="24">
        <f t="shared" si="75"/>
        <v>1323143.3147173764</v>
      </c>
      <c r="EL39" s="24">
        <f t="shared" si="75"/>
        <v>1323143.3147173764</v>
      </c>
      <c r="EM39" s="24">
        <f t="shared" ref="EM39:EX39" si="76">EM29+EM30+EM31</f>
        <v>1105747.8761614191</v>
      </c>
      <c r="EN39" s="24">
        <f t="shared" si="76"/>
        <v>1105747.8761614191</v>
      </c>
      <c r="EO39" s="24">
        <f t="shared" si="76"/>
        <v>1105747.8761614191</v>
      </c>
      <c r="EP39" s="24">
        <f t="shared" si="76"/>
        <v>1071262.4868183108</v>
      </c>
      <c r="EQ39" s="24">
        <f t="shared" si="76"/>
        <v>1071262.4868183108</v>
      </c>
      <c r="ER39" s="24">
        <f t="shared" si="76"/>
        <v>1071262.4868183108</v>
      </c>
      <c r="ES39" s="24">
        <f t="shared" si="76"/>
        <v>1126037.4959116185</v>
      </c>
      <c r="ET39" s="24">
        <f t="shared" si="76"/>
        <v>1126037.4959116185</v>
      </c>
      <c r="EU39" s="24">
        <f t="shared" si="76"/>
        <v>1126037.4959116185</v>
      </c>
      <c r="EV39" s="24">
        <f t="shared" si="76"/>
        <v>1262715.7170769952</v>
      </c>
      <c r="EW39" s="24">
        <f t="shared" si="76"/>
        <v>1262715.7170769952</v>
      </c>
      <c r="EX39" s="24">
        <f t="shared" si="76"/>
        <v>1262715.7170769952</v>
      </c>
      <c r="EY39" s="24">
        <v>1102575.971683318</v>
      </c>
      <c r="EZ39" s="455">
        <v>1102575.971683318</v>
      </c>
      <c r="FA39" s="24">
        <v>1102575.971683318</v>
      </c>
      <c r="FB39" s="24">
        <v>1206037.2149568165</v>
      </c>
      <c r="FC39" s="24">
        <v>1206037.2149568165</v>
      </c>
      <c r="FD39" s="24">
        <v>1206037.2149568165</v>
      </c>
      <c r="FE39" s="24">
        <v>1250636.6425357915</v>
      </c>
      <c r="FF39" s="24">
        <v>1250636.6425357915</v>
      </c>
      <c r="FG39" s="24">
        <v>1250636.6425357915</v>
      </c>
      <c r="FH39" s="24">
        <v>1295653.826056073</v>
      </c>
      <c r="FI39" s="24">
        <v>1295653.826056073</v>
      </c>
      <c r="FJ39" s="24">
        <v>1295653.826056073</v>
      </c>
    </row>
    <row r="40" spans="3:167" x14ac:dyDescent="0.35">
      <c r="D40" s="10" t="s">
        <v>110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>
        <f t="shared" ca="1" si="14"/>
        <v>0</v>
      </c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12">
        <f t="shared" si="26"/>
        <v>0</v>
      </c>
      <c r="AE40" s="12">
        <f t="shared" si="27"/>
        <v>0</v>
      </c>
      <c r="AF40" s="12">
        <f t="shared" si="3"/>
        <v>0</v>
      </c>
      <c r="AG40" s="12">
        <f t="shared" si="8"/>
        <v>0</v>
      </c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>
        <f t="shared" ca="1" si="17"/>
        <v>0</v>
      </c>
      <c r="BC40" s="12">
        <f t="shared" ca="1" si="17"/>
        <v>0</v>
      </c>
      <c r="BD40" s="12">
        <f t="shared" ca="1" si="17"/>
        <v>0</v>
      </c>
      <c r="BE40" s="12">
        <f t="shared" ca="1" si="17"/>
        <v>0</v>
      </c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U40" s="54"/>
      <c r="BV40" s="54"/>
      <c r="BW40" s="54"/>
      <c r="BX40" s="54"/>
      <c r="BY40" s="54"/>
      <c r="BZ40" s="54"/>
      <c r="CA40" s="54"/>
      <c r="CB40" s="54"/>
      <c r="CC40" s="54"/>
      <c r="CD40" s="54"/>
      <c r="CE40" s="54"/>
      <c r="CQ40" s="54"/>
      <c r="EZ40" s="384"/>
    </row>
    <row r="41" spans="3:167" x14ac:dyDescent="0.35">
      <c r="E41" t="s">
        <v>188</v>
      </c>
      <c r="F41" s="19">
        <f>SUM(F42:F46)</f>
        <v>-3791000</v>
      </c>
      <c r="G41" s="19">
        <f>SUM(R41:U41)</f>
        <v>-4008000</v>
      </c>
      <c r="H41" s="19">
        <f t="shared" ref="H41:H46" si="77">SUM(V41:Y41)</f>
        <v>-4415334.9441342466</v>
      </c>
      <c r="I41" s="11">
        <f>SUM(BS41:CD41)</f>
        <v>-5934483.2675055321</v>
      </c>
      <c r="J41" s="19">
        <f t="shared" ref="J41:O41" ca="1" si="78">OFFSET($Z41,0,J$4)+OFFSET($AA41,0,J$4)+OFFSET($AB41,0,J$4)+OFFSET($AC41,0,J$4)</f>
        <v>-5443102.9055068642</v>
      </c>
      <c r="K41" s="19">
        <f t="shared" ca="1" si="78"/>
        <v>-8924332.4855768345</v>
      </c>
      <c r="L41" s="19">
        <f t="shared" ca="1" si="78"/>
        <v>-11500000</v>
      </c>
      <c r="M41" s="19">
        <f t="shared" ca="1" si="78"/>
        <v>-9662400.0711226985</v>
      </c>
      <c r="N41" s="19">
        <f t="shared" ca="1" si="78"/>
        <v>-9607097.1401860584</v>
      </c>
      <c r="O41" s="19">
        <f t="shared" ca="1" si="78"/>
        <v>-7710642.6166344108</v>
      </c>
      <c r="P41" s="19">
        <f t="shared" ca="1" si="14"/>
        <v>-6901507.2965857703</v>
      </c>
      <c r="Q41" s="20"/>
      <c r="R41" s="20">
        <f>SUM(R42:R46)</f>
        <v>-1062000</v>
      </c>
      <c r="S41" s="20">
        <f>SUM(S42:S46)</f>
        <v>-1002000</v>
      </c>
      <c r="T41" s="20">
        <f>SUM(T42:T46)</f>
        <v>-969000</v>
      </c>
      <c r="U41" s="20">
        <f>SUM(U42:U46)</f>
        <v>-975000</v>
      </c>
      <c r="V41" s="20">
        <v>-991000</v>
      </c>
      <c r="W41" s="20">
        <v>-1092000</v>
      </c>
      <c r="X41" s="20">
        <v>-1176991.5276226788</v>
      </c>
      <c r="Y41" s="20">
        <v>-1155343.416511568</v>
      </c>
      <c r="Z41" s="12">
        <f>SUM(BS41:BU41)</f>
        <v>-1325697.525558291</v>
      </c>
      <c r="AA41" s="12">
        <f>SUM(BV41:BX41)</f>
        <v>-1507453.1908306605</v>
      </c>
      <c r="AB41" s="12">
        <f>SUM(BY41:CA41)</f>
        <v>-1544053.7755582908</v>
      </c>
      <c r="AC41" s="12">
        <f>SUM(CB41:CD41)</f>
        <v>-1557278.7755582908</v>
      </c>
      <c r="AD41" s="12">
        <f t="shared" si="26"/>
        <v>-1490263</v>
      </c>
      <c r="AE41" s="12">
        <f t="shared" si="27"/>
        <v>-1248141</v>
      </c>
      <c r="AF41" s="12">
        <f t="shared" si="3"/>
        <v>-1300703.0936415826</v>
      </c>
      <c r="AG41" s="12">
        <f t="shared" si="8"/>
        <v>-1403995.8118652811</v>
      </c>
      <c r="AH41" s="20">
        <f t="shared" ref="AH41:AQ44" ca="1" si="79">OFFSET($CN41,0,AH$4)+OFFSET($CO41,0,AH$4)+OFFSET($CP41,0,AH$4)</f>
        <v>-1969875.4130608751</v>
      </c>
      <c r="AI41" s="20">
        <f t="shared" ca="1" si="79"/>
        <v>-2260891.9130608751</v>
      </c>
      <c r="AJ41" s="20">
        <f t="shared" ca="1" si="79"/>
        <v>-2312128.4130608756</v>
      </c>
      <c r="AK41" s="20">
        <f t="shared" ca="1" si="79"/>
        <v>-2381436.7463942086</v>
      </c>
      <c r="AL41" s="20">
        <f t="shared" ca="1" si="79"/>
        <v>-2800000</v>
      </c>
      <c r="AM41" s="20">
        <f t="shared" ca="1" si="79"/>
        <v>-2900000</v>
      </c>
      <c r="AN41" s="20">
        <f t="shared" ca="1" si="79"/>
        <v>-2900000</v>
      </c>
      <c r="AO41" s="20">
        <f t="shared" ca="1" si="79"/>
        <v>-2900000</v>
      </c>
      <c r="AP41" s="20">
        <f t="shared" ca="1" si="79"/>
        <v>-2432648.6215360342</v>
      </c>
      <c r="AQ41" s="20">
        <f t="shared" ca="1" si="79"/>
        <v>-2401627.1935983123</v>
      </c>
      <c r="AR41" s="20">
        <f t="shared" ref="AR41:BA44" ca="1" si="80">OFFSET($CN41,0,AR$4)+OFFSET($CO41,0,AR$4)+OFFSET($CP41,0,AR$4)</f>
        <v>-2414062.1279941755</v>
      </c>
      <c r="AS41" s="20">
        <f t="shared" ca="1" si="80"/>
        <v>-2414062.1279941755</v>
      </c>
      <c r="AT41" s="20">
        <f t="shared" ca="1" si="80"/>
        <v>-2398278.6600465146</v>
      </c>
      <c r="AU41" s="20">
        <f t="shared" ca="1" si="80"/>
        <v>-2398278.6600465146</v>
      </c>
      <c r="AV41" s="20">
        <f t="shared" ca="1" si="80"/>
        <v>-2398278.6600465146</v>
      </c>
      <c r="AW41" s="20">
        <f t="shared" ca="1" si="80"/>
        <v>-2412261.1600465146</v>
      </c>
      <c r="AX41" s="20">
        <f t="shared" ca="1" si="80"/>
        <v>-1929060.6725925137</v>
      </c>
      <c r="AY41" s="20">
        <f t="shared" ca="1" si="80"/>
        <v>-1928843.9813472992</v>
      </c>
      <c r="AZ41" s="20">
        <f t="shared" ca="1" si="80"/>
        <v>-1926368.9813472992</v>
      </c>
      <c r="BA41" s="20">
        <f t="shared" ca="1" si="80"/>
        <v>-1926368.9813472992</v>
      </c>
      <c r="BB41" s="20">
        <f t="shared" ca="1" si="17"/>
        <v>-1720423.02606952</v>
      </c>
      <c r="BC41" s="20">
        <f t="shared" ca="1" si="17"/>
        <v>-1721833.02606952</v>
      </c>
      <c r="BD41" s="20">
        <f t="shared" ca="1" si="17"/>
        <v>-1721833.02606952</v>
      </c>
      <c r="BE41" s="20">
        <f t="shared" ca="1" si="17"/>
        <v>-1737418.21837721</v>
      </c>
      <c r="BF41" s="20"/>
      <c r="BG41" s="20">
        <f>$V41/3</f>
        <v>-330333.33333333331</v>
      </c>
      <c r="BH41" s="20">
        <f t="shared" ref="BG41:BI53" si="81">$V41/3</f>
        <v>-330333.33333333331</v>
      </c>
      <c r="BI41" s="20">
        <f t="shared" si="81"/>
        <v>-330333.33333333331</v>
      </c>
      <c r="BJ41" s="20">
        <f t="shared" ref="BJ41:BL53" si="82">$W41/3</f>
        <v>-364000</v>
      </c>
      <c r="BK41" s="20">
        <f t="shared" si="82"/>
        <v>-364000</v>
      </c>
      <c r="BL41" s="20">
        <f>$W41/3</f>
        <v>-364000</v>
      </c>
      <c r="BM41" s="20">
        <f t="shared" ref="BM41:BO53" si="83">$X41/3</f>
        <v>-392330.50920755957</v>
      </c>
      <c r="BN41" s="20">
        <f t="shared" si="83"/>
        <v>-392330.50920755957</v>
      </c>
      <c r="BO41" s="20">
        <f t="shared" si="83"/>
        <v>-392330.50920755957</v>
      </c>
      <c r="BP41" s="20">
        <f t="shared" ref="BP41:BR53" si="84">$Y41/3</f>
        <v>-385114.47217052267</v>
      </c>
      <c r="BQ41" s="20">
        <f t="shared" si="84"/>
        <v>-385114.47217052267</v>
      </c>
      <c r="BR41" s="20">
        <f t="shared" si="84"/>
        <v>-385114.47217052267</v>
      </c>
      <c r="BS41" s="20">
        <v>-441899.17518609698</v>
      </c>
      <c r="BT41" s="20">
        <v>-441899.17518609698</v>
      </c>
      <c r="BU41" s="20">
        <v>-441899.17518609698</v>
      </c>
      <c r="BV41" s="20">
        <v>-502484.39694355353</v>
      </c>
      <c r="BW41" s="20">
        <v>-502484.39694355353</v>
      </c>
      <c r="BX41" s="20">
        <v>-502484.39694355353</v>
      </c>
      <c r="BY41" s="20">
        <v>-514684.59185276361</v>
      </c>
      <c r="BZ41" s="20">
        <v>-514684.59185276361</v>
      </c>
      <c r="CA41" s="20">
        <v>-514684.59185276361</v>
      </c>
      <c r="CB41" s="20">
        <v>-519092.92518609692</v>
      </c>
      <c r="CC41" s="20">
        <v>-519092.92518609692</v>
      </c>
      <c r="CD41" s="20">
        <v>-519092.92518609692</v>
      </c>
      <c r="CE41" s="106">
        <v>-496754.33333333331</v>
      </c>
      <c r="CF41" s="106">
        <v>-496754.33333333331</v>
      </c>
      <c r="CG41" s="106">
        <v>-496754.33333333331</v>
      </c>
      <c r="CH41" s="106">
        <v>-416047</v>
      </c>
      <c r="CI41" s="106">
        <v>-416047</v>
      </c>
      <c r="CJ41" s="106">
        <v>-416047</v>
      </c>
      <c r="CK41" s="106">
        <v>-433567.69788052753</v>
      </c>
      <c r="CL41" s="106">
        <v>-433567.69788052753</v>
      </c>
      <c r="CM41" s="106">
        <v>-433567.69788052753</v>
      </c>
      <c r="CN41" s="106">
        <v>-467998.60395509371</v>
      </c>
      <c r="CO41" s="106">
        <v>-467998.60395509371</v>
      </c>
      <c r="CP41" s="106">
        <v>-467998.60395509371</v>
      </c>
      <c r="CQ41" s="20">
        <f>CQ116</f>
        <v>-635903.74879806954</v>
      </c>
      <c r="CR41" s="20">
        <f t="shared" ref="CR41:DB41" si="85">CR116</f>
        <v>-666376.91546473617</v>
      </c>
      <c r="CS41" s="20">
        <f t="shared" si="85"/>
        <v>-667594.74879806943</v>
      </c>
      <c r="CT41" s="20">
        <f t="shared" si="85"/>
        <v>-739140.5821314028</v>
      </c>
      <c r="CU41" s="20">
        <f t="shared" si="85"/>
        <v>-793698.5821314028</v>
      </c>
      <c r="CV41" s="20">
        <f t="shared" si="85"/>
        <v>-728052.74879806943</v>
      </c>
      <c r="CW41" s="20">
        <f t="shared" si="85"/>
        <v>-760852.5821314028</v>
      </c>
      <c r="CX41" s="20">
        <f t="shared" si="85"/>
        <v>-757310.91546473629</v>
      </c>
      <c r="CY41" s="20">
        <f t="shared" si="85"/>
        <v>-793964.91546473629</v>
      </c>
      <c r="CZ41" s="20">
        <f t="shared" si="85"/>
        <v>-789209.5821314028</v>
      </c>
      <c r="DA41" s="20">
        <f t="shared" si="85"/>
        <v>-782667.91546473629</v>
      </c>
      <c r="DB41" s="20">
        <f t="shared" si="85"/>
        <v>-809559.24879806966</v>
      </c>
      <c r="DC41" s="20">
        <v>-933333.33333333337</v>
      </c>
      <c r="DD41" s="20">
        <v>-933333.33333333337</v>
      </c>
      <c r="DE41" s="20">
        <v>-933333.33333333337</v>
      </c>
      <c r="DF41" s="20">
        <v>-966666.66666666663</v>
      </c>
      <c r="DG41" s="20">
        <v>-966666.66666666663</v>
      </c>
      <c r="DH41" s="20">
        <v>-966666.66666666663</v>
      </c>
      <c r="DI41" s="20">
        <v>-966666.66666666663</v>
      </c>
      <c r="DJ41" s="20">
        <v>-966666.66666666663</v>
      </c>
      <c r="DK41" s="20">
        <v>-966666.66666666663</v>
      </c>
      <c r="DL41" s="20">
        <v>-966666.66666666663</v>
      </c>
      <c r="DM41" s="20">
        <v>-966666.66666666663</v>
      </c>
      <c r="DN41" s="20">
        <v>-966666.66666666663</v>
      </c>
      <c r="DO41" s="20">
        <v>-810882.87384534476</v>
      </c>
      <c r="DP41" s="20">
        <v>-810882.87384534476</v>
      </c>
      <c r="DQ41" s="20">
        <v>-810882.87384534476</v>
      </c>
      <c r="DR41" s="20">
        <v>-800542.39786610415</v>
      </c>
      <c r="DS41" s="20">
        <v>-800542.39786610415</v>
      </c>
      <c r="DT41" s="20">
        <v>-800542.39786610415</v>
      </c>
      <c r="DU41" s="20">
        <v>-804687.37599805847</v>
      </c>
      <c r="DV41" s="20">
        <v>-804687.37599805847</v>
      </c>
      <c r="DW41" s="20">
        <v>-804687.37599805847</v>
      </c>
      <c r="DX41" s="20">
        <v>-804687.37599805847</v>
      </c>
      <c r="DY41" s="20">
        <v>-804687.37599805847</v>
      </c>
      <c r="DZ41" s="20">
        <v>-804687.37599805847</v>
      </c>
      <c r="EA41" s="106">
        <v>-799426.22001550486</v>
      </c>
      <c r="EB41" s="106">
        <v>-799426.22001550486</v>
      </c>
      <c r="EC41" s="106">
        <v>-799426.22001550486</v>
      </c>
      <c r="ED41" s="106">
        <v>-799426.22001550486</v>
      </c>
      <c r="EE41" s="106">
        <v>-799426.22001550486</v>
      </c>
      <c r="EF41" s="106">
        <v>-799426.22001550486</v>
      </c>
      <c r="EG41" s="106">
        <v>-799426.22001550486</v>
      </c>
      <c r="EH41" s="106">
        <v>-799426.22001550486</v>
      </c>
      <c r="EI41" s="106">
        <v>-799426.22001550486</v>
      </c>
      <c r="EJ41" s="106">
        <v>-804087.05334883824</v>
      </c>
      <c r="EK41" s="106">
        <v>-804087.05334883824</v>
      </c>
      <c r="EL41" s="106">
        <v>-804087.05334883824</v>
      </c>
      <c r="EM41" s="106">
        <f>-702231.950805861-EM56</f>
        <v>-643018.01836098079</v>
      </c>
      <c r="EN41" s="106">
        <f t="shared" ref="EN41:EX41" si="86">-702231.950805861-EN56</f>
        <v>-643094.66044909973</v>
      </c>
      <c r="EO41" s="106">
        <f t="shared" si="86"/>
        <v>-642947.9937824331</v>
      </c>
      <c r="EP41" s="106">
        <f t="shared" si="86"/>
        <v>-642947.9937824331</v>
      </c>
      <c r="EQ41" s="106">
        <f t="shared" si="86"/>
        <v>-642947.9937824331</v>
      </c>
      <c r="ER41" s="106">
        <f t="shared" si="86"/>
        <v>-642947.9937824331</v>
      </c>
      <c r="ES41" s="106">
        <f t="shared" si="86"/>
        <v>-642122.9937824331</v>
      </c>
      <c r="ET41" s="106">
        <f t="shared" si="86"/>
        <v>-642122.9937824331</v>
      </c>
      <c r="EU41" s="106">
        <f t="shared" si="86"/>
        <v>-642122.9937824331</v>
      </c>
      <c r="EV41" s="106">
        <f t="shared" si="86"/>
        <v>-642122.9937824331</v>
      </c>
      <c r="EW41" s="106">
        <f t="shared" si="86"/>
        <v>-642122.9937824331</v>
      </c>
      <c r="EX41" s="106">
        <f t="shared" si="86"/>
        <v>-642122.9937824331</v>
      </c>
      <c r="EY41" s="106">
        <v>-573474.34202317335</v>
      </c>
      <c r="EZ41" s="789">
        <v>-573474.34202317335</v>
      </c>
      <c r="FA41" s="106">
        <v>-573474.34202317335</v>
      </c>
      <c r="FB41" s="106">
        <v>-573944.34202317335</v>
      </c>
      <c r="FC41" s="106">
        <v>-573944.34202317335</v>
      </c>
      <c r="FD41" s="106">
        <v>-573944.34202317335</v>
      </c>
      <c r="FE41" s="106">
        <v>-573944.34202317335</v>
      </c>
      <c r="FF41" s="106">
        <v>-573944.34202317335</v>
      </c>
      <c r="FG41" s="106">
        <v>-573944.34202317335</v>
      </c>
      <c r="FH41" s="106">
        <v>-579139.40612573666</v>
      </c>
      <c r="FI41" s="106">
        <v>-579139.40612573666</v>
      </c>
      <c r="FJ41" s="106">
        <v>-579139.40612573666</v>
      </c>
      <c r="FK41" s="304"/>
    </row>
    <row r="42" spans="3:167" s="9" customFormat="1" hidden="1" outlineLevel="1" x14ac:dyDescent="0.35">
      <c r="E42" s="33" t="s">
        <v>112</v>
      </c>
      <c r="F42" s="26">
        <v>-3791000</v>
      </c>
      <c r="G42" s="26">
        <f>SUM(R42:U42)</f>
        <v>-4008000</v>
      </c>
      <c r="H42" s="26">
        <f t="shared" ca="1" si="77"/>
        <v>0</v>
      </c>
      <c r="I42" s="26"/>
      <c r="J42" s="26"/>
      <c r="K42" s="26"/>
      <c r="L42" s="26">
        <f t="shared" ref="L42:O44" ca="1" si="87">OFFSET($Z42,0,L$4)+OFFSET($AA42,0,L$4)+OFFSET($AB42,0,L$4)+OFFSET($AC42,0,L$4)</f>
        <v>-11217885.947025428</v>
      </c>
      <c r="M42" s="26">
        <f t="shared" ca="1" si="87"/>
        <v>-9453666.0711226985</v>
      </c>
      <c r="N42" s="26">
        <f t="shared" ca="1" si="87"/>
        <v>-9393453.1401860602</v>
      </c>
      <c r="O42" s="26">
        <f t="shared" ca="1" si="87"/>
        <v>0</v>
      </c>
      <c r="P42" s="26">
        <f t="shared" ca="1" si="14"/>
        <v>0</v>
      </c>
      <c r="Q42" s="27"/>
      <c r="R42" s="27">
        <v>-1062000</v>
      </c>
      <c r="S42" s="27">
        <v>-1002000</v>
      </c>
      <c r="T42" s="27">
        <v>-969000</v>
      </c>
      <c r="U42" s="27">
        <v>-975000</v>
      </c>
      <c r="V42" s="27">
        <f t="shared" ref="V42:AG44" ca="1" si="88">OFFSET($CN42,0,V$4)+OFFSET($CO42,0,V$4)+OFFSET($CP42,0,V$4)</f>
        <v>0</v>
      </c>
      <c r="W42" s="27">
        <f t="shared" ca="1" si="88"/>
        <v>0</v>
      </c>
      <c r="X42" s="27">
        <f t="shared" ca="1" si="88"/>
        <v>0</v>
      </c>
      <c r="Y42" s="27">
        <f t="shared" ca="1" si="88"/>
        <v>0</v>
      </c>
      <c r="Z42" s="27">
        <f t="shared" ca="1" si="88"/>
        <v>0</v>
      </c>
      <c r="AA42" s="27">
        <f t="shared" ca="1" si="88"/>
        <v>0</v>
      </c>
      <c r="AB42" s="27">
        <f t="shared" ca="1" si="88"/>
        <v>0</v>
      </c>
      <c r="AC42" s="27">
        <f t="shared" ca="1" si="88"/>
        <v>0</v>
      </c>
      <c r="AD42" s="27">
        <f t="shared" ca="1" si="88"/>
        <v>0</v>
      </c>
      <c r="AE42" s="27">
        <f t="shared" ca="1" si="88"/>
        <v>0</v>
      </c>
      <c r="AF42" s="27">
        <f t="shared" ca="1" si="88"/>
        <v>0</v>
      </c>
      <c r="AG42" s="27">
        <f t="shared" ca="1" si="88"/>
        <v>0</v>
      </c>
      <c r="AH42" s="27">
        <f t="shared" ca="1" si="79"/>
        <v>-1847909.4130608751</v>
      </c>
      <c r="AI42" s="27">
        <f t="shared" ca="1" si="79"/>
        <v>-2128221.9130608747</v>
      </c>
      <c r="AJ42" s="27">
        <f t="shared" ca="1" si="79"/>
        <v>-2276284.4130608751</v>
      </c>
      <c r="AK42" s="27">
        <f t="shared" ca="1" si="79"/>
        <v>-2358892.7463942086</v>
      </c>
      <c r="AL42" s="27">
        <f t="shared" ca="1" si="79"/>
        <v>-2672494.7367563569</v>
      </c>
      <c r="AM42" s="27">
        <f t="shared" ca="1" si="79"/>
        <v>-2848463.7367563569</v>
      </c>
      <c r="AN42" s="27">
        <f t="shared" ca="1" si="79"/>
        <v>-2848463.7367563569</v>
      </c>
      <c r="AO42" s="27">
        <f t="shared" ca="1" si="79"/>
        <v>-2848463.7367563569</v>
      </c>
      <c r="AP42" s="27">
        <f t="shared" ca="1" si="79"/>
        <v>-2380465.1215360342</v>
      </c>
      <c r="AQ42" s="27">
        <f t="shared" ca="1" si="79"/>
        <v>-2349443.6935983123</v>
      </c>
      <c r="AR42" s="27">
        <f t="shared" ca="1" si="80"/>
        <v>-2361878.6279941755</v>
      </c>
      <c r="AS42" s="27">
        <f t="shared" ca="1" si="80"/>
        <v>-2361878.6279941755</v>
      </c>
      <c r="AT42" s="27">
        <f t="shared" ca="1" si="80"/>
        <v>-2348367.6600465146</v>
      </c>
      <c r="AU42" s="27">
        <f t="shared" ca="1" si="80"/>
        <v>-2348367.6600465146</v>
      </c>
      <c r="AV42" s="27">
        <f t="shared" ca="1" si="80"/>
        <v>-2348367.6600465146</v>
      </c>
      <c r="AW42" s="27">
        <f t="shared" ca="1" si="80"/>
        <v>-2348350.1600465151</v>
      </c>
      <c r="AX42" s="27">
        <f t="shared" ca="1" si="80"/>
        <v>0</v>
      </c>
      <c r="AY42" s="27">
        <f t="shared" ca="1" si="80"/>
        <v>0</v>
      </c>
      <c r="AZ42" s="27">
        <f t="shared" ca="1" si="80"/>
        <v>0</v>
      </c>
      <c r="BA42" s="27">
        <f t="shared" ca="1" si="80"/>
        <v>0</v>
      </c>
      <c r="BB42" s="27">
        <f t="shared" ca="1" si="17"/>
        <v>0</v>
      </c>
      <c r="BC42" s="27">
        <f t="shared" ca="1" si="17"/>
        <v>0</v>
      </c>
      <c r="BD42" s="27">
        <f t="shared" ca="1" si="17"/>
        <v>0</v>
      </c>
      <c r="BE42" s="27">
        <f t="shared" ca="1" si="17"/>
        <v>0</v>
      </c>
      <c r="BF42" s="27"/>
      <c r="BG42" s="27">
        <f ca="1">$V42/3</f>
        <v>0</v>
      </c>
      <c r="BH42" s="27">
        <f t="shared" ca="1" si="81"/>
        <v>0</v>
      </c>
      <c r="BI42" s="27">
        <f t="shared" ca="1" si="81"/>
        <v>0</v>
      </c>
      <c r="BJ42" s="27">
        <f t="shared" ca="1" si="82"/>
        <v>0</v>
      </c>
      <c r="BK42" s="27">
        <f t="shared" ca="1" si="82"/>
        <v>0</v>
      </c>
      <c r="BL42" s="27">
        <f t="shared" ca="1" si="82"/>
        <v>0</v>
      </c>
      <c r="BM42" s="27">
        <f t="shared" ca="1" si="83"/>
        <v>0</v>
      </c>
      <c r="BN42" s="27">
        <f t="shared" ca="1" si="83"/>
        <v>0</v>
      </c>
      <c r="BO42" s="27">
        <f t="shared" ca="1" si="83"/>
        <v>0</v>
      </c>
      <c r="BP42" s="27">
        <f t="shared" ca="1" si="84"/>
        <v>0</v>
      </c>
      <c r="BQ42" s="27">
        <f t="shared" ca="1" si="84"/>
        <v>0</v>
      </c>
      <c r="BR42" s="27">
        <f t="shared" ca="1" si="84"/>
        <v>0</v>
      </c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Q42" s="27">
        <f>CQ41-CQ43-CQ44</f>
        <v>-593768.41546473617</v>
      </c>
      <c r="CR42" s="27">
        <f t="shared" ref="CR42:DB42" si="89">CR41-CR43-CR44</f>
        <v>-617247.5821314028</v>
      </c>
      <c r="CS42" s="27">
        <f t="shared" si="89"/>
        <v>-636893.41546473606</v>
      </c>
      <c r="CT42" s="27">
        <f t="shared" si="89"/>
        <v>-685289.24879806943</v>
      </c>
      <c r="CU42" s="27">
        <f t="shared" si="89"/>
        <v>-719789.24879806943</v>
      </c>
      <c r="CV42" s="27">
        <f t="shared" si="89"/>
        <v>-723143.41546473606</v>
      </c>
      <c r="CW42" s="27">
        <f t="shared" si="89"/>
        <v>-751414.24879806943</v>
      </c>
      <c r="CX42" s="27">
        <f t="shared" si="89"/>
        <v>-752372.58213140292</v>
      </c>
      <c r="CY42" s="27">
        <f t="shared" si="89"/>
        <v>-772497.58213140292</v>
      </c>
      <c r="CZ42" s="27">
        <f t="shared" si="89"/>
        <v>-776714.24879806943</v>
      </c>
      <c r="DA42" s="27">
        <f t="shared" si="89"/>
        <v>-777672.58213140292</v>
      </c>
      <c r="DB42" s="27">
        <f t="shared" si="89"/>
        <v>-804505.91546473629</v>
      </c>
      <c r="DC42" s="27">
        <v>-873202.07891878567</v>
      </c>
      <c r="DD42" s="27">
        <v>-904700.57891878567</v>
      </c>
      <c r="DE42" s="27">
        <v>-894592.07891878567</v>
      </c>
      <c r="DF42" s="27">
        <v>-949487.91225211893</v>
      </c>
      <c r="DG42" s="27">
        <v>-949487.91225211893</v>
      </c>
      <c r="DH42" s="27">
        <v>-949487.91225211893</v>
      </c>
      <c r="DI42" s="27">
        <v>-949487.91225211893</v>
      </c>
      <c r="DJ42" s="27">
        <v>-949487.91225211893</v>
      </c>
      <c r="DK42" s="27">
        <v>-949487.91225211893</v>
      </c>
      <c r="DL42" s="27">
        <v>-949487.91225211893</v>
      </c>
      <c r="DM42" s="27">
        <v>-949487.91225211893</v>
      </c>
      <c r="DN42" s="27">
        <v>-949487.91225211893</v>
      </c>
      <c r="DO42" s="27">
        <f>DO41-DO44-DO43</f>
        <v>-793488.37384534476</v>
      </c>
      <c r="DP42" s="27">
        <f t="shared" ref="DP42:EL42" si="90">DP41-DP44-DP43</f>
        <v>-793488.37384534476</v>
      </c>
      <c r="DQ42" s="27">
        <f t="shared" si="90"/>
        <v>-793488.37384534476</v>
      </c>
      <c r="DR42" s="27">
        <f>DR41-DR44-DR43</f>
        <v>-783147.89786610415</v>
      </c>
      <c r="DS42" s="27">
        <f t="shared" si="90"/>
        <v>-783147.89786610415</v>
      </c>
      <c r="DT42" s="27">
        <f>DT41-DT44-DT43</f>
        <v>-783147.89786610415</v>
      </c>
      <c r="DU42" s="27">
        <f t="shared" si="90"/>
        <v>-787292.87599805847</v>
      </c>
      <c r="DV42" s="27">
        <f t="shared" si="90"/>
        <v>-787292.87599805847</v>
      </c>
      <c r="DW42" s="27">
        <f t="shared" si="90"/>
        <v>-787292.87599805847</v>
      </c>
      <c r="DX42" s="27">
        <f t="shared" si="90"/>
        <v>-787292.87599805847</v>
      </c>
      <c r="DY42" s="27">
        <f t="shared" si="90"/>
        <v>-787292.87599805847</v>
      </c>
      <c r="DZ42" s="27">
        <f t="shared" si="90"/>
        <v>-787292.87599805847</v>
      </c>
      <c r="EA42" s="27">
        <f t="shared" si="90"/>
        <v>-782789.22001550486</v>
      </c>
      <c r="EB42" s="27">
        <f t="shared" si="90"/>
        <v>-782789.22001550486</v>
      </c>
      <c r="EC42" s="27">
        <f t="shared" si="90"/>
        <v>-782789.22001550486</v>
      </c>
      <c r="ED42" s="27">
        <f t="shared" si="90"/>
        <v>-782789.22001550486</v>
      </c>
      <c r="EE42" s="27">
        <f t="shared" si="90"/>
        <v>-782789.22001550486</v>
      </c>
      <c r="EF42" s="27">
        <f t="shared" si="90"/>
        <v>-782789.22001550486</v>
      </c>
      <c r="EG42" s="27">
        <f t="shared" si="90"/>
        <v>-782789.22001550486</v>
      </c>
      <c r="EH42" s="27">
        <f t="shared" si="90"/>
        <v>-782789.22001550486</v>
      </c>
      <c r="EI42" s="27">
        <f t="shared" si="90"/>
        <v>-782789.22001550486</v>
      </c>
      <c r="EJ42" s="27">
        <f t="shared" si="90"/>
        <v>-782783.38668217161</v>
      </c>
      <c r="EK42" s="27">
        <f t="shared" si="90"/>
        <v>-782783.38668217161</v>
      </c>
      <c r="EL42" s="27">
        <f t="shared" si="90"/>
        <v>-782783.38668217161</v>
      </c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769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304"/>
    </row>
    <row r="43" spans="3:167" s="9" customFormat="1" hidden="1" outlineLevel="1" x14ac:dyDescent="0.35">
      <c r="E43" s="33" t="s">
        <v>113</v>
      </c>
      <c r="F43" s="26">
        <v>0</v>
      </c>
      <c r="G43" s="26">
        <f>SUM(R43:U43)</f>
        <v>0</v>
      </c>
      <c r="H43" s="26">
        <f t="shared" ca="1" si="77"/>
        <v>0</v>
      </c>
      <c r="I43" s="26"/>
      <c r="J43" s="26"/>
      <c r="K43" s="26"/>
      <c r="L43" s="26">
        <f t="shared" ca="1" si="87"/>
        <v>-87969</v>
      </c>
      <c r="M43" s="26">
        <f t="shared" ca="1" si="87"/>
        <v>-36000</v>
      </c>
      <c r="N43" s="26">
        <f t="shared" ca="1" si="87"/>
        <v>-14000</v>
      </c>
      <c r="O43" s="26">
        <f t="shared" ca="1" si="87"/>
        <v>0</v>
      </c>
      <c r="P43" s="26">
        <f t="shared" ca="1" si="14"/>
        <v>0</v>
      </c>
      <c r="Q43" s="27"/>
      <c r="R43" s="27">
        <v>0</v>
      </c>
      <c r="S43" s="27">
        <v>0</v>
      </c>
      <c r="T43" s="27">
        <v>0</v>
      </c>
      <c r="U43" s="27">
        <v>0</v>
      </c>
      <c r="V43" s="27">
        <f t="shared" ca="1" si="88"/>
        <v>0</v>
      </c>
      <c r="W43" s="27">
        <f t="shared" ca="1" si="88"/>
        <v>0</v>
      </c>
      <c r="X43" s="27">
        <f t="shared" ca="1" si="88"/>
        <v>0</v>
      </c>
      <c r="Y43" s="27">
        <f t="shared" ca="1" si="88"/>
        <v>0</v>
      </c>
      <c r="Z43" s="27">
        <f t="shared" ca="1" si="88"/>
        <v>0</v>
      </c>
      <c r="AA43" s="27">
        <f t="shared" ca="1" si="88"/>
        <v>0</v>
      </c>
      <c r="AB43" s="27">
        <f t="shared" ca="1" si="88"/>
        <v>0</v>
      </c>
      <c r="AC43" s="27">
        <f t="shared" ca="1" si="88"/>
        <v>0</v>
      </c>
      <c r="AD43" s="27">
        <f t="shared" ca="1" si="88"/>
        <v>0</v>
      </c>
      <c r="AE43" s="27">
        <f t="shared" ca="1" si="88"/>
        <v>0</v>
      </c>
      <c r="AF43" s="27">
        <f t="shared" ca="1" si="88"/>
        <v>0</v>
      </c>
      <c r="AG43" s="27">
        <f t="shared" ca="1" si="88"/>
        <v>0</v>
      </c>
      <c r="AH43" s="27">
        <f t="shared" ca="1" si="79"/>
        <v>-108800</v>
      </c>
      <c r="AI43" s="27">
        <f t="shared" ca="1" si="79"/>
        <v>-118000</v>
      </c>
      <c r="AJ43" s="27">
        <f t="shared" ca="1" si="79"/>
        <v>-21000</v>
      </c>
      <c r="AK43" s="27">
        <f t="shared" ca="1" si="79"/>
        <v>-7500</v>
      </c>
      <c r="AL43" s="27">
        <f t="shared" ca="1" si="79"/>
        <v>-78969</v>
      </c>
      <c r="AM43" s="27">
        <f t="shared" ca="1" si="79"/>
        <v>-3000</v>
      </c>
      <c r="AN43" s="27">
        <f t="shared" ca="1" si="79"/>
        <v>-3000</v>
      </c>
      <c r="AO43" s="27">
        <f t="shared" ca="1" si="79"/>
        <v>-3000</v>
      </c>
      <c r="AP43" s="27">
        <f t="shared" ca="1" si="79"/>
        <v>-9000</v>
      </c>
      <c r="AQ43" s="27">
        <f t="shared" ca="1" si="79"/>
        <v>-9000</v>
      </c>
      <c r="AR43" s="27">
        <f t="shared" ca="1" si="80"/>
        <v>-9000</v>
      </c>
      <c r="AS43" s="27">
        <f t="shared" ca="1" si="80"/>
        <v>-9000</v>
      </c>
      <c r="AT43" s="27">
        <f t="shared" ca="1" si="80"/>
        <v>0</v>
      </c>
      <c r="AU43" s="27">
        <f t="shared" ca="1" si="80"/>
        <v>0</v>
      </c>
      <c r="AV43" s="27">
        <f t="shared" ca="1" si="80"/>
        <v>0</v>
      </c>
      <c r="AW43" s="27">
        <f t="shared" ca="1" si="80"/>
        <v>-14000</v>
      </c>
      <c r="AX43" s="27">
        <f t="shared" ca="1" si="80"/>
        <v>0</v>
      </c>
      <c r="AY43" s="27">
        <f t="shared" ca="1" si="80"/>
        <v>0</v>
      </c>
      <c r="AZ43" s="27">
        <f t="shared" ca="1" si="80"/>
        <v>0</v>
      </c>
      <c r="BA43" s="27">
        <f t="shared" ca="1" si="80"/>
        <v>0</v>
      </c>
      <c r="BB43" s="27">
        <f t="shared" ca="1" si="17"/>
        <v>0</v>
      </c>
      <c r="BC43" s="27">
        <f t="shared" ca="1" si="17"/>
        <v>0</v>
      </c>
      <c r="BD43" s="27">
        <f t="shared" ca="1" si="17"/>
        <v>0</v>
      </c>
      <c r="BE43" s="27">
        <f t="shared" ca="1" si="17"/>
        <v>0</v>
      </c>
      <c r="BF43" s="27"/>
      <c r="BG43" s="27">
        <f t="shared" ca="1" si="81"/>
        <v>0</v>
      </c>
      <c r="BH43" s="27">
        <f t="shared" ca="1" si="81"/>
        <v>0</v>
      </c>
      <c r="BI43" s="27">
        <f t="shared" ca="1" si="81"/>
        <v>0</v>
      </c>
      <c r="BJ43" s="27">
        <f t="shared" ca="1" si="82"/>
        <v>0</v>
      </c>
      <c r="BK43" s="27">
        <f t="shared" ca="1" si="82"/>
        <v>0</v>
      </c>
      <c r="BL43" s="27">
        <f t="shared" ca="1" si="82"/>
        <v>0</v>
      </c>
      <c r="BM43" s="27">
        <f t="shared" ca="1" si="83"/>
        <v>0</v>
      </c>
      <c r="BN43" s="27">
        <f t="shared" ca="1" si="83"/>
        <v>0</v>
      </c>
      <c r="BO43" s="27">
        <f t="shared" ca="1" si="83"/>
        <v>0</v>
      </c>
      <c r="BP43" s="27">
        <f t="shared" ca="1" si="84"/>
        <v>0</v>
      </c>
      <c r="BQ43" s="27">
        <f t="shared" ca="1" si="84"/>
        <v>0</v>
      </c>
      <c r="BR43" s="27">
        <f t="shared" ca="1" si="84"/>
        <v>0</v>
      </c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Q43" s="27">
        <v>-37800</v>
      </c>
      <c r="CR43" s="27">
        <v>-44750</v>
      </c>
      <c r="CS43" s="27">
        <v>-26250</v>
      </c>
      <c r="CT43" s="27">
        <v>-49000</v>
      </c>
      <c r="CU43" s="27">
        <v>-69000</v>
      </c>
      <c r="CV43" s="27">
        <v>0</v>
      </c>
      <c r="CW43" s="27">
        <v>-4500</v>
      </c>
      <c r="CX43" s="27">
        <v>0</v>
      </c>
      <c r="CY43" s="27">
        <v>-16500</v>
      </c>
      <c r="CZ43" s="27">
        <v>-7500</v>
      </c>
      <c r="DA43" s="27">
        <v>0</v>
      </c>
      <c r="DB43" s="27">
        <v>0</v>
      </c>
      <c r="DC43" s="27">
        <v>-43952.5</v>
      </c>
      <c r="DD43" s="27">
        <v>-12454</v>
      </c>
      <c r="DE43" s="27">
        <v>-22562.5</v>
      </c>
      <c r="DF43" s="27">
        <v>-1000</v>
      </c>
      <c r="DG43" s="27">
        <v>-1000</v>
      </c>
      <c r="DH43" s="27">
        <v>-1000</v>
      </c>
      <c r="DI43" s="27">
        <v>-1000</v>
      </c>
      <c r="DJ43" s="27">
        <v>-1000</v>
      </c>
      <c r="DK43" s="27">
        <v>-1000</v>
      </c>
      <c r="DL43" s="27">
        <v>-1000</v>
      </c>
      <c r="DM43" s="27">
        <v>-1000</v>
      </c>
      <c r="DN43" s="27">
        <v>-1000</v>
      </c>
      <c r="DO43" s="27">
        <v>-3000</v>
      </c>
      <c r="DP43" s="27">
        <v>-3000</v>
      </c>
      <c r="DQ43" s="27">
        <v>-3000</v>
      </c>
      <c r="DR43" s="27">
        <v>-3000</v>
      </c>
      <c r="DS43" s="27">
        <v>-3000</v>
      </c>
      <c r="DT43" s="27">
        <v>-3000</v>
      </c>
      <c r="DU43" s="27">
        <v>-3000</v>
      </c>
      <c r="DV43" s="27">
        <v>-3000</v>
      </c>
      <c r="DW43" s="27">
        <v>-3000</v>
      </c>
      <c r="DX43" s="27">
        <v>-3000</v>
      </c>
      <c r="DY43" s="27">
        <v>-3000</v>
      </c>
      <c r="DZ43" s="27">
        <v>-3000</v>
      </c>
      <c r="EA43" s="27">
        <v>0</v>
      </c>
      <c r="EB43" s="27">
        <v>0</v>
      </c>
      <c r="EC43" s="27">
        <v>0</v>
      </c>
      <c r="ED43" s="27">
        <v>0</v>
      </c>
      <c r="EE43" s="27">
        <v>0</v>
      </c>
      <c r="EF43" s="27">
        <v>0</v>
      </c>
      <c r="EG43" s="27">
        <v>0</v>
      </c>
      <c r="EH43" s="27">
        <v>0</v>
      </c>
      <c r="EI43" s="27">
        <v>0</v>
      </c>
      <c r="EJ43" s="27">
        <v>-4666.666666666667</v>
      </c>
      <c r="EK43" s="27">
        <v>-4666.666666666667</v>
      </c>
      <c r="EL43" s="27">
        <v>-4666.666666666667</v>
      </c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769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304"/>
    </row>
    <row r="44" spans="3:167" s="9" customFormat="1" hidden="1" outlineLevel="1" x14ac:dyDescent="0.35">
      <c r="E44" s="33" t="s">
        <v>114</v>
      </c>
      <c r="F44" s="26">
        <v>0</v>
      </c>
      <c r="G44" s="26">
        <f>SUM(R44:U44)</f>
        <v>0</v>
      </c>
      <c r="H44" s="26">
        <f t="shared" ca="1" si="77"/>
        <v>0</v>
      </c>
      <c r="I44" s="26"/>
      <c r="J44" s="26"/>
      <c r="K44" s="26"/>
      <c r="L44" s="26">
        <f t="shared" ca="1" si="87"/>
        <v>-194145.05297457241</v>
      </c>
      <c r="M44" s="26">
        <f t="shared" ca="1" si="87"/>
        <v>-172734</v>
      </c>
      <c r="N44" s="26">
        <f t="shared" ca="1" si="87"/>
        <v>-199644</v>
      </c>
      <c r="O44" s="26">
        <f t="shared" ca="1" si="87"/>
        <v>0</v>
      </c>
      <c r="P44" s="26">
        <f t="shared" ca="1" si="14"/>
        <v>0</v>
      </c>
      <c r="Q44" s="27"/>
      <c r="R44" s="27"/>
      <c r="S44" s="27">
        <v>0</v>
      </c>
      <c r="T44" s="27">
        <v>0</v>
      </c>
      <c r="U44" s="27">
        <v>0</v>
      </c>
      <c r="V44" s="27">
        <f t="shared" ca="1" si="88"/>
        <v>0</v>
      </c>
      <c r="W44" s="27">
        <f t="shared" ca="1" si="88"/>
        <v>0</v>
      </c>
      <c r="X44" s="27">
        <f t="shared" ca="1" si="88"/>
        <v>0</v>
      </c>
      <c r="Y44" s="27">
        <f t="shared" ca="1" si="88"/>
        <v>0</v>
      </c>
      <c r="Z44" s="27">
        <f t="shared" ca="1" si="88"/>
        <v>0</v>
      </c>
      <c r="AA44" s="27">
        <f t="shared" ca="1" si="88"/>
        <v>0</v>
      </c>
      <c r="AB44" s="27">
        <f t="shared" ca="1" si="88"/>
        <v>0</v>
      </c>
      <c r="AC44" s="27">
        <f t="shared" ca="1" si="88"/>
        <v>0</v>
      </c>
      <c r="AD44" s="27">
        <f t="shared" ca="1" si="88"/>
        <v>0</v>
      </c>
      <c r="AE44" s="27">
        <f t="shared" ca="1" si="88"/>
        <v>0</v>
      </c>
      <c r="AF44" s="27">
        <f t="shared" ca="1" si="88"/>
        <v>0</v>
      </c>
      <c r="AG44" s="27">
        <f t="shared" ca="1" si="88"/>
        <v>0</v>
      </c>
      <c r="AH44" s="27">
        <f t="shared" ca="1" si="79"/>
        <v>-13166.000000000002</v>
      </c>
      <c r="AI44" s="27">
        <f t="shared" ca="1" si="79"/>
        <v>-14670.000000000002</v>
      </c>
      <c r="AJ44" s="27">
        <f t="shared" ca="1" si="79"/>
        <v>-14844.000000000002</v>
      </c>
      <c r="AK44" s="27">
        <f t="shared" ca="1" si="79"/>
        <v>-15044.000000000002</v>
      </c>
      <c r="AL44" s="27">
        <f t="shared" ca="1" si="79"/>
        <v>-48536.263243643101</v>
      </c>
      <c r="AM44" s="27">
        <f t="shared" ca="1" si="79"/>
        <v>-48536.263243643101</v>
      </c>
      <c r="AN44" s="27">
        <f t="shared" ca="1" si="79"/>
        <v>-48536.263243643101</v>
      </c>
      <c r="AO44" s="27">
        <f t="shared" ca="1" si="79"/>
        <v>-48536.263243643101</v>
      </c>
      <c r="AP44" s="27">
        <f t="shared" ca="1" si="79"/>
        <v>-43183.5</v>
      </c>
      <c r="AQ44" s="27">
        <f t="shared" ca="1" si="79"/>
        <v>-43183.5</v>
      </c>
      <c r="AR44" s="27">
        <f t="shared" ca="1" si="80"/>
        <v>-43183.5</v>
      </c>
      <c r="AS44" s="27">
        <f t="shared" ca="1" si="80"/>
        <v>-43183.5</v>
      </c>
      <c r="AT44" s="27">
        <f t="shared" ca="1" si="80"/>
        <v>-49911</v>
      </c>
      <c r="AU44" s="27">
        <f t="shared" ca="1" si="80"/>
        <v>-49911</v>
      </c>
      <c r="AV44" s="27">
        <f t="shared" ca="1" si="80"/>
        <v>-49911</v>
      </c>
      <c r="AW44" s="27">
        <f t="shared" ca="1" si="80"/>
        <v>-49911</v>
      </c>
      <c r="AX44" s="27">
        <f t="shared" ca="1" si="80"/>
        <v>0</v>
      </c>
      <c r="AY44" s="27">
        <f t="shared" ca="1" si="80"/>
        <v>0</v>
      </c>
      <c r="AZ44" s="27">
        <f t="shared" ca="1" si="80"/>
        <v>0</v>
      </c>
      <c r="BA44" s="27">
        <f t="shared" ca="1" si="80"/>
        <v>0</v>
      </c>
      <c r="BB44" s="27">
        <f t="shared" ca="1" si="17"/>
        <v>0</v>
      </c>
      <c r="BC44" s="27">
        <f t="shared" ca="1" si="17"/>
        <v>0</v>
      </c>
      <c r="BD44" s="27">
        <f t="shared" ca="1" si="17"/>
        <v>0</v>
      </c>
      <c r="BE44" s="27">
        <f t="shared" ca="1" si="17"/>
        <v>0</v>
      </c>
      <c r="BF44" s="27"/>
      <c r="BG44" s="27">
        <f t="shared" ca="1" si="81"/>
        <v>0</v>
      </c>
      <c r="BH44" s="27">
        <f t="shared" ca="1" si="81"/>
        <v>0</v>
      </c>
      <c r="BI44" s="27">
        <f t="shared" ca="1" si="81"/>
        <v>0</v>
      </c>
      <c r="BJ44" s="27">
        <f t="shared" ca="1" si="82"/>
        <v>0</v>
      </c>
      <c r="BK44" s="27">
        <f t="shared" ca="1" si="82"/>
        <v>0</v>
      </c>
      <c r="BL44" s="27">
        <f t="shared" ca="1" si="82"/>
        <v>0</v>
      </c>
      <c r="BM44" s="27">
        <f t="shared" ca="1" si="83"/>
        <v>0</v>
      </c>
      <c r="BN44" s="27">
        <f t="shared" ca="1" si="83"/>
        <v>0</v>
      </c>
      <c r="BO44" s="27">
        <f t="shared" ca="1" si="83"/>
        <v>0</v>
      </c>
      <c r="BP44" s="27">
        <f t="shared" ca="1" si="84"/>
        <v>0</v>
      </c>
      <c r="BQ44" s="27">
        <f t="shared" ca="1" si="84"/>
        <v>0</v>
      </c>
      <c r="BR44" s="27">
        <f t="shared" ca="1" si="84"/>
        <v>0</v>
      </c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Q44" s="27">
        <v>-4335.3333333333339</v>
      </c>
      <c r="CR44" s="27">
        <v>-4379.3333333333339</v>
      </c>
      <c r="CS44" s="27">
        <v>-4451.3333333333339</v>
      </c>
      <c r="CT44" s="27">
        <v>-4851.3333333333339</v>
      </c>
      <c r="CU44" s="27">
        <v>-4909.3333333333339</v>
      </c>
      <c r="CV44" s="27">
        <v>-4909.3333333333339</v>
      </c>
      <c r="CW44" s="27">
        <v>-4938.3333333333339</v>
      </c>
      <c r="CX44" s="27">
        <v>-4938.3333333333339</v>
      </c>
      <c r="CY44" s="27">
        <v>-4967.3333333333339</v>
      </c>
      <c r="CZ44" s="27">
        <v>-4995.3333333333339</v>
      </c>
      <c r="DA44" s="27">
        <v>-4995.3333333333339</v>
      </c>
      <c r="DB44" s="27">
        <v>-5053.3333333333339</v>
      </c>
      <c r="DC44" s="27">
        <v>-16178.7544145477</v>
      </c>
      <c r="DD44" s="27">
        <v>-16178.7544145477</v>
      </c>
      <c r="DE44" s="27">
        <v>-16178.7544145477</v>
      </c>
      <c r="DF44" s="27">
        <v>-16178.7544145477</v>
      </c>
      <c r="DG44" s="27">
        <v>-16178.7544145477</v>
      </c>
      <c r="DH44" s="27">
        <v>-16178.7544145477</v>
      </c>
      <c r="DI44" s="27">
        <v>-16178.7544145477</v>
      </c>
      <c r="DJ44" s="27">
        <v>-16178.7544145477</v>
      </c>
      <c r="DK44" s="27">
        <v>-16178.7544145477</v>
      </c>
      <c r="DL44" s="27">
        <v>-16178.7544145477</v>
      </c>
      <c r="DM44" s="27">
        <v>-16178.7544145477</v>
      </c>
      <c r="DN44" s="27">
        <v>-16178.7544145477</v>
      </c>
      <c r="DO44" s="27">
        <v>-14394.5</v>
      </c>
      <c r="DP44" s="27">
        <v>-14394.5</v>
      </c>
      <c r="DQ44" s="27">
        <v>-14394.5</v>
      </c>
      <c r="DR44" s="27">
        <v>-14394.5</v>
      </c>
      <c r="DS44" s="27">
        <v>-14394.5</v>
      </c>
      <c r="DT44" s="27">
        <v>-14394.5</v>
      </c>
      <c r="DU44" s="27">
        <v>-14394.5</v>
      </c>
      <c r="DV44" s="27">
        <v>-14394.5</v>
      </c>
      <c r="DW44" s="27">
        <v>-14394.5</v>
      </c>
      <c r="DX44" s="27">
        <v>-14394.5</v>
      </c>
      <c r="DY44" s="27">
        <v>-14394.5</v>
      </c>
      <c r="DZ44" s="27">
        <v>-14394.5</v>
      </c>
      <c r="EA44" s="27">
        <v>-16637</v>
      </c>
      <c r="EB44" s="27">
        <v>-16637</v>
      </c>
      <c r="EC44" s="27">
        <v>-16637</v>
      </c>
      <c r="ED44" s="27">
        <v>-16637</v>
      </c>
      <c r="EE44" s="27">
        <v>-16637</v>
      </c>
      <c r="EF44" s="27">
        <v>-16637</v>
      </c>
      <c r="EG44" s="27">
        <v>-16637</v>
      </c>
      <c r="EH44" s="27">
        <v>-16637</v>
      </c>
      <c r="EI44" s="27">
        <v>-16637</v>
      </c>
      <c r="EJ44" s="27">
        <v>-16637</v>
      </c>
      <c r="EK44" s="27">
        <v>-16637</v>
      </c>
      <c r="EL44" s="27">
        <v>-16637</v>
      </c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769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304"/>
    </row>
    <row r="45" spans="3:167" s="9" customFormat="1" hidden="1" outlineLevel="1" x14ac:dyDescent="0.35">
      <c r="E45" s="33"/>
      <c r="F45" s="26">
        <v>0</v>
      </c>
      <c r="G45" s="26">
        <f>SUM(R45:U45)</f>
        <v>0</v>
      </c>
      <c r="H45" s="26">
        <f t="shared" si="77"/>
        <v>0</v>
      </c>
      <c r="I45" s="26"/>
      <c r="J45" s="26"/>
      <c r="K45" s="26"/>
      <c r="L45" s="26"/>
      <c r="M45" s="26"/>
      <c r="N45" s="26"/>
      <c r="O45" s="26"/>
      <c r="P45" s="26">
        <f t="shared" ca="1" si="14"/>
        <v>0</v>
      </c>
      <c r="Q45" s="27"/>
      <c r="R45" s="27">
        <v>0</v>
      </c>
      <c r="S45" s="27">
        <v>0</v>
      </c>
      <c r="T45" s="27">
        <v>0</v>
      </c>
      <c r="U45" s="27">
        <v>0</v>
      </c>
      <c r="V45" s="27"/>
      <c r="W45" s="27"/>
      <c r="X45" s="27"/>
      <c r="Y45" s="27"/>
      <c r="Z45" s="27"/>
      <c r="AA45" s="12">
        <f t="shared" ref="AA45:AA53" si="91">SUM(BV45:BX45)</f>
        <v>0</v>
      </c>
      <c r="AB45" s="12">
        <f t="shared" ref="AB45:AB53" si="92">SUM(BY45:CA45)</f>
        <v>0</v>
      </c>
      <c r="AC45" s="12">
        <f t="shared" ref="AC45:AC53" si="93">SUM(CB45:CD45)</f>
        <v>0</v>
      </c>
      <c r="AD45" s="12">
        <f t="shared" si="26"/>
        <v>0</v>
      </c>
      <c r="AE45" s="12">
        <f t="shared" si="27"/>
        <v>0</v>
      </c>
      <c r="AF45" s="12">
        <f t="shared" si="3"/>
        <v>0</v>
      </c>
      <c r="AG45" s="12">
        <f t="shared" si="8"/>
        <v>0</v>
      </c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>
        <f t="shared" ca="1" si="17"/>
        <v>0</v>
      </c>
      <c r="BC45" s="20">
        <f t="shared" ca="1" si="17"/>
        <v>0</v>
      </c>
      <c r="BD45" s="20">
        <f t="shared" ca="1" si="17"/>
        <v>0</v>
      </c>
      <c r="BE45" s="20">
        <f t="shared" ca="1" si="17"/>
        <v>0</v>
      </c>
      <c r="BF45" s="27"/>
      <c r="BG45" s="27">
        <f t="shared" si="81"/>
        <v>0</v>
      </c>
      <c r="BH45" s="27">
        <f t="shared" si="81"/>
        <v>0</v>
      </c>
      <c r="BI45" s="27">
        <f t="shared" si="81"/>
        <v>0</v>
      </c>
      <c r="BJ45" s="27">
        <f t="shared" si="82"/>
        <v>0</v>
      </c>
      <c r="BK45" s="27">
        <f t="shared" si="82"/>
        <v>0</v>
      </c>
      <c r="BL45" s="27">
        <f t="shared" si="82"/>
        <v>0</v>
      </c>
      <c r="BM45" s="27">
        <f t="shared" si="83"/>
        <v>0</v>
      </c>
      <c r="BN45" s="27">
        <f t="shared" si="83"/>
        <v>0</v>
      </c>
      <c r="BO45" s="27">
        <f t="shared" si="83"/>
        <v>0</v>
      </c>
      <c r="BP45" s="27">
        <f t="shared" si="84"/>
        <v>0</v>
      </c>
      <c r="BQ45" s="27">
        <f t="shared" si="84"/>
        <v>0</v>
      </c>
      <c r="BR45" s="27">
        <f t="shared" si="84"/>
        <v>0</v>
      </c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Q45" s="27"/>
      <c r="EA45" s="106"/>
      <c r="EB45" s="106"/>
      <c r="EC45" s="106"/>
      <c r="ED45" s="106"/>
      <c r="EE45" s="106"/>
      <c r="EF45" s="106"/>
      <c r="EG45" s="106"/>
      <c r="EH45" s="106"/>
      <c r="EI45" s="106"/>
      <c r="EJ45" s="106"/>
      <c r="EK45" s="106"/>
      <c r="EL45" s="106"/>
      <c r="EM45" s="106"/>
      <c r="EN45" s="106"/>
      <c r="EO45" s="106"/>
      <c r="EP45" s="106"/>
      <c r="EQ45" s="106"/>
      <c r="ER45" s="106"/>
      <c r="ES45" s="106"/>
      <c r="ET45" s="106"/>
      <c r="EU45" s="106"/>
      <c r="EV45" s="106"/>
      <c r="EW45" s="106"/>
      <c r="EX45" s="106"/>
      <c r="EY45" s="106"/>
      <c r="EZ45" s="789"/>
      <c r="FA45" s="106"/>
      <c r="FB45" s="106"/>
      <c r="FC45" s="106"/>
      <c r="FD45" s="106"/>
      <c r="FE45" s="106"/>
      <c r="FF45" s="106"/>
      <c r="FG45" s="106"/>
      <c r="FH45" s="106"/>
      <c r="FI45" s="106"/>
      <c r="FJ45" s="106"/>
      <c r="FK45" s="304"/>
    </row>
    <row r="46" spans="3:167" s="9" customFormat="1" hidden="1" outlineLevel="1" x14ac:dyDescent="0.35">
      <c r="E46" s="33"/>
      <c r="F46" s="26"/>
      <c r="G46" s="26"/>
      <c r="H46" s="26">
        <f t="shared" si="77"/>
        <v>0</v>
      </c>
      <c r="I46" s="26"/>
      <c r="J46" s="26"/>
      <c r="K46" s="26"/>
      <c r="L46" s="26"/>
      <c r="M46" s="26"/>
      <c r="N46" s="26"/>
      <c r="O46" s="26"/>
      <c r="P46" s="26">
        <f t="shared" ca="1" si="14"/>
        <v>0</v>
      </c>
      <c r="Q46" s="27"/>
      <c r="R46" s="27">
        <v>0</v>
      </c>
      <c r="S46" s="27">
        <v>0</v>
      </c>
      <c r="T46" s="27">
        <v>0</v>
      </c>
      <c r="U46" s="27">
        <v>0</v>
      </c>
      <c r="V46" s="27"/>
      <c r="W46" s="27"/>
      <c r="X46" s="27"/>
      <c r="Y46" s="27"/>
      <c r="Z46" s="27"/>
      <c r="AA46" s="12">
        <f t="shared" si="91"/>
        <v>0</v>
      </c>
      <c r="AB46" s="12">
        <f t="shared" si="92"/>
        <v>0</v>
      </c>
      <c r="AC46" s="12">
        <f t="shared" si="93"/>
        <v>0</v>
      </c>
      <c r="AD46" s="12">
        <f t="shared" si="26"/>
        <v>0</v>
      </c>
      <c r="AE46" s="12">
        <f t="shared" si="27"/>
        <v>0</v>
      </c>
      <c r="AF46" s="12">
        <f t="shared" si="3"/>
        <v>0</v>
      </c>
      <c r="AG46" s="12">
        <f t="shared" si="8"/>
        <v>0</v>
      </c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>
        <f t="shared" ca="1" si="17"/>
        <v>0</v>
      </c>
      <c r="BC46" s="20">
        <f t="shared" ca="1" si="17"/>
        <v>0</v>
      </c>
      <c r="BD46" s="20">
        <f t="shared" ca="1" si="17"/>
        <v>0</v>
      </c>
      <c r="BE46" s="20">
        <f t="shared" ca="1" si="17"/>
        <v>0</v>
      </c>
      <c r="BF46" s="27"/>
      <c r="BG46" s="27">
        <f t="shared" si="81"/>
        <v>0</v>
      </c>
      <c r="BH46" s="27">
        <f t="shared" si="81"/>
        <v>0</v>
      </c>
      <c r="BI46" s="27">
        <f t="shared" si="81"/>
        <v>0</v>
      </c>
      <c r="BJ46" s="27">
        <f t="shared" si="82"/>
        <v>0</v>
      </c>
      <c r="BK46" s="27">
        <f t="shared" si="82"/>
        <v>0</v>
      </c>
      <c r="BL46" s="27">
        <f t="shared" si="82"/>
        <v>0</v>
      </c>
      <c r="BM46" s="27">
        <f t="shared" si="83"/>
        <v>0</v>
      </c>
      <c r="BN46" s="27">
        <f t="shared" si="83"/>
        <v>0</v>
      </c>
      <c r="BO46" s="27">
        <f t="shared" si="83"/>
        <v>0</v>
      </c>
      <c r="BP46" s="27">
        <f t="shared" si="84"/>
        <v>0</v>
      </c>
      <c r="BQ46" s="27">
        <f t="shared" si="84"/>
        <v>0</v>
      </c>
      <c r="BR46" s="27">
        <f t="shared" si="84"/>
        <v>0</v>
      </c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Q46" s="27"/>
      <c r="EA46" s="106"/>
      <c r="EB46" s="106"/>
      <c r="EC46" s="106"/>
      <c r="ED46" s="106"/>
      <c r="EE46" s="106"/>
      <c r="EF46" s="106"/>
      <c r="EG46" s="106"/>
      <c r="EH46" s="106"/>
      <c r="EI46" s="106"/>
      <c r="EJ46" s="106"/>
      <c r="EK46" s="106"/>
      <c r="EL46" s="106"/>
      <c r="EM46" s="106"/>
      <c r="EN46" s="106"/>
      <c r="EO46" s="106"/>
      <c r="EP46" s="106"/>
      <c r="EQ46" s="106"/>
      <c r="ER46" s="106"/>
      <c r="ES46" s="106"/>
      <c r="ET46" s="106"/>
      <c r="EU46" s="106"/>
      <c r="EV46" s="106"/>
      <c r="EW46" s="106"/>
      <c r="EX46" s="106"/>
      <c r="EY46" s="106"/>
      <c r="EZ46" s="789"/>
      <c r="FA46" s="106"/>
      <c r="FB46" s="106"/>
      <c r="FC46" s="106"/>
      <c r="FD46" s="106"/>
      <c r="FE46" s="106"/>
      <c r="FF46" s="106"/>
      <c r="FG46" s="106"/>
      <c r="FH46" s="106"/>
      <c r="FI46" s="106"/>
      <c r="FJ46" s="106"/>
      <c r="FK46" s="304"/>
    </row>
    <row r="47" spans="3:167" s="5" customFormat="1" ht="4.5" hidden="1" customHeight="1" outlineLevel="1" x14ac:dyDescent="0.35">
      <c r="E47" s="6"/>
      <c r="F47" s="7"/>
      <c r="G47" s="7"/>
      <c r="H47" s="7"/>
      <c r="I47" s="7"/>
      <c r="J47" s="7"/>
      <c r="K47" s="7"/>
      <c r="L47" s="7"/>
      <c r="M47" s="7"/>
      <c r="N47" s="7"/>
      <c r="O47" s="7"/>
      <c r="P47" s="7">
        <f t="shared" ca="1" si="14"/>
        <v>0</v>
      </c>
      <c r="Q47" s="8"/>
      <c r="R47" s="8"/>
      <c r="S47" s="8"/>
      <c r="T47" s="8"/>
      <c r="U47" s="8"/>
      <c r="V47" s="8"/>
      <c r="W47" s="8"/>
      <c r="X47" s="8"/>
      <c r="Y47" s="8"/>
      <c r="Z47" s="8"/>
      <c r="AA47" s="12">
        <f t="shared" si="91"/>
        <v>0</v>
      </c>
      <c r="AB47" s="12">
        <f t="shared" si="92"/>
        <v>0</v>
      </c>
      <c r="AC47" s="12">
        <f t="shared" si="93"/>
        <v>0</v>
      </c>
      <c r="AD47" s="12">
        <f t="shared" si="26"/>
        <v>0</v>
      </c>
      <c r="AE47" s="12">
        <f t="shared" si="27"/>
        <v>0</v>
      </c>
      <c r="AF47" s="12">
        <f t="shared" si="3"/>
        <v>0</v>
      </c>
      <c r="AG47" s="12">
        <f t="shared" si="8"/>
        <v>0</v>
      </c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>
        <f t="shared" ca="1" si="17"/>
        <v>0</v>
      </c>
      <c r="BC47" s="20">
        <f t="shared" ca="1" si="17"/>
        <v>0</v>
      </c>
      <c r="BD47" s="20">
        <f t="shared" ca="1" si="17"/>
        <v>0</v>
      </c>
      <c r="BE47" s="20">
        <f t="shared" ca="1" si="17"/>
        <v>0</v>
      </c>
      <c r="BF47" s="8"/>
      <c r="BG47" s="20">
        <f t="shared" si="81"/>
        <v>0</v>
      </c>
      <c r="BH47" s="20">
        <f t="shared" si="81"/>
        <v>0</v>
      </c>
      <c r="BI47" s="20">
        <f t="shared" si="81"/>
        <v>0</v>
      </c>
      <c r="BJ47" s="20">
        <f t="shared" si="82"/>
        <v>0</v>
      </c>
      <c r="BK47" s="20">
        <f t="shared" si="82"/>
        <v>0</v>
      </c>
      <c r="BL47" s="20">
        <f t="shared" si="82"/>
        <v>0</v>
      </c>
      <c r="BM47" s="20">
        <f t="shared" si="83"/>
        <v>0</v>
      </c>
      <c r="BN47" s="20">
        <f t="shared" si="83"/>
        <v>0</v>
      </c>
      <c r="BO47" s="20">
        <f t="shared" si="83"/>
        <v>0</v>
      </c>
      <c r="BP47" s="20">
        <f t="shared" si="84"/>
        <v>0</v>
      </c>
      <c r="BQ47" s="20">
        <f t="shared" si="84"/>
        <v>0</v>
      </c>
      <c r="BR47" s="20">
        <f t="shared" si="84"/>
        <v>0</v>
      </c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Q47" s="8"/>
      <c r="EA47" s="106"/>
      <c r="EB47" s="106"/>
      <c r="EC47" s="106"/>
      <c r="ED47" s="106"/>
      <c r="EE47" s="106"/>
      <c r="EF47" s="106"/>
      <c r="EG47" s="106"/>
      <c r="EH47" s="106"/>
      <c r="EI47" s="106"/>
      <c r="EJ47" s="106"/>
      <c r="EK47" s="106"/>
      <c r="EL47" s="106"/>
      <c r="EM47" s="106"/>
      <c r="EN47" s="106"/>
      <c r="EO47" s="106"/>
      <c r="EP47" s="106"/>
      <c r="EQ47" s="106"/>
      <c r="ER47" s="106"/>
      <c r="ES47" s="106"/>
      <c r="ET47" s="106"/>
      <c r="EU47" s="106"/>
      <c r="EV47" s="106"/>
      <c r="EW47" s="106"/>
      <c r="EX47" s="106"/>
      <c r="EY47" s="106"/>
      <c r="EZ47" s="789"/>
      <c r="FA47" s="106"/>
      <c r="FB47" s="106"/>
      <c r="FC47" s="106"/>
      <c r="FD47" s="106"/>
      <c r="FE47" s="106"/>
      <c r="FF47" s="106"/>
      <c r="FG47" s="106"/>
      <c r="FH47" s="106"/>
      <c r="FI47" s="106"/>
      <c r="FJ47" s="106"/>
      <c r="FK47" s="304"/>
    </row>
    <row r="48" spans="3:167" collapsed="1" x14ac:dyDescent="0.35">
      <c r="E48" t="s">
        <v>115</v>
      </c>
      <c r="F48" s="19">
        <v>-171000</v>
      </c>
      <c r="G48" s="19">
        <f>SUM(R48:U48)</f>
        <v>-270000</v>
      </c>
      <c r="H48" s="19">
        <f t="shared" ref="H48:H53" si="94">SUM(V48:Y48)</f>
        <v>-410566</v>
      </c>
      <c r="I48" s="11">
        <f t="shared" ref="I48:I63" si="95">SUM(BS48:CD48)</f>
        <v>-380000.00000000006</v>
      </c>
      <c r="J48" s="19">
        <f t="shared" ref="J48:O53" ca="1" si="96">OFFSET($Z48,0,J$4)+OFFSET($AA48,0,J$4)+OFFSET($AB48,0,J$4)+OFFSET($AC48,0,J$4)</f>
        <v>-890942</v>
      </c>
      <c r="K48" s="19">
        <f t="shared" ca="1" si="96"/>
        <v>-1263886.7910697111</v>
      </c>
      <c r="L48" s="19">
        <f t="shared" ca="1" si="96"/>
        <v>-1500000</v>
      </c>
      <c r="M48" s="19">
        <f t="shared" ca="1" si="96"/>
        <v>-2209962.8000000003</v>
      </c>
      <c r="N48" s="19">
        <f t="shared" ca="1" si="96"/>
        <v>-2369153.7702166652</v>
      </c>
      <c r="O48" s="19">
        <f t="shared" ca="1" si="96"/>
        <v>-2623883.6842542351</v>
      </c>
      <c r="P48" s="19">
        <f t="shared" ca="1" si="14"/>
        <v>-2588551.4661072115</v>
      </c>
      <c r="Q48" s="20"/>
      <c r="R48" s="20">
        <v>-63000</v>
      </c>
      <c r="S48" s="20">
        <v>-68000</v>
      </c>
      <c r="T48" s="20">
        <v>-69000</v>
      </c>
      <c r="U48" s="20">
        <v>-70000</v>
      </c>
      <c r="V48" s="20">
        <v>-94000</v>
      </c>
      <c r="W48" s="20">
        <v>-91566</v>
      </c>
      <c r="X48" s="20">
        <v>-105000</v>
      </c>
      <c r="Y48" s="20">
        <v>-120000</v>
      </c>
      <c r="Z48" s="12">
        <f t="shared" ref="Z48:Z63" si="97">SUM(BS48:BU48)</f>
        <v>-95000</v>
      </c>
      <c r="AA48" s="12">
        <f t="shared" si="91"/>
        <v>-95000</v>
      </c>
      <c r="AB48" s="12">
        <f t="shared" si="92"/>
        <v>-95000</v>
      </c>
      <c r="AC48" s="12">
        <f t="shared" si="93"/>
        <v>-95000</v>
      </c>
      <c r="AD48" s="12">
        <f t="shared" si="26"/>
        <v>-151827</v>
      </c>
      <c r="AE48" s="12">
        <f t="shared" si="27"/>
        <v>-229115</v>
      </c>
      <c r="AF48" s="12">
        <f t="shared" si="3"/>
        <v>-250000</v>
      </c>
      <c r="AG48" s="12">
        <f t="shared" si="8"/>
        <v>-260000</v>
      </c>
      <c r="AH48" s="20">
        <f t="shared" ref="AH48:AQ53" ca="1" si="98">OFFSET($CN48,0,AH$4)+OFFSET($CO48,0,AH$4)+OFFSET($CP48,0,AH$4)</f>
        <v>-256403.51594924598</v>
      </c>
      <c r="AI48" s="20">
        <f t="shared" ca="1" si="98"/>
        <v>-296948.97049470054</v>
      </c>
      <c r="AJ48" s="20">
        <f t="shared" ca="1" si="98"/>
        <v>-338494.42504015507</v>
      </c>
      <c r="AK48" s="20">
        <f t="shared" ca="1" si="98"/>
        <v>-372039.87958560965</v>
      </c>
      <c r="AL48" s="20">
        <f t="shared" ca="1" si="98"/>
        <v>-354000</v>
      </c>
      <c r="AM48" s="20">
        <f t="shared" ca="1" si="98"/>
        <v>-379000</v>
      </c>
      <c r="AN48" s="20">
        <f t="shared" ca="1" si="98"/>
        <v>-383000</v>
      </c>
      <c r="AO48" s="20">
        <f t="shared" ca="1" si="98"/>
        <v>-384000</v>
      </c>
      <c r="AP48" s="20">
        <f t="shared" ca="1" si="98"/>
        <v>-512363.20000000007</v>
      </c>
      <c r="AQ48" s="20">
        <f t="shared" ca="1" si="98"/>
        <v>-539848.20000000007</v>
      </c>
      <c r="AR48" s="20">
        <f t="shared" ref="AR48:BA53" ca="1" si="99">OFFSET($CN48,0,AR$4)+OFFSET($CO48,0,AR$4)+OFFSET($CP48,0,AR$4)</f>
        <v>-565133.20000000007</v>
      </c>
      <c r="AS48" s="20">
        <f t="shared" ca="1" si="99"/>
        <v>-592618.20000000007</v>
      </c>
      <c r="AT48" s="20">
        <f t="shared" ca="1" si="99"/>
        <v>-493701.51406210952</v>
      </c>
      <c r="AU48" s="20">
        <f t="shared" ca="1" si="99"/>
        <v>-560669.88612199028</v>
      </c>
      <c r="AV48" s="20">
        <f t="shared" ca="1" si="99"/>
        <v>-636276.93735357048</v>
      </c>
      <c r="AW48" s="20">
        <f t="shared" ca="1" si="99"/>
        <v>-678505.43267899472</v>
      </c>
      <c r="AX48" s="20">
        <f t="shared" ca="1" si="99"/>
        <v>-594691.84854686365</v>
      </c>
      <c r="AY48" s="20">
        <f t="shared" ca="1" si="99"/>
        <v>-629410.48325768625</v>
      </c>
      <c r="AZ48" s="20">
        <f t="shared" ca="1" si="99"/>
        <v>-666978.46068629762</v>
      </c>
      <c r="BA48" s="20">
        <f t="shared" ca="1" si="99"/>
        <v>-732802.89176338771</v>
      </c>
      <c r="BB48" s="20">
        <f t="shared" ca="1" si="17"/>
        <v>-628770.99888512772</v>
      </c>
      <c r="BC48" s="20">
        <f t="shared" ca="1" si="17"/>
        <v>-647754.95147691015</v>
      </c>
      <c r="BD48" s="20">
        <f t="shared" ca="1" si="17"/>
        <v>-651974.91449768457</v>
      </c>
      <c r="BE48" s="20">
        <f t="shared" ca="1" si="17"/>
        <v>-660050.60124748899</v>
      </c>
      <c r="BF48" s="20"/>
      <c r="BG48" s="20">
        <f t="shared" si="81"/>
        <v>-31333.333333333332</v>
      </c>
      <c r="BH48" s="20">
        <f t="shared" si="81"/>
        <v>-31333.333333333332</v>
      </c>
      <c r="BI48" s="20">
        <f t="shared" si="81"/>
        <v>-31333.333333333332</v>
      </c>
      <c r="BJ48" s="20">
        <f t="shared" si="82"/>
        <v>-30522</v>
      </c>
      <c r="BK48" s="20">
        <f t="shared" si="82"/>
        <v>-30522</v>
      </c>
      <c r="BL48" s="20">
        <f t="shared" si="82"/>
        <v>-30522</v>
      </c>
      <c r="BM48" s="20">
        <f t="shared" si="83"/>
        <v>-35000</v>
      </c>
      <c r="BN48" s="20">
        <f t="shared" si="83"/>
        <v>-35000</v>
      </c>
      <c r="BO48" s="20">
        <f t="shared" si="83"/>
        <v>-35000</v>
      </c>
      <c r="BP48" s="20">
        <f t="shared" si="84"/>
        <v>-40000</v>
      </c>
      <c r="BQ48" s="20">
        <f t="shared" si="84"/>
        <v>-40000</v>
      </c>
      <c r="BR48" s="20">
        <f t="shared" si="84"/>
        <v>-40000</v>
      </c>
      <c r="BS48" s="20">
        <v>-31666.666666666668</v>
      </c>
      <c r="BT48" s="20">
        <v>-31666.666666666668</v>
      </c>
      <c r="BU48" s="20">
        <v>-31666.666666666668</v>
      </c>
      <c r="BV48" s="20">
        <v>-31666.666666666668</v>
      </c>
      <c r="BW48" s="20">
        <v>-31666.666666666668</v>
      </c>
      <c r="BX48" s="20">
        <v>-31666.666666666668</v>
      </c>
      <c r="BY48" s="20">
        <v>-31666.666666666668</v>
      </c>
      <c r="BZ48" s="20">
        <v>-31666.666666666668</v>
      </c>
      <c r="CA48" s="20">
        <v>-31666.666666666668</v>
      </c>
      <c r="CB48" s="20">
        <v>-31666.666666666668</v>
      </c>
      <c r="CC48" s="20">
        <v>-31666.666666666668</v>
      </c>
      <c r="CD48" s="20">
        <v>-31666.666666666668</v>
      </c>
      <c r="CE48" s="106">
        <v>-50609</v>
      </c>
      <c r="CF48" s="106">
        <v>-50609</v>
      </c>
      <c r="CG48" s="106">
        <v>-50609</v>
      </c>
      <c r="CH48" s="106">
        <v>-76371.666666666672</v>
      </c>
      <c r="CI48" s="106">
        <v>-76371.666666666672</v>
      </c>
      <c r="CJ48" s="106">
        <v>-76371.666666666672</v>
      </c>
      <c r="CK48" s="106">
        <v>-83333.333333333328</v>
      </c>
      <c r="CL48" s="106">
        <v>-83333.333333333328</v>
      </c>
      <c r="CM48" s="106">
        <v>-83333.333333333328</v>
      </c>
      <c r="CN48" s="106">
        <v>-86666.666666666672</v>
      </c>
      <c r="CO48" s="106">
        <v>-86666.666666666672</v>
      </c>
      <c r="CP48" s="106">
        <v>-86666.666666666672</v>
      </c>
      <c r="CQ48" s="106">
        <v>-81740.565922475929</v>
      </c>
      <c r="CR48" s="106">
        <v>-84467.838649748664</v>
      </c>
      <c r="CS48" s="106">
        <v>-90195.111377021385</v>
      </c>
      <c r="CT48" s="106">
        <v>-93922.38410429412</v>
      </c>
      <c r="CU48" s="106">
        <v>-99649.656831566856</v>
      </c>
      <c r="CV48" s="106">
        <v>-103376.92955883958</v>
      </c>
      <c r="CW48" s="106">
        <v>-109104.2022861123</v>
      </c>
      <c r="CX48" s="106">
        <v>-111831.47501338503</v>
      </c>
      <c r="CY48" s="106">
        <v>-117558.74774065777</v>
      </c>
      <c r="CZ48" s="106">
        <v>-120286.02046793049</v>
      </c>
      <c r="DA48" s="106">
        <v>-125013.29319520321</v>
      </c>
      <c r="DB48" s="106">
        <v>-126740.56592247594</v>
      </c>
      <c r="DC48" s="106">
        <v>-116000</v>
      </c>
      <c r="DD48" s="106">
        <v>-118000</v>
      </c>
      <c r="DE48" s="106">
        <v>-120000</v>
      </c>
      <c r="DF48" s="106">
        <v>-125000</v>
      </c>
      <c r="DG48" s="106">
        <v>-127000</v>
      </c>
      <c r="DH48" s="106">
        <v>-127000</v>
      </c>
      <c r="DI48" s="106">
        <v>-127000</v>
      </c>
      <c r="DJ48" s="106">
        <v>-128000</v>
      </c>
      <c r="DK48" s="106">
        <v>-128000</v>
      </c>
      <c r="DL48" s="106">
        <v>-128000</v>
      </c>
      <c r="DM48" s="106">
        <v>-128000</v>
      </c>
      <c r="DN48" s="106">
        <v>-128000</v>
      </c>
      <c r="DO48" s="106">
        <v>-170787.73333333337</v>
      </c>
      <c r="DP48" s="106">
        <v>-170787.73333333337</v>
      </c>
      <c r="DQ48" s="106">
        <v>-170787.73333333337</v>
      </c>
      <c r="DR48" s="106">
        <v>-179949.40000000002</v>
      </c>
      <c r="DS48" s="106">
        <v>-179949.40000000002</v>
      </c>
      <c r="DT48" s="106">
        <v>-179949.40000000002</v>
      </c>
      <c r="DU48" s="106">
        <v>-188377.73333333337</v>
      </c>
      <c r="DV48" s="106">
        <v>-188377.73333333337</v>
      </c>
      <c r="DW48" s="106">
        <v>-188377.73333333337</v>
      </c>
      <c r="DX48" s="106">
        <v>-197539.40000000002</v>
      </c>
      <c r="DY48" s="106">
        <v>-197539.40000000002</v>
      </c>
      <c r="DZ48" s="106">
        <v>-197539.40000000002</v>
      </c>
      <c r="EA48" s="106">
        <v>-164567.17135403652</v>
      </c>
      <c r="EB48" s="106">
        <v>-164567.17135403652</v>
      </c>
      <c r="EC48" s="106">
        <v>-164567.17135403652</v>
      </c>
      <c r="ED48" s="106">
        <v>-186889.96204066343</v>
      </c>
      <c r="EE48" s="106">
        <v>-186889.96204066343</v>
      </c>
      <c r="EF48" s="106">
        <v>-186889.96204066343</v>
      </c>
      <c r="EG48" s="106">
        <v>-212092.31245119017</v>
      </c>
      <c r="EH48" s="106">
        <v>-212092.31245119017</v>
      </c>
      <c r="EI48" s="106">
        <v>-212092.31245119017</v>
      </c>
      <c r="EJ48" s="106">
        <v>-226168.4775596649</v>
      </c>
      <c r="EK48" s="106">
        <v>-226168.4775596649</v>
      </c>
      <c r="EL48" s="106">
        <v>-226168.4775596649</v>
      </c>
      <c r="EM48" s="106">
        <v>-198230.61618228789</v>
      </c>
      <c r="EN48" s="106">
        <v>-198230.61618228789</v>
      </c>
      <c r="EO48" s="106">
        <v>-198230.61618228789</v>
      </c>
      <c r="EP48" s="106">
        <v>-209803.49441922875</v>
      </c>
      <c r="EQ48" s="106">
        <v>-209803.49441922875</v>
      </c>
      <c r="ER48" s="106">
        <v>-209803.49441922875</v>
      </c>
      <c r="ES48" s="106">
        <v>-222326.15356209921</v>
      </c>
      <c r="ET48" s="106">
        <v>-222326.15356209921</v>
      </c>
      <c r="EU48" s="106">
        <v>-222326.15356209921</v>
      </c>
      <c r="EV48" s="106">
        <v>-244267.63058779589</v>
      </c>
      <c r="EW48" s="106">
        <v>-244267.63058779589</v>
      </c>
      <c r="EX48" s="106">
        <v>-244267.63058779589</v>
      </c>
      <c r="EY48" s="106">
        <v>-209590.33296170924</v>
      </c>
      <c r="EZ48" s="789">
        <v>-209590.33296170924</v>
      </c>
      <c r="FA48" s="106">
        <v>-209590.33296170924</v>
      </c>
      <c r="FB48" s="106">
        <v>-215918.31715897005</v>
      </c>
      <c r="FC48" s="106">
        <v>-215918.31715897005</v>
      </c>
      <c r="FD48" s="106">
        <v>-215918.31715897005</v>
      </c>
      <c r="FE48" s="106">
        <v>-217324.97149922818</v>
      </c>
      <c r="FF48" s="106">
        <v>-217324.97149922818</v>
      </c>
      <c r="FG48" s="106">
        <v>-217324.97149922818</v>
      </c>
      <c r="FH48" s="106">
        <v>-220016.86708249632</v>
      </c>
      <c r="FI48" s="106">
        <v>-220016.86708249632</v>
      </c>
      <c r="FJ48" s="106">
        <v>-220016.86708249632</v>
      </c>
      <c r="FK48" s="304"/>
    </row>
    <row r="49" spans="3:168" x14ac:dyDescent="0.35">
      <c r="E49" t="s">
        <v>116</v>
      </c>
      <c r="F49" s="19">
        <v>-222000</v>
      </c>
      <c r="G49" s="19">
        <f>SUM(R49:U49)</f>
        <v>-311000</v>
      </c>
      <c r="H49" s="19">
        <f t="shared" si="94"/>
        <v>-377779</v>
      </c>
      <c r="I49" s="11">
        <f t="shared" si="95"/>
        <v>-540000</v>
      </c>
      <c r="J49" s="19">
        <f t="shared" ca="1" si="96"/>
        <v>-514281</v>
      </c>
      <c r="K49" s="19">
        <f t="shared" ca="1" si="96"/>
        <v>-519426.83579282236</v>
      </c>
      <c r="L49" s="19">
        <f t="shared" ca="1" si="96"/>
        <v>-550000</v>
      </c>
      <c r="M49" s="19">
        <f t="shared" ca="1" si="96"/>
        <v>-562207.45394516236</v>
      </c>
      <c r="N49" s="19">
        <f t="shared" ca="1" si="96"/>
        <v>-615729.29204878001</v>
      </c>
      <c r="O49" s="19">
        <f t="shared" ca="1" si="96"/>
        <v>-704112.99477182061</v>
      </c>
      <c r="P49" s="19">
        <f t="shared" ca="1" si="14"/>
        <v>-651372</v>
      </c>
      <c r="Q49" s="20"/>
      <c r="R49" s="20">
        <v>-68000</v>
      </c>
      <c r="S49" s="20">
        <v>-70000</v>
      </c>
      <c r="T49" s="20">
        <v>-83000</v>
      </c>
      <c r="U49" s="20">
        <v>-90000</v>
      </c>
      <c r="V49" s="20">
        <v>-98000</v>
      </c>
      <c r="W49" s="20">
        <v>-91779</v>
      </c>
      <c r="X49" s="20">
        <v>-94000</v>
      </c>
      <c r="Y49" s="20">
        <v>-94000</v>
      </c>
      <c r="Z49" s="12">
        <f t="shared" si="97"/>
        <v>-150000</v>
      </c>
      <c r="AA49" s="12">
        <f t="shared" si="91"/>
        <v>-140000</v>
      </c>
      <c r="AB49" s="12">
        <f t="shared" si="92"/>
        <v>-130000</v>
      </c>
      <c r="AC49" s="12">
        <f t="shared" si="93"/>
        <v>-120000</v>
      </c>
      <c r="AD49" s="12">
        <f t="shared" si="26"/>
        <v>-134024</v>
      </c>
      <c r="AE49" s="12">
        <f t="shared" si="27"/>
        <v>-137757</v>
      </c>
      <c r="AF49" s="12">
        <f t="shared" si="3"/>
        <v>-120000</v>
      </c>
      <c r="AG49" s="12">
        <f t="shared" si="8"/>
        <v>-122500</v>
      </c>
      <c r="AH49" s="20">
        <f t="shared" ca="1" si="98"/>
        <v>-129856.70894820559</v>
      </c>
      <c r="AI49" s="20">
        <f t="shared" ca="1" si="98"/>
        <v>-129856.70894820559</v>
      </c>
      <c r="AJ49" s="20">
        <f t="shared" ca="1" si="98"/>
        <v>-129856.70894820559</v>
      </c>
      <c r="AK49" s="20">
        <f t="shared" ca="1" si="98"/>
        <v>-129856.70894820559</v>
      </c>
      <c r="AL49" s="20">
        <f t="shared" ca="1" si="98"/>
        <v>-137500</v>
      </c>
      <c r="AM49" s="20">
        <f t="shared" ca="1" si="98"/>
        <v>-137500</v>
      </c>
      <c r="AN49" s="20">
        <f t="shared" ca="1" si="98"/>
        <v>-137500</v>
      </c>
      <c r="AO49" s="20">
        <f t="shared" ca="1" si="98"/>
        <v>-137500</v>
      </c>
      <c r="AP49" s="20">
        <f t="shared" ca="1" si="98"/>
        <v>-138526.86348629062</v>
      </c>
      <c r="AQ49" s="20">
        <f t="shared" ca="1" si="98"/>
        <v>-141226.86348629059</v>
      </c>
      <c r="AR49" s="20">
        <f t="shared" ca="1" si="99"/>
        <v>-141226.86348629059</v>
      </c>
      <c r="AS49" s="20">
        <f t="shared" ca="1" si="99"/>
        <v>-141226.86348629059</v>
      </c>
      <c r="AT49" s="20">
        <f t="shared" ca="1" si="99"/>
        <v>-153084.785512195</v>
      </c>
      <c r="AU49" s="20">
        <f t="shared" ca="1" si="99"/>
        <v>-154214.83551219499</v>
      </c>
      <c r="AV49" s="20">
        <f t="shared" ca="1" si="99"/>
        <v>-154214.83551219499</v>
      </c>
      <c r="AW49" s="20">
        <f t="shared" ca="1" si="99"/>
        <v>-154214.83551219499</v>
      </c>
      <c r="AX49" s="20">
        <f t="shared" ca="1" si="99"/>
        <v>-171553.25619295513</v>
      </c>
      <c r="AY49" s="20">
        <f t="shared" ca="1" si="99"/>
        <v>-177462.57619295514</v>
      </c>
      <c r="AZ49" s="20">
        <f t="shared" ca="1" si="99"/>
        <v>-177462.57619295514</v>
      </c>
      <c r="BA49" s="20">
        <f t="shared" ca="1" si="99"/>
        <v>-177634.58619295515</v>
      </c>
      <c r="BB49" s="20">
        <f t="shared" ca="1" si="17"/>
        <v>-162843</v>
      </c>
      <c r="BC49" s="20">
        <f t="shared" ca="1" si="17"/>
        <v>-162843</v>
      </c>
      <c r="BD49" s="20">
        <f t="shared" ca="1" si="17"/>
        <v>-162843</v>
      </c>
      <c r="BE49" s="20">
        <f t="shared" ca="1" si="17"/>
        <v>-162843</v>
      </c>
      <c r="BF49" s="20"/>
      <c r="BG49" s="20">
        <f t="shared" si="81"/>
        <v>-32666.666666666668</v>
      </c>
      <c r="BH49" s="20">
        <f t="shared" si="81"/>
        <v>-32666.666666666668</v>
      </c>
      <c r="BI49" s="20">
        <f t="shared" si="81"/>
        <v>-32666.666666666668</v>
      </c>
      <c r="BJ49" s="20">
        <f t="shared" si="82"/>
        <v>-30593</v>
      </c>
      <c r="BK49" s="20">
        <f t="shared" si="82"/>
        <v>-30593</v>
      </c>
      <c r="BL49" s="20">
        <f t="shared" si="82"/>
        <v>-30593</v>
      </c>
      <c r="BM49" s="20">
        <f t="shared" si="83"/>
        <v>-31333.333333333332</v>
      </c>
      <c r="BN49" s="20">
        <f t="shared" si="83"/>
        <v>-31333.333333333332</v>
      </c>
      <c r="BO49" s="20">
        <f t="shared" si="83"/>
        <v>-31333.333333333332</v>
      </c>
      <c r="BP49" s="20">
        <f t="shared" si="84"/>
        <v>-31333.333333333332</v>
      </c>
      <c r="BQ49" s="20">
        <f t="shared" si="84"/>
        <v>-31333.333333333332</v>
      </c>
      <c r="BR49" s="20">
        <f t="shared" si="84"/>
        <v>-31333.333333333332</v>
      </c>
      <c r="BS49" s="20">
        <v>-50000</v>
      </c>
      <c r="BT49" s="20">
        <v>-50000</v>
      </c>
      <c r="BU49" s="20">
        <v>-50000</v>
      </c>
      <c r="BV49" s="20">
        <v>-46666.666666666664</v>
      </c>
      <c r="BW49" s="20">
        <v>-46666.666666666664</v>
      </c>
      <c r="BX49" s="20">
        <v>-46666.666666666664</v>
      </c>
      <c r="BY49" s="20">
        <v>-43333.333333333336</v>
      </c>
      <c r="BZ49" s="20">
        <v>-43333.333333333336</v>
      </c>
      <c r="CA49" s="20">
        <v>-43333.333333333336</v>
      </c>
      <c r="CB49" s="20">
        <v>-40000</v>
      </c>
      <c r="CC49" s="20">
        <v>-40000</v>
      </c>
      <c r="CD49" s="20">
        <v>-40000</v>
      </c>
      <c r="CE49" s="106">
        <v>-44674.666666666664</v>
      </c>
      <c r="CF49" s="106">
        <v>-44674.666666666664</v>
      </c>
      <c r="CG49" s="106">
        <v>-44674.666666666664</v>
      </c>
      <c r="CH49" s="106">
        <v>-45919</v>
      </c>
      <c r="CI49" s="106">
        <v>-45919</v>
      </c>
      <c r="CJ49" s="106">
        <v>-45919</v>
      </c>
      <c r="CK49" s="106">
        <v>-40000</v>
      </c>
      <c r="CL49" s="106">
        <v>-40000</v>
      </c>
      <c r="CM49" s="106">
        <v>-40000</v>
      </c>
      <c r="CN49" s="106">
        <v>-40833.333333333336</v>
      </c>
      <c r="CO49" s="106">
        <v>-40833.333333333336</v>
      </c>
      <c r="CP49" s="106">
        <v>-40833.333333333336</v>
      </c>
      <c r="CQ49" s="106">
        <f>-51618.9029827352+(CQ111/2)</f>
        <v>-43285.569649401863</v>
      </c>
      <c r="CR49" s="106">
        <f t="shared" ref="CR49:DB49" si="100">-51618.9029827352+(CR111/2)</f>
        <v>-43285.569649401863</v>
      </c>
      <c r="CS49" s="106">
        <f t="shared" si="100"/>
        <v>-43285.569649401863</v>
      </c>
      <c r="CT49" s="106">
        <f t="shared" si="100"/>
        <v>-43285.569649401863</v>
      </c>
      <c r="CU49" s="106">
        <f t="shared" si="100"/>
        <v>-43285.569649401863</v>
      </c>
      <c r="CV49" s="106">
        <f t="shared" si="100"/>
        <v>-43285.569649401863</v>
      </c>
      <c r="CW49" s="106">
        <f t="shared" si="100"/>
        <v>-43285.569649401863</v>
      </c>
      <c r="CX49" s="106">
        <f t="shared" si="100"/>
        <v>-43285.569649401863</v>
      </c>
      <c r="CY49" s="106">
        <f t="shared" si="100"/>
        <v>-43285.569649401863</v>
      </c>
      <c r="CZ49" s="106">
        <f t="shared" si="100"/>
        <v>-43285.569649401863</v>
      </c>
      <c r="DA49" s="106">
        <f t="shared" si="100"/>
        <v>-43285.569649401863</v>
      </c>
      <c r="DB49" s="106">
        <f t="shared" si="100"/>
        <v>-43285.569649401863</v>
      </c>
      <c r="DC49" s="106">
        <v>-45833.333333333336</v>
      </c>
      <c r="DD49" s="106">
        <v>-45833.333333333336</v>
      </c>
      <c r="DE49" s="106">
        <v>-45833.333333333336</v>
      </c>
      <c r="DF49" s="106">
        <v>-45833.333333333336</v>
      </c>
      <c r="DG49" s="106">
        <v>-45833.333333333336</v>
      </c>
      <c r="DH49" s="106">
        <v>-45833.333333333336</v>
      </c>
      <c r="DI49" s="106">
        <v>-45833.333333333336</v>
      </c>
      <c r="DJ49" s="106">
        <v>-45833.333333333336</v>
      </c>
      <c r="DK49" s="106">
        <v>-45833.333333333336</v>
      </c>
      <c r="DL49" s="106">
        <v>-45833.333333333336</v>
      </c>
      <c r="DM49" s="106">
        <v>-45833.333333333336</v>
      </c>
      <c r="DN49" s="106">
        <v>-45833.333333333336</v>
      </c>
      <c r="DO49" s="106">
        <v>-46175.621162096875</v>
      </c>
      <c r="DP49" s="106">
        <v>-46175.621162096875</v>
      </c>
      <c r="DQ49" s="106">
        <v>-46175.621162096875</v>
      </c>
      <c r="DR49" s="106">
        <v>-47075.621162096861</v>
      </c>
      <c r="DS49" s="106">
        <v>-47075.621162096861</v>
      </c>
      <c r="DT49" s="106">
        <v>-47075.621162096861</v>
      </c>
      <c r="DU49" s="106">
        <v>-47075.621162096861</v>
      </c>
      <c r="DV49" s="106">
        <v>-47075.621162096861</v>
      </c>
      <c r="DW49" s="106">
        <v>-47075.621162096861</v>
      </c>
      <c r="DX49" s="106">
        <v>-47075.621162096861</v>
      </c>
      <c r="DY49" s="106">
        <v>-47075.621162096861</v>
      </c>
      <c r="DZ49" s="106">
        <v>-47075.621162096861</v>
      </c>
      <c r="EA49" s="106">
        <v>-51028.261837398335</v>
      </c>
      <c r="EB49" s="106">
        <v>-51028.261837398335</v>
      </c>
      <c r="EC49" s="106">
        <v>-51028.261837398335</v>
      </c>
      <c r="ED49" s="106">
        <v>-51404.945170731662</v>
      </c>
      <c r="EE49" s="106">
        <v>-51404.945170731662</v>
      </c>
      <c r="EF49" s="106">
        <v>-51404.945170731662</v>
      </c>
      <c r="EG49" s="106">
        <v>-51404.945170731662</v>
      </c>
      <c r="EH49" s="106">
        <v>-51404.945170731662</v>
      </c>
      <c r="EI49" s="106">
        <v>-51404.945170731662</v>
      </c>
      <c r="EJ49" s="106">
        <v>-51404.945170731662</v>
      </c>
      <c r="EK49" s="106">
        <v>-51404.945170731662</v>
      </c>
      <c r="EL49" s="106">
        <v>-51404.945170731662</v>
      </c>
      <c r="EM49" s="106">
        <v>-57184.418730985046</v>
      </c>
      <c r="EN49" s="106">
        <v>-57184.418730985046</v>
      </c>
      <c r="EO49" s="106">
        <v>-57184.418730985046</v>
      </c>
      <c r="EP49" s="106">
        <v>-59154.192064318377</v>
      </c>
      <c r="EQ49" s="106">
        <v>-59154.192064318377</v>
      </c>
      <c r="ER49" s="106">
        <v>-59154.192064318377</v>
      </c>
      <c r="ES49" s="106">
        <v>-59154.192064318377</v>
      </c>
      <c r="ET49" s="106">
        <v>-59154.192064318377</v>
      </c>
      <c r="EU49" s="106">
        <v>-59154.192064318377</v>
      </c>
      <c r="EV49" s="106">
        <v>-59211.528730985046</v>
      </c>
      <c r="EW49" s="106">
        <v>-59211.528730985046</v>
      </c>
      <c r="EX49" s="106">
        <v>-59211.528730985046</v>
      </c>
      <c r="EY49" s="106">
        <v>-54281</v>
      </c>
      <c r="EZ49" s="789">
        <v>-54281</v>
      </c>
      <c r="FA49" s="106">
        <v>-54281</v>
      </c>
      <c r="FB49" s="106">
        <v>-54281</v>
      </c>
      <c r="FC49" s="106">
        <v>-54281</v>
      </c>
      <c r="FD49" s="106">
        <v>-54281</v>
      </c>
      <c r="FE49" s="106">
        <v>-54281</v>
      </c>
      <c r="FF49" s="106">
        <v>-54281</v>
      </c>
      <c r="FG49" s="106">
        <v>-54281</v>
      </c>
      <c r="FH49" s="106">
        <v>-54281</v>
      </c>
      <c r="FI49" s="106">
        <v>-54281</v>
      </c>
      <c r="FJ49" s="106">
        <v>-54281</v>
      </c>
      <c r="FK49" s="304"/>
    </row>
    <row r="50" spans="3:168" x14ac:dyDescent="0.35">
      <c r="E50" t="s">
        <v>117</v>
      </c>
      <c r="F50" s="19">
        <v>-292000</v>
      </c>
      <c r="G50" s="19">
        <f>SUM(R50:U50)</f>
        <v>-288000</v>
      </c>
      <c r="H50" s="19">
        <f t="shared" si="94"/>
        <v>-239007</v>
      </c>
      <c r="I50" s="11">
        <f t="shared" si="95"/>
        <v>-340000</v>
      </c>
      <c r="J50" s="19">
        <f t="shared" ca="1" si="96"/>
        <v>-190875.5</v>
      </c>
      <c r="K50" s="19">
        <f t="shared" ca="1" si="96"/>
        <v>-154150</v>
      </c>
      <c r="L50" s="19">
        <f t="shared" ca="1" si="96"/>
        <v>-300000</v>
      </c>
      <c r="M50" s="19">
        <f t="shared" ca="1" si="96"/>
        <v>-362220.12329766649</v>
      </c>
      <c r="N50" s="19">
        <f t="shared" ca="1" si="96"/>
        <v>-240000</v>
      </c>
      <c r="O50" s="19">
        <f t="shared" ca="1" si="96"/>
        <v>-160000</v>
      </c>
      <c r="P50" s="19">
        <f t="shared" ca="1" si="14"/>
        <v>-162214.14481596937</v>
      </c>
      <c r="Q50" s="20"/>
      <c r="R50" s="20">
        <v>-69000</v>
      </c>
      <c r="S50" s="20">
        <v>-53000</v>
      </c>
      <c r="T50" s="20">
        <v>-83000</v>
      </c>
      <c r="U50" s="20">
        <v>-83000</v>
      </c>
      <c r="V50" s="20">
        <v>-46000</v>
      </c>
      <c r="W50" s="20">
        <v>-69707</v>
      </c>
      <c r="X50" s="20">
        <v>-61650</v>
      </c>
      <c r="Y50" s="20">
        <v>-61650</v>
      </c>
      <c r="Z50" s="12">
        <f t="shared" si="97"/>
        <v>-85000</v>
      </c>
      <c r="AA50" s="12">
        <f t="shared" si="91"/>
        <v>-85000</v>
      </c>
      <c r="AB50" s="12">
        <f t="shared" si="92"/>
        <v>-85000</v>
      </c>
      <c r="AC50" s="12">
        <f t="shared" si="93"/>
        <v>-85000</v>
      </c>
      <c r="AD50" s="12">
        <f t="shared" si="26"/>
        <v>-72823</v>
      </c>
      <c r="AE50" s="12">
        <f t="shared" si="27"/>
        <v>-5615</v>
      </c>
      <c r="AF50" s="12">
        <f t="shared" si="3"/>
        <v>-50000</v>
      </c>
      <c r="AG50" s="12">
        <f t="shared" si="8"/>
        <v>-62437.5</v>
      </c>
      <c r="AH50" s="20">
        <f t="shared" ca="1" si="98"/>
        <v>-6000</v>
      </c>
      <c r="AI50" s="20">
        <f t="shared" ca="1" si="98"/>
        <v>-33700</v>
      </c>
      <c r="AJ50" s="20">
        <f t="shared" ca="1" si="98"/>
        <v>-56700</v>
      </c>
      <c r="AK50" s="20">
        <f t="shared" ca="1" si="98"/>
        <v>-57750</v>
      </c>
      <c r="AL50" s="20">
        <f t="shared" ca="1" si="98"/>
        <v>-75000</v>
      </c>
      <c r="AM50" s="20">
        <f t="shared" ca="1" si="98"/>
        <v>-75000</v>
      </c>
      <c r="AN50" s="20">
        <f t="shared" ca="1" si="98"/>
        <v>-75000</v>
      </c>
      <c r="AO50" s="20">
        <f t="shared" ca="1" si="98"/>
        <v>-75000</v>
      </c>
      <c r="AP50" s="20">
        <f t="shared" ca="1" si="98"/>
        <v>-86690.347457874275</v>
      </c>
      <c r="AQ50" s="20">
        <f t="shared" ca="1" si="98"/>
        <v>-86841.803035569174</v>
      </c>
      <c r="AR50" s="20">
        <f t="shared" ca="1" si="99"/>
        <v>-101843.25861326409</v>
      </c>
      <c r="AS50" s="20">
        <f t="shared" ca="1" si="99"/>
        <v>-86844.714190958955</v>
      </c>
      <c r="AT50" s="20">
        <f t="shared" ca="1" si="99"/>
        <v>-60000</v>
      </c>
      <c r="AU50" s="20">
        <f t="shared" ca="1" si="99"/>
        <v>-60000</v>
      </c>
      <c r="AV50" s="20">
        <f t="shared" ca="1" si="99"/>
        <v>-60000</v>
      </c>
      <c r="AW50" s="20">
        <f t="shared" ca="1" si="99"/>
        <v>-60000</v>
      </c>
      <c r="AX50" s="20">
        <f t="shared" ca="1" si="99"/>
        <v>-40000</v>
      </c>
      <c r="AY50" s="20">
        <f t="shared" ca="1" si="99"/>
        <v>-40000</v>
      </c>
      <c r="AZ50" s="20">
        <f t="shared" ca="1" si="99"/>
        <v>-40000</v>
      </c>
      <c r="BA50" s="20">
        <f t="shared" ca="1" si="99"/>
        <v>-40000</v>
      </c>
      <c r="BB50" s="20">
        <f t="shared" ca="1" si="17"/>
        <v>-40553.536203992342</v>
      </c>
      <c r="BC50" s="20">
        <f t="shared" ca="1" si="17"/>
        <v>-40553.536203992342</v>
      </c>
      <c r="BD50" s="20">
        <f t="shared" ca="1" si="17"/>
        <v>-40553.536203992342</v>
      </c>
      <c r="BE50" s="20">
        <f t="shared" ca="1" si="17"/>
        <v>-40553.536203992342</v>
      </c>
      <c r="BF50" s="20"/>
      <c r="BG50" s="20">
        <f t="shared" si="81"/>
        <v>-15333.333333333334</v>
      </c>
      <c r="BH50" s="20">
        <f t="shared" si="81"/>
        <v>-15333.333333333334</v>
      </c>
      <c r="BI50" s="20">
        <f t="shared" si="81"/>
        <v>-15333.333333333334</v>
      </c>
      <c r="BJ50" s="20">
        <f t="shared" si="82"/>
        <v>-23235.666666666668</v>
      </c>
      <c r="BK50" s="20">
        <f t="shared" si="82"/>
        <v>-23235.666666666668</v>
      </c>
      <c r="BL50" s="20">
        <f t="shared" si="82"/>
        <v>-23235.666666666668</v>
      </c>
      <c r="BM50" s="20">
        <f t="shared" si="83"/>
        <v>-20550</v>
      </c>
      <c r="BN50" s="20">
        <f t="shared" si="83"/>
        <v>-20550</v>
      </c>
      <c r="BO50" s="20">
        <f t="shared" si="83"/>
        <v>-20550</v>
      </c>
      <c r="BP50" s="20">
        <f t="shared" si="84"/>
        <v>-20550</v>
      </c>
      <c r="BQ50" s="20">
        <f t="shared" si="84"/>
        <v>-20550</v>
      </c>
      <c r="BR50" s="20">
        <f t="shared" si="84"/>
        <v>-20550</v>
      </c>
      <c r="BS50" s="20">
        <v>-28333.333333333332</v>
      </c>
      <c r="BT50" s="20">
        <v>-28333.333333333332</v>
      </c>
      <c r="BU50" s="20">
        <v>-28333.333333333332</v>
      </c>
      <c r="BV50" s="20">
        <v>-28333.333333333332</v>
      </c>
      <c r="BW50" s="20">
        <v>-28333.333333333332</v>
      </c>
      <c r="BX50" s="20">
        <v>-28333.333333333332</v>
      </c>
      <c r="BY50" s="20">
        <v>-28333.333333333332</v>
      </c>
      <c r="BZ50" s="20">
        <v>-28333.333333333332</v>
      </c>
      <c r="CA50" s="20">
        <v>-28333.333333333332</v>
      </c>
      <c r="CB50" s="20">
        <v>-28333.333333333332</v>
      </c>
      <c r="CC50" s="20">
        <v>-28333.333333333332</v>
      </c>
      <c r="CD50" s="20">
        <v>-28333.333333333332</v>
      </c>
      <c r="CE50" s="106">
        <v>-24274.333333333332</v>
      </c>
      <c r="CF50" s="106">
        <v>-24274.333333333332</v>
      </c>
      <c r="CG50" s="106">
        <v>-24274.333333333332</v>
      </c>
      <c r="CH50" s="106">
        <v>-1871.6666666666667</v>
      </c>
      <c r="CI50" s="106">
        <v>-1871.6666666666667</v>
      </c>
      <c r="CJ50" s="106">
        <v>-1871.6666666666667</v>
      </c>
      <c r="CK50" s="106">
        <v>-16666.666666666668</v>
      </c>
      <c r="CL50" s="106">
        <v>-16666.666666666668</v>
      </c>
      <c r="CM50" s="106">
        <v>-16666.666666666668</v>
      </c>
      <c r="CN50" s="106">
        <v>-20812.5</v>
      </c>
      <c r="CO50" s="106">
        <v>-20812.5</v>
      </c>
      <c r="CP50" s="106">
        <v>-20812.5</v>
      </c>
      <c r="CQ50" s="106">
        <v>-2000</v>
      </c>
      <c r="CR50" s="106">
        <v>-2000</v>
      </c>
      <c r="CS50" s="106">
        <v>-2000</v>
      </c>
      <c r="CT50" s="106">
        <v>-2500</v>
      </c>
      <c r="CU50" s="106">
        <v>-12750</v>
      </c>
      <c r="CV50" s="106">
        <v>-18450</v>
      </c>
      <c r="CW50" s="106">
        <v>-20100</v>
      </c>
      <c r="CX50" s="106">
        <v>-16500</v>
      </c>
      <c r="CY50" s="106">
        <v>-20100</v>
      </c>
      <c r="CZ50" s="106">
        <v>-20250</v>
      </c>
      <c r="DA50" s="106">
        <v>-20250</v>
      </c>
      <c r="DB50" s="106">
        <v>-17250</v>
      </c>
      <c r="DC50" s="106">
        <v>-25000</v>
      </c>
      <c r="DD50" s="106">
        <v>-25000</v>
      </c>
      <c r="DE50" s="106">
        <v>-25000</v>
      </c>
      <c r="DF50" s="106">
        <v>-25000</v>
      </c>
      <c r="DG50" s="106">
        <v>-25000</v>
      </c>
      <c r="DH50" s="106">
        <v>-25000</v>
      </c>
      <c r="DI50" s="106">
        <v>-25000</v>
      </c>
      <c r="DJ50" s="106">
        <v>-25000</v>
      </c>
      <c r="DK50" s="106">
        <v>-25000</v>
      </c>
      <c r="DL50" s="106">
        <v>-25000</v>
      </c>
      <c r="DM50" s="106">
        <v>-25000</v>
      </c>
      <c r="DN50" s="106">
        <v>-25000</v>
      </c>
      <c r="DO50" s="106">
        <v>-28896.782485958091</v>
      </c>
      <c r="DP50" s="106">
        <v>-28896.782485958091</v>
      </c>
      <c r="DQ50" s="106">
        <v>-28896.782485958091</v>
      </c>
      <c r="DR50" s="106">
        <v>-28947.267678523058</v>
      </c>
      <c r="DS50" s="106">
        <v>-28947.267678523058</v>
      </c>
      <c r="DT50" s="106">
        <v>-28947.267678523058</v>
      </c>
      <c r="DU50" s="106">
        <v>-33947.752871088029</v>
      </c>
      <c r="DV50" s="106">
        <v>-33947.752871088029</v>
      </c>
      <c r="DW50" s="106">
        <v>-33947.752871088029</v>
      </c>
      <c r="DX50" s="106">
        <v>-28948.238063652985</v>
      </c>
      <c r="DY50" s="106">
        <v>-28948.238063652985</v>
      </c>
      <c r="DZ50" s="106">
        <v>-28948.238063652985</v>
      </c>
      <c r="EA50" s="106">
        <v>-20000</v>
      </c>
      <c r="EB50" s="106">
        <v>-20000</v>
      </c>
      <c r="EC50" s="106">
        <v>-20000</v>
      </c>
      <c r="ED50" s="106">
        <v>-20000</v>
      </c>
      <c r="EE50" s="106">
        <v>-20000</v>
      </c>
      <c r="EF50" s="106">
        <v>-20000</v>
      </c>
      <c r="EG50" s="106">
        <v>-20000</v>
      </c>
      <c r="EH50" s="106">
        <v>-20000</v>
      </c>
      <c r="EI50" s="106">
        <v>-20000</v>
      </c>
      <c r="EJ50" s="106">
        <v>-20000</v>
      </c>
      <c r="EK50" s="106">
        <v>-20000</v>
      </c>
      <c r="EL50" s="106">
        <v>-20000</v>
      </c>
      <c r="EM50" s="106">
        <v>-13333.333333333334</v>
      </c>
      <c r="EN50" s="106">
        <v>-13333.333333333334</v>
      </c>
      <c r="EO50" s="106">
        <v>-13333.333333333334</v>
      </c>
      <c r="EP50" s="106">
        <v>-13333.333333333334</v>
      </c>
      <c r="EQ50" s="106">
        <v>-13333.333333333334</v>
      </c>
      <c r="ER50" s="106">
        <v>-13333.333333333334</v>
      </c>
      <c r="ES50" s="106">
        <v>-13333.333333333334</v>
      </c>
      <c r="ET50" s="106">
        <v>-13333.333333333334</v>
      </c>
      <c r="EU50" s="106">
        <v>-13333.333333333334</v>
      </c>
      <c r="EV50" s="106">
        <v>-13333.333333333334</v>
      </c>
      <c r="EW50" s="106">
        <v>-13333.333333333334</v>
      </c>
      <c r="EX50" s="106">
        <v>-13333.333333333334</v>
      </c>
      <c r="EY50" s="106">
        <v>-13517.84540133078</v>
      </c>
      <c r="EZ50" s="789">
        <v>-13517.84540133078</v>
      </c>
      <c r="FA50" s="106">
        <v>-13517.84540133078</v>
      </c>
      <c r="FB50" s="106">
        <v>-13517.84540133078</v>
      </c>
      <c r="FC50" s="106">
        <v>-13517.84540133078</v>
      </c>
      <c r="FD50" s="106">
        <v>-13517.84540133078</v>
      </c>
      <c r="FE50" s="106">
        <v>-13517.84540133078</v>
      </c>
      <c r="FF50" s="106">
        <v>-13517.84540133078</v>
      </c>
      <c r="FG50" s="106">
        <v>-13517.84540133078</v>
      </c>
      <c r="FH50" s="106">
        <v>-13517.84540133078</v>
      </c>
      <c r="FI50" s="106">
        <v>-13517.84540133078</v>
      </c>
      <c r="FJ50" s="106">
        <v>-13517.84540133078</v>
      </c>
      <c r="FK50" s="304"/>
    </row>
    <row r="51" spans="3:168" x14ac:dyDescent="0.35">
      <c r="E51" t="s">
        <v>118</v>
      </c>
      <c r="F51" s="19">
        <v>-244000</v>
      </c>
      <c r="G51" s="19">
        <f>SUM(R51:U51)</f>
        <v>-302000</v>
      </c>
      <c r="H51" s="19">
        <f t="shared" si="94"/>
        <v>-286143</v>
      </c>
      <c r="I51" s="11">
        <f t="shared" si="95"/>
        <v>-199999.99999999997</v>
      </c>
      <c r="J51" s="19">
        <f t="shared" ca="1" si="96"/>
        <v>-351951</v>
      </c>
      <c r="K51" s="19">
        <f t="shared" ca="1" si="96"/>
        <v>-303401.24081632652</v>
      </c>
      <c r="L51" s="19">
        <f t="shared" ca="1" si="96"/>
        <v>-450000</v>
      </c>
      <c r="M51" s="19">
        <f t="shared" ca="1" si="96"/>
        <v>-522313.95633384003</v>
      </c>
      <c r="N51" s="19">
        <f t="shared" ca="1" si="96"/>
        <v>-624952.70921951218</v>
      </c>
      <c r="O51" s="19">
        <f t="shared" ca="1" si="96"/>
        <v>-600000</v>
      </c>
      <c r="P51" s="19">
        <f t="shared" ca="1" si="14"/>
        <v>-600000</v>
      </c>
      <c r="Q51" s="20"/>
      <c r="R51" s="20">
        <v>-51000</v>
      </c>
      <c r="S51" s="20">
        <v>-88000</v>
      </c>
      <c r="T51" s="20">
        <v>-82000</v>
      </c>
      <c r="U51" s="20">
        <v>-81000</v>
      </c>
      <c r="V51" s="20">
        <v>-74000</v>
      </c>
      <c r="W51" s="20">
        <v>-62143</v>
      </c>
      <c r="X51" s="20">
        <v>-75000</v>
      </c>
      <c r="Y51" s="20">
        <v>-75000</v>
      </c>
      <c r="Z51" s="12">
        <f t="shared" si="97"/>
        <v>-50000</v>
      </c>
      <c r="AA51" s="12">
        <f t="shared" si="91"/>
        <v>-50000</v>
      </c>
      <c r="AB51" s="12">
        <f t="shared" si="92"/>
        <v>-50000</v>
      </c>
      <c r="AC51" s="12">
        <f t="shared" si="93"/>
        <v>-50000</v>
      </c>
      <c r="AD51" s="12">
        <f t="shared" si="26"/>
        <v>-67328</v>
      </c>
      <c r="AE51" s="12">
        <f t="shared" si="27"/>
        <v>-59623</v>
      </c>
      <c r="AF51" s="12">
        <f t="shared" si="3"/>
        <v>-75000</v>
      </c>
      <c r="AG51" s="12">
        <f t="shared" si="8"/>
        <v>-150000</v>
      </c>
      <c r="AH51" s="20">
        <f t="shared" ca="1" si="98"/>
        <v>-75850.31020408163</v>
      </c>
      <c r="AI51" s="20">
        <f t="shared" ca="1" si="98"/>
        <v>-75850.31020408163</v>
      </c>
      <c r="AJ51" s="20">
        <f t="shared" ca="1" si="98"/>
        <v>-75850.31020408163</v>
      </c>
      <c r="AK51" s="20">
        <f t="shared" ca="1" si="98"/>
        <v>-75850.31020408163</v>
      </c>
      <c r="AL51" s="20">
        <f t="shared" ca="1" si="98"/>
        <v>-112500</v>
      </c>
      <c r="AM51" s="20">
        <f t="shared" ca="1" si="98"/>
        <v>-112500</v>
      </c>
      <c r="AN51" s="20">
        <f t="shared" ca="1" si="98"/>
        <v>-112500</v>
      </c>
      <c r="AO51" s="20">
        <f t="shared" ca="1" si="98"/>
        <v>-112500</v>
      </c>
      <c r="AP51" s="20">
        <f t="shared" ca="1" si="98"/>
        <v>-131190.50283346002</v>
      </c>
      <c r="AQ51" s="20">
        <f t="shared" ca="1" si="98"/>
        <v>-130667.61783346001</v>
      </c>
      <c r="AR51" s="20">
        <f t="shared" ca="1" si="99"/>
        <v>-126418.31783346002</v>
      </c>
      <c r="AS51" s="20">
        <f t="shared" ca="1" si="99"/>
        <v>-134037.51783346001</v>
      </c>
      <c r="AT51" s="20">
        <f t="shared" ca="1" si="99"/>
        <v>-156184.22130487804</v>
      </c>
      <c r="AU51" s="20">
        <f t="shared" ca="1" si="99"/>
        <v>-152752.92580487806</v>
      </c>
      <c r="AV51" s="20">
        <f t="shared" ca="1" si="99"/>
        <v>-161010.79680487805</v>
      </c>
      <c r="AW51" s="20">
        <f t="shared" ca="1" si="99"/>
        <v>-155004.76530487803</v>
      </c>
      <c r="AX51" s="20">
        <f t="shared" ca="1" si="99"/>
        <v>-150000</v>
      </c>
      <c r="AY51" s="20">
        <f t="shared" ca="1" si="99"/>
        <v>-150000</v>
      </c>
      <c r="AZ51" s="20">
        <f t="shared" ca="1" si="99"/>
        <v>-150000</v>
      </c>
      <c r="BA51" s="20">
        <f t="shared" ca="1" si="99"/>
        <v>-150000</v>
      </c>
      <c r="BB51" s="20">
        <f t="shared" ca="1" si="17"/>
        <v>-150000</v>
      </c>
      <c r="BC51" s="20">
        <f t="shared" ca="1" si="17"/>
        <v>-150000</v>
      </c>
      <c r="BD51" s="20">
        <f t="shared" ca="1" si="17"/>
        <v>-150000</v>
      </c>
      <c r="BE51" s="20">
        <f t="shared" ca="1" si="17"/>
        <v>-150000</v>
      </c>
      <c r="BF51" s="20"/>
      <c r="BG51" s="20">
        <f t="shared" si="81"/>
        <v>-24666.666666666668</v>
      </c>
      <c r="BH51" s="20">
        <f t="shared" si="81"/>
        <v>-24666.666666666668</v>
      </c>
      <c r="BI51" s="20">
        <f t="shared" si="81"/>
        <v>-24666.666666666668</v>
      </c>
      <c r="BJ51" s="20">
        <f t="shared" si="82"/>
        <v>-20714.333333333332</v>
      </c>
      <c r="BK51" s="20">
        <f t="shared" si="82"/>
        <v>-20714.333333333332</v>
      </c>
      <c r="BL51" s="20">
        <f t="shared" si="82"/>
        <v>-20714.333333333332</v>
      </c>
      <c r="BM51" s="20">
        <f t="shared" si="83"/>
        <v>-25000</v>
      </c>
      <c r="BN51" s="20">
        <f t="shared" si="83"/>
        <v>-25000</v>
      </c>
      <c r="BO51" s="20">
        <f t="shared" si="83"/>
        <v>-25000</v>
      </c>
      <c r="BP51" s="20">
        <f t="shared" si="84"/>
        <v>-25000</v>
      </c>
      <c r="BQ51" s="20">
        <f t="shared" si="84"/>
        <v>-25000</v>
      </c>
      <c r="BR51" s="20">
        <f t="shared" si="84"/>
        <v>-25000</v>
      </c>
      <c r="BS51" s="20">
        <v>-16666.666666666668</v>
      </c>
      <c r="BT51" s="20">
        <v>-16666.666666666668</v>
      </c>
      <c r="BU51" s="20">
        <v>-16666.666666666668</v>
      </c>
      <c r="BV51" s="20">
        <v>-16666.666666666668</v>
      </c>
      <c r="BW51" s="20">
        <v>-16666.666666666668</v>
      </c>
      <c r="BX51" s="20">
        <v>-16666.666666666668</v>
      </c>
      <c r="BY51" s="20">
        <v>-16666.666666666668</v>
      </c>
      <c r="BZ51" s="20">
        <v>-16666.666666666668</v>
      </c>
      <c r="CA51" s="20">
        <v>-16666.666666666668</v>
      </c>
      <c r="CB51" s="20">
        <v>-16666.666666666668</v>
      </c>
      <c r="CC51" s="20">
        <v>-16666.666666666668</v>
      </c>
      <c r="CD51" s="20">
        <v>-16666.666666666668</v>
      </c>
      <c r="CE51" s="106">
        <v>-22442.666666666668</v>
      </c>
      <c r="CF51" s="106">
        <v>-22442.666666666668</v>
      </c>
      <c r="CG51" s="106">
        <v>-22442.666666666668</v>
      </c>
      <c r="CH51" s="106">
        <v>-19874.333333333332</v>
      </c>
      <c r="CI51" s="106">
        <v>-19874.333333333332</v>
      </c>
      <c r="CJ51" s="106">
        <v>-19874.333333333332</v>
      </c>
      <c r="CK51" s="106">
        <v>-25000</v>
      </c>
      <c r="CL51" s="106">
        <v>-25000</v>
      </c>
      <c r="CM51" s="106">
        <v>-25000</v>
      </c>
      <c r="CN51" s="106">
        <v>-50000</v>
      </c>
      <c r="CO51" s="106">
        <v>-50000</v>
      </c>
      <c r="CP51" s="106">
        <v>-50000</v>
      </c>
      <c r="CQ51" s="106">
        <v>-25283.436734693874</v>
      </c>
      <c r="CR51" s="106">
        <v>-25283.436734693874</v>
      </c>
      <c r="CS51" s="106">
        <v>-25283.436734693878</v>
      </c>
      <c r="CT51" s="106">
        <v>-25283.436734693878</v>
      </c>
      <c r="CU51" s="106">
        <v>-25283.436734693878</v>
      </c>
      <c r="CV51" s="106">
        <v>-25283.436734693878</v>
      </c>
      <c r="CW51" s="106">
        <v>-25283.436734693878</v>
      </c>
      <c r="CX51" s="106">
        <v>-25283.436734693878</v>
      </c>
      <c r="CY51" s="106">
        <v>-25283.436734693878</v>
      </c>
      <c r="CZ51" s="106">
        <v>-25283.436734693878</v>
      </c>
      <c r="DA51" s="106">
        <v>-25283.436734693878</v>
      </c>
      <c r="DB51" s="106">
        <v>-25283.436734693878</v>
      </c>
      <c r="DC51" s="106">
        <v>-37500</v>
      </c>
      <c r="DD51" s="106">
        <v>-37500</v>
      </c>
      <c r="DE51" s="106">
        <v>-37500</v>
      </c>
      <c r="DF51" s="106">
        <v>-37500</v>
      </c>
      <c r="DG51" s="106">
        <v>-37500</v>
      </c>
      <c r="DH51" s="106">
        <v>-37500</v>
      </c>
      <c r="DI51" s="106">
        <v>-37500</v>
      </c>
      <c r="DJ51" s="106">
        <v>-37500</v>
      </c>
      <c r="DK51" s="106">
        <v>-37500</v>
      </c>
      <c r="DL51" s="106">
        <v>-37500</v>
      </c>
      <c r="DM51" s="106">
        <v>-37500</v>
      </c>
      <c r="DN51" s="106">
        <v>-37500</v>
      </c>
      <c r="DO51" s="106">
        <v>-43730.167611153338</v>
      </c>
      <c r="DP51" s="106">
        <v>-43730.167611153338</v>
      </c>
      <c r="DQ51" s="106">
        <v>-43730.167611153338</v>
      </c>
      <c r="DR51" s="106">
        <v>-43555.87261115334</v>
      </c>
      <c r="DS51" s="106">
        <v>-43555.87261115334</v>
      </c>
      <c r="DT51" s="106">
        <v>-43555.87261115334</v>
      </c>
      <c r="DU51" s="106">
        <v>-42139.439277820005</v>
      </c>
      <c r="DV51" s="106">
        <v>-42139.439277820005</v>
      </c>
      <c r="DW51" s="106">
        <v>-42139.439277820005</v>
      </c>
      <c r="DX51" s="106">
        <v>-44679.172611153335</v>
      </c>
      <c r="DY51" s="106">
        <v>-44679.172611153335</v>
      </c>
      <c r="DZ51" s="106">
        <v>-44679.172611153335</v>
      </c>
      <c r="EA51" s="106">
        <v>-52061.407101626013</v>
      </c>
      <c r="EB51" s="106">
        <v>-52061.407101626013</v>
      </c>
      <c r="EC51" s="106">
        <v>-52061.407101626013</v>
      </c>
      <c r="ED51" s="106">
        <v>-50917.641934959356</v>
      </c>
      <c r="EE51" s="106">
        <v>-50917.641934959356</v>
      </c>
      <c r="EF51" s="106">
        <v>-50917.641934959356</v>
      </c>
      <c r="EG51" s="106">
        <v>-53670.265601626015</v>
      </c>
      <c r="EH51" s="106">
        <v>-53670.265601626015</v>
      </c>
      <c r="EI51" s="106">
        <v>-53670.265601626015</v>
      </c>
      <c r="EJ51" s="106">
        <v>-51668.255101626011</v>
      </c>
      <c r="EK51" s="106">
        <v>-51668.255101626011</v>
      </c>
      <c r="EL51" s="106">
        <v>-51668.255101626011</v>
      </c>
      <c r="EM51" s="106">
        <v>-50000</v>
      </c>
      <c r="EN51" s="106">
        <v>-50000</v>
      </c>
      <c r="EO51" s="106">
        <v>-50000</v>
      </c>
      <c r="EP51" s="106">
        <v>-50000</v>
      </c>
      <c r="EQ51" s="106">
        <v>-50000</v>
      </c>
      <c r="ER51" s="106">
        <v>-50000</v>
      </c>
      <c r="ES51" s="106">
        <v>-50000</v>
      </c>
      <c r="ET51" s="106">
        <v>-50000</v>
      </c>
      <c r="EU51" s="106">
        <v>-50000</v>
      </c>
      <c r="EV51" s="106">
        <v>-50000</v>
      </c>
      <c r="EW51" s="106">
        <v>-50000</v>
      </c>
      <c r="EX51" s="106">
        <v>-50000</v>
      </c>
      <c r="EY51" s="106">
        <v>-50000</v>
      </c>
      <c r="EZ51" s="789">
        <v>-50000</v>
      </c>
      <c r="FA51" s="106">
        <v>-50000</v>
      </c>
      <c r="FB51" s="106">
        <v>-50000</v>
      </c>
      <c r="FC51" s="106">
        <v>-50000</v>
      </c>
      <c r="FD51" s="106">
        <v>-50000</v>
      </c>
      <c r="FE51" s="106">
        <v>-50000</v>
      </c>
      <c r="FF51" s="106">
        <v>-50000</v>
      </c>
      <c r="FG51" s="106">
        <v>-50000</v>
      </c>
      <c r="FH51" s="106">
        <v>-50000</v>
      </c>
      <c r="FI51" s="106">
        <v>-50000</v>
      </c>
      <c r="FJ51" s="106">
        <v>-50000</v>
      </c>
      <c r="FK51" s="304"/>
    </row>
    <row r="52" spans="3:168" x14ac:dyDescent="0.35">
      <c r="E52" t="s">
        <v>119</v>
      </c>
      <c r="F52" s="19">
        <v>-152000</v>
      </c>
      <c r="G52" s="19">
        <v>-152000</v>
      </c>
      <c r="H52" s="19">
        <f t="shared" si="94"/>
        <v>-326151.33333333337</v>
      </c>
      <c r="I52" s="11">
        <f t="shared" si="95"/>
        <v>-571170</v>
      </c>
      <c r="J52" s="19">
        <f t="shared" ca="1" si="96"/>
        <v>-326841</v>
      </c>
      <c r="K52" s="19">
        <f t="shared" ca="1" si="96"/>
        <v>-919475.96</v>
      </c>
      <c r="L52" s="19">
        <f t="shared" ca="1" si="96"/>
        <v>-800000</v>
      </c>
      <c r="M52" s="19">
        <f t="shared" ca="1" si="96"/>
        <v>-590250</v>
      </c>
      <c r="N52" s="19">
        <f t="shared" ca="1" si="96"/>
        <v>-600066</v>
      </c>
      <c r="O52" s="19">
        <f t="shared" ca="1" si="96"/>
        <v>-400000</v>
      </c>
      <c r="P52" s="19">
        <f t="shared" ca="1" si="14"/>
        <v>-280000</v>
      </c>
      <c r="Q52" s="20"/>
      <c r="R52" s="20">
        <v>-65000</v>
      </c>
      <c r="S52" s="20">
        <v>-34000</v>
      </c>
      <c r="T52" s="20">
        <v>-66000</v>
      </c>
      <c r="U52" s="20">
        <v>-49000</v>
      </c>
      <c r="V52" s="20">
        <v>-61000</v>
      </c>
      <c r="W52" s="20">
        <v>-65151.333333333336</v>
      </c>
      <c r="X52" s="20">
        <v>-100000</v>
      </c>
      <c r="Y52" s="20">
        <v>-100000</v>
      </c>
      <c r="Z52" s="12">
        <f t="shared" si="97"/>
        <v>-190685</v>
      </c>
      <c r="AA52" s="12">
        <f t="shared" si="91"/>
        <v>-87485</v>
      </c>
      <c r="AB52" s="12">
        <f t="shared" si="92"/>
        <v>-162585</v>
      </c>
      <c r="AC52" s="12">
        <f t="shared" si="93"/>
        <v>-130415</v>
      </c>
      <c r="AD52" s="12">
        <f t="shared" si="26"/>
        <v>-112657</v>
      </c>
      <c r="AE52" s="12">
        <f t="shared" si="27"/>
        <v>-54184</v>
      </c>
      <c r="AF52" s="12">
        <f t="shared" si="3"/>
        <v>-60000</v>
      </c>
      <c r="AG52" s="12">
        <f t="shared" si="8"/>
        <v>-100000</v>
      </c>
      <c r="AH52" s="20">
        <f t="shared" ca="1" si="98"/>
        <v>-190754.99</v>
      </c>
      <c r="AI52" s="20">
        <f t="shared" ca="1" si="98"/>
        <v>-305754.99</v>
      </c>
      <c r="AJ52" s="20">
        <f t="shared" ca="1" si="98"/>
        <v>-190210.99</v>
      </c>
      <c r="AK52" s="20">
        <f t="shared" ca="1" si="98"/>
        <v>-232754.99</v>
      </c>
      <c r="AL52" s="20">
        <f t="shared" ca="1" si="98"/>
        <v>-200000</v>
      </c>
      <c r="AM52" s="20">
        <f t="shared" ca="1" si="98"/>
        <v>-200000</v>
      </c>
      <c r="AN52" s="20">
        <f t="shared" ca="1" si="98"/>
        <v>-200000</v>
      </c>
      <c r="AO52" s="20">
        <f t="shared" ca="1" si="98"/>
        <v>-200000</v>
      </c>
      <c r="AP52" s="20">
        <f t="shared" ca="1" si="98"/>
        <v>-179325</v>
      </c>
      <c r="AQ52" s="20">
        <f t="shared" ca="1" si="98"/>
        <v>-158325</v>
      </c>
      <c r="AR52" s="20">
        <f t="shared" ca="1" si="99"/>
        <v>-134700</v>
      </c>
      <c r="AS52" s="20">
        <f t="shared" ca="1" si="99"/>
        <v>-117900</v>
      </c>
      <c r="AT52" s="20">
        <f t="shared" ca="1" si="99"/>
        <v>-170859</v>
      </c>
      <c r="AU52" s="20">
        <f t="shared" ca="1" si="99"/>
        <v>-177199</v>
      </c>
      <c r="AV52" s="20">
        <f t="shared" ca="1" si="99"/>
        <v>-137409</v>
      </c>
      <c r="AW52" s="20">
        <f t="shared" ca="1" si="99"/>
        <v>-114599</v>
      </c>
      <c r="AX52" s="20">
        <f t="shared" ca="1" si="99"/>
        <v>-100000</v>
      </c>
      <c r="AY52" s="20">
        <f t="shared" ca="1" si="99"/>
        <v>-100000</v>
      </c>
      <c r="AZ52" s="20">
        <f t="shared" ca="1" si="99"/>
        <v>-100000</v>
      </c>
      <c r="BA52" s="20">
        <f t="shared" ca="1" si="99"/>
        <v>-100000</v>
      </c>
      <c r="BB52" s="20">
        <f t="shared" ca="1" si="17"/>
        <v>-70000</v>
      </c>
      <c r="BC52" s="20">
        <f t="shared" ca="1" si="17"/>
        <v>-70000</v>
      </c>
      <c r="BD52" s="20">
        <f t="shared" ca="1" si="17"/>
        <v>-70000</v>
      </c>
      <c r="BE52" s="20">
        <f t="shared" ca="1" si="17"/>
        <v>-70000</v>
      </c>
      <c r="BF52" s="20"/>
      <c r="BG52" s="20">
        <f t="shared" si="81"/>
        <v>-20333.333333333332</v>
      </c>
      <c r="BH52" s="20">
        <f t="shared" si="81"/>
        <v>-20333.333333333332</v>
      </c>
      <c r="BI52" s="20">
        <f t="shared" si="81"/>
        <v>-20333.333333333332</v>
      </c>
      <c r="BJ52" s="20">
        <f t="shared" si="82"/>
        <v>-21717.111111111113</v>
      </c>
      <c r="BK52" s="20">
        <f t="shared" si="82"/>
        <v>-21717.111111111113</v>
      </c>
      <c r="BL52" s="20">
        <f t="shared" si="82"/>
        <v>-21717.111111111113</v>
      </c>
      <c r="BM52" s="20">
        <f t="shared" si="83"/>
        <v>-33333.333333333336</v>
      </c>
      <c r="BN52" s="20">
        <f t="shared" si="83"/>
        <v>-33333.333333333336</v>
      </c>
      <c r="BO52" s="20">
        <f t="shared" si="83"/>
        <v>-33333.333333333336</v>
      </c>
      <c r="BP52" s="20">
        <f t="shared" si="84"/>
        <v>-33333.333333333336</v>
      </c>
      <c r="BQ52" s="20">
        <f t="shared" si="84"/>
        <v>-33333.333333333336</v>
      </c>
      <c r="BR52" s="20">
        <f t="shared" si="84"/>
        <v>-33333.333333333336</v>
      </c>
      <c r="BS52" s="20">
        <v>-63561.666666666664</v>
      </c>
      <c r="BT52" s="20">
        <v>-63561.666666666664</v>
      </c>
      <c r="BU52" s="20">
        <v>-63561.666666666664</v>
      </c>
      <c r="BV52" s="20">
        <v>-29161.666666666668</v>
      </c>
      <c r="BW52" s="20">
        <v>-29161.666666666668</v>
      </c>
      <c r="BX52" s="20">
        <v>-29161.666666666668</v>
      </c>
      <c r="BY52" s="20">
        <v>-54195</v>
      </c>
      <c r="BZ52" s="20">
        <v>-54195</v>
      </c>
      <c r="CA52" s="20">
        <v>-54195</v>
      </c>
      <c r="CB52" s="20">
        <v>-43471.666666666664</v>
      </c>
      <c r="CC52" s="20">
        <v>-43471.666666666664</v>
      </c>
      <c r="CD52" s="20">
        <v>-43471.666666666664</v>
      </c>
      <c r="CE52" s="106">
        <v>-37552.333333333336</v>
      </c>
      <c r="CF52" s="106">
        <v>-37552.333333333336</v>
      </c>
      <c r="CG52" s="106">
        <v>-37552.333333333336</v>
      </c>
      <c r="CH52" s="106">
        <v>-18061.333333333332</v>
      </c>
      <c r="CI52" s="106">
        <v>-18061.333333333332</v>
      </c>
      <c r="CJ52" s="106">
        <v>-18061.333333333332</v>
      </c>
      <c r="CK52" s="106">
        <v>-20000</v>
      </c>
      <c r="CL52" s="106">
        <v>-20000</v>
      </c>
      <c r="CM52" s="106">
        <v>-20000</v>
      </c>
      <c r="CN52" s="106">
        <v>-33333.333333333336</v>
      </c>
      <c r="CO52" s="106">
        <v>-33333.333333333336</v>
      </c>
      <c r="CP52" s="106">
        <v>-33333.333333333336</v>
      </c>
      <c r="CQ52" s="106">
        <v>-62418.33</v>
      </c>
      <c r="CR52" s="106">
        <v>-75418.33</v>
      </c>
      <c r="CS52" s="106">
        <v>-52918.33</v>
      </c>
      <c r="CT52" s="106">
        <v>-104418.33</v>
      </c>
      <c r="CU52" s="106">
        <v>-76418.33</v>
      </c>
      <c r="CV52" s="106">
        <v>-124918.33</v>
      </c>
      <c r="CW52" s="106">
        <v>-82967.33</v>
      </c>
      <c r="CX52" s="106">
        <v>-48825.33</v>
      </c>
      <c r="CY52" s="106">
        <v>-58418.33</v>
      </c>
      <c r="CZ52" s="106">
        <v>-100918.33</v>
      </c>
      <c r="DA52" s="106">
        <v>-85418.33</v>
      </c>
      <c r="DB52" s="106">
        <v>-46418.33</v>
      </c>
      <c r="DC52" s="106">
        <v>-66666.666666666672</v>
      </c>
      <c r="DD52" s="106">
        <v>-66666.666666666672</v>
      </c>
      <c r="DE52" s="106">
        <v>-66666.666666666672</v>
      </c>
      <c r="DF52" s="106">
        <v>-66666.666666666672</v>
      </c>
      <c r="DG52" s="106">
        <v>-66666.666666666672</v>
      </c>
      <c r="DH52" s="106">
        <v>-66666.666666666672</v>
      </c>
      <c r="DI52" s="106">
        <v>-66666.666666666672</v>
      </c>
      <c r="DJ52" s="106">
        <v>-66666.666666666672</v>
      </c>
      <c r="DK52" s="106">
        <v>-66666.666666666672</v>
      </c>
      <c r="DL52" s="106">
        <v>-66666.666666666672</v>
      </c>
      <c r="DM52" s="106">
        <v>-66666.666666666672</v>
      </c>
      <c r="DN52" s="106">
        <v>-66666.666666666672</v>
      </c>
      <c r="DO52" s="106">
        <v>-59775</v>
      </c>
      <c r="DP52" s="106">
        <v>-59775</v>
      </c>
      <c r="DQ52" s="106">
        <v>-59775</v>
      </c>
      <c r="DR52" s="106">
        <v>-52775</v>
      </c>
      <c r="DS52" s="106">
        <v>-52775</v>
      </c>
      <c r="DT52" s="106">
        <v>-52775</v>
      </c>
      <c r="DU52" s="106">
        <v>-44900</v>
      </c>
      <c r="DV52" s="106">
        <v>-44900</v>
      </c>
      <c r="DW52" s="106">
        <v>-44900</v>
      </c>
      <c r="DX52" s="106">
        <v>-39300</v>
      </c>
      <c r="DY52" s="106">
        <v>-39300</v>
      </c>
      <c r="DZ52" s="106">
        <v>-39300</v>
      </c>
      <c r="EA52" s="106">
        <v>-56953</v>
      </c>
      <c r="EB52" s="106">
        <v>-56953</v>
      </c>
      <c r="EC52" s="106">
        <v>-56953</v>
      </c>
      <c r="ED52" s="106">
        <v>-59066.333333333336</v>
      </c>
      <c r="EE52" s="106">
        <v>-59066.333333333336</v>
      </c>
      <c r="EF52" s="106">
        <v>-59066.333333333336</v>
      </c>
      <c r="EG52" s="106">
        <v>-45803</v>
      </c>
      <c r="EH52" s="106">
        <v>-45803</v>
      </c>
      <c r="EI52" s="106">
        <v>-45803</v>
      </c>
      <c r="EJ52" s="106">
        <v>-38199.666666666664</v>
      </c>
      <c r="EK52" s="106">
        <v>-38199.666666666664</v>
      </c>
      <c r="EL52" s="106">
        <v>-38199.666666666664</v>
      </c>
      <c r="EM52" s="106">
        <v>-33333.333333333336</v>
      </c>
      <c r="EN52" s="106">
        <v>-33333.333333333336</v>
      </c>
      <c r="EO52" s="106">
        <v>-33333.333333333336</v>
      </c>
      <c r="EP52" s="106">
        <v>-33333.333333333336</v>
      </c>
      <c r="EQ52" s="106">
        <v>-33333.333333333336</v>
      </c>
      <c r="ER52" s="106">
        <v>-33333.333333333336</v>
      </c>
      <c r="ES52" s="106">
        <v>-33333.333333333336</v>
      </c>
      <c r="ET52" s="106">
        <v>-33333.333333333336</v>
      </c>
      <c r="EU52" s="106">
        <v>-33333.333333333336</v>
      </c>
      <c r="EV52" s="106">
        <v>-33333.333333333336</v>
      </c>
      <c r="EW52" s="106">
        <v>-33333.333333333336</v>
      </c>
      <c r="EX52" s="106">
        <v>-33333.333333333336</v>
      </c>
      <c r="EY52" s="106">
        <v>-23333.333333333332</v>
      </c>
      <c r="EZ52" s="789">
        <v>-23333.333333333332</v>
      </c>
      <c r="FA52" s="106">
        <v>-23333.333333333332</v>
      </c>
      <c r="FB52" s="106">
        <v>-23333.333333333332</v>
      </c>
      <c r="FC52" s="106">
        <v>-23333.333333333332</v>
      </c>
      <c r="FD52" s="106">
        <v>-23333.333333333332</v>
      </c>
      <c r="FE52" s="106">
        <v>-23333.333333333332</v>
      </c>
      <c r="FF52" s="106">
        <v>-23333.333333333332</v>
      </c>
      <c r="FG52" s="106">
        <v>-23333.333333333332</v>
      </c>
      <c r="FH52" s="106">
        <v>-23333.333333333332</v>
      </c>
      <c r="FI52" s="106">
        <v>-23333.333333333332</v>
      </c>
      <c r="FJ52" s="106">
        <v>-23333.333333333332</v>
      </c>
      <c r="FK52" s="304"/>
    </row>
    <row r="53" spans="3:168" x14ac:dyDescent="0.35">
      <c r="E53" t="s">
        <v>120</v>
      </c>
      <c r="F53" s="19">
        <v>-21000</v>
      </c>
      <c r="G53" s="19">
        <f>SUM(R53:U53)</f>
        <v>-32000</v>
      </c>
      <c r="H53" s="19">
        <f t="shared" si="94"/>
        <v>-33596.333333333336</v>
      </c>
      <c r="I53" s="11">
        <f t="shared" si="95"/>
        <v>-60000</v>
      </c>
      <c r="J53" s="19">
        <f t="shared" ca="1" si="96"/>
        <v>-180126</v>
      </c>
      <c r="K53" s="19">
        <f t="shared" ca="1" si="96"/>
        <v>-128000</v>
      </c>
      <c r="L53" s="19">
        <f t="shared" ca="1" si="96"/>
        <v>-100000</v>
      </c>
      <c r="M53" s="19">
        <f t="shared" ca="1" si="96"/>
        <v>-151100</v>
      </c>
      <c r="N53" s="19">
        <f t="shared" ca="1" si="96"/>
        <v>-173016.9</v>
      </c>
      <c r="O53" s="19">
        <f t="shared" ca="1" si="96"/>
        <v>-160000</v>
      </c>
      <c r="P53" s="19">
        <f t="shared" ca="1" si="14"/>
        <v>-150491.25</v>
      </c>
      <c r="Q53" s="20"/>
      <c r="R53" s="20">
        <v>-14000</v>
      </c>
      <c r="S53" s="20">
        <v>-8000</v>
      </c>
      <c r="T53" s="20">
        <v>-5000</v>
      </c>
      <c r="U53" s="20">
        <v>-5000</v>
      </c>
      <c r="V53" s="20">
        <v>-2000</v>
      </c>
      <c r="W53" s="20">
        <v>-11596.333333333334</v>
      </c>
      <c r="X53" s="20">
        <v>-10000</v>
      </c>
      <c r="Y53" s="20">
        <v>-10000</v>
      </c>
      <c r="Z53" s="12">
        <f t="shared" si="97"/>
        <v>-15000</v>
      </c>
      <c r="AA53" s="12">
        <f t="shared" si="91"/>
        <v>-15000</v>
      </c>
      <c r="AB53" s="12">
        <f t="shared" si="92"/>
        <v>-15000</v>
      </c>
      <c r="AC53" s="12">
        <f t="shared" si="93"/>
        <v>-15000</v>
      </c>
      <c r="AD53" s="12">
        <f t="shared" si="26"/>
        <v>-23422</v>
      </c>
      <c r="AE53" s="12">
        <f t="shared" si="27"/>
        <v>-56704</v>
      </c>
      <c r="AF53" s="12">
        <f t="shared" si="3"/>
        <v>-50000</v>
      </c>
      <c r="AG53" s="12">
        <f t="shared" si="8"/>
        <v>-50000</v>
      </c>
      <c r="AH53" s="20">
        <f t="shared" ca="1" si="98"/>
        <v>-32000</v>
      </c>
      <c r="AI53" s="20">
        <f t="shared" ca="1" si="98"/>
        <v>-32000</v>
      </c>
      <c r="AJ53" s="20">
        <f t="shared" ca="1" si="98"/>
        <v>-32000</v>
      </c>
      <c r="AK53" s="20">
        <f t="shared" ca="1" si="98"/>
        <v>-32000</v>
      </c>
      <c r="AL53" s="20">
        <f t="shared" ca="1" si="98"/>
        <v>-25000</v>
      </c>
      <c r="AM53" s="20">
        <f t="shared" ca="1" si="98"/>
        <v>-25000</v>
      </c>
      <c r="AN53" s="20">
        <f t="shared" ca="1" si="98"/>
        <v>-25000</v>
      </c>
      <c r="AO53" s="20">
        <f t="shared" ca="1" si="98"/>
        <v>-25000</v>
      </c>
      <c r="AP53" s="20">
        <f t="shared" ca="1" si="98"/>
        <v>-37775</v>
      </c>
      <c r="AQ53" s="20">
        <f t="shared" ca="1" si="98"/>
        <v>-37775</v>
      </c>
      <c r="AR53" s="20">
        <f t="shared" ca="1" si="99"/>
        <v>-37775</v>
      </c>
      <c r="AS53" s="20">
        <f t="shared" ca="1" si="99"/>
        <v>-37775</v>
      </c>
      <c r="AT53" s="20">
        <f t="shared" ca="1" si="99"/>
        <v>-43254.224999999999</v>
      </c>
      <c r="AU53" s="20">
        <f t="shared" ca="1" si="99"/>
        <v>-43254.224999999999</v>
      </c>
      <c r="AV53" s="20">
        <f t="shared" ca="1" si="99"/>
        <v>-43254.224999999999</v>
      </c>
      <c r="AW53" s="20">
        <f t="shared" ca="1" si="99"/>
        <v>-43254.224999999999</v>
      </c>
      <c r="AX53" s="20">
        <f t="shared" ca="1" si="99"/>
        <v>-40000</v>
      </c>
      <c r="AY53" s="20">
        <f t="shared" ca="1" si="99"/>
        <v>-40000</v>
      </c>
      <c r="AZ53" s="20">
        <f t="shared" ca="1" si="99"/>
        <v>-40000</v>
      </c>
      <c r="BA53" s="20">
        <f t="shared" ca="1" si="99"/>
        <v>-40000</v>
      </c>
      <c r="BB53" s="20">
        <f t="shared" ca="1" si="17"/>
        <v>-37622.8125</v>
      </c>
      <c r="BC53" s="20">
        <f t="shared" ca="1" si="17"/>
        <v>-37622.8125</v>
      </c>
      <c r="BD53" s="20">
        <f t="shared" ca="1" si="17"/>
        <v>-37622.8125</v>
      </c>
      <c r="BE53" s="20">
        <f t="shared" ca="1" si="17"/>
        <v>-37622.8125</v>
      </c>
      <c r="BF53" s="20"/>
      <c r="BG53" s="20">
        <f t="shared" si="81"/>
        <v>-666.66666666666663</v>
      </c>
      <c r="BH53" s="20">
        <f t="shared" si="81"/>
        <v>-666.66666666666663</v>
      </c>
      <c r="BI53" s="20">
        <f t="shared" si="81"/>
        <v>-666.66666666666663</v>
      </c>
      <c r="BJ53" s="20">
        <f t="shared" si="82"/>
        <v>-3865.4444444444448</v>
      </c>
      <c r="BK53" s="20">
        <f t="shared" si="82"/>
        <v>-3865.4444444444448</v>
      </c>
      <c r="BL53" s="20">
        <f t="shared" si="82"/>
        <v>-3865.4444444444448</v>
      </c>
      <c r="BM53" s="20">
        <f t="shared" si="83"/>
        <v>-3333.3333333333335</v>
      </c>
      <c r="BN53" s="20">
        <f t="shared" si="83"/>
        <v>-3333.3333333333335</v>
      </c>
      <c r="BO53" s="20">
        <f t="shared" si="83"/>
        <v>-3333.3333333333335</v>
      </c>
      <c r="BP53" s="20">
        <f t="shared" si="84"/>
        <v>-3333.3333333333335</v>
      </c>
      <c r="BQ53" s="20">
        <f t="shared" si="84"/>
        <v>-3333.3333333333335</v>
      </c>
      <c r="BR53" s="20">
        <f t="shared" si="84"/>
        <v>-3333.3333333333335</v>
      </c>
      <c r="BS53" s="20">
        <v>-5000</v>
      </c>
      <c r="BT53" s="20">
        <v>-5000</v>
      </c>
      <c r="BU53" s="20">
        <v>-5000</v>
      </c>
      <c r="BV53" s="20">
        <v>-5000</v>
      </c>
      <c r="BW53" s="20">
        <v>-5000</v>
      </c>
      <c r="BX53" s="20">
        <v>-5000</v>
      </c>
      <c r="BY53" s="20">
        <v>-5000</v>
      </c>
      <c r="BZ53" s="20">
        <v>-5000</v>
      </c>
      <c r="CA53" s="20">
        <v>-5000</v>
      </c>
      <c r="CB53" s="20">
        <v>-5000</v>
      </c>
      <c r="CC53" s="20">
        <v>-5000</v>
      </c>
      <c r="CD53" s="20">
        <v>-5000</v>
      </c>
      <c r="CE53" s="106">
        <v>-7807.333333333333</v>
      </c>
      <c r="CF53" s="106">
        <v>-7807.333333333333</v>
      </c>
      <c r="CG53" s="106">
        <v>-7807.333333333333</v>
      </c>
      <c r="CH53" s="106">
        <v>-18901.333333333332</v>
      </c>
      <c r="CI53" s="106">
        <v>-18901.333333333332</v>
      </c>
      <c r="CJ53" s="106">
        <v>-18901.333333333332</v>
      </c>
      <c r="CK53" s="106">
        <v>-16666.666666666668</v>
      </c>
      <c r="CL53" s="106">
        <v>-16666.666666666668</v>
      </c>
      <c r="CM53" s="106">
        <v>-16666.666666666668</v>
      </c>
      <c r="CN53" s="106">
        <v>-16666.666666666668</v>
      </c>
      <c r="CO53" s="106">
        <v>-16666.666666666668</v>
      </c>
      <c r="CP53" s="106">
        <v>-16666.666666666668</v>
      </c>
      <c r="CQ53" s="106">
        <f>-19000+(CQ111/2)</f>
        <v>-10666.666666666666</v>
      </c>
      <c r="CR53" s="106">
        <f t="shared" ref="CR53:DB53" si="101">-19000+(CR111/2)</f>
        <v>-10666.666666666666</v>
      </c>
      <c r="CS53" s="106">
        <f t="shared" si="101"/>
        <v>-10666.666666666666</v>
      </c>
      <c r="CT53" s="106">
        <f t="shared" si="101"/>
        <v>-10666.666666666666</v>
      </c>
      <c r="CU53" s="106">
        <f t="shared" si="101"/>
        <v>-10666.666666666666</v>
      </c>
      <c r="CV53" s="106">
        <f t="shared" si="101"/>
        <v>-10666.666666666666</v>
      </c>
      <c r="CW53" s="106">
        <f t="shared" si="101"/>
        <v>-10666.666666666666</v>
      </c>
      <c r="CX53" s="106">
        <f t="shared" si="101"/>
        <v>-10666.666666666666</v>
      </c>
      <c r="CY53" s="106">
        <f t="shared" si="101"/>
        <v>-10666.666666666666</v>
      </c>
      <c r="CZ53" s="106">
        <f t="shared" si="101"/>
        <v>-10666.666666666666</v>
      </c>
      <c r="DA53" s="106">
        <f t="shared" si="101"/>
        <v>-10666.666666666666</v>
      </c>
      <c r="DB53" s="106">
        <f t="shared" si="101"/>
        <v>-10666.666666666666</v>
      </c>
      <c r="DC53" s="106">
        <v>-8333.3333333333339</v>
      </c>
      <c r="DD53" s="106">
        <v>-8333.3333333333339</v>
      </c>
      <c r="DE53" s="106">
        <v>-8333.3333333333339</v>
      </c>
      <c r="DF53" s="106">
        <v>-8333.3333333333339</v>
      </c>
      <c r="DG53" s="106">
        <v>-8333.3333333333339</v>
      </c>
      <c r="DH53" s="106">
        <v>-8333.3333333333339</v>
      </c>
      <c r="DI53" s="106">
        <v>-8333.3333333333339</v>
      </c>
      <c r="DJ53" s="106">
        <v>-8333.3333333333339</v>
      </c>
      <c r="DK53" s="106">
        <v>-8333.3333333333339</v>
      </c>
      <c r="DL53" s="106">
        <v>-8333.3333333333339</v>
      </c>
      <c r="DM53" s="106">
        <v>-8333.3333333333339</v>
      </c>
      <c r="DN53" s="106">
        <v>-8333.3333333333339</v>
      </c>
      <c r="DO53" s="106">
        <v>-12591.666666666666</v>
      </c>
      <c r="DP53" s="106">
        <v>-12591.666666666666</v>
      </c>
      <c r="DQ53" s="106">
        <v>-12591.666666666666</v>
      </c>
      <c r="DR53" s="106">
        <v>-12591.666666666666</v>
      </c>
      <c r="DS53" s="106">
        <v>-12591.666666666666</v>
      </c>
      <c r="DT53" s="106">
        <v>-12591.666666666666</v>
      </c>
      <c r="DU53" s="106">
        <v>-12591.666666666666</v>
      </c>
      <c r="DV53" s="106">
        <v>-12591.666666666666</v>
      </c>
      <c r="DW53" s="106">
        <v>-12591.666666666666</v>
      </c>
      <c r="DX53" s="106">
        <v>-12591.666666666666</v>
      </c>
      <c r="DY53" s="106">
        <v>-12591.666666666666</v>
      </c>
      <c r="DZ53" s="106">
        <v>-12591.666666666666</v>
      </c>
      <c r="EA53" s="106">
        <v>-14418.074999999999</v>
      </c>
      <c r="EB53" s="106">
        <v>-14418.074999999999</v>
      </c>
      <c r="EC53" s="106">
        <v>-14418.074999999999</v>
      </c>
      <c r="ED53" s="106">
        <v>-14418.074999999999</v>
      </c>
      <c r="EE53" s="106">
        <v>-14418.074999999999</v>
      </c>
      <c r="EF53" s="106">
        <v>-14418.074999999999</v>
      </c>
      <c r="EG53" s="106">
        <v>-14418.074999999999</v>
      </c>
      <c r="EH53" s="106">
        <v>-14418.074999999999</v>
      </c>
      <c r="EI53" s="106">
        <v>-14418.074999999999</v>
      </c>
      <c r="EJ53" s="106">
        <v>-14418.074999999999</v>
      </c>
      <c r="EK53" s="106">
        <v>-14418.074999999999</v>
      </c>
      <c r="EL53" s="106">
        <v>-14418.074999999999</v>
      </c>
      <c r="EM53" s="106">
        <v>-13333.333333333334</v>
      </c>
      <c r="EN53" s="106">
        <v>-13333.333333333334</v>
      </c>
      <c r="EO53" s="106">
        <v>-13333.333333333334</v>
      </c>
      <c r="EP53" s="106">
        <v>-13333.333333333334</v>
      </c>
      <c r="EQ53" s="106">
        <v>-13333.333333333334</v>
      </c>
      <c r="ER53" s="106">
        <v>-13333.333333333334</v>
      </c>
      <c r="ES53" s="106">
        <v>-13333.333333333334</v>
      </c>
      <c r="ET53" s="106">
        <v>-13333.333333333334</v>
      </c>
      <c r="EU53" s="106">
        <v>-13333.333333333334</v>
      </c>
      <c r="EV53" s="106">
        <v>-13333.333333333334</v>
      </c>
      <c r="EW53" s="106">
        <v>-13333.333333333334</v>
      </c>
      <c r="EX53" s="106">
        <v>-13333.333333333334</v>
      </c>
      <c r="EY53" s="106">
        <v>-12540.9375</v>
      </c>
      <c r="EZ53" s="789">
        <v>-12540.9375</v>
      </c>
      <c r="FA53" s="106">
        <v>-12540.9375</v>
      </c>
      <c r="FB53" s="106">
        <v>-12540.9375</v>
      </c>
      <c r="FC53" s="106">
        <v>-12540.9375</v>
      </c>
      <c r="FD53" s="106">
        <v>-12540.9375</v>
      </c>
      <c r="FE53" s="106">
        <v>-12540.9375</v>
      </c>
      <c r="FF53" s="106">
        <v>-12540.9375</v>
      </c>
      <c r="FG53" s="106">
        <v>-12540.9375</v>
      </c>
      <c r="FH53" s="106">
        <v>-12540.9375</v>
      </c>
      <c r="FI53" s="106">
        <v>-12540.9375</v>
      </c>
      <c r="FJ53" s="106">
        <v>-12540.9375</v>
      </c>
      <c r="FK53" s="304"/>
    </row>
    <row r="54" spans="3:168" s="10" customFormat="1" x14ac:dyDescent="0.35">
      <c r="C54" s="21" t="s">
        <v>121</v>
      </c>
      <c r="D54" s="21"/>
      <c r="E54" s="21"/>
      <c r="F54" s="23">
        <f>SUM(F41,F48,F49,F50,F51,F52,F53)</f>
        <v>-4893000</v>
      </c>
      <c r="G54" s="23">
        <f>SUM(G41,G48,G49,G50,G51,G52,G53)</f>
        <v>-5363000</v>
      </c>
      <c r="H54" s="23">
        <f>SUM(H41,H48,H49,H50,H51,H52,H53)</f>
        <v>-6088577.6108009126</v>
      </c>
      <c r="I54" s="23">
        <f t="shared" si="95"/>
        <v>-8025920.0000000009</v>
      </c>
      <c r="J54" s="23">
        <f t="shared" ref="J54:O54" ca="1" si="102">J41+SUM(J48:J53)</f>
        <v>-7898119.4055068642</v>
      </c>
      <c r="K54" s="23">
        <f t="shared" ca="1" si="102"/>
        <v>-12212673.313255694</v>
      </c>
      <c r="L54" s="23">
        <f t="shared" ca="1" si="102"/>
        <v>-15200000</v>
      </c>
      <c r="M54" s="23">
        <f t="shared" ca="1" si="102"/>
        <v>-14060454.404699367</v>
      </c>
      <c r="N54" s="23">
        <f t="shared" ca="1" si="102"/>
        <v>-14230015.811671017</v>
      </c>
      <c r="O54" s="23">
        <f t="shared" ca="1" si="102"/>
        <v>-12358639.295660466</v>
      </c>
      <c r="P54" s="23">
        <f t="shared" ca="1" si="14"/>
        <v>-11334136.157508951</v>
      </c>
      <c r="Q54" s="24"/>
      <c r="R54" s="24">
        <f t="shared" ref="R54:Y54" si="103">SUM(R41,R48,R49,R50,R51,R52,R53)</f>
        <v>-1392000</v>
      </c>
      <c r="S54" s="24">
        <f t="shared" si="103"/>
        <v>-1323000</v>
      </c>
      <c r="T54" s="24">
        <f t="shared" si="103"/>
        <v>-1357000</v>
      </c>
      <c r="U54" s="24">
        <f t="shared" si="103"/>
        <v>-1353000</v>
      </c>
      <c r="V54" s="24">
        <f t="shared" si="103"/>
        <v>-1366000</v>
      </c>
      <c r="W54" s="24">
        <f t="shared" si="103"/>
        <v>-1483942.6666666665</v>
      </c>
      <c r="X54" s="24">
        <f t="shared" si="103"/>
        <v>-1622641.5276226788</v>
      </c>
      <c r="Y54" s="24">
        <f t="shared" si="103"/>
        <v>-1615993.416511568</v>
      </c>
      <c r="Z54" s="24">
        <f t="shared" si="97"/>
        <v>-1911185</v>
      </c>
      <c r="AA54" s="24">
        <f>SUM(BV54:BX54)</f>
        <v>-1979735</v>
      </c>
      <c r="AB54" s="24">
        <f>SUM(BY54:CA54)</f>
        <v>-2082335</v>
      </c>
      <c r="AC54" s="24">
        <f>SUM(CB54:CD54)</f>
        <v>-2052665</v>
      </c>
      <c r="AD54" s="24">
        <f t="shared" si="26"/>
        <v>-2052344</v>
      </c>
      <c r="AE54" s="24">
        <f t="shared" si="27"/>
        <v>-1791139.0000000005</v>
      </c>
      <c r="AF54" s="24">
        <f t="shared" si="3"/>
        <v>-1905703.0936415824</v>
      </c>
      <c r="AG54" s="24">
        <f t="shared" si="8"/>
        <v>-2148933.3118652813</v>
      </c>
      <c r="AH54" s="24">
        <f t="shared" ref="AH54:AS54" ca="1" si="104">AH41+SUM(AH48:AH53)</f>
        <v>-2660740.9381624083</v>
      </c>
      <c r="AI54" s="24">
        <f t="shared" ca="1" si="104"/>
        <v>-3135002.8927078629</v>
      </c>
      <c r="AJ54" s="24">
        <f t="shared" ca="1" si="104"/>
        <v>-3135240.8472533179</v>
      </c>
      <c r="AK54" s="24">
        <f t="shared" ca="1" si="104"/>
        <v>-3281688.6351321056</v>
      </c>
      <c r="AL54" s="24">
        <f t="shared" ca="1" si="104"/>
        <v>-3704000</v>
      </c>
      <c r="AM54" s="24">
        <f t="shared" ca="1" si="104"/>
        <v>-3829000</v>
      </c>
      <c r="AN54" s="24">
        <f t="shared" ca="1" si="104"/>
        <v>-3833000</v>
      </c>
      <c r="AO54" s="24">
        <f t="shared" ca="1" si="104"/>
        <v>-3834000</v>
      </c>
      <c r="AP54" s="24">
        <f t="shared" ca="1" si="104"/>
        <v>-3518519.5353136593</v>
      </c>
      <c r="AQ54" s="24">
        <f t="shared" ca="1" si="104"/>
        <v>-3496311.6779536321</v>
      </c>
      <c r="AR54" s="24">
        <f t="shared" ca="1" si="104"/>
        <v>-3521158.7679271903</v>
      </c>
      <c r="AS54" s="24">
        <f t="shared" ca="1" si="104"/>
        <v>-3524464.4235048853</v>
      </c>
      <c r="AT54" s="24">
        <f t="shared" ref="AT54:AW54" ca="1" si="105">AT41+SUM(AT48:AT53)</f>
        <v>-3475362.4059256972</v>
      </c>
      <c r="AU54" s="24">
        <f t="shared" ca="1" si="105"/>
        <v>-3546369.5324855782</v>
      </c>
      <c r="AV54" s="24">
        <f t="shared" ca="1" si="105"/>
        <v>-3590444.4547171583</v>
      </c>
      <c r="AW54" s="24">
        <f t="shared" ca="1" si="105"/>
        <v>-3617839.4185425825</v>
      </c>
      <c r="AX54" s="24">
        <f t="shared" ref="AX54:BA54" ca="1" si="106">AX41+SUM(AX48:AX53)</f>
        <v>-3025305.7773323325</v>
      </c>
      <c r="AY54" s="24">
        <f t="shared" ca="1" si="106"/>
        <v>-3065717.0407979405</v>
      </c>
      <c r="AZ54" s="24">
        <f t="shared" ca="1" si="106"/>
        <v>-3100810.0182265518</v>
      </c>
      <c r="BA54" s="24">
        <f t="shared" ca="1" si="106"/>
        <v>-3166806.4593036422</v>
      </c>
      <c r="BB54" s="24">
        <f t="shared" ca="1" si="17"/>
        <v>-2810213.3736586403</v>
      </c>
      <c r="BC54" s="24">
        <f t="shared" ca="1" si="17"/>
        <v>-2830607.3262504227</v>
      </c>
      <c r="BD54" s="24">
        <f t="shared" ca="1" si="17"/>
        <v>-2834827.2892711968</v>
      </c>
      <c r="BE54" s="24">
        <f t="shared" ca="1" si="17"/>
        <v>-2858488.1683286913</v>
      </c>
      <c r="BF54" s="24"/>
      <c r="BG54" s="24">
        <f>SUM(BG41,BG48,BG49,BG50,BG51,BG52,BG53)</f>
        <v>-455333.33333333331</v>
      </c>
      <c r="BH54" s="24">
        <f>SUM(BH41,BH48,BH49,BH50,BH51,BH52,BH53)</f>
        <v>-455333.33333333331</v>
      </c>
      <c r="BI54" s="24">
        <f>SUM(BI41,BI48,BI49,BI50,BI51,BI52,BI53)</f>
        <v>-455333.33333333331</v>
      </c>
      <c r="BJ54" s="24">
        <f t="shared" ref="BJ54:BR54" si="107">SUM(BJ41,BJ48,BJ49,BJ50,BJ51,BJ52,BJ53)</f>
        <v>-494647.55555555556</v>
      </c>
      <c r="BK54" s="24">
        <f t="shared" si="107"/>
        <v>-494647.55555555556</v>
      </c>
      <c r="BL54" s="24">
        <f t="shared" si="107"/>
        <v>-494647.55555555556</v>
      </c>
      <c r="BM54" s="24">
        <f t="shared" si="107"/>
        <v>-540880.50920755963</v>
      </c>
      <c r="BN54" s="24">
        <f t="shared" si="107"/>
        <v>-540880.50920755963</v>
      </c>
      <c r="BO54" s="24">
        <f t="shared" si="107"/>
        <v>-540880.50920755963</v>
      </c>
      <c r="BP54" s="24">
        <f t="shared" si="107"/>
        <v>-538664.47217052267</v>
      </c>
      <c r="BQ54" s="24">
        <f t="shared" si="107"/>
        <v>-538664.47217052267</v>
      </c>
      <c r="BR54" s="24">
        <f t="shared" si="107"/>
        <v>-538664.47217052267</v>
      </c>
      <c r="BS54" s="24">
        <v>-637061.66666666663</v>
      </c>
      <c r="BT54" s="24">
        <v>-637061.66666666663</v>
      </c>
      <c r="BU54" s="24">
        <v>-637061.66666666663</v>
      </c>
      <c r="BV54" s="24">
        <v>-659911.66666666663</v>
      </c>
      <c r="BW54" s="24">
        <v>-659911.66666666663</v>
      </c>
      <c r="BX54" s="24">
        <v>-659911.66666666663</v>
      </c>
      <c r="BY54" s="24">
        <v>-694111.66666666663</v>
      </c>
      <c r="BZ54" s="24">
        <v>-694111.66666666663</v>
      </c>
      <c r="CA54" s="24">
        <v>-694111.66666666663</v>
      </c>
      <c r="CB54" s="24">
        <v>-684221.66666666663</v>
      </c>
      <c r="CC54" s="24">
        <v>-684221.66666666663</v>
      </c>
      <c r="CD54" s="24">
        <v>-684221.66666666663</v>
      </c>
      <c r="CE54" s="24">
        <f>SUM(CE41:CE53)</f>
        <v>-684114.66666666663</v>
      </c>
      <c r="CF54" s="24">
        <f t="shared" ref="CF54:CP54" si="108">SUM(CF41:CF53)</f>
        <v>-684114.66666666663</v>
      </c>
      <c r="CG54" s="24">
        <f t="shared" si="108"/>
        <v>-684114.66666666663</v>
      </c>
      <c r="CH54" s="24">
        <f t="shared" si="108"/>
        <v>-597046.33333333349</v>
      </c>
      <c r="CI54" s="24">
        <f t="shared" si="108"/>
        <v>-597046.33333333349</v>
      </c>
      <c r="CJ54" s="24">
        <f t="shared" si="108"/>
        <v>-597046.33333333349</v>
      </c>
      <c r="CK54" s="24">
        <f t="shared" si="108"/>
        <v>-635234.3645471941</v>
      </c>
      <c r="CL54" s="24">
        <f t="shared" si="108"/>
        <v>-635234.3645471941</v>
      </c>
      <c r="CM54" s="24">
        <f t="shared" si="108"/>
        <v>-635234.3645471941</v>
      </c>
      <c r="CN54" s="24">
        <f>SUM(CN41:CN53)</f>
        <v>-716311.10395509377</v>
      </c>
      <c r="CO54" s="24">
        <f t="shared" si="108"/>
        <v>-716311.10395509377</v>
      </c>
      <c r="CP54" s="24">
        <f t="shared" si="108"/>
        <v>-716311.10395509377</v>
      </c>
      <c r="CQ54" s="24">
        <f>SUM(CQ48:CQ53)+CQ41</f>
        <v>-861298.31777130789</v>
      </c>
      <c r="CR54" s="24">
        <f t="shared" ref="CR54:DA54" si="109">SUM(CR48:CR53)+CR41</f>
        <v>-907498.75716524723</v>
      </c>
      <c r="CS54" s="24">
        <f t="shared" si="109"/>
        <v>-891943.86322585319</v>
      </c>
      <c r="CT54" s="24">
        <f t="shared" si="109"/>
        <v>-1019216.9692864594</v>
      </c>
      <c r="CU54" s="24">
        <f>SUM(CU48:CU53)+CU41</f>
        <v>-1061752.242013732</v>
      </c>
      <c r="CV54" s="24">
        <f t="shared" si="109"/>
        <v>-1054033.6814076714</v>
      </c>
      <c r="CW54" s="24">
        <f t="shared" si="109"/>
        <v>-1052259.7874682776</v>
      </c>
      <c r="CX54" s="24">
        <f t="shared" si="109"/>
        <v>-1013703.3935288837</v>
      </c>
      <c r="CY54" s="24">
        <f t="shared" si="109"/>
        <v>-1069277.6662561565</v>
      </c>
      <c r="CZ54" s="24">
        <f t="shared" si="109"/>
        <v>-1109899.6056500957</v>
      </c>
      <c r="DA54" s="24">
        <f t="shared" si="109"/>
        <v>-1092585.2117107019</v>
      </c>
      <c r="DB54" s="24">
        <f>SUM(DB48:DB53)+DB41</f>
        <v>-1079203.8177713081</v>
      </c>
      <c r="DC54" s="24">
        <f t="shared" ref="DC54:DM54" si="110">SUM(DC48:DC53)+DC41</f>
        <v>-1232666.6666666667</v>
      </c>
      <c r="DD54" s="24">
        <f t="shared" si="110"/>
        <v>-1234666.6666666667</v>
      </c>
      <c r="DE54" s="24">
        <f t="shared" si="110"/>
        <v>-1236666.6666666667</v>
      </c>
      <c r="DF54" s="24">
        <f t="shared" si="110"/>
        <v>-1275000</v>
      </c>
      <c r="DG54" s="24">
        <f t="shared" si="110"/>
        <v>-1277000</v>
      </c>
      <c r="DH54" s="24">
        <f t="shared" si="110"/>
        <v>-1277000</v>
      </c>
      <c r="DI54" s="24">
        <f>SUM(DI48:DI53)+DI41</f>
        <v>-1277000</v>
      </c>
      <c r="DJ54" s="24">
        <f t="shared" si="110"/>
        <v>-1278000</v>
      </c>
      <c r="DK54" s="24">
        <f t="shared" si="110"/>
        <v>-1278000</v>
      </c>
      <c r="DL54" s="24">
        <f t="shared" si="110"/>
        <v>-1278000</v>
      </c>
      <c r="DM54" s="24">
        <f t="shared" si="110"/>
        <v>-1278000</v>
      </c>
      <c r="DN54" s="24">
        <f>SUM(DN48:DN53)+DN41</f>
        <v>-1278000</v>
      </c>
      <c r="DO54" s="24">
        <f t="shared" ref="DO54:EA54" si="111">SUM(DO48:DO53)+DO41</f>
        <v>-1172839.8451045533</v>
      </c>
      <c r="DP54" s="24">
        <f t="shared" si="111"/>
        <v>-1172839.8451045533</v>
      </c>
      <c r="DQ54" s="24">
        <f t="shared" si="111"/>
        <v>-1172839.8451045533</v>
      </c>
      <c r="DR54" s="24">
        <f t="shared" si="111"/>
        <v>-1165437.225984544</v>
      </c>
      <c r="DS54" s="24">
        <f t="shared" si="111"/>
        <v>-1165437.225984544</v>
      </c>
      <c r="DT54" s="24">
        <f t="shared" si="111"/>
        <v>-1165437.225984544</v>
      </c>
      <c r="DU54" s="24">
        <f t="shared" si="111"/>
        <v>-1173719.5893090633</v>
      </c>
      <c r="DV54" s="24">
        <f t="shared" si="111"/>
        <v>-1173719.5893090633</v>
      </c>
      <c r="DW54" s="24">
        <f t="shared" si="111"/>
        <v>-1173719.5893090633</v>
      </c>
      <c r="DX54" s="24">
        <f t="shared" si="111"/>
        <v>-1174821.4745016284</v>
      </c>
      <c r="DY54" s="24">
        <f t="shared" si="111"/>
        <v>-1174821.4745016284</v>
      </c>
      <c r="DZ54" s="24">
        <f t="shared" si="111"/>
        <v>-1174821.4745016284</v>
      </c>
      <c r="EA54" s="24">
        <f t="shared" si="111"/>
        <v>-1158454.1353085658</v>
      </c>
      <c r="EB54" s="24">
        <f t="shared" ref="EB54:EL54" si="112">SUM(EB48:EB53)+EB41</f>
        <v>-1158454.1353085658</v>
      </c>
      <c r="EC54" s="24">
        <f t="shared" si="112"/>
        <v>-1158454.1353085658</v>
      </c>
      <c r="ED54" s="24">
        <f t="shared" si="112"/>
        <v>-1182123.1774951927</v>
      </c>
      <c r="EE54" s="24">
        <f t="shared" si="112"/>
        <v>-1182123.1774951927</v>
      </c>
      <c r="EF54" s="24">
        <f t="shared" si="112"/>
        <v>-1182123.1774951927</v>
      </c>
      <c r="EG54" s="24">
        <f t="shared" si="112"/>
        <v>-1196814.8182390528</v>
      </c>
      <c r="EH54" s="24">
        <f t="shared" si="112"/>
        <v>-1196814.8182390528</v>
      </c>
      <c r="EI54" s="24">
        <f t="shared" si="112"/>
        <v>-1196814.8182390528</v>
      </c>
      <c r="EJ54" s="24">
        <f t="shared" si="112"/>
        <v>-1205946.4728475274</v>
      </c>
      <c r="EK54" s="24">
        <f t="shared" si="112"/>
        <v>-1205946.4728475274</v>
      </c>
      <c r="EL54" s="24">
        <f t="shared" si="112"/>
        <v>-1205946.4728475274</v>
      </c>
      <c r="EM54" s="24">
        <f t="shared" ref="EM54:EX54" si="113">SUM(EM48:EM53)+EM41</f>
        <v>-1008433.0532742536</v>
      </c>
      <c r="EN54" s="24">
        <f t="shared" si="113"/>
        <v>-1008509.6953623726</v>
      </c>
      <c r="EO54" s="24">
        <f t="shared" si="113"/>
        <v>-1008363.028695706</v>
      </c>
      <c r="EP54" s="24">
        <f t="shared" si="113"/>
        <v>-1021905.6802659802</v>
      </c>
      <c r="EQ54" s="24">
        <f t="shared" si="113"/>
        <v>-1021905.6802659802</v>
      </c>
      <c r="ER54" s="24">
        <f t="shared" si="113"/>
        <v>-1021905.6802659802</v>
      </c>
      <c r="ES54" s="24">
        <f t="shared" si="113"/>
        <v>-1033603.3394088506</v>
      </c>
      <c r="ET54" s="24">
        <f t="shared" si="113"/>
        <v>-1033603.3394088506</v>
      </c>
      <c r="EU54" s="24">
        <f t="shared" si="113"/>
        <v>-1033603.3394088506</v>
      </c>
      <c r="EV54" s="24">
        <f t="shared" si="113"/>
        <v>-1055602.153101214</v>
      </c>
      <c r="EW54" s="24">
        <f t="shared" si="113"/>
        <v>-1055602.153101214</v>
      </c>
      <c r="EX54" s="24">
        <f t="shared" si="113"/>
        <v>-1055602.153101214</v>
      </c>
      <c r="EY54" s="24">
        <v>-936737.79121954669</v>
      </c>
      <c r="EZ54" s="455">
        <v>-936737.79121954669</v>
      </c>
      <c r="FA54" s="24">
        <v>-936737.79121954669</v>
      </c>
      <c r="FB54" s="24">
        <v>-943535.7754168075</v>
      </c>
      <c r="FC54" s="24">
        <v>-943535.7754168075</v>
      </c>
      <c r="FD54" s="24">
        <v>-943535.7754168075</v>
      </c>
      <c r="FE54" s="24">
        <v>-944942.42975706561</v>
      </c>
      <c r="FF54" s="24">
        <v>-944942.42975706561</v>
      </c>
      <c r="FG54" s="24">
        <v>-944942.42975706561</v>
      </c>
      <c r="FH54" s="24">
        <v>-952829.38944289705</v>
      </c>
      <c r="FI54" s="24">
        <v>-952829.38944289705</v>
      </c>
      <c r="FJ54" s="24">
        <v>-952829.38944289705</v>
      </c>
      <c r="FK54" s="304"/>
    </row>
    <row r="55" spans="3:168" x14ac:dyDescent="0.35">
      <c r="C55" s="21" t="s">
        <v>15</v>
      </c>
      <c r="D55" s="22"/>
      <c r="E55" s="22"/>
      <c r="F55" s="23">
        <f>F39+F54</f>
        <v>-1577000</v>
      </c>
      <c r="G55" s="23">
        <f>G39+G54</f>
        <v>-1347000</v>
      </c>
      <c r="H55" s="23">
        <f>H39+H54</f>
        <v>-1022663.1894389288</v>
      </c>
      <c r="I55" s="23">
        <f t="shared" si="95"/>
        <v>-879570.6045523372</v>
      </c>
      <c r="J55" s="23">
        <f t="shared" ref="J55:O55" ca="1" si="114">J39+J54</f>
        <v>-661222.05279518198</v>
      </c>
      <c r="K55" s="23">
        <f t="shared" ca="1" si="114"/>
        <v>-3121746.2891776003</v>
      </c>
      <c r="L55" s="23">
        <f t="shared" ca="1" si="114"/>
        <v>-3900000</v>
      </c>
      <c r="M55" s="23">
        <f t="shared" ca="1" si="114"/>
        <v>-1943632.5253325403</v>
      </c>
      <c r="N55" s="23">
        <f t="shared" ca="1" si="114"/>
        <v>419599.75216903351</v>
      </c>
      <c r="O55" s="23">
        <f t="shared" ca="1" si="114"/>
        <v>1338651.4322445635</v>
      </c>
      <c r="P55" s="23">
        <f t="shared" ca="1" si="14"/>
        <v>3230574.8081870466</v>
      </c>
      <c r="Q55" s="34"/>
      <c r="R55" s="24">
        <f t="shared" ref="R55:Y55" si="115">R39+R54</f>
        <v>-409000</v>
      </c>
      <c r="S55" s="24">
        <f t="shared" si="115"/>
        <v>-605000</v>
      </c>
      <c r="T55" s="24">
        <f t="shared" si="115"/>
        <v>-434000</v>
      </c>
      <c r="U55" s="24">
        <f t="shared" si="115"/>
        <v>39000</v>
      </c>
      <c r="V55" s="24">
        <f t="shared" si="115"/>
        <v>-175000</v>
      </c>
      <c r="W55" s="24">
        <f t="shared" si="115"/>
        <v>-229972.93911365606</v>
      </c>
      <c r="X55" s="24">
        <f t="shared" si="115"/>
        <v>-328323.45761046861</v>
      </c>
      <c r="Y55" s="24">
        <f t="shared" si="115"/>
        <v>-289366.79271480558</v>
      </c>
      <c r="Z55" s="24">
        <f t="shared" si="97"/>
        <v>-523605.17742740997</v>
      </c>
      <c r="AA55" s="300">
        <f>SUM(BV55:BX55)</f>
        <v>-405365.48226891068</v>
      </c>
      <c r="AB55" s="300">
        <f>SUM(BY55:CA55)</f>
        <v>-177816.2870173374</v>
      </c>
      <c r="AC55" s="300">
        <f>SUM(CB55:CD55)</f>
        <v>227216.34216132085</v>
      </c>
      <c r="AD55" s="300">
        <f t="shared" si="26"/>
        <v>-286255.99999999988</v>
      </c>
      <c r="AE55" s="300">
        <f t="shared" si="27"/>
        <v>14365.999999999884</v>
      </c>
      <c r="AF55" s="300">
        <f t="shared" si="3"/>
        <v>-142512.74405735359</v>
      </c>
      <c r="AG55" s="300">
        <f t="shared" si="8"/>
        <v>-246819.30873782735</v>
      </c>
      <c r="AH55" s="300">
        <f t="shared" ref="AH55:BA55" ca="1" si="116">AH39+AH54</f>
        <v>-636329.32245446648</v>
      </c>
      <c r="AI55" s="300">
        <f t="shared" ca="1" si="116"/>
        <v>-941219.49327803869</v>
      </c>
      <c r="AJ55" s="300">
        <f t="shared" ca="1" si="116"/>
        <v>-787777.1814468978</v>
      </c>
      <c r="AK55" s="300">
        <f t="shared" ca="1" si="116"/>
        <v>-756420.29199819965</v>
      </c>
      <c r="AL55" s="300">
        <f t="shared" ca="1" si="116"/>
        <v>-1211725.6097560977</v>
      </c>
      <c r="AM55" s="300">
        <f t="shared" ca="1" si="116"/>
        <v>-1155804.8780487804</v>
      </c>
      <c r="AN55" s="300">
        <f t="shared" ca="1" si="116"/>
        <v>-913341.46341463458</v>
      </c>
      <c r="AO55" s="300">
        <f t="shared" ca="1" si="116"/>
        <v>-619128.04878048785</v>
      </c>
      <c r="AP55" s="300">
        <f t="shared" ca="1" si="116"/>
        <v>-866855.23693123367</v>
      </c>
      <c r="AQ55" s="300">
        <f t="shared" ca="1" si="116"/>
        <v>-637687.98503938597</v>
      </c>
      <c r="AR55" s="300">
        <f t="shared" ca="1" si="116"/>
        <v>-382042.47175635491</v>
      </c>
      <c r="AS55" s="300">
        <f t="shared" ca="1" si="116"/>
        <v>-57046.831605566666</v>
      </c>
      <c r="AT55" s="300">
        <f t="shared" ca="1" si="116"/>
        <v>-88782.078495351598</v>
      </c>
      <c r="AU55" s="300">
        <f t="shared" ca="1" si="116"/>
        <v>53526.321562634781</v>
      </c>
      <c r="AV55" s="300">
        <f t="shared" ca="1" si="116"/>
        <v>103264.98349220306</v>
      </c>
      <c r="AW55" s="300">
        <f t="shared" ca="1" si="116"/>
        <v>351590.52560954634</v>
      </c>
      <c r="AX55" s="300">
        <f t="shared" ca="1" si="116"/>
        <v>291937.85115192505</v>
      </c>
      <c r="AY55" s="300">
        <f t="shared" ca="1" si="116"/>
        <v>148070.41965699196</v>
      </c>
      <c r="AZ55" s="300">
        <f t="shared" ca="1" si="116"/>
        <v>277302.46950830333</v>
      </c>
      <c r="BA55" s="300">
        <f t="shared" ca="1" si="116"/>
        <v>621340.69192734314</v>
      </c>
      <c r="BB55" s="300">
        <f t="shared" ca="1" si="17"/>
        <v>497514.54139131401</v>
      </c>
      <c r="BC55" s="300">
        <f t="shared" ca="1" si="17"/>
        <v>787504.31862002704</v>
      </c>
      <c r="BD55" s="300">
        <f t="shared" ca="1" si="17"/>
        <v>917082.63833617768</v>
      </c>
      <c r="BE55" s="300">
        <f t="shared" ca="1" si="17"/>
        <v>1028473.3098395277</v>
      </c>
      <c r="BF55" s="24"/>
      <c r="BG55" s="24">
        <f t="shared" ref="BG55:CL55" si="117">BG39+BG54</f>
        <v>-58333.333333333372</v>
      </c>
      <c r="BH55" s="24">
        <f t="shared" si="117"/>
        <v>-58333.333333333372</v>
      </c>
      <c r="BI55" s="24">
        <f t="shared" si="117"/>
        <v>-58333.333333333372</v>
      </c>
      <c r="BJ55" s="24">
        <f t="shared" si="117"/>
        <v>-76657.646371218783</v>
      </c>
      <c r="BK55" s="24">
        <f t="shared" si="117"/>
        <v>-76657.646371218783</v>
      </c>
      <c r="BL55" s="24">
        <f t="shared" si="117"/>
        <v>-76657.646371218783</v>
      </c>
      <c r="BM55" s="24">
        <f t="shared" si="117"/>
        <v>-109441.15253682289</v>
      </c>
      <c r="BN55" s="24">
        <f t="shared" si="117"/>
        <v>-109441.15253682289</v>
      </c>
      <c r="BO55" s="24">
        <f t="shared" si="117"/>
        <v>-109441.15253682289</v>
      </c>
      <c r="BP55" s="24">
        <f t="shared" si="117"/>
        <v>-96455.597571601858</v>
      </c>
      <c r="BQ55" s="24">
        <f t="shared" si="117"/>
        <v>-96455.597571601858</v>
      </c>
      <c r="BR55" s="24">
        <f t="shared" si="117"/>
        <v>-96455.597571601858</v>
      </c>
      <c r="BS55" s="24">
        <f t="shared" si="117"/>
        <v>-194680.7795363788</v>
      </c>
      <c r="BT55" s="24">
        <f t="shared" si="117"/>
        <v>-174535.05914246995</v>
      </c>
      <c r="BU55" s="24">
        <f t="shared" si="117"/>
        <v>-154389.33874856122</v>
      </c>
      <c r="BV55" s="24">
        <f t="shared" si="117"/>
        <v>-152893.81706428371</v>
      </c>
      <c r="BW55" s="24">
        <f t="shared" si="117"/>
        <v>-135121.82742297032</v>
      </c>
      <c r="BX55" s="24">
        <f t="shared" si="117"/>
        <v>-117349.83778165665</v>
      </c>
      <c r="BY55" s="24">
        <f t="shared" si="117"/>
        <v>-83746.593864815193</v>
      </c>
      <c r="BZ55" s="24">
        <f t="shared" si="117"/>
        <v>-59272.095672445721</v>
      </c>
      <c r="CA55" s="24">
        <f t="shared" si="117"/>
        <v>-34797.597480076482</v>
      </c>
      <c r="CB55" s="24">
        <f t="shared" si="117"/>
        <v>47563.805761996657</v>
      </c>
      <c r="CC55" s="24">
        <f t="shared" si="117"/>
        <v>75738.780720440322</v>
      </c>
      <c r="CD55" s="24">
        <f t="shared" si="117"/>
        <v>103913.75567888387</v>
      </c>
      <c r="CE55" s="24">
        <f t="shared" si="117"/>
        <v>-95418.666666666628</v>
      </c>
      <c r="CF55" s="24">
        <f t="shared" si="117"/>
        <v>-95418.666666666628</v>
      </c>
      <c r="CG55" s="24">
        <f t="shared" si="117"/>
        <v>-95418.666666666628</v>
      </c>
      <c r="CH55" s="24">
        <f t="shared" si="117"/>
        <v>4788.6666666666279</v>
      </c>
      <c r="CI55" s="24">
        <f t="shared" si="117"/>
        <v>4788.6666666666279</v>
      </c>
      <c r="CJ55" s="24">
        <f t="shared" si="117"/>
        <v>4788.6666666666279</v>
      </c>
      <c r="CK55" s="24">
        <f t="shared" si="117"/>
        <v>-47504.248019117862</v>
      </c>
      <c r="CL55" s="24">
        <f t="shared" si="117"/>
        <v>-47504.248019117862</v>
      </c>
      <c r="CM55" s="24">
        <f t="shared" ref="CM55:DR55" si="118">CM39+CM54</f>
        <v>-47504.248019117862</v>
      </c>
      <c r="CN55" s="24">
        <f t="shared" si="118"/>
        <v>-82273.102912609116</v>
      </c>
      <c r="CO55" s="24">
        <f t="shared" si="118"/>
        <v>-82273.102912609116</v>
      </c>
      <c r="CP55" s="24">
        <f t="shared" si="118"/>
        <v>-82273.102912609116</v>
      </c>
      <c r="CQ55" s="24">
        <f t="shared" si="118"/>
        <v>-195217.31683352857</v>
      </c>
      <c r="CR55" s="24">
        <f t="shared" si="118"/>
        <v>-232694.88526259991</v>
      </c>
      <c r="CS55" s="24">
        <f t="shared" si="118"/>
        <v>-208417.12035833788</v>
      </c>
      <c r="CT55" s="24">
        <f t="shared" si="118"/>
        <v>-302223.03128106438</v>
      </c>
      <c r="CU55" s="24">
        <f t="shared" si="118"/>
        <v>-330491.10887045728</v>
      </c>
      <c r="CV55" s="24">
        <f t="shared" si="118"/>
        <v>-308505.35312651691</v>
      </c>
      <c r="CW55" s="24">
        <f t="shared" si="118"/>
        <v>-284651.67902663036</v>
      </c>
      <c r="CX55" s="24">
        <f t="shared" si="118"/>
        <v>-231215.50492674357</v>
      </c>
      <c r="CY55" s="24">
        <f t="shared" si="118"/>
        <v>-271909.99749352364</v>
      </c>
      <c r="CZ55" s="24">
        <f t="shared" si="118"/>
        <v>-286737.71407979506</v>
      </c>
      <c r="DA55" s="24">
        <f t="shared" si="118"/>
        <v>-250829.09733273333</v>
      </c>
      <c r="DB55" s="24">
        <f t="shared" si="118"/>
        <v>-218853.48058567161</v>
      </c>
      <c r="DC55" s="24">
        <f t="shared" si="118"/>
        <v>-401908.53658536589</v>
      </c>
      <c r="DD55" s="24">
        <f t="shared" si="118"/>
        <v>-403908.53658536589</v>
      </c>
      <c r="DE55" s="24">
        <f t="shared" si="118"/>
        <v>-405908.53658536589</v>
      </c>
      <c r="DF55" s="24">
        <f t="shared" si="118"/>
        <v>-383934.95934959338</v>
      </c>
      <c r="DG55" s="24">
        <f t="shared" si="118"/>
        <v>-385934.95934959338</v>
      </c>
      <c r="DH55" s="24">
        <f t="shared" si="118"/>
        <v>-385934.95934959338</v>
      </c>
      <c r="DI55" s="24">
        <f t="shared" si="118"/>
        <v>-303780.48780487804</v>
      </c>
      <c r="DJ55" s="24">
        <f t="shared" si="118"/>
        <v>-304780.48780487804</v>
      </c>
      <c r="DK55" s="24">
        <f t="shared" si="118"/>
        <v>-304780.48780487804</v>
      </c>
      <c r="DL55" s="24">
        <f t="shared" si="118"/>
        <v>-206376.01626016269</v>
      </c>
      <c r="DM55" s="24">
        <f t="shared" si="118"/>
        <v>-206376.01626016269</v>
      </c>
      <c r="DN55" s="24">
        <f t="shared" si="118"/>
        <v>-206376.01626016269</v>
      </c>
      <c r="DO55" s="24">
        <f t="shared" si="118"/>
        <v>-288951.74564374471</v>
      </c>
      <c r="DP55" s="24">
        <f t="shared" si="118"/>
        <v>-288951.74564374471</v>
      </c>
      <c r="DQ55" s="24">
        <f t="shared" si="118"/>
        <v>-288951.74564374471</v>
      </c>
      <c r="DR55" s="24">
        <f t="shared" si="118"/>
        <v>-212562.66167979536</v>
      </c>
      <c r="DS55" s="24">
        <f t="shared" ref="DS55:EX55" si="119">DS39+DS54</f>
        <v>-212562.66167979536</v>
      </c>
      <c r="DT55" s="24">
        <f t="shared" si="119"/>
        <v>-212562.66167979536</v>
      </c>
      <c r="DU55" s="24">
        <f t="shared" si="119"/>
        <v>-127347.49058545148</v>
      </c>
      <c r="DV55" s="24">
        <f t="shared" si="119"/>
        <v>-127347.49058545148</v>
      </c>
      <c r="DW55" s="24">
        <f t="shared" si="119"/>
        <v>-127347.49058545148</v>
      </c>
      <c r="DX55" s="24">
        <f t="shared" si="119"/>
        <v>-19015.610535188811</v>
      </c>
      <c r="DY55" s="24">
        <f t="shared" si="119"/>
        <v>-19015.610535188811</v>
      </c>
      <c r="DZ55" s="24">
        <f t="shared" si="119"/>
        <v>-19015.610535188811</v>
      </c>
      <c r="EA55" s="24">
        <f t="shared" si="119"/>
        <v>-29594.026165117277</v>
      </c>
      <c r="EB55" s="24">
        <f t="shared" si="119"/>
        <v>-29594.026165117277</v>
      </c>
      <c r="EC55" s="24">
        <f t="shared" si="119"/>
        <v>-29594.026165117277</v>
      </c>
      <c r="ED55" s="24">
        <f t="shared" si="119"/>
        <v>17842.107187544927</v>
      </c>
      <c r="EE55" s="24">
        <f t="shared" si="119"/>
        <v>17842.107187544927</v>
      </c>
      <c r="EF55" s="24">
        <f t="shared" si="119"/>
        <v>17842.107187544927</v>
      </c>
      <c r="EG55" s="24">
        <f t="shared" si="119"/>
        <v>34421.661164067918</v>
      </c>
      <c r="EH55" s="24">
        <f t="shared" si="119"/>
        <v>34421.661164067918</v>
      </c>
      <c r="EI55" s="24">
        <f t="shared" si="119"/>
        <v>34421.661164067918</v>
      </c>
      <c r="EJ55" s="24">
        <f t="shared" si="119"/>
        <v>117196.84186984901</v>
      </c>
      <c r="EK55" s="24">
        <f t="shared" si="119"/>
        <v>117196.84186984901</v>
      </c>
      <c r="EL55" s="24">
        <f t="shared" si="119"/>
        <v>117196.84186984901</v>
      </c>
      <c r="EM55" s="24">
        <f t="shared" si="119"/>
        <v>97314.822887165472</v>
      </c>
      <c r="EN55" s="24">
        <f t="shared" si="119"/>
        <v>97238.180799046531</v>
      </c>
      <c r="EO55" s="24">
        <f t="shared" si="119"/>
        <v>97384.847465713043</v>
      </c>
      <c r="EP55" s="24">
        <f t="shared" si="119"/>
        <v>49356.806552330614</v>
      </c>
      <c r="EQ55" s="24">
        <f t="shared" si="119"/>
        <v>49356.806552330614</v>
      </c>
      <c r="ER55" s="24">
        <f t="shared" si="119"/>
        <v>49356.806552330614</v>
      </c>
      <c r="ES55" s="24">
        <f t="shared" si="119"/>
        <v>92434.156502767815</v>
      </c>
      <c r="ET55" s="24">
        <f t="shared" si="119"/>
        <v>92434.156502767815</v>
      </c>
      <c r="EU55" s="24">
        <f t="shared" si="119"/>
        <v>92434.156502767815</v>
      </c>
      <c r="EV55" s="24">
        <f t="shared" si="119"/>
        <v>207113.5639757812</v>
      </c>
      <c r="EW55" s="24">
        <f t="shared" si="119"/>
        <v>207113.5639757812</v>
      </c>
      <c r="EX55" s="24">
        <f t="shared" si="119"/>
        <v>207113.5639757812</v>
      </c>
      <c r="EY55" s="24">
        <v>165838.18046377134</v>
      </c>
      <c r="EZ55" s="455">
        <v>165838.18046377134</v>
      </c>
      <c r="FA55" s="24">
        <v>165838.18046377134</v>
      </c>
      <c r="FB55" s="24">
        <v>262501.43954000901</v>
      </c>
      <c r="FC55" s="24">
        <v>262501.43954000901</v>
      </c>
      <c r="FD55" s="24">
        <v>262501.43954000901</v>
      </c>
      <c r="FE55" s="24">
        <v>305694.21277872589</v>
      </c>
      <c r="FF55" s="24">
        <v>305694.21277872589</v>
      </c>
      <c r="FG55" s="24">
        <v>305694.21277872589</v>
      </c>
      <c r="FH55" s="24">
        <v>342824.4366131759</v>
      </c>
      <c r="FI55" s="24">
        <v>342824.4366131759</v>
      </c>
      <c r="FJ55" s="24">
        <v>342824.4366131759</v>
      </c>
      <c r="FK55" s="304"/>
    </row>
    <row r="56" spans="3:168" x14ac:dyDescent="0.35">
      <c r="C56" s="10"/>
      <c r="E56" t="s">
        <v>122</v>
      </c>
      <c r="F56" s="11"/>
      <c r="G56" s="11"/>
      <c r="H56" s="11"/>
      <c r="I56" s="11"/>
      <c r="J56" s="11"/>
      <c r="K56" s="11"/>
      <c r="L56" s="11"/>
      <c r="M56" s="11"/>
      <c r="N56" s="11"/>
      <c r="O56" s="11">
        <f>SUM(EM56:EX56)</f>
        <v>-716140.79303592129</v>
      </c>
      <c r="P56" s="11">
        <f t="shared" ca="1" si="14"/>
        <v>-455570.25838390837</v>
      </c>
      <c r="Q56" s="20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>
        <f>SUM(EM56:EO56)</f>
        <v>-177635.17982506956</v>
      </c>
      <c r="AY56" s="12">
        <f>SUM(EP56:ER56)</f>
        <v>-177851.87107028396</v>
      </c>
      <c r="AZ56" s="12">
        <f>SUM(ES56:EU56)</f>
        <v>-180326.87107028396</v>
      </c>
      <c r="BA56" s="12">
        <f>SUM(EV56:EX56)</f>
        <v>-180326.87107028396</v>
      </c>
      <c r="BB56" s="12">
        <f t="shared" ca="1" si="17"/>
        <v>-113892.56459597709</v>
      </c>
      <c r="BC56" s="12">
        <f t="shared" ca="1" si="17"/>
        <v>-113892.56459597709</v>
      </c>
      <c r="BD56" s="12">
        <f t="shared" ca="1" si="17"/>
        <v>-113892.56459597709</v>
      </c>
      <c r="BE56" s="12">
        <f t="shared" ca="1" si="17"/>
        <v>-113892.56459597709</v>
      </c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20">
        <v>-59213.932444880229</v>
      </c>
      <c r="EN56" s="20">
        <v>-59137.290356761325</v>
      </c>
      <c r="EO56" s="20">
        <v>-59283.957023427989</v>
      </c>
      <c r="EP56" s="20">
        <v>-59283.957023427989</v>
      </c>
      <c r="EQ56" s="20">
        <v>-59283.957023427989</v>
      </c>
      <c r="ER56" s="20">
        <v>-59283.957023427989</v>
      </c>
      <c r="ES56" s="20">
        <v>-60108.957023427989</v>
      </c>
      <c r="ET56" s="20">
        <v>-60108.957023427989</v>
      </c>
      <c r="EU56" s="20">
        <v>-60108.957023427989</v>
      </c>
      <c r="EV56" s="20">
        <v>-60108.957023427989</v>
      </c>
      <c r="EW56" s="20">
        <v>-60108.957023427989</v>
      </c>
      <c r="EX56" s="20">
        <v>-60108.957023427989</v>
      </c>
      <c r="EY56" s="20">
        <v>-37964.188198659031</v>
      </c>
      <c r="EZ56" s="454">
        <v>-37964.188198659031</v>
      </c>
      <c r="FA56" s="20">
        <v>-37964.188198659031</v>
      </c>
      <c r="FB56" s="20">
        <v>-37964.188198659031</v>
      </c>
      <c r="FC56" s="20">
        <v>-37964.188198659031</v>
      </c>
      <c r="FD56" s="20">
        <v>-37964.188198659031</v>
      </c>
      <c r="FE56" s="20">
        <v>-37964.188198659031</v>
      </c>
      <c r="FF56" s="20">
        <v>-37964.188198659031</v>
      </c>
      <c r="FG56" s="20">
        <v>-37964.188198659031</v>
      </c>
      <c r="FH56" s="20">
        <v>-37964.188198659031</v>
      </c>
      <c r="FI56" s="20">
        <v>-37964.188198659031</v>
      </c>
      <c r="FJ56" s="20">
        <v>-37964.188198659031</v>
      </c>
      <c r="FK56" s="304"/>
      <c r="FL56" s="304"/>
    </row>
    <row r="57" spans="3:168" x14ac:dyDescent="0.35">
      <c r="C57" s="21" t="s">
        <v>17</v>
      </c>
      <c r="D57" s="22"/>
      <c r="E57" s="22"/>
      <c r="F57" s="23"/>
      <c r="G57" s="23"/>
      <c r="H57" s="23"/>
      <c r="I57" s="23"/>
      <c r="J57" s="23"/>
      <c r="K57" s="23"/>
      <c r="L57" s="23"/>
      <c r="M57" s="23"/>
      <c r="N57" s="23"/>
      <c r="O57" s="23">
        <f ca="1">O56+O55</f>
        <v>622510.63920864218</v>
      </c>
      <c r="P57" s="23">
        <f t="shared" ca="1" si="14"/>
        <v>2775004.5498031378</v>
      </c>
      <c r="Q57" s="3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>
        <f ca="1">AX56+AX55</f>
        <v>114302.67132685549</v>
      </c>
      <c r="AY57" s="24">
        <f ca="1">AY56+AY55</f>
        <v>-29781.451413292001</v>
      </c>
      <c r="AZ57" s="24">
        <f ca="1">AZ56+AZ55</f>
        <v>96975.598438019369</v>
      </c>
      <c r="BA57" s="24">
        <f ca="1">BA56+BA55</f>
        <v>441013.82085705921</v>
      </c>
      <c r="BB57" s="24">
        <f t="shared" ca="1" si="17"/>
        <v>383621.97679533693</v>
      </c>
      <c r="BC57" s="24">
        <f t="shared" ca="1" si="17"/>
        <v>673611.75402404997</v>
      </c>
      <c r="BD57" s="24">
        <f t="shared" ca="1" si="17"/>
        <v>803190.07374020061</v>
      </c>
      <c r="BE57" s="24">
        <f t="shared" ca="1" si="17"/>
        <v>914580.74524355051</v>
      </c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4"/>
      <c r="EF57" s="24"/>
      <c r="EG57" s="24"/>
      <c r="EH57" s="24"/>
      <c r="EI57" s="24"/>
      <c r="EJ57" s="24"/>
      <c r="EK57" s="24"/>
      <c r="EL57" s="24"/>
      <c r="EM57" s="24">
        <f>EM56+EM55</f>
        <v>38100.890442285243</v>
      </c>
      <c r="EN57" s="24">
        <f t="shared" ref="EN57:EX57" si="120">EN56+EN55</f>
        <v>38100.890442285207</v>
      </c>
      <c r="EO57" s="24">
        <f t="shared" si="120"/>
        <v>38100.890442285054</v>
      </c>
      <c r="EP57" s="24">
        <f t="shared" si="120"/>
        <v>-9927.150471097375</v>
      </c>
      <c r="EQ57" s="24">
        <f t="shared" si="120"/>
        <v>-9927.150471097375</v>
      </c>
      <c r="ER57" s="24">
        <f t="shared" si="120"/>
        <v>-9927.150471097375</v>
      </c>
      <c r="ES57" s="24">
        <f t="shared" si="120"/>
        <v>32325.199479339826</v>
      </c>
      <c r="ET57" s="24">
        <f t="shared" si="120"/>
        <v>32325.199479339826</v>
      </c>
      <c r="EU57" s="24">
        <f t="shared" si="120"/>
        <v>32325.199479339826</v>
      </c>
      <c r="EV57" s="24">
        <f t="shared" si="120"/>
        <v>147004.60695235321</v>
      </c>
      <c r="EW57" s="24">
        <f t="shared" si="120"/>
        <v>147004.60695235321</v>
      </c>
      <c r="EX57" s="24">
        <f t="shared" si="120"/>
        <v>147004.60695235321</v>
      </c>
      <c r="EY57" s="24">
        <v>127873.99226511231</v>
      </c>
      <c r="EZ57" s="455">
        <v>127873.99226511231</v>
      </c>
      <c r="FA57" s="24">
        <v>127873.99226511231</v>
      </c>
      <c r="FB57" s="24">
        <v>224537.25134134997</v>
      </c>
      <c r="FC57" s="24">
        <v>224537.25134134997</v>
      </c>
      <c r="FD57" s="24">
        <v>224537.25134134997</v>
      </c>
      <c r="FE57" s="24">
        <v>267730.02458006685</v>
      </c>
      <c r="FF57" s="24">
        <v>267730.02458006685</v>
      </c>
      <c r="FG57" s="24">
        <v>267730.02458006685</v>
      </c>
      <c r="FH57" s="24">
        <v>304860.24841451686</v>
      </c>
      <c r="FI57" s="24">
        <v>304860.24841451686</v>
      </c>
      <c r="FJ57" s="24">
        <v>304860.24841451686</v>
      </c>
    </row>
    <row r="58" spans="3:168" x14ac:dyDescent="0.35">
      <c r="C58" s="1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20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232"/>
      <c r="ES58" s="12"/>
      <c r="ET58" s="12"/>
      <c r="EU58" s="12"/>
      <c r="EV58" s="12"/>
      <c r="EW58" s="12"/>
      <c r="EX58" s="12"/>
    </row>
    <row r="59" spans="3:168" x14ac:dyDescent="0.35">
      <c r="C59" s="10"/>
      <c r="D59" t="s">
        <v>189</v>
      </c>
      <c r="F59" s="11"/>
      <c r="G59" s="11"/>
      <c r="H59" s="11"/>
      <c r="I59" s="11">
        <f t="shared" si="95"/>
        <v>0</v>
      </c>
      <c r="J59" s="11"/>
      <c r="K59" s="11"/>
      <c r="L59" s="11"/>
      <c r="M59" s="11"/>
      <c r="N59" s="11"/>
      <c r="O59" s="11"/>
      <c r="P59" s="11"/>
      <c r="Q59" s="20"/>
      <c r="R59" s="12"/>
      <c r="S59" s="12"/>
      <c r="T59" s="12"/>
      <c r="U59" s="12"/>
      <c r="V59" s="12">
        <v>-52000</v>
      </c>
      <c r="W59" s="12">
        <v>13000</v>
      </c>
      <c r="X59" s="12"/>
      <c r="Y59" s="12"/>
      <c r="Z59" s="12">
        <f t="shared" si="97"/>
        <v>0</v>
      </c>
      <c r="AA59" s="12"/>
      <c r="AB59" s="12"/>
      <c r="AC59" s="12"/>
      <c r="AD59" s="12">
        <f t="shared" si="26"/>
        <v>8000</v>
      </c>
      <c r="AE59" s="12">
        <f t="shared" si="27"/>
        <v>-24000</v>
      </c>
      <c r="AF59" s="12">
        <f t="shared" si="3"/>
        <v>0</v>
      </c>
      <c r="AG59" s="12">
        <f t="shared" si="8"/>
        <v>0</v>
      </c>
      <c r="AH59" s="12">
        <f t="shared" ref="AH59:AS62" ca="1" si="121">OFFSET($CN59,0,AH$4)+OFFSET($CO59,0,AH$4)+OFFSET($CP59,0,AH$4)</f>
        <v>0</v>
      </c>
      <c r="AI59" s="12">
        <f t="shared" ca="1" si="121"/>
        <v>0</v>
      </c>
      <c r="AJ59" s="12">
        <f t="shared" ca="1" si="121"/>
        <v>0</v>
      </c>
      <c r="AK59" s="12">
        <f t="shared" ca="1" si="121"/>
        <v>0</v>
      </c>
      <c r="AL59" s="12">
        <f t="shared" ca="1" si="121"/>
        <v>0</v>
      </c>
      <c r="AM59" s="12">
        <f t="shared" ca="1" si="121"/>
        <v>0</v>
      </c>
      <c r="AN59" s="12">
        <f t="shared" ca="1" si="121"/>
        <v>0</v>
      </c>
      <c r="AO59" s="12">
        <f t="shared" ca="1" si="121"/>
        <v>0</v>
      </c>
      <c r="AP59" s="12">
        <f t="shared" ca="1" si="121"/>
        <v>0</v>
      </c>
      <c r="AQ59" s="12">
        <f t="shared" ca="1" si="121"/>
        <v>0</v>
      </c>
      <c r="AR59" s="12">
        <f t="shared" ca="1" si="121"/>
        <v>0</v>
      </c>
      <c r="AS59" s="12">
        <f t="shared" ca="1" si="121"/>
        <v>0</v>
      </c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20">
        <f>$V59/3</f>
        <v>-17333.333333333332</v>
      </c>
      <c r="BH59" s="20">
        <f t="shared" ref="BH59:BI62" si="122">$V59/3</f>
        <v>-17333.333333333332</v>
      </c>
      <c r="BI59" s="20">
        <f t="shared" si="122"/>
        <v>-17333.333333333332</v>
      </c>
      <c r="BJ59" s="20">
        <f>$W59/3</f>
        <v>4333.333333333333</v>
      </c>
      <c r="BK59" s="20">
        <f>$W59/3</f>
        <v>4333.333333333333</v>
      </c>
      <c r="BL59" s="20">
        <f>$W59/3</f>
        <v>4333.333333333333</v>
      </c>
      <c r="BM59" s="20">
        <f>$X59/3</f>
        <v>0</v>
      </c>
      <c r="BN59" s="20">
        <f>$X59/3</f>
        <v>0</v>
      </c>
      <c r="BO59" s="20">
        <f>$X59/3</f>
        <v>0</v>
      </c>
      <c r="BP59" s="20">
        <f>$Y59/3</f>
        <v>0</v>
      </c>
      <c r="BQ59" s="20">
        <f>$Y59/3</f>
        <v>0</v>
      </c>
      <c r="BR59" s="20">
        <f>$Y59/3</f>
        <v>0</v>
      </c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20">
        <v>2666.6666666666665</v>
      </c>
      <c r="CF59" s="20">
        <v>2666.6666666666665</v>
      </c>
      <c r="CG59" s="20">
        <v>2666.6666666666665</v>
      </c>
      <c r="CH59" s="20">
        <v>-8000</v>
      </c>
      <c r="CI59" s="20">
        <v>-8000</v>
      </c>
      <c r="CJ59" s="20">
        <v>-8000</v>
      </c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EN59" s="524"/>
    </row>
    <row r="60" spans="3:168" x14ac:dyDescent="0.35">
      <c r="C60" s="10"/>
      <c r="D60" t="s">
        <v>125</v>
      </c>
      <c r="F60" s="11"/>
      <c r="G60" s="11"/>
      <c r="H60" s="11"/>
      <c r="I60" s="11">
        <f t="shared" si="95"/>
        <v>0</v>
      </c>
      <c r="J60" s="11"/>
      <c r="K60" s="11"/>
      <c r="L60" s="11"/>
      <c r="M60" s="11"/>
      <c r="N60" s="11"/>
      <c r="O60" s="11"/>
      <c r="P60" s="11"/>
      <c r="Q60" s="20"/>
      <c r="R60" s="12"/>
      <c r="S60" s="12"/>
      <c r="T60" s="12"/>
      <c r="U60" s="12"/>
      <c r="V60" s="12"/>
      <c r="W60" s="12"/>
      <c r="X60" s="12"/>
      <c r="Y60" s="12"/>
      <c r="Z60" s="12">
        <f t="shared" si="97"/>
        <v>0</v>
      </c>
      <c r="AA60" s="12"/>
      <c r="AB60" s="12"/>
      <c r="AC60" s="12"/>
      <c r="AD60" s="12">
        <f t="shared" si="26"/>
        <v>0</v>
      </c>
      <c r="AE60" s="12">
        <f t="shared" si="27"/>
        <v>0</v>
      </c>
      <c r="AF60" s="12">
        <f t="shared" si="3"/>
        <v>0</v>
      </c>
      <c r="AG60" s="12">
        <f t="shared" si="8"/>
        <v>-338390</v>
      </c>
      <c r="AH60" s="12">
        <f t="shared" ca="1" si="121"/>
        <v>0</v>
      </c>
      <c r="AI60" s="12">
        <f t="shared" ca="1" si="121"/>
        <v>0</v>
      </c>
      <c r="AJ60" s="12">
        <f t="shared" ca="1" si="121"/>
        <v>0</v>
      </c>
      <c r="AK60" s="12">
        <f t="shared" ca="1" si="121"/>
        <v>0</v>
      </c>
      <c r="AL60" s="12">
        <f t="shared" ca="1" si="121"/>
        <v>0</v>
      </c>
      <c r="AM60" s="12">
        <f t="shared" ca="1" si="121"/>
        <v>0</v>
      </c>
      <c r="AN60" s="12">
        <f t="shared" ca="1" si="121"/>
        <v>0</v>
      </c>
      <c r="AO60" s="12">
        <f t="shared" ca="1" si="121"/>
        <v>0</v>
      </c>
      <c r="AP60" s="12">
        <f t="shared" ca="1" si="121"/>
        <v>0</v>
      </c>
      <c r="AQ60" s="12">
        <f t="shared" ca="1" si="121"/>
        <v>0</v>
      </c>
      <c r="AR60" s="12">
        <f t="shared" ca="1" si="121"/>
        <v>0</v>
      </c>
      <c r="AS60" s="12">
        <f t="shared" ca="1" si="121"/>
        <v>0</v>
      </c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44"/>
      <c r="BT60" s="44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>
        <v>-112796.66666666667</v>
      </c>
      <c r="CO60" s="20">
        <v>-112796.66666666667</v>
      </c>
      <c r="CP60" s="20">
        <v>-112796.66666666667</v>
      </c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97"/>
      <c r="EN60" s="524"/>
      <c r="EY60" s="756"/>
      <c r="EZ60" s="756"/>
      <c r="FA60" s="756"/>
      <c r="FB60" s="756"/>
      <c r="FC60" s="756"/>
      <c r="FD60" s="756"/>
      <c r="FE60" s="756"/>
      <c r="FF60" s="756"/>
      <c r="FG60" s="756"/>
      <c r="FH60" s="756"/>
      <c r="FI60" s="756"/>
      <c r="FJ60" s="756"/>
    </row>
    <row r="61" spans="3:168" x14ac:dyDescent="0.35">
      <c r="C61" s="10"/>
      <c r="D61" t="s">
        <v>127</v>
      </c>
      <c r="F61" s="19">
        <v>-646000</v>
      </c>
      <c r="G61" s="19">
        <f>SUM(R61:U61)</f>
        <v>-518000</v>
      </c>
      <c r="H61" s="19">
        <f>SUM(V61:Y61)</f>
        <v>-560000</v>
      </c>
      <c r="I61" s="11">
        <f t="shared" si="95"/>
        <v>-560000.00000000012</v>
      </c>
      <c r="J61" s="11"/>
      <c r="K61" s="11"/>
      <c r="L61" s="11"/>
      <c r="M61" s="11"/>
      <c r="N61" s="11"/>
      <c r="O61" s="11"/>
      <c r="P61" s="11"/>
      <c r="Q61" s="20"/>
      <c r="R61" s="20">
        <v>-96000</v>
      </c>
      <c r="S61" s="20">
        <v>-142000</v>
      </c>
      <c r="T61" s="20">
        <v>-140000</v>
      </c>
      <c r="U61" s="20">
        <f>T61</f>
        <v>-140000</v>
      </c>
      <c r="V61" s="20">
        <v>-127000</v>
      </c>
      <c r="W61" s="20">
        <v>-153000</v>
      </c>
      <c r="X61" s="20">
        <v>-140000</v>
      </c>
      <c r="Y61" s="20">
        <v>-140000</v>
      </c>
      <c r="Z61" s="12">
        <f t="shared" si="97"/>
        <v>-140000</v>
      </c>
      <c r="AA61" s="12">
        <f>SUM(BV61:BX61)</f>
        <v>-140000</v>
      </c>
      <c r="AB61" s="12">
        <f>SUM(BY61:CA61)</f>
        <v>-140000</v>
      </c>
      <c r="AC61" s="12">
        <f>SUM(CB61:CD61)</f>
        <v>-140000</v>
      </c>
      <c r="AD61" s="12">
        <f t="shared" si="26"/>
        <v>-252359</v>
      </c>
      <c r="AE61" s="12">
        <f t="shared" si="27"/>
        <v>-275343</v>
      </c>
      <c r="AF61" s="12">
        <f t="shared" si="3"/>
        <v>-117822.86111111111</v>
      </c>
      <c r="AG61" s="12">
        <f t="shared" si="8"/>
        <v>-115540.16280864197</v>
      </c>
      <c r="AH61" s="12">
        <f t="shared" ca="1" si="121"/>
        <v>0</v>
      </c>
      <c r="AI61" s="12">
        <f t="shared" ca="1" si="121"/>
        <v>0</v>
      </c>
      <c r="AJ61" s="12">
        <f t="shared" ca="1" si="121"/>
        <v>0</v>
      </c>
      <c r="AK61" s="12">
        <f t="shared" ca="1" si="121"/>
        <v>0</v>
      </c>
      <c r="AL61" s="12">
        <f t="shared" ca="1" si="121"/>
        <v>0</v>
      </c>
      <c r="AM61" s="12">
        <f t="shared" ca="1" si="121"/>
        <v>0</v>
      </c>
      <c r="AN61" s="12">
        <f t="shared" ca="1" si="121"/>
        <v>0</v>
      </c>
      <c r="AO61" s="12">
        <f t="shared" ca="1" si="121"/>
        <v>0</v>
      </c>
      <c r="AP61" s="12">
        <f t="shared" ca="1" si="121"/>
        <v>0</v>
      </c>
      <c r="AQ61" s="12">
        <f t="shared" ca="1" si="121"/>
        <v>0</v>
      </c>
      <c r="AR61" s="12">
        <f t="shared" ca="1" si="121"/>
        <v>0</v>
      </c>
      <c r="AS61" s="12">
        <f t="shared" ca="1" si="121"/>
        <v>0</v>
      </c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20"/>
      <c r="BG61" s="20">
        <f>$V61/3</f>
        <v>-42333.333333333336</v>
      </c>
      <c r="BH61" s="20">
        <f t="shared" si="122"/>
        <v>-42333.333333333336</v>
      </c>
      <c r="BI61" s="20">
        <f t="shared" si="122"/>
        <v>-42333.333333333336</v>
      </c>
      <c r="BJ61" s="20">
        <f t="shared" ref="BJ61:BL62" si="123">$W61/3</f>
        <v>-51000</v>
      </c>
      <c r="BK61" s="20">
        <f t="shared" si="123"/>
        <v>-51000</v>
      </c>
      <c r="BL61" s="20">
        <f t="shared" si="123"/>
        <v>-51000</v>
      </c>
      <c r="BM61" s="20">
        <f t="shared" ref="BM61:BO62" si="124">$X61/3</f>
        <v>-46666.666666666664</v>
      </c>
      <c r="BN61" s="20">
        <f t="shared" si="124"/>
        <v>-46666.666666666664</v>
      </c>
      <c r="BO61" s="20">
        <f t="shared" si="124"/>
        <v>-46666.666666666664</v>
      </c>
      <c r="BP61" s="20">
        <f t="shared" ref="BP61:BR62" si="125">$Y61/3</f>
        <v>-46666.666666666664</v>
      </c>
      <c r="BQ61" s="20">
        <f t="shared" si="125"/>
        <v>-46666.666666666664</v>
      </c>
      <c r="BR61" s="20">
        <f t="shared" si="125"/>
        <v>-46666.666666666664</v>
      </c>
      <c r="BS61" s="20">
        <v>-46666.666666666664</v>
      </c>
      <c r="BT61" s="20">
        <v>-46666.666666666664</v>
      </c>
      <c r="BU61" s="20">
        <v>-46666.666666666664</v>
      </c>
      <c r="BV61" s="20">
        <v>-46666.666666666664</v>
      </c>
      <c r="BW61" s="20">
        <v>-46666.666666666664</v>
      </c>
      <c r="BX61" s="20">
        <v>-46666.666666666664</v>
      </c>
      <c r="BY61" s="20">
        <v>-46666.666666666664</v>
      </c>
      <c r="BZ61" s="20">
        <v>-46666.666666666664</v>
      </c>
      <c r="CA61" s="20">
        <v>-46666.666666666664</v>
      </c>
      <c r="CB61" s="20">
        <v>-46666.666666666664</v>
      </c>
      <c r="CC61" s="20">
        <v>-46666.666666666664</v>
      </c>
      <c r="CD61" s="20">
        <v>-46666.666666666664</v>
      </c>
      <c r="CE61" s="20">
        <v>-84119.666666666672</v>
      </c>
      <c r="CF61" s="20">
        <v>-84119.666666666672</v>
      </c>
      <c r="CG61" s="20">
        <v>-84119.666666666672</v>
      </c>
      <c r="CH61" s="20">
        <v>-91781</v>
      </c>
      <c r="CI61" s="20">
        <v>-91781</v>
      </c>
      <c r="CJ61" s="20">
        <v>-91781</v>
      </c>
      <c r="CK61" s="20">
        <v>-39274.287037037036</v>
      </c>
      <c r="CL61" s="20">
        <v>-39274.287037037036</v>
      </c>
      <c r="CM61" s="20">
        <v>-39274.287037037036</v>
      </c>
      <c r="CN61" s="20">
        <v>-38513.387602880655</v>
      </c>
      <c r="CO61" s="20">
        <v>-38513.387602880655</v>
      </c>
      <c r="CP61" s="20">
        <v>-38513.387602880655</v>
      </c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97"/>
      <c r="EN61" s="524"/>
    </row>
    <row r="62" spans="3:168" x14ac:dyDescent="0.35">
      <c r="C62" s="10"/>
      <c r="D62" t="s">
        <v>128</v>
      </c>
      <c r="F62" s="19">
        <v>-161000</v>
      </c>
      <c r="G62" s="19">
        <f>SUM(R62:U62)</f>
        <v>-197000</v>
      </c>
      <c r="H62" s="19">
        <f>SUM(V62:Y62)</f>
        <v>-102000</v>
      </c>
      <c r="I62" s="11">
        <f t="shared" si="95"/>
        <v>0</v>
      </c>
      <c r="J62" s="11"/>
      <c r="K62" s="11"/>
      <c r="L62" s="11"/>
      <c r="M62" s="11"/>
      <c r="N62" s="11"/>
      <c r="O62" s="11"/>
      <c r="P62" s="11"/>
      <c r="Q62" s="20"/>
      <c r="R62" s="20">
        <v>-58000</v>
      </c>
      <c r="S62" s="20">
        <v>-62000</v>
      </c>
      <c r="T62" s="20">
        <v>-77000</v>
      </c>
      <c r="U62" s="20"/>
      <c r="V62" s="20">
        <v>-102000</v>
      </c>
      <c r="W62" s="20"/>
      <c r="X62" s="20"/>
      <c r="Y62" s="20"/>
      <c r="Z62" s="12">
        <f t="shared" si="97"/>
        <v>0</v>
      </c>
      <c r="AA62" s="12">
        <f>SUM(BV62:BX62)</f>
        <v>0</v>
      </c>
      <c r="AB62" s="12">
        <f>SUM(BY62:CA62)</f>
        <v>0</v>
      </c>
      <c r="AC62" s="12">
        <f>SUM(CB62:CD62)</f>
        <v>0</v>
      </c>
      <c r="AD62" s="12">
        <f t="shared" si="26"/>
        <v>-172999</v>
      </c>
      <c r="AE62" s="12">
        <f t="shared" si="27"/>
        <v>-213404</v>
      </c>
      <c r="AF62" s="12">
        <f t="shared" si="3"/>
        <v>-77706.187633093999</v>
      </c>
      <c r="AG62" s="12">
        <f t="shared" si="8"/>
        <v>-72525.77512422108</v>
      </c>
      <c r="AH62" s="12">
        <f t="shared" ca="1" si="121"/>
        <v>0</v>
      </c>
      <c r="AI62" s="12">
        <f t="shared" ca="1" si="121"/>
        <v>0</v>
      </c>
      <c r="AJ62" s="12">
        <f t="shared" ca="1" si="121"/>
        <v>0</v>
      </c>
      <c r="AK62" s="12">
        <f t="shared" ca="1" si="121"/>
        <v>0</v>
      </c>
      <c r="AL62" s="12">
        <f t="shared" ca="1" si="121"/>
        <v>0</v>
      </c>
      <c r="AM62" s="12">
        <f t="shared" ca="1" si="121"/>
        <v>0</v>
      </c>
      <c r="AN62" s="12">
        <f t="shared" ca="1" si="121"/>
        <v>0</v>
      </c>
      <c r="AO62" s="12">
        <f t="shared" ca="1" si="121"/>
        <v>0</v>
      </c>
      <c r="AP62" s="12">
        <f t="shared" ca="1" si="121"/>
        <v>0</v>
      </c>
      <c r="AQ62" s="12">
        <f t="shared" ca="1" si="121"/>
        <v>0</v>
      </c>
      <c r="AR62" s="12">
        <f t="shared" ca="1" si="121"/>
        <v>0</v>
      </c>
      <c r="AS62" s="12">
        <f t="shared" ca="1" si="121"/>
        <v>0</v>
      </c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20"/>
      <c r="BG62" s="20">
        <f>$V62/3</f>
        <v>-34000</v>
      </c>
      <c r="BH62" s="20">
        <f t="shared" si="122"/>
        <v>-34000</v>
      </c>
      <c r="BI62" s="20">
        <f t="shared" si="122"/>
        <v>-34000</v>
      </c>
      <c r="BJ62" s="20">
        <f t="shared" si="123"/>
        <v>0</v>
      </c>
      <c r="BK62" s="20">
        <f t="shared" si="123"/>
        <v>0</v>
      </c>
      <c r="BL62" s="20">
        <f t="shared" si="123"/>
        <v>0</v>
      </c>
      <c r="BM62" s="20">
        <f t="shared" si="124"/>
        <v>0</v>
      </c>
      <c r="BN62" s="20">
        <f t="shared" si="124"/>
        <v>0</v>
      </c>
      <c r="BO62" s="20">
        <f t="shared" si="124"/>
        <v>0</v>
      </c>
      <c r="BP62" s="20">
        <f t="shared" si="125"/>
        <v>0</v>
      </c>
      <c r="BQ62" s="20">
        <f t="shared" si="125"/>
        <v>0</v>
      </c>
      <c r="BR62" s="20">
        <f t="shared" si="125"/>
        <v>0</v>
      </c>
      <c r="BS62" s="44"/>
      <c r="BT62" s="44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106">
        <v>-57666.333333333336</v>
      </c>
      <c r="CF62" s="106">
        <v>-57666.333333333336</v>
      </c>
      <c r="CG62" s="106">
        <v>-57666.333333333336</v>
      </c>
      <c r="CH62" s="106">
        <v>-71134.666666666672</v>
      </c>
      <c r="CI62" s="106">
        <v>-71134.666666666672</v>
      </c>
      <c r="CJ62" s="106">
        <v>-71134.666666666672</v>
      </c>
      <c r="CK62" s="106">
        <v>-25902.062544364668</v>
      </c>
      <c r="CL62" s="106">
        <v>-25902.062544364668</v>
      </c>
      <c r="CM62" s="106">
        <v>-25902.062544364668</v>
      </c>
      <c r="CN62" s="106">
        <v>-24175.258374740359</v>
      </c>
      <c r="CO62" s="106">
        <v>-24175.258374740359</v>
      </c>
      <c r="CP62" s="106">
        <v>-24175.258374740359</v>
      </c>
      <c r="CQ62" s="106"/>
      <c r="CR62" s="106"/>
      <c r="CS62" s="106"/>
      <c r="CT62" s="106"/>
      <c r="CU62" s="106"/>
      <c r="CV62" s="106"/>
      <c r="CW62" s="106"/>
      <c r="CX62" s="106"/>
      <c r="CY62" s="106"/>
      <c r="CZ62" s="106"/>
      <c r="DA62" s="106"/>
      <c r="DB62" s="106"/>
      <c r="DC62" s="106"/>
      <c r="DD62" s="106"/>
      <c r="DE62" s="106"/>
      <c r="DF62" s="106"/>
      <c r="DG62" s="106"/>
      <c r="DH62" s="106"/>
      <c r="DI62" s="106"/>
      <c r="DJ62" s="106"/>
      <c r="DK62" s="106"/>
      <c r="DL62" s="106"/>
      <c r="DM62" s="106"/>
      <c r="DN62" s="106"/>
      <c r="EN62" s="524"/>
      <c r="EY62" s="756"/>
      <c r="EZ62" s="756"/>
      <c r="FA62" s="756"/>
      <c r="FB62" s="756"/>
      <c r="FC62" s="756"/>
      <c r="FD62" s="756"/>
      <c r="FE62" s="756"/>
      <c r="FF62" s="756"/>
      <c r="FG62" s="756"/>
      <c r="FH62" s="756"/>
      <c r="FI62" s="756"/>
      <c r="FJ62" s="756"/>
    </row>
    <row r="63" spans="3:168" x14ac:dyDescent="0.35">
      <c r="C63" s="21" t="s">
        <v>129</v>
      </c>
      <c r="D63" s="22"/>
      <c r="E63" s="22"/>
      <c r="F63" s="23">
        <f>SUM(Q63:T63)</f>
        <v>-2023000</v>
      </c>
      <c r="G63" s="23">
        <f>SUM(R63:U63)</f>
        <v>-2124000</v>
      </c>
      <c r="H63" s="23">
        <f>SUM(V63:Y63)</f>
        <v>-1723663.1894389302</v>
      </c>
      <c r="I63" s="23">
        <f t="shared" si="95"/>
        <v>-1439570.604552337</v>
      </c>
      <c r="J63" s="23"/>
      <c r="K63" s="23"/>
      <c r="L63" s="23"/>
      <c r="M63" s="23"/>
      <c r="N63" s="23"/>
      <c r="O63" s="23"/>
      <c r="P63" s="23"/>
      <c r="Q63" s="34"/>
      <c r="R63" s="24">
        <f t="shared" ref="R63:Y63" si="126">SUM(R55:R62)</f>
        <v>-563000</v>
      </c>
      <c r="S63" s="24">
        <f t="shared" si="126"/>
        <v>-809000</v>
      </c>
      <c r="T63" s="24">
        <f t="shared" si="126"/>
        <v>-651000</v>
      </c>
      <c r="U63" s="24">
        <f t="shared" si="126"/>
        <v>-101000</v>
      </c>
      <c r="V63" s="24">
        <f t="shared" si="126"/>
        <v>-456000</v>
      </c>
      <c r="W63" s="24">
        <f t="shared" si="126"/>
        <v>-369972.93911365606</v>
      </c>
      <c r="X63" s="24">
        <f t="shared" si="126"/>
        <v>-468323.45761046861</v>
      </c>
      <c r="Y63" s="24">
        <f t="shared" si="126"/>
        <v>-429366.79271480558</v>
      </c>
      <c r="Z63" s="24">
        <f t="shared" si="97"/>
        <v>-663605.17742740992</v>
      </c>
      <c r="AA63" s="24">
        <f>SUM(BV63:BX63)</f>
        <v>-545365.48226891062</v>
      </c>
      <c r="AB63" s="24">
        <f>SUM(BY63:CA63)</f>
        <v>-317816.2870173374</v>
      </c>
      <c r="AC63" s="24">
        <f>SUM(CB63:CD63)</f>
        <v>87216.342161320848</v>
      </c>
      <c r="AD63" s="24">
        <f t="shared" si="26"/>
        <v>-703613.99999999988</v>
      </c>
      <c r="AE63" s="24">
        <f t="shared" si="27"/>
        <v>-498381.00000000017</v>
      </c>
      <c r="AF63" s="24">
        <f t="shared" si="3"/>
        <v>-338041.79280155874</v>
      </c>
      <c r="AG63" s="24">
        <f t="shared" si="8"/>
        <v>-773275.24667069048</v>
      </c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>
        <f>SUM(BS55:BS62)</f>
        <v>-241347.44620304546</v>
      </c>
      <c r="BT63" s="24">
        <f t="shared" ref="BT63:CP63" si="127">SUM(BT55:BT62)</f>
        <v>-221201.72580913661</v>
      </c>
      <c r="BU63" s="24">
        <f t="shared" si="127"/>
        <v>-201056.00541522788</v>
      </c>
      <c r="BV63" s="24">
        <f t="shared" si="127"/>
        <v>-199560.48373095036</v>
      </c>
      <c r="BW63" s="24">
        <f t="shared" si="127"/>
        <v>-181788.49408963698</v>
      </c>
      <c r="BX63" s="24">
        <f t="shared" si="127"/>
        <v>-164016.50444832331</v>
      </c>
      <c r="BY63" s="24">
        <f t="shared" si="127"/>
        <v>-130413.26053148185</v>
      </c>
      <c r="BZ63" s="24">
        <f t="shared" si="127"/>
        <v>-105938.76233911238</v>
      </c>
      <c r="CA63" s="24">
        <f t="shared" si="127"/>
        <v>-81464.264146743139</v>
      </c>
      <c r="CB63" s="24">
        <f t="shared" si="127"/>
        <v>897.13909532999241</v>
      </c>
      <c r="CC63" s="24">
        <f t="shared" si="127"/>
        <v>29072.114053773657</v>
      </c>
      <c r="CD63" s="24">
        <f t="shared" si="127"/>
        <v>57247.089012217206</v>
      </c>
      <c r="CE63" s="24">
        <f t="shared" si="127"/>
        <v>-234537.99999999997</v>
      </c>
      <c r="CF63" s="24">
        <f t="shared" si="127"/>
        <v>-234537.99999999997</v>
      </c>
      <c r="CG63" s="24">
        <f t="shared" si="127"/>
        <v>-234537.99999999997</v>
      </c>
      <c r="CH63" s="24">
        <f t="shared" si="127"/>
        <v>-166127.00000000006</v>
      </c>
      <c r="CI63" s="24">
        <f t="shared" si="127"/>
        <v>-166127.00000000006</v>
      </c>
      <c r="CJ63" s="24">
        <f t="shared" si="127"/>
        <v>-166127.00000000006</v>
      </c>
      <c r="CK63" s="24">
        <f t="shared" si="127"/>
        <v>-112680.59760051957</v>
      </c>
      <c r="CL63" s="24">
        <f t="shared" si="127"/>
        <v>-112680.59760051957</v>
      </c>
      <c r="CM63" s="24">
        <f t="shared" si="127"/>
        <v>-112680.59760051957</v>
      </c>
      <c r="CN63" s="24">
        <f>SUM(CN55:CN62)</f>
        <v>-257758.41555689683</v>
      </c>
      <c r="CO63" s="24">
        <f t="shared" si="127"/>
        <v>-257758.41555689683</v>
      </c>
      <c r="CP63" s="24">
        <f t="shared" si="127"/>
        <v>-257758.41555689683</v>
      </c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EN63" s="524"/>
    </row>
    <row r="64" spans="3:168" x14ac:dyDescent="0.35"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EN64" s="524"/>
    </row>
    <row r="65" spans="2:144" x14ac:dyDescent="0.35"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20"/>
      <c r="R65" s="20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CC65" s="116"/>
      <c r="EN65" s="524"/>
    </row>
    <row r="66" spans="2:144" x14ac:dyDescent="0.35">
      <c r="B66" s="3" t="s">
        <v>132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EN66" s="524"/>
    </row>
    <row r="67" spans="2:144" x14ac:dyDescent="0.35">
      <c r="C67" s="10" t="s">
        <v>133</v>
      </c>
      <c r="F67" s="11"/>
      <c r="G67" s="11">
        <f>U67</f>
        <v>1428000</v>
      </c>
      <c r="H67" s="11">
        <f t="shared" ref="H67:H73" si="128">Y67</f>
        <v>1272000</v>
      </c>
      <c r="I67" s="11"/>
      <c r="J67" s="11"/>
      <c r="K67" s="11"/>
      <c r="L67" s="11"/>
      <c r="M67" s="11"/>
      <c r="N67" s="11"/>
      <c r="O67" s="11"/>
      <c r="P67" s="11"/>
      <c r="Q67" s="20"/>
      <c r="R67" s="12">
        <v>1409000</v>
      </c>
      <c r="S67" s="12">
        <v>1449000</v>
      </c>
      <c r="T67" s="12">
        <v>1448000</v>
      </c>
      <c r="U67" s="12">
        <v>1428000</v>
      </c>
      <c r="V67" s="12">
        <v>1399000</v>
      </c>
      <c r="W67" s="12">
        <v>1352000</v>
      </c>
      <c r="X67" s="12">
        <v>1312000</v>
      </c>
      <c r="Y67" s="12">
        <v>1272000</v>
      </c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CD67" s="116"/>
      <c r="CE67" s="290">
        <v>2127439</v>
      </c>
      <c r="CF67" s="290">
        <v>2151439</v>
      </c>
      <c r="CG67" s="290">
        <v>2175439</v>
      </c>
      <c r="CH67" s="290">
        <v>2183085</v>
      </c>
      <c r="CI67" s="290">
        <v>2190731</v>
      </c>
      <c r="CJ67" s="290">
        <v>2198377</v>
      </c>
      <c r="CK67" s="290">
        <v>2225769.3796296297</v>
      </c>
      <c r="CL67" s="290">
        <v>2253161.7592592593</v>
      </c>
      <c r="CM67" s="290">
        <v>2280554.138888889</v>
      </c>
      <c r="CN67" s="290">
        <v>2308707.4179526749</v>
      </c>
      <c r="CO67" s="290">
        <v>2336860.6970164608</v>
      </c>
      <c r="CP67" s="290">
        <v>2365013.9760802472</v>
      </c>
      <c r="CQ67" s="290"/>
      <c r="CR67" s="290"/>
      <c r="CS67" s="290"/>
      <c r="CT67" s="290"/>
      <c r="CU67" s="290"/>
      <c r="CV67" s="290"/>
      <c r="CW67" s="290"/>
      <c r="CX67" s="290"/>
      <c r="CY67" s="290"/>
      <c r="CZ67" s="290"/>
      <c r="DA67" s="290"/>
      <c r="DB67" s="290"/>
      <c r="EN67" s="524"/>
    </row>
    <row r="68" spans="2:144" ht="6" customHeight="1" x14ac:dyDescent="0.35">
      <c r="D68" s="10"/>
      <c r="F68" s="19"/>
      <c r="G68" s="19">
        <f t="shared" ref="G68:G73" si="129">U68</f>
        <v>0</v>
      </c>
      <c r="H68" s="19">
        <f t="shared" si="128"/>
        <v>0</v>
      </c>
      <c r="I68" s="19"/>
      <c r="J68" s="19"/>
      <c r="K68" s="19"/>
      <c r="L68" s="19"/>
      <c r="M68" s="19"/>
      <c r="N68" s="19"/>
      <c r="O68" s="19"/>
      <c r="P68" s="19"/>
      <c r="Q68" s="20"/>
      <c r="R68" s="20"/>
      <c r="S68" s="20"/>
      <c r="T68" s="20"/>
      <c r="U68" s="20"/>
      <c r="V68" s="20"/>
      <c r="W68" s="20"/>
      <c r="BF68" s="20"/>
      <c r="BG68" s="20"/>
      <c r="BH68" s="20"/>
      <c r="BI68" s="20"/>
      <c r="BJ68" s="20"/>
      <c r="BK68" s="20"/>
      <c r="BL68" s="20"/>
      <c r="CC68" s="116"/>
      <c r="EN68" s="524"/>
    </row>
    <row r="69" spans="2:144" x14ac:dyDescent="0.35">
      <c r="D69" t="s">
        <v>134</v>
      </c>
      <c r="F69" s="19"/>
      <c r="G69" s="19">
        <f t="shared" si="129"/>
        <v>274000</v>
      </c>
      <c r="H69" s="19">
        <f t="shared" si="128"/>
        <v>400000</v>
      </c>
      <c r="I69" s="19"/>
      <c r="J69" s="19"/>
      <c r="K69" s="19"/>
      <c r="L69" s="19"/>
      <c r="M69" s="19"/>
      <c r="N69" s="19"/>
      <c r="O69" s="19"/>
      <c r="P69" s="19"/>
      <c r="Q69" s="20"/>
      <c r="R69" s="20">
        <v>418000</v>
      </c>
      <c r="S69" s="20">
        <v>277000</v>
      </c>
      <c r="T69" s="20">
        <v>276000</v>
      </c>
      <c r="U69" s="20">
        <v>274000</v>
      </c>
      <c r="V69" s="20">
        <v>370000</v>
      </c>
      <c r="W69" s="20">
        <v>400000</v>
      </c>
      <c r="X69" s="20">
        <v>400000</v>
      </c>
      <c r="Y69" s="20">
        <v>400000</v>
      </c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CE69" s="106">
        <v>367220</v>
      </c>
      <c r="CF69" s="106">
        <v>359744</v>
      </c>
      <c r="CG69" s="106">
        <v>352268</v>
      </c>
      <c r="CH69" s="106">
        <v>350252</v>
      </c>
      <c r="CI69" s="106">
        <v>348236</v>
      </c>
      <c r="CJ69" s="106">
        <v>346220</v>
      </c>
      <c r="CK69" s="106">
        <v>364146.66666666669</v>
      </c>
      <c r="CL69" s="106">
        <v>382073.33333333337</v>
      </c>
      <c r="CM69" s="106">
        <v>400000</v>
      </c>
      <c r="CN69" s="106">
        <v>400000</v>
      </c>
      <c r="CO69" s="106">
        <v>400000</v>
      </c>
      <c r="CP69" s="106">
        <v>400000</v>
      </c>
      <c r="CQ69" s="106"/>
      <c r="CR69" s="106"/>
      <c r="CS69" s="106"/>
      <c r="CT69" s="106"/>
      <c r="CU69" s="106"/>
      <c r="CV69" s="106"/>
      <c r="CW69" s="106"/>
      <c r="CX69" s="106"/>
      <c r="CY69" s="106"/>
      <c r="CZ69" s="106"/>
      <c r="DA69" s="106"/>
      <c r="DB69" s="106"/>
      <c r="EN69" s="524"/>
    </row>
    <row r="70" spans="2:144" x14ac:dyDescent="0.35">
      <c r="D70" t="s">
        <v>135</v>
      </c>
      <c r="F70" s="19"/>
      <c r="G70" s="19">
        <f t="shared" si="129"/>
        <v>1593000</v>
      </c>
      <c r="H70" s="19">
        <f t="shared" si="128"/>
        <v>1700000</v>
      </c>
      <c r="I70" s="19"/>
      <c r="J70" s="19"/>
      <c r="K70" s="19"/>
      <c r="L70" s="19"/>
      <c r="M70" s="19"/>
      <c r="N70" s="19"/>
      <c r="O70" s="19"/>
      <c r="P70" s="19"/>
      <c r="Q70" s="20"/>
      <c r="R70" s="20">
        <v>1225000</v>
      </c>
      <c r="S70" s="20">
        <v>1536000</v>
      </c>
      <c r="T70" s="20">
        <v>1450000</v>
      </c>
      <c r="U70" s="20">
        <v>1593000</v>
      </c>
      <c r="V70" s="20">
        <v>1825000</v>
      </c>
      <c r="W70" s="20">
        <v>1700000</v>
      </c>
      <c r="X70" s="20">
        <v>1700000</v>
      </c>
      <c r="Y70" s="20">
        <v>1700000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CE70" s="106">
        <v>2357424</v>
      </c>
      <c r="CF70" s="106">
        <v>2284239</v>
      </c>
      <c r="CG70" s="106">
        <v>2211054</v>
      </c>
      <c r="CH70" s="106">
        <v>2140351</v>
      </c>
      <c r="CI70" s="106">
        <v>2069648</v>
      </c>
      <c r="CJ70" s="106">
        <v>1998945</v>
      </c>
      <c r="CK70" s="106">
        <v>2190216.6201953236</v>
      </c>
      <c r="CL70" s="106">
        <v>2381488.2403906472</v>
      </c>
      <c r="CM70" s="106">
        <v>2572759.8605859703</v>
      </c>
      <c r="CN70" s="106">
        <v>2621560.7971454193</v>
      </c>
      <c r="CO70" s="106">
        <v>2670361.7337048682</v>
      </c>
      <c r="CP70" s="106">
        <v>2719162.6702643167</v>
      </c>
      <c r="CQ70" s="106"/>
      <c r="CR70" s="106"/>
      <c r="CS70" s="106"/>
      <c r="CT70" s="106"/>
      <c r="CU70" s="106"/>
      <c r="CV70" s="106"/>
      <c r="CW70" s="106"/>
      <c r="CX70" s="106"/>
      <c r="CY70" s="106"/>
      <c r="CZ70" s="106"/>
      <c r="DA70" s="106"/>
      <c r="DB70" s="106"/>
      <c r="DC70" s="106"/>
      <c r="DD70" s="106"/>
      <c r="DE70" s="106"/>
      <c r="DF70" s="106"/>
      <c r="DG70" s="106"/>
      <c r="DH70" s="106"/>
      <c r="DI70" s="106"/>
      <c r="DJ70" s="106"/>
      <c r="DK70" s="106"/>
      <c r="DL70" s="106"/>
      <c r="DM70" s="106"/>
      <c r="DN70" s="106"/>
      <c r="EN70" s="524"/>
    </row>
    <row r="71" spans="2:144" x14ac:dyDescent="0.35">
      <c r="D71" t="s">
        <v>136</v>
      </c>
      <c r="F71" s="19"/>
      <c r="G71" s="19">
        <f t="shared" si="129"/>
        <v>409000</v>
      </c>
      <c r="H71" s="19">
        <f t="shared" si="128"/>
        <v>450000</v>
      </c>
      <c r="I71" s="19"/>
      <c r="J71" s="19"/>
      <c r="K71" s="19"/>
      <c r="L71" s="19"/>
      <c r="M71" s="19"/>
      <c r="N71" s="19"/>
      <c r="O71" s="19"/>
      <c r="P71" s="19"/>
      <c r="Q71" s="20"/>
      <c r="R71" s="20">
        <v>332000</v>
      </c>
      <c r="S71" s="20">
        <v>387000</v>
      </c>
      <c r="T71" s="20">
        <v>389000</v>
      </c>
      <c r="U71" s="20">
        <v>409000</v>
      </c>
      <c r="V71" s="20">
        <v>473000</v>
      </c>
      <c r="W71" s="20">
        <v>450000</v>
      </c>
      <c r="X71" s="20">
        <v>450000</v>
      </c>
      <c r="Y71" s="20">
        <v>450000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CC71" s="116"/>
      <c r="CE71" s="106">
        <v>1259000</v>
      </c>
      <c r="CF71" s="106">
        <v>1317000</v>
      </c>
      <c r="CG71" s="106">
        <v>1375000</v>
      </c>
      <c r="CH71" s="106">
        <v>1383666.6666666667</v>
      </c>
      <c r="CI71" s="106">
        <v>1392333.3333333335</v>
      </c>
      <c r="CJ71" s="106">
        <v>1401000</v>
      </c>
      <c r="CK71" s="106">
        <v>1167333.3333333333</v>
      </c>
      <c r="CL71" s="106">
        <v>933666.66666666651</v>
      </c>
      <c r="CM71" s="106">
        <v>700000</v>
      </c>
      <c r="CN71" s="106">
        <v>700000</v>
      </c>
      <c r="CO71" s="106">
        <v>700000</v>
      </c>
      <c r="CP71" s="106">
        <v>700000</v>
      </c>
      <c r="CQ71" s="106"/>
      <c r="CR71" s="106"/>
      <c r="CS71" s="106"/>
      <c r="CT71" s="106"/>
      <c r="CU71" s="106"/>
      <c r="CV71" s="106"/>
      <c r="CW71" s="106"/>
      <c r="CX71" s="106"/>
      <c r="CY71" s="106"/>
      <c r="CZ71" s="106"/>
      <c r="DA71" s="106"/>
      <c r="DB71" s="106"/>
      <c r="DC71" s="106"/>
      <c r="DD71" s="106"/>
      <c r="DE71" s="106"/>
      <c r="DF71" s="106"/>
      <c r="DG71" s="106"/>
      <c r="DH71" s="106"/>
      <c r="DI71" s="106"/>
      <c r="DJ71" s="106"/>
      <c r="DK71" s="106"/>
      <c r="DL71" s="106"/>
      <c r="DM71" s="106"/>
      <c r="DN71" s="106"/>
      <c r="EN71" s="524"/>
    </row>
    <row r="72" spans="2:144" x14ac:dyDescent="0.35">
      <c r="C72" s="36"/>
      <c r="D72" s="36" t="s">
        <v>137</v>
      </c>
      <c r="E72" s="36"/>
      <c r="F72" s="37"/>
      <c r="G72" s="37">
        <f t="shared" si="129"/>
        <v>0</v>
      </c>
      <c r="H72" s="37">
        <f t="shared" si="128"/>
        <v>0</v>
      </c>
      <c r="I72" s="37"/>
      <c r="J72" s="37"/>
      <c r="K72" s="37"/>
      <c r="L72" s="37"/>
      <c r="M72" s="37"/>
      <c r="N72" s="37"/>
      <c r="O72" s="37"/>
      <c r="P72" s="37"/>
      <c r="Q72" s="38"/>
      <c r="R72" s="38">
        <v>324000</v>
      </c>
      <c r="S72" s="38">
        <v>324000</v>
      </c>
      <c r="T72" s="38">
        <v>324000</v>
      </c>
      <c r="U72" s="38">
        <v>0</v>
      </c>
      <c r="V72" s="38">
        <v>0</v>
      </c>
      <c r="W72" s="38">
        <v>0</v>
      </c>
      <c r="X72" s="38">
        <v>0</v>
      </c>
      <c r="Y72" s="38">
        <v>0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CE72" s="301"/>
      <c r="CF72" s="301"/>
      <c r="CG72" s="301"/>
      <c r="CH72" s="301"/>
      <c r="CI72" s="301"/>
      <c r="CJ72" s="301"/>
      <c r="CK72" s="301"/>
      <c r="CL72" s="301"/>
      <c r="CM72" s="301"/>
      <c r="CN72" s="301"/>
      <c r="CO72" s="301"/>
      <c r="CP72" s="301"/>
      <c r="CQ72" s="301"/>
      <c r="CR72" s="301"/>
      <c r="CS72" s="301"/>
      <c r="CT72" s="301"/>
      <c r="CU72" s="301"/>
      <c r="CV72" s="301"/>
      <c r="CW72" s="301"/>
      <c r="CX72" s="301"/>
      <c r="CY72" s="301"/>
      <c r="CZ72" s="301"/>
      <c r="DA72" s="301"/>
      <c r="DB72" s="301"/>
      <c r="DC72" s="301"/>
      <c r="DD72" s="301"/>
      <c r="DE72" s="301"/>
      <c r="DF72" s="301"/>
      <c r="DG72" s="301"/>
      <c r="DH72" s="301"/>
      <c r="DI72" s="301"/>
      <c r="DJ72" s="301"/>
      <c r="DK72" s="301"/>
      <c r="DL72" s="301"/>
      <c r="DM72" s="301"/>
      <c r="DN72" s="301"/>
      <c r="EN72" s="524"/>
    </row>
    <row r="73" spans="2:144" x14ac:dyDescent="0.35">
      <c r="C73" s="10" t="s">
        <v>138</v>
      </c>
      <c r="F73" s="11"/>
      <c r="G73" s="11">
        <f t="shared" si="129"/>
        <v>2276000</v>
      </c>
      <c r="H73" s="11">
        <f t="shared" si="128"/>
        <v>2550000</v>
      </c>
      <c r="I73" s="11"/>
      <c r="J73" s="11"/>
      <c r="K73" s="11"/>
      <c r="L73" s="11"/>
      <c r="M73" s="11"/>
      <c r="N73" s="11"/>
      <c r="O73" s="11"/>
      <c r="P73" s="11"/>
      <c r="Q73" s="20"/>
      <c r="R73" s="12">
        <f t="shared" ref="R73:Y73" si="130">SUM(R69:R72)</f>
        <v>2299000</v>
      </c>
      <c r="S73" s="12">
        <f t="shared" si="130"/>
        <v>2524000</v>
      </c>
      <c r="T73" s="12">
        <f t="shared" si="130"/>
        <v>2439000</v>
      </c>
      <c r="U73" s="12">
        <f t="shared" si="130"/>
        <v>2276000</v>
      </c>
      <c r="V73" s="12">
        <f t="shared" si="130"/>
        <v>2668000</v>
      </c>
      <c r="W73" s="12">
        <f t="shared" si="130"/>
        <v>2550000</v>
      </c>
      <c r="X73" s="12">
        <f t="shared" si="130"/>
        <v>2550000</v>
      </c>
      <c r="Y73" s="12">
        <f t="shared" si="130"/>
        <v>2550000</v>
      </c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CE73" s="290">
        <f t="shared" ref="CE73:CP73" si="131">SUM(CE69:CE72)</f>
        <v>3983644</v>
      </c>
      <c r="CF73" s="290">
        <f t="shared" si="131"/>
        <v>3960983</v>
      </c>
      <c r="CG73" s="290">
        <f t="shared" si="131"/>
        <v>3938322</v>
      </c>
      <c r="CH73" s="290">
        <f t="shared" si="131"/>
        <v>3874269.666666667</v>
      </c>
      <c r="CI73" s="290">
        <f t="shared" si="131"/>
        <v>3810217.3333333335</v>
      </c>
      <c r="CJ73" s="290">
        <f t="shared" si="131"/>
        <v>3746165</v>
      </c>
      <c r="CK73" s="290">
        <f t="shared" si="131"/>
        <v>3721696.6201953236</v>
      </c>
      <c r="CL73" s="290">
        <f t="shared" si="131"/>
        <v>3697228.2403906472</v>
      </c>
      <c r="CM73" s="290">
        <f t="shared" si="131"/>
        <v>3672759.8605859703</v>
      </c>
      <c r="CN73" s="290">
        <f t="shared" si="131"/>
        <v>3721560.7971454193</v>
      </c>
      <c r="CO73" s="290">
        <f t="shared" si="131"/>
        <v>3770361.7337048682</v>
      </c>
      <c r="CP73" s="290">
        <f t="shared" si="131"/>
        <v>3819162.6702643167</v>
      </c>
      <c r="CQ73" s="290"/>
      <c r="CR73" s="290"/>
      <c r="CS73" s="290"/>
      <c r="CT73" s="290"/>
      <c r="CU73" s="290"/>
      <c r="CV73" s="290"/>
      <c r="CW73" s="290"/>
      <c r="CX73" s="290"/>
      <c r="CY73" s="290"/>
      <c r="CZ73" s="290"/>
      <c r="DA73" s="290"/>
      <c r="DB73" s="290"/>
      <c r="DC73" s="290"/>
      <c r="DD73" s="290"/>
      <c r="DE73" s="290"/>
      <c r="DF73" s="290"/>
      <c r="DG73" s="290"/>
      <c r="DH73" s="290"/>
      <c r="DI73" s="290"/>
      <c r="DJ73" s="290"/>
      <c r="DK73" s="290"/>
      <c r="DL73" s="290"/>
      <c r="DM73" s="290"/>
      <c r="DN73" s="290"/>
      <c r="EN73" s="524"/>
    </row>
    <row r="74" spans="2:144" ht="6" customHeight="1" x14ac:dyDescent="0.35">
      <c r="D74" s="10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20"/>
      <c r="R74" s="20"/>
      <c r="S74" s="20"/>
      <c r="T74" s="20"/>
      <c r="U74" s="20"/>
      <c r="V74" s="20"/>
      <c r="W74" s="20"/>
      <c r="BF74" s="20"/>
      <c r="BG74" s="20"/>
      <c r="BH74" s="20"/>
      <c r="BI74" s="20"/>
      <c r="BJ74" s="20"/>
      <c r="BK74" s="20"/>
      <c r="BL74" s="20"/>
      <c r="EN74" s="524"/>
    </row>
    <row r="75" spans="2:144" x14ac:dyDescent="0.35">
      <c r="C75" s="21" t="s">
        <v>139</v>
      </c>
      <c r="D75" s="22"/>
      <c r="E75" s="22"/>
      <c r="F75" s="23"/>
      <c r="G75" s="23">
        <f>U75</f>
        <v>1144000</v>
      </c>
      <c r="H75" s="23">
        <f>Y75</f>
        <v>578755.14033005643</v>
      </c>
      <c r="I75" s="23"/>
      <c r="J75" s="23"/>
      <c r="K75" s="23"/>
      <c r="L75" s="23"/>
      <c r="M75" s="23"/>
      <c r="N75" s="23"/>
      <c r="O75" s="23"/>
      <c r="P75" s="23"/>
      <c r="Q75" s="34"/>
      <c r="R75" s="24">
        <v>841800</v>
      </c>
      <c r="S75" s="24">
        <v>666800</v>
      </c>
      <c r="T75" s="24">
        <v>556800</v>
      </c>
      <c r="U75" s="24">
        <v>1144000</v>
      </c>
      <c r="V75" s="24">
        <v>515800</v>
      </c>
      <c r="W75" s="24">
        <v>765827.06088634394</v>
      </c>
      <c r="X75" s="24">
        <v>462824.02517733979</v>
      </c>
      <c r="Y75" s="24">
        <v>578755.14033005643</v>
      </c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CE75" s="302">
        <f>CE109</f>
        <v>958962.33333333337</v>
      </c>
      <c r="CF75" s="302">
        <f t="shared" ref="CF75:CP75" si="132">CF109</f>
        <v>866924.66666666674</v>
      </c>
      <c r="CG75" s="302">
        <f t="shared" si="132"/>
        <v>2584887</v>
      </c>
      <c r="CH75" s="302">
        <f t="shared" si="132"/>
        <v>2499739.9999999995</v>
      </c>
      <c r="CI75" s="302">
        <f t="shared" si="132"/>
        <v>2414592.9999999995</v>
      </c>
      <c r="CJ75" s="302">
        <f t="shared" si="132"/>
        <v>3442446</v>
      </c>
      <c r="CK75" s="302">
        <f t="shared" si="132"/>
        <v>3303894.2586048534</v>
      </c>
      <c r="CL75" s="302">
        <f t="shared" si="132"/>
        <v>3165342.5172097068</v>
      </c>
      <c r="CM75" s="302">
        <f t="shared" si="132"/>
        <v>2682417.9215148003</v>
      </c>
      <c r="CN75" s="302">
        <f t="shared" si="132"/>
        <v>2412143.1917388523</v>
      </c>
      <c r="CO75" s="302">
        <f t="shared" si="132"/>
        <v>2141868.4619629048</v>
      </c>
      <c r="CP75" s="302">
        <f t="shared" si="132"/>
        <v>11832401.29039607</v>
      </c>
      <c r="CQ75" s="302"/>
      <c r="CR75" s="302"/>
      <c r="CS75" s="302"/>
      <c r="CT75" s="302"/>
      <c r="CU75" s="302"/>
      <c r="CV75" s="302"/>
      <c r="CW75" s="302"/>
      <c r="CX75" s="302"/>
      <c r="CY75" s="302"/>
      <c r="CZ75" s="302"/>
      <c r="DA75" s="302"/>
      <c r="DB75" s="302"/>
      <c r="DC75" s="302"/>
      <c r="DD75" s="302"/>
      <c r="DE75" s="302"/>
      <c r="DF75" s="302"/>
      <c r="DG75" s="302"/>
      <c r="DH75" s="302"/>
      <c r="DI75" s="302"/>
      <c r="DJ75" s="302"/>
      <c r="DK75" s="302"/>
      <c r="DL75" s="302"/>
      <c r="DM75" s="302"/>
      <c r="DN75" s="302"/>
      <c r="EN75" s="524"/>
    </row>
    <row r="76" spans="2:144" ht="6" customHeight="1" x14ac:dyDescent="0.35">
      <c r="D76" s="10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20"/>
      <c r="R76" s="20"/>
      <c r="S76" s="20"/>
      <c r="T76" s="20"/>
      <c r="U76" s="20"/>
      <c r="V76" s="20"/>
      <c r="W76" s="20"/>
      <c r="BF76" s="20"/>
      <c r="BG76" s="20"/>
      <c r="BH76" s="20"/>
      <c r="BI76" s="20"/>
      <c r="BJ76" s="20"/>
      <c r="BK76" s="20"/>
      <c r="BL76" s="20"/>
      <c r="EN76" s="524"/>
    </row>
    <row r="77" spans="2:144" x14ac:dyDescent="0.35">
      <c r="D77" t="s">
        <v>140</v>
      </c>
      <c r="F77" s="19"/>
      <c r="G77" s="19">
        <f>U77</f>
        <v>-1688000</v>
      </c>
      <c r="H77" s="19">
        <f>Y77</f>
        <v>-1056000</v>
      </c>
      <c r="I77" s="19"/>
      <c r="J77" s="19"/>
      <c r="K77" s="19"/>
      <c r="L77" s="19"/>
      <c r="M77" s="19"/>
      <c r="N77" s="19"/>
      <c r="O77" s="19"/>
      <c r="P77" s="19"/>
      <c r="Q77" s="20"/>
      <c r="R77" s="20">
        <v>-1658000</v>
      </c>
      <c r="S77" s="20">
        <v>-1944000</v>
      </c>
      <c r="T77" s="20">
        <v>-2336000</v>
      </c>
      <c r="U77" s="20">
        <v>-1688000</v>
      </c>
      <c r="V77" s="20">
        <v>-1778000</v>
      </c>
      <c r="W77" s="20">
        <v>-1756000</v>
      </c>
      <c r="X77" s="20">
        <v>-1056000</v>
      </c>
      <c r="Y77" s="20">
        <v>-1056000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CE77" s="106">
        <v>-2147279</v>
      </c>
      <c r="CF77" s="106">
        <v>-2328967</v>
      </c>
      <c r="CG77" s="106">
        <v>-2510655</v>
      </c>
      <c r="CH77" s="106">
        <v>-2377301.6666666665</v>
      </c>
      <c r="CI77" s="106">
        <v>-2243948.333333333</v>
      </c>
      <c r="CJ77" s="106">
        <v>-2110595</v>
      </c>
      <c r="CK77" s="106">
        <v>-2061745.7934859614</v>
      </c>
      <c r="CL77" s="106">
        <v>-2012896.5869719228</v>
      </c>
      <c r="CM77" s="106">
        <v>-1964047.3804578844</v>
      </c>
      <c r="CN77" s="106">
        <v>-2004310.0234873281</v>
      </c>
      <c r="CO77" s="106">
        <v>-2044572.6665167718</v>
      </c>
      <c r="CP77" s="106">
        <v>-2084835.3095462155</v>
      </c>
      <c r="CQ77" s="106"/>
      <c r="CR77" s="106"/>
      <c r="CS77" s="106"/>
      <c r="CT77" s="106"/>
      <c r="CU77" s="106"/>
      <c r="CV77" s="106"/>
      <c r="CW77" s="106"/>
      <c r="CX77" s="106"/>
      <c r="CY77" s="106"/>
      <c r="CZ77" s="106"/>
      <c r="DA77" s="106"/>
      <c r="DB77" s="106"/>
      <c r="DC77" s="106"/>
      <c r="DD77" s="106"/>
      <c r="DE77" s="106"/>
      <c r="DF77" s="106"/>
      <c r="DG77" s="106"/>
      <c r="DH77" s="106"/>
      <c r="DI77" s="106"/>
      <c r="DJ77" s="106"/>
      <c r="DK77" s="106"/>
      <c r="DL77" s="106"/>
      <c r="DM77" s="106"/>
      <c r="DN77" s="106"/>
      <c r="EN77" s="524"/>
    </row>
    <row r="78" spans="2:144" x14ac:dyDescent="0.35">
      <c r="D78" t="s">
        <v>141</v>
      </c>
      <c r="F78" s="19"/>
      <c r="G78" s="19">
        <f>U78</f>
        <v>-914000</v>
      </c>
      <c r="H78" s="19">
        <f>Y78</f>
        <v>-800000</v>
      </c>
      <c r="I78" s="19"/>
      <c r="J78" s="19"/>
      <c r="K78" s="19"/>
      <c r="L78" s="19"/>
      <c r="M78" s="19"/>
      <c r="N78" s="19"/>
      <c r="O78" s="19"/>
      <c r="P78" s="19"/>
      <c r="Q78" s="20"/>
      <c r="R78" s="20">
        <v>-944000</v>
      </c>
      <c r="S78" s="20">
        <v>-883000</v>
      </c>
      <c r="T78" s="20">
        <v>-1017000</v>
      </c>
      <c r="U78" s="20">
        <v>-914000</v>
      </c>
      <c r="V78" s="20">
        <v>-810000</v>
      </c>
      <c r="W78" s="20">
        <v>-800000</v>
      </c>
      <c r="X78" s="20">
        <v>-800000</v>
      </c>
      <c r="Y78" s="20">
        <v>-800000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CE78" s="106">
        <v>-1034798</v>
      </c>
      <c r="CF78" s="106">
        <v>-957930</v>
      </c>
      <c r="CG78" s="106">
        <v>-881062</v>
      </c>
      <c r="CH78" s="106">
        <v>-967760.66666666663</v>
      </c>
      <c r="CI78" s="106">
        <v>-1054459.3333333333</v>
      </c>
      <c r="CJ78" s="106">
        <v>-1141158</v>
      </c>
      <c r="CK78" s="106">
        <v>-1141158</v>
      </c>
      <c r="CL78" s="106">
        <v>-1141158</v>
      </c>
      <c r="CM78" s="106">
        <v>-1141158</v>
      </c>
      <c r="CN78" s="106">
        <v>-1141158</v>
      </c>
      <c r="CO78" s="106">
        <v>-1141158</v>
      </c>
      <c r="CP78" s="106">
        <v>-1141158</v>
      </c>
      <c r="CQ78" s="106"/>
      <c r="CR78" s="106"/>
      <c r="CS78" s="106"/>
      <c r="CT78" s="106"/>
      <c r="CU78" s="106"/>
      <c r="CV78" s="106"/>
      <c r="CW78" s="106"/>
      <c r="CX78" s="106"/>
      <c r="CY78" s="106"/>
      <c r="CZ78" s="106"/>
      <c r="DA78" s="106"/>
      <c r="DB78" s="106"/>
      <c r="DC78" s="106"/>
      <c r="DD78" s="106"/>
      <c r="DE78" s="106"/>
      <c r="DF78" s="106"/>
      <c r="DG78" s="106"/>
      <c r="DH78" s="106"/>
      <c r="DI78" s="106"/>
      <c r="DJ78" s="106"/>
      <c r="DK78" s="106"/>
      <c r="DL78" s="106"/>
      <c r="DM78" s="106"/>
      <c r="DN78" s="106"/>
      <c r="EN78" s="524"/>
    </row>
    <row r="79" spans="2:144" x14ac:dyDescent="0.35">
      <c r="C79" s="36"/>
      <c r="D79" s="36" t="s">
        <v>142</v>
      </c>
      <c r="E79" s="36"/>
      <c r="F79" s="37"/>
      <c r="G79" s="37">
        <f>U79</f>
        <v>-2616000</v>
      </c>
      <c r="H79" s="37">
        <f>Y79</f>
        <v>-4381000</v>
      </c>
      <c r="I79" s="37"/>
      <c r="J79" s="37"/>
      <c r="K79" s="37"/>
      <c r="L79" s="37"/>
      <c r="M79" s="37"/>
      <c r="N79" s="37"/>
      <c r="O79" s="37"/>
      <c r="P79" s="37"/>
      <c r="Q79" s="38"/>
      <c r="R79" s="38">
        <v>-714000</v>
      </c>
      <c r="S79" s="38">
        <v>-1391000</v>
      </c>
      <c r="T79" s="38">
        <v>-1467000</v>
      </c>
      <c r="U79" s="38">
        <v>-2616000</v>
      </c>
      <c r="V79" s="38">
        <v>-2881000</v>
      </c>
      <c r="W79" s="38">
        <v>-3381000</v>
      </c>
      <c r="X79" s="38">
        <v>-3881000</v>
      </c>
      <c r="Y79" s="38">
        <v>-4381000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CE79" s="301">
        <v>-1268216.3333333333</v>
      </c>
      <c r="CF79" s="301">
        <v>-1309422.6666666665</v>
      </c>
      <c r="CG79" s="301">
        <v>-1350629</v>
      </c>
      <c r="CH79" s="301">
        <v>-1374495</v>
      </c>
      <c r="CI79" s="301">
        <v>-1398361</v>
      </c>
      <c r="CJ79" s="301">
        <v>-1422227</v>
      </c>
      <c r="CK79" s="301">
        <v>-1422227</v>
      </c>
      <c r="CL79" s="301">
        <v>-1422227</v>
      </c>
      <c r="CM79" s="301">
        <v>-1422227</v>
      </c>
      <c r="CN79" s="301">
        <v>-1422227</v>
      </c>
      <c r="CO79" s="301">
        <v>-1422227</v>
      </c>
      <c r="CP79" s="301">
        <v>-1422227</v>
      </c>
      <c r="CQ79" s="301"/>
      <c r="CR79" s="301"/>
      <c r="CS79" s="301"/>
      <c r="CT79" s="301"/>
      <c r="CU79" s="301"/>
      <c r="CV79" s="301"/>
      <c r="CW79" s="301"/>
      <c r="CX79" s="301"/>
      <c r="CY79" s="301"/>
      <c r="CZ79" s="301"/>
      <c r="DA79" s="301"/>
      <c r="DB79" s="301"/>
      <c r="DC79" s="301"/>
      <c r="DD79" s="301"/>
      <c r="DE79" s="301"/>
      <c r="DF79" s="301"/>
      <c r="DG79" s="301"/>
      <c r="DH79" s="301"/>
      <c r="DI79" s="301"/>
      <c r="DJ79" s="301"/>
      <c r="DK79" s="301"/>
      <c r="DL79" s="301"/>
      <c r="DM79" s="301"/>
      <c r="DN79" s="301"/>
      <c r="EN79" s="524"/>
    </row>
    <row r="80" spans="2:144" x14ac:dyDescent="0.35">
      <c r="C80" s="10" t="s">
        <v>143</v>
      </c>
      <c r="F80" s="11"/>
      <c r="G80" s="11">
        <f>U80</f>
        <v>-5218000</v>
      </c>
      <c r="H80" s="11">
        <f>Y80</f>
        <v>-6237000</v>
      </c>
      <c r="I80" s="11"/>
      <c r="J80" s="11"/>
      <c r="K80" s="11"/>
      <c r="L80" s="11"/>
      <c r="M80" s="11"/>
      <c r="N80" s="11"/>
      <c r="O80" s="11"/>
      <c r="P80" s="11"/>
      <c r="Q80" s="20"/>
      <c r="R80" s="12">
        <f t="shared" ref="R80:Y80" si="133">SUM(R77:R79)</f>
        <v>-3316000</v>
      </c>
      <c r="S80" s="12">
        <f t="shared" si="133"/>
        <v>-4218000</v>
      </c>
      <c r="T80" s="12">
        <f t="shared" si="133"/>
        <v>-4820000</v>
      </c>
      <c r="U80" s="12">
        <f t="shared" si="133"/>
        <v>-5218000</v>
      </c>
      <c r="V80" s="12">
        <f t="shared" si="133"/>
        <v>-5469000</v>
      </c>
      <c r="W80" s="12">
        <f t="shared" si="133"/>
        <v>-5937000</v>
      </c>
      <c r="X80" s="12">
        <f t="shared" si="133"/>
        <v>-5737000</v>
      </c>
      <c r="Y80" s="12">
        <f t="shared" si="133"/>
        <v>-6237000</v>
      </c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CE80" s="290">
        <f>SUM(CE77:CE79)</f>
        <v>-4450293.333333333</v>
      </c>
      <c r="CF80" s="290">
        <f t="shared" ref="CF80:CP80" si="134">SUM(CF77:CF79)</f>
        <v>-4596319.666666666</v>
      </c>
      <c r="CG80" s="290">
        <f t="shared" si="134"/>
        <v>-4742346</v>
      </c>
      <c r="CH80" s="290">
        <f t="shared" si="134"/>
        <v>-4719557.333333333</v>
      </c>
      <c r="CI80" s="290">
        <f t="shared" si="134"/>
        <v>-4696768.666666666</v>
      </c>
      <c r="CJ80" s="290">
        <f t="shared" si="134"/>
        <v>-4673980</v>
      </c>
      <c r="CK80" s="290">
        <f t="shared" si="134"/>
        <v>-4625130.7934859619</v>
      </c>
      <c r="CL80" s="290">
        <f t="shared" si="134"/>
        <v>-4576281.5869719228</v>
      </c>
      <c r="CM80" s="290">
        <f t="shared" si="134"/>
        <v>-4527432.3804578846</v>
      </c>
      <c r="CN80" s="290">
        <f t="shared" si="134"/>
        <v>-4567695.0234873276</v>
      </c>
      <c r="CO80" s="290">
        <f t="shared" si="134"/>
        <v>-4607957.6665167715</v>
      </c>
      <c r="CP80" s="290">
        <f t="shared" si="134"/>
        <v>-4648220.3095462155</v>
      </c>
      <c r="CQ80" s="290"/>
      <c r="CR80" s="290"/>
      <c r="CS80" s="290"/>
      <c r="CT80" s="290"/>
      <c r="CU80" s="290"/>
      <c r="CV80" s="290"/>
      <c r="CW80" s="290"/>
      <c r="CX80" s="290"/>
      <c r="CY80" s="290"/>
      <c r="CZ80" s="290"/>
      <c r="DA80" s="290"/>
      <c r="DB80" s="290"/>
      <c r="DC80" s="290"/>
      <c r="DD80" s="290"/>
      <c r="DE80" s="290"/>
      <c r="DF80" s="290"/>
      <c r="DG80" s="290"/>
      <c r="DH80" s="290"/>
      <c r="DI80" s="290"/>
      <c r="DJ80" s="290"/>
      <c r="DK80" s="290"/>
      <c r="DL80" s="290"/>
      <c r="DM80" s="290"/>
      <c r="DN80" s="290"/>
      <c r="EN80" s="524"/>
    </row>
    <row r="81" spans="2:144" x14ac:dyDescent="0.35">
      <c r="C81" t="s">
        <v>144</v>
      </c>
      <c r="F81" s="19"/>
      <c r="G81" s="19">
        <f>U81</f>
        <v>-933000</v>
      </c>
      <c r="H81" s="19">
        <f>Y81</f>
        <v>-977000</v>
      </c>
      <c r="I81" s="19"/>
      <c r="J81" s="19"/>
      <c r="K81" s="19"/>
      <c r="L81" s="19"/>
      <c r="M81" s="19"/>
      <c r="N81" s="19"/>
      <c r="O81" s="19"/>
      <c r="P81" s="19"/>
      <c r="Q81" s="20"/>
      <c r="R81" s="20">
        <v>-916000</v>
      </c>
      <c r="S81" s="20">
        <v>-909000</v>
      </c>
      <c r="T81" s="20">
        <v>-905000</v>
      </c>
      <c r="U81" s="20">
        <v>-933000</v>
      </c>
      <c r="V81" s="20">
        <v>-977000</v>
      </c>
      <c r="W81" s="20">
        <v>-977000</v>
      </c>
      <c r="X81" s="20">
        <v>-977000</v>
      </c>
      <c r="Y81" s="20">
        <v>-977000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CE81" s="106">
        <v>-2558000</v>
      </c>
      <c r="CF81" s="106">
        <v>-2558000</v>
      </c>
      <c r="CG81" s="106">
        <v>-4058000</v>
      </c>
      <c r="CH81" s="106">
        <v>-4058000</v>
      </c>
      <c r="CI81" s="106">
        <v>-4058000</v>
      </c>
      <c r="CJ81" s="106">
        <v>-4058000</v>
      </c>
      <c r="CK81" s="106">
        <v>-4058000</v>
      </c>
      <c r="CL81" s="106">
        <v>-4058000</v>
      </c>
      <c r="CM81" s="106">
        <v>-1600000.0000000014</v>
      </c>
      <c r="CN81" s="106">
        <v>-1600000.0000000014</v>
      </c>
      <c r="CO81" s="106">
        <v>-1600000.0000000014</v>
      </c>
      <c r="CP81" s="106">
        <v>-1333333.3333333349</v>
      </c>
      <c r="CQ81" s="106"/>
      <c r="CR81" s="106"/>
      <c r="CS81" s="106"/>
      <c r="CT81" s="106"/>
      <c r="CU81" s="106"/>
      <c r="CV81" s="106"/>
      <c r="CW81" s="106"/>
      <c r="CX81" s="106"/>
      <c r="CY81" s="106"/>
      <c r="CZ81" s="106"/>
      <c r="DA81" s="106"/>
      <c r="DB81" s="106"/>
      <c r="DC81" s="106"/>
      <c r="DD81" s="106"/>
      <c r="DE81" s="106"/>
      <c r="DF81" s="106"/>
      <c r="DG81" s="106"/>
      <c r="DH81" s="106"/>
      <c r="DI81" s="106"/>
      <c r="DJ81" s="106"/>
      <c r="DK81" s="106"/>
      <c r="DL81" s="106"/>
      <c r="DM81" s="106"/>
      <c r="DN81" s="106"/>
      <c r="EN81" s="524"/>
    </row>
    <row r="82" spans="2:144" ht="6" customHeight="1" x14ac:dyDescent="0.35">
      <c r="D82" s="10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EN82" s="524"/>
    </row>
    <row r="83" spans="2:144" ht="15" thickBot="1" x14ac:dyDescent="0.4">
      <c r="C83" s="39" t="s">
        <v>145</v>
      </c>
      <c r="D83" s="40"/>
      <c r="E83" s="40"/>
      <c r="F83" s="41"/>
      <c r="G83" s="41">
        <f>U83</f>
        <v>-1303000</v>
      </c>
      <c r="H83" s="41">
        <f>Y83</f>
        <v>-2813244.8596699433</v>
      </c>
      <c r="I83" s="41"/>
      <c r="J83" s="41"/>
      <c r="K83" s="41"/>
      <c r="L83" s="41"/>
      <c r="M83" s="41"/>
      <c r="N83" s="41"/>
      <c r="O83" s="41"/>
      <c r="P83" s="41"/>
      <c r="Q83" s="42"/>
      <c r="R83" s="43">
        <f t="shared" ref="R83:Y83" si="135">R80+R75+R73+R67+R81</f>
        <v>317800</v>
      </c>
      <c r="S83" s="43">
        <f t="shared" si="135"/>
        <v>-487200</v>
      </c>
      <c r="T83" s="43">
        <f t="shared" si="135"/>
        <v>-1281200</v>
      </c>
      <c r="U83" s="43">
        <f t="shared" si="135"/>
        <v>-1303000</v>
      </c>
      <c r="V83" s="43">
        <f t="shared" si="135"/>
        <v>-1863200</v>
      </c>
      <c r="W83" s="43">
        <f t="shared" si="135"/>
        <v>-2246172.9391136561</v>
      </c>
      <c r="X83" s="43">
        <f t="shared" si="135"/>
        <v>-2389175.97482266</v>
      </c>
      <c r="Y83" s="43">
        <f t="shared" si="135"/>
        <v>-2813244.8596699433</v>
      </c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CE83" s="303">
        <f t="shared" ref="CE83:CP83" si="136">CE81+CE80+CE75+CE73+CE67</f>
        <v>61752</v>
      </c>
      <c r="CF83" s="303">
        <f t="shared" si="136"/>
        <v>-174972.99999999907</v>
      </c>
      <c r="CG83" s="303">
        <f t="shared" si="136"/>
        <v>-101698</v>
      </c>
      <c r="CH83" s="303">
        <f t="shared" si="136"/>
        <v>-220462.66666666511</v>
      </c>
      <c r="CI83" s="303">
        <f t="shared" si="136"/>
        <v>-339227.33333333256</v>
      </c>
      <c r="CJ83" s="303">
        <f t="shared" si="136"/>
        <v>655008</v>
      </c>
      <c r="CK83" s="303">
        <f>CK81+CK80+CK75+CK73+CK67</f>
        <v>568229.46494384483</v>
      </c>
      <c r="CL83" s="303">
        <f t="shared" si="136"/>
        <v>481450.92988768965</v>
      </c>
      <c r="CM83" s="303">
        <f t="shared" si="136"/>
        <v>2508299.5405317741</v>
      </c>
      <c r="CN83" s="303">
        <f t="shared" si="136"/>
        <v>2274716.383349617</v>
      </c>
      <c r="CO83" s="303">
        <f t="shared" si="136"/>
        <v>2041133.2261674604</v>
      </c>
      <c r="CP83" s="303">
        <f t="shared" si="136"/>
        <v>12035024.293861084</v>
      </c>
      <c r="CQ83" s="303"/>
      <c r="CR83" s="303"/>
      <c r="CS83" s="303"/>
      <c r="CT83" s="303"/>
      <c r="CU83" s="303"/>
      <c r="CV83" s="303"/>
      <c r="CW83" s="303"/>
      <c r="CX83" s="303"/>
      <c r="CY83" s="303"/>
      <c r="CZ83" s="303"/>
      <c r="DA83" s="303"/>
      <c r="DB83" s="303"/>
      <c r="DC83" s="303"/>
      <c r="DD83" s="303"/>
      <c r="DE83" s="303"/>
      <c r="DF83" s="303"/>
      <c r="DG83" s="303"/>
      <c r="DH83" s="303"/>
      <c r="DI83" s="303"/>
      <c r="DJ83" s="303"/>
      <c r="DK83" s="303"/>
      <c r="DL83" s="303"/>
      <c r="DM83" s="303"/>
      <c r="DN83" s="303"/>
      <c r="EN83" s="524"/>
    </row>
    <row r="84" spans="2:144" x14ac:dyDescent="0.35"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20"/>
      <c r="R84" s="20"/>
      <c r="S84" s="20"/>
      <c r="T84" s="20"/>
      <c r="U84" s="20"/>
      <c r="V84" s="20"/>
      <c r="W84" s="20"/>
      <c r="BF84" s="20"/>
      <c r="BG84" s="20"/>
      <c r="BH84" s="20"/>
      <c r="BI84" s="20"/>
      <c r="BJ84" s="20"/>
      <c r="BK84" s="20"/>
      <c r="BL84" s="20"/>
      <c r="CC84" s="116"/>
      <c r="EN84" s="524"/>
    </row>
    <row r="85" spans="2:144" x14ac:dyDescent="0.35">
      <c r="D85" t="s">
        <v>146</v>
      </c>
      <c r="F85" s="19"/>
      <c r="G85" s="19">
        <f>U85</f>
        <v>7727000</v>
      </c>
      <c r="H85" s="19">
        <f>Y85</f>
        <v>7726000</v>
      </c>
      <c r="I85" s="19"/>
      <c r="J85" s="19"/>
      <c r="K85" s="19"/>
      <c r="L85" s="19"/>
      <c r="M85" s="19"/>
      <c r="N85" s="19"/>
      <c r="O85" s="19"/>
      <c r="P85" s="19"/>
      <c r="Q85" s="20"/>
      <c r="R85" s="20">
        <v>7716000</v>
      </c>
      <c r="S85" s="20">
        <v>7704000</v>
      </c>
      <c r="T85" s="20">
        <v>7678000</v>
      </c>
      <c r="U85" s="20">
        <v>7727000</v>
      </c>
      <c r="V85" s="20">
        <v>7726000</v>
      </c>
      <c r="W85" s="20">
        <v>7726000</v>
      </c>
      <c r="X85" s="20">
        <v>7726000</v>
      </c>
      <c r="Y85" s="20">
        <v>7726000</v>
      </c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CE85" s="106">
        <v>13985355</v>
      </c>
      <c r="CF85" s="106">
        <v>13985355</v>
      </c>
      <c r="CG85" s="106">
        <v>14255355</v>
      </c>
      <c r="CH85" s="106">
        <v>14255355</v>
      </c>
      <c r="CI85" s="106">
        <v>14255355</v>
      </c>
      <c r="CJ85" s="106">
        <v>15404000</v>
      </c>
      <c r="CK85" s="106">
        <v>15404000</v>
      </c>
      <c r="CL85" s="106">
        <v>15404000</v>
      </c>
      <c r="CM85" s="106">
        <v>15462571</v>
      </c>
      <c r="CN85" s="106">
        <v>15462571</v>
      </c>
      <c r="CO85" s="106">
        <v>15462571</v>
      </c>
      <c r="CP85" s="106">
        <v>25462571</v>
      </c>
      <c r="CQ85" s="106"/>
      <c r="CR85" s="106"/>
      <c r="CS85" s="106"/>
      <c r="CT85" s="106"/>
      <c r="CU85" s="106"/>
      <c r="CV85" s="106"/>
      <c r="CW85" s="106"/>
      <c r="CX85" s="106"/>
      <c r="CY85" s="106"/>
      <c r="CZ85" s="106"/>
      <c r="DA85" s="106"/>
      <c r="DB85" s="106"/>
      <c r="DC85" s="106"/>
      <c r="DD85" s="106"/>
      <c r="DE85" s="106"/>
      <c r="DF85" s="106"/>
      <c r="DG85" s="106"/>
      <c r="DH85" s="106"/>
      <c r="DI85" s="106"/>
      <c r="DJ85" s="106"/>
      <c r="DK85" s="106"/>
      <c r="DL85" s="106"/>
      <c r="DM85" s="106"/>
      <c r="DN85" s="106"/>
      <c r="EN85" s="524"/>
    </row>
    <row r="86" spans="2:144" x14ac:dyDescent="0.35">
      <c r="D86" t="s">
        <v>147</v>
      </c>
      <c r="F86" s="19"/>
      <c r="G86" s="19">
        <f>U86</f>
        <v>66000</v>
      </c>
      <c r="H86" s="19">
        <f>Y86</f>
        <v>66000</v>
      </c>
      <c r="I86" s="19"/>
      <c r="J86" s="19"/>
      <c r="K86" s="19"/>
      <c r="L86" s="19"/>
      <c r="M86" s="19"/>
      <c r="N86" s="19"/>
      <c r="O86" s="19"/>
      <c r="P86" s="19"/>
      <c r="Q86" s="20"/>
      <c r="R86" s="20">
        <v>66000</v>
      </c>
      <c r="S86" s="20">
        <v>66000</v>
      </c>
      <c r="T86" s="20">
        <v>66000</v>
      </c>
      <c r="U86" s="20">
        <f>T86</f>
        <v>66000</v>
      </c>
      <c r="V86" s="20">
        <v>66000</v>
      </c>
      <c r="W86" s="20">
        <v>66000</v>
      </c>
      <c r="X86" s="20">
        <v>66000</v>
      </c>
      <c r="Y86" s="20">
        <v>66000</v>
      </c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CE86" s="106">
        <v>921000</v>
      </c>
      <c r="CF86" s="106">
        <v>921000</v>
      </c>
      <c r="CG86" s="106">
        <v>921000</v>
      </c>
      <c r="CH86" s="106">
        <v>921000</v>
      </c>
      <c r="CI86" s="106">
        <v>921000</v>
      </c>
      <c r="CJ86" s="106">
        <v>921000</v>
      </c>
      <c r="CK86" s="106">
        <v>921000</v>
      </c>
      <c r="CL86" s="106">
        <v>921000</v>
      </c>
      <c r="CM86" s="106">
        <v>921000</v>
      </c>
      <c r="CN86" s="106">
        <v>921000</v>
      </c>
      <c r="CO86" s="106">
        <v>921000</v>
      </c>
      <c r="CP86" s="106">
        <v>921000</v>
      </c>
      <c r="CQ86" s="106"/>
      <c r="CR86" s="106"/>
      <c r="CS86" s="106"/>
      <c r="CT86" s="106"/>
      <c r="CU86" s="106"/>
      <c r="CV86" s="106"/>
      <c r="CW86" s="106"/>
      <c r="CX86" s="106"/>
      <c r="CY86" s="106"/>
      <c r="CZ86" s="106"/>
      <c r="DA86" s="106"/>
      <c r="DB86" s="106"/>
      <c r="DC86" s="106"/>
      <c r="DD86" s="106"/>
      <c r="DE86" s="106"/>
      <c r="DF86" s="106"/>
      <c r="DG86" s="106"/>
      <c r="DH86" s="106"/>
      <c r="DI86" s="106"/>
      <c r="DJ86" s="106"/>
      <c r="DK86" s="106"/>
      <c r="DL86" s="106"/>
      <c r="DM86" s="106"/>
      <c r="DN86" s="106"/>
      <c r="EN86" s="524"/>
    </row>
    <row r="87" spans="2:144" x14ac:dyDescent="0.35">
      <c r="D87" t="s">
        <v>148</v>
      </c>
      <c r="F87" s="19"/>
      <c r="G87" s="19">
        <f>U87</f>
        <v>-50000</v>
      </c>
      <c r="H87" s="19">
        <f>Y87</f>
        <v>-112000</v>
      </c>
      <c r="I87" s="19"/>
      <c r="J87" s="19"/>
      <c r="K87" s="19"/>
      <c r="L87" s="19"/>
      <c r="M87" s="19"/>
      <c r="N87" s="19"/>
      <c r="O87" s="19"/>
      <c r="P87" s="19"/>
      <c r="Q87" s="20"/>
      <c r="R87" s="20">
        <v>-68000</v>
      </c>
      <c r="S87" s="20">
        <v>-54000</v>
      </c>
      <c r="T87" s="20">
        <v>-82000</v>
      </c>
      <c r="U87" s="20">
        <v>-50000</v>
      </c>
      <c r="V87" s="20">
        <v>-112000</v>
      </c>
      <c r="W87" s="20">
        <v>-112000</v>
      </c>
      <c r="X87" s="20">
        <v>-112000</v>
      </c>
      <c r="Y87" s="20">
        <v>-112000</v>
      </c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CE87" s="106">
        <v>-26333.333333333328</v>
      </c>
      <c r="CF87" s="106">
        <v>-100666.66666666666</v>
      </c>
      <c r="CG87" s="106">
        <v>-175000</v>
      </c>
      <c r="CH87" s="106">
        <v>-166666.66666666666</v>
      </c>
      <c r="CI87" s="106">
        <v>-158333.33333333331</v>
      </c>
      <c r="CJ87" s="106">
        <v>-150000</v>
      </c>
      <c r="CK87" s="106">
        <v>-150000</v>
      </c>
      <c r="CL87" s="106">
        <v>-150000</v>
      </c>
      <c r="CM87" s="106">
        <v>-150000</v>
      </c>
      <c r="CN87" s="106">
        <v>-150000</v>
      </c>
      <c r="CO87" s="106">
        <v>-150000</v>
      </c>
      <c r="CP87" s="106">
        <v>-150000</v>
      </c>
      <c r="CQ87" s="106"/>
      <c r="CR87" s="106"/>
      <c r="CS87" s="106"/>
      <c r="CT87" s="106"/>
      <c r="CU87" s="106"/>
      <c r="CV87" s="106"/>
      <c r="CW87" s="106"/>
      <c r="CX87" s="106"/>
      <c r="CY87" s="106"/>
      <c r="CZ87" s="106"/>
      <c r="DA87" s="106"/>
      <c r="DB87" s="106"/>
      <c r="DC87" s="106"/>
      <c r="DD87" s="106"/>
      <c r="DE87" s="106"/>
      <c r="DF87" s="106"/>
      <c r="DG87" s="106"/>
      <c r="DH87" s="106"/>
      <c r="DI87" s="106"/>
      <c r="DJ87" s="106"/>
      <c r="DK87" s="106"/>
      <c r="DL87" s="106"/>
      <c r="DM87" s="106"/>
      <c r="DN87" s="106"/>
      <c r="EN87" s="524"/>
    </row>
    <row r="88" spans="2:144" x14ac:dyDescent="0.35">
      <c r="D88" t="s">
        <v>149</v>
      </c>
      <c r="F88" s="19"/>
      <c r="G88" s="19">
        <f>U88</f>
        <v>-9046000</v>
      </c>
      <c r="H88" s="19">
        <f>Y88</f>
        <v>-10493044.859669944</v>
      </c>
      <c r="I88" s="19"/>
      <c r="J88" s="19"/>
      <c r="K88" s="19"/>
      <c r="L88" s="19"/>
      <c r="M88" s="19"/>
      <c r="N88" s="19"/>
      <c r="O88" s="19"/>
      <c r="P88" s="19"/>
      <c r="Q88" s="20"/>
      <c r="R88" s="20">
        <v>-7396000</v>
      </c>
      <c r="S88" s="20">
        <v>-8203000</v>
      </c>
      <c r="T88" s="20">
        <v>-8943000</v>
      </c>
      <c r="U88" s="20">
        <v>-9046000</v>
      </c>
      <c r="V88" s="20">
        <v>-9543000</v>
      </c>
      <c r="W88" s="20">
        <v>-9925972.9391136561</v>
      </c>
      <c r="X88" s="20">
        <v>-10068975.974822661</v>
      </c>
      <c r="Y88" s="20">
        <v>-10493044.859669944</v>
      </c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CE88" s="301">
        <f>CE83-SUM(CE85:CE87)</f>
        <v>-14818269.666666666</v>
      </c>
      <c r="CF88" s="301">
        <f t="shared" ref="CF88:CP88" si="137">CF83-SUM(CF85:CF87)</f>
        <v>-14980661.333333332</v>
      </c>
      <c r="CG88" s="301">
        <f t="shared" si="137"/>
        <v>-15103053</v>
      </c>
      <c r="CH88" s="301">
        <f t="shared" si="137"/>
        <v>-15230151</v>
      </c>
      <c r="CI88" s="301">
        <f t="shared" si="137"/>
        <v>-15357248.999999998</v>
      </c>
      <c r="CJ88" s="301">
        <f t="shared" si="137"/>
        <v>-15519992</v>
      </c>
      <c r="CK88" s="301">
        <f>CK83-SUM(CK85:CK87)</f>
        <v>-15606770.535056155</v>
      </c>
      <c r="CL88" s="301">
        <f t="shared" si="137"/>
        <v>-15693549.07011231</v>
      </c>
      <c r="CM88" s="301">
        <f t="shared" si="137"/>
        <v>-13725271.459468227</v>
      </c>
      <c r="CN88" s="301">
        <f t="shared" si="137"/>
        <v>-13958854.616650384</v>
      </c>
      <c r="CO88" s="301">
        <f t="shared" si="137"/>
        <v>-14192437.773832539</v>
      </c>
      <c r="CP88" s="301">
        <f t="shared" si="137"/>
        <v>-14198546.706138916</v>
      </c>
      <c r="CQ88" s="301"/>
      <c r="CR88" s="301"/>
      <c r="CS88" s="301"/>
      <c r="CT88" s="301"/>
      <c r="CU88" s="301"/>
      <c r="CV88" s="301"/>
      <c r="CW88" s="301"/>
      <c r="CX88" s="301"/>
      <c r="CY88" s="301"/>
      <c r="CZ88" s="301"/>
      <c r="DA88" s="301"/>
      <c r="DB88" s="301"/>
      <c r="DC88" s="301"/>
      <c r="DD88" s="301"/>
      <c r="DE88" s="301"/>
      <c r="DF88" s="301"/>
      <c r="DG88" s="301"/>
      <c r="DH88" s="301"/>
      <c r="DI88" s="301"/>
      <c r="DJ88" s="301"/>
      <c r="DK88" s="301"/>
      <c r="DL88" s="301"/>
      <c r="DM88" s="301"/>
      <c r="DN88" s="301"/>
      <c r="EN88" s="524"/>
    </row>
    <row r="89" spans="2:144" ht="15" thickBot="1" x14ac:dyDescent="0.4">
      <c r="C89" s="39" t="s">
        <v>150</v>
      </c>
      <c r="D89" s="40"/>
      <c r="E89" s="40"/>
      <c r="F89" s="41"/>
      <c r="G89" s="41">
        <f>U89</f>
        <v>-1303000</v>
      </c>
      <c r="H89" s="41">
        <f>Y89</f>
        <v>-2813044.8596699443</v>
      </c>
      <c r="I89" s="41"/>
      <c r="J89" s="41"/>
      <c r="K89" s="41"/>
      <c r="L89" s="41"/>
      <c r="M89" s="41"/>
      <c r="N89" s="41"/>
      <c r="O89" s="41"/>
      <c r="P89" s="41"/>
      <c r="Q89" s="42"/>
      <c r="R89" s="43">
        <f t="shared" ref="R89:Y89" si="138">SUM(R85:R88)</f>
        <v>318000</v>
      </c>
      <c r="S89" s="43">
        <f t="shared" si="138"/>
        <v>-487000</v>
      </c>
      <c r="T89" s="43">
        <f t="shared" si="138"/>
        <v>-1281000</v>
      </c>
      <c r="U89" s="43">
        <f t="shared" si="138"/>
        <v>-1303000</v>
      </c>
      <c r="V89" s="43">
        <f t="shared" si="138"/>
        <v>-1863000</v>
      </c>
      <c r="W89" s="43">
        <f t="shared" si="138"/>
        <v>-2245972.9391136561</v>
      </c>
      <c r="X89" s="43">
        <f t="shared" si="138"/>
        <v>-2388975.9748226609</v>
      </c>
      <c r="Y89" s="43">
        <f t="shared" si="138"/>
        <v>-2813044.8596699443</v>
      </c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CC89" s="116"/>
      <c r="CE89" s="303">
        <f t="shared" ref="CE89:CP89" si="139">SUM(CE85:CE88)</f>
        <v>61752</v>
      </c>
      <c r="CF89" s="303">
        <f t="shared" si="139"/>
        <v>-174972.99999999814</v>
      </c>
      <c r="CG89" s="303">
        <f t="shared" si="139"/>
        <v>-101698</v>
      </c>
      <c r="CH89" s="303">
        <f t="shared" si="139"/>
        <v>-220462.66666666605</v>
      </c>
      <c r="CI89" s="303">
        <f t="shared" si="139"/>
        <v>-339227.33333333209</v>
      </c>
      <c r="CJ89" s="303">
        <f t="shared" si="139"/>
        <v>655008</v>
      </c>
      <c r="CK89" s="303">
        <f t="shared" si="139"/>
        <v>568229.46494384483</v>
      </c>
      <c r="CL89" s="303">
        <f t="shared" si="139"/>
        <v>481450.92988768965</v>
      </c>
      <c r="CM89" s="303">
        <f t="shared" si="139"/>
        <v>2508299.5405317731</v>
      </c>
      <c r="CN89" s="303">
        <f t="shared" si="139"/>
        <v>2274716.3833496161</v>
      </c>
      <c r="CO89" s="303">
        <f t="shared" si="139"/>
        <v>2041133.2261674609</v>
      </c>
      <c r="CP89" s="303">
        <f t="shared" si="139"/>
        <v>12035024.293861084</v>
      </c>
      <c r="CQ89" s="303"/>
      <c r="CR89" s="303"/>
      <c r="CS89" s="303"/>
      <c r="CT89" s="303"/>
      <c r="CU89" s="303"/>
      <c r="CV89" s="303"/>
      <c r="CW89" s="303"/>
      <c r="CX89" s="303"/>
      <c r="CY89" s="303"/>
      <c r="CZ89" s="303"/>
      <c r="DA89" s="303"/>
      <c r="DB89" s="303"/>
      <c r="DC89" s="303"/>
      <c r="DD89" s="303"/>
      <c r="DE89" s="303"/>
      <c r="DF89" s="303"/>
      <c r="DG89" s="303"/>
      <c r="DH89" s="303"/>
      <c r="DI89" s="303"/>
      <c r="DJ89" s="303"/>
      <c r="DK89" s="303"/>
      <c r="DL89" s="303"/>
      <c r="DM89" s="303"/>
      <c r="DN89" s="303"/>
      <c r="EN89" s="524"/>
    </row>
    <row r="90" spans="2:144" x14ac:dyDescent="0.35"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CC90" s="116"/>
      <c r="CE90" s="304"/>
      <c r="CF90" s="304"/>
      <c r="CG90" s="304"/>
      <c r="CH90" s="304"/>
      <c r="CI90" s="304"/>
      <c r="CJ90" s="304"/>
      <c r="CK90" s="304"/>
      <c r="CL90" s="304"/>
      <c r="CM90" s="304"/>
      <c r="CN90" s="304"/>
      <c r="CO90" s="304"/>
      <c r="CP90" s="304"/>
      <c r="CQ90" s="304"/>
      <c r="CR90" s="304"/>
      <c r="CS90" s="304"/>
      <c r="CT90" s="304"/>
      <c r="CU90" s="304"/>
      <c r="CV90" s="304"/>
      <c r="CW90" s="304"/>
      <c r="CX90" s="304"/>
      <c r="CY90" s="304"/>
      <c r="CZ90" s="304"/>
      <c r="DA90" s="304"/>
      <c r="DB90" s="304"/>
      <c r="DC90" s="304"/>
      <c r="DD90" s="304"/>
      <c r="DE90" s="304"/>
      <c r="DF90" s="304"/>
      <c r="DG90" s="304"/>
      <c r="DH90" s="304"/>
      <c r="DI90" s="304"/>
      <c r="DJ90" s="304"/>
      <c r="DK90" s="304"/>
      <c r="DL90" s="304"/>
      <c r="DM90" s="304"/>
      <c r="DN90" s="304"/>
      <c r="EN90" s="524"/>
    </row>
    <row r="91" spans="2:144" x14ac:dyDescent="0.35"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20"/>
      <c r="R91" s="20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EN91" s="524"/>
    </row>
    <row r="92" spans="2:144" x14ac:dyDescent="0.35"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CC92" s="118"/>
      <c r="EN92" s="524"/>
    </row>
    <row r="93" spans="2:144" x14ac:dyDescent="0.35">
      <c r="B93" s="3" t="s">
        <v>152</v>
      </c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EN93" s="524"/>
    </row>
    <row r="94" spans="2:144" ht="7.5" customHeight="1" x14ac:dyDescent="0.35"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EN94" s="524"/>
    </row>
    <row r="95" spans="2:144" x14ac:dyDescent="0.35">
      <c r="C95" s="10" t="s">
        <v>123</v>
      </c>
      <c r="F95" s="11">
        <f>F55</f>
        <v>-1577000</v>
      </c>
      <c r="G95" s="11">
        <f>G55</f>
        <v>-1347000</v>
      </c>
      <c r="H95" s="11">
        <f>H55</f>
        <v>-1022663.1894389288</v>
      </c>
      <c r="I95" s="11"/>
      <c r="J95" s="11"/>
      <c r="K95" s="11"/>
      <c r="L95" s="11"/>
      <c r="M95" s="11"/>
      <c r="N95" s="11"/>
      <c r="O95" s="11"/>
      <c r="P95" s="11"/>
      <c r="Q95" s="12"/>
      <c r="R95" s="12">
        <f t="shared" ref="R95:Y95" si="140">R55</f>
        <v>-409000</v>
      </c>
      <c r="S95" s="12">
        <f t="shared" si="140"/>
        <v>-605000</v>
      </c>
      <c r="T95" s="12">
        <f t="shared" si="140"/>
        <v>-434000</v>
      </c>
      <c r="U95" s="12">
        <f t="shared" si="140"/>
        <v>39000</v>
      </c>
      <c r="V95" s="12">
        <f t="shared" si="140"/>
        <v>-175000</v>
      </c>
      <c r="W95" s="12">
        <f t="shared" si="140"/>
        <v>-229972.93911365606</v>
      </c>
      <c r="X95" s="12">
        <f t="shared" si="140"/>
        <v>-328323.45761046861</v>
      </c>
      <c r="Y95" s="12">
        <f t="shared" si="140"/>
        <v>-289366.79271480558</v>
      </c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CE95" s="290">
        <v>-92751.999999999956</v>
      </c>
      <c r="CF95" s="290">
        <v>-92751.999999999956</v>
      </c>
      <c r="CG95" s="290">
        <v>-92751.999999999956</v>
      </c>
      <c r="CH95" s="290">
        <v>-3211.3333333333721</v>
      </c>
      <c r="CI95" s="290">
        <v>-3211.3333333333721</v>
      </c>
      <c r="CJ95" s="290">
        <v>-3211.3333333333721</v>
      </c>
      <c r="CK95" s="290">
        <v>-47504.248019117862</v>
      </c>
      <c r="CL95" s="290">
        <v>-47504.248019117862</v>
      </c>
      <c r="CM95" s="290">
        <v>-47504.248019117862</v>
      </c>
      <c r="CN95" s="290">
        <v>-195069.7695792758</v>
      </c>
      <c r="CO95" s="290">
        <v>-195069.7695792758</v>
      </c>
      <c r="CP95" s="290">
        <v>-195069.7695792758</v>
      </c>
      <c r="CQ95" s="290"/>
      <c r="CR95" s="290"/>
      <c r="CS95" s="290"/>
      <c r="CT95" s="290"/>
      <c r="CU95" s="290"/>
      <c r="CV95" s="290"/>
      <c r="CW95" s="290"/>
      <c r="CX95" s="290"/>
      <c r="CY95" s="290"/>
      <c r="CZ95" s="290"/>
      <c r="DA95" s="290"/>
      <c r="DB95" s="290"/>
      <c r="DC95" s="290"/>
      <c r="DD95" s="290"/>
      <c r="DE95" s="290"/>
      <c r="DF95" s="290"/>
      <c r="DG95" s="290"/>
      <c r="DH95" s="290"/>
      <c r="DI95" s="290"/>
      <c r="DJ95" s="290"/>
      <c r="DK95" s="290"/>
      <c r="DL95" s="290"/>
      <c r="DM95" s="290"/>
      <c r="DN95" s="290"/>
      <c r="EN95" s="524"/>
    </row>
    <row r="96" spans="2:144" ht="7.5" customHeight="1" x14ac:dyDescent="0.35"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EN96" s="524"/>
    </row>
    <row r="97" spans="2:144" x14ac:dyDescent="0.35">
      <c r="C97" t="s">
        <v>153</v>
      </c>
      <c r="F97" s="19">
        <v>1634000</v>
      </c>
      <c r="G97" s="19">
        <f>SUM(R97:U97)</f>
        <v>400000</v>
      </c>
      <c r="H97" s="19">
        <f>SUM(V97:BO97)</f>
        <v>-1216000</v>
      </c>
      <c r="I97" s="19"/>
      <c r="J97" s="19"/>
      <c r="K97" s="19"/>
      <c r="L97" s="19"/>
      <c r="M97" s="19"/>
      <c r="N97" s="19"/>
      <c r="O97" s="19"/>
      <c r="P97" s="19"/>
      <c r="Q97" s="20"/>
      <c r="R97" s="20">
        <v>367000</v>
      </c>
      <c r="S97" s="20">
        <v>-7000</v>
      </c>
      <c r="T97" s="20">
        <v>503000</v>
      </c>
      <c r="U97" s="20">
        <f>SUM(T73,T80)-SUM(U73,U80)+U79-T79+125000</f>
        <v>-463000</v>
      </c>
      <c r="V97" s="20">
        <v>-602000</v>
      </c>
      <c r="W97" s="20">
        <v>86000</v>
      </c>
      <c r="X97" s="20">
        <v>-700000</v>
      </c>
      <c r="Y97" s="20">
        <v>0</v>
      </c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CE97" s="106">
        <v>108714.33333333333</v>
      </c>
      <c r="CF97" s="106">
        <v>108714.33333333333</v>
      </c>
      <c r="CG97" s="106">
        <v>108714.33333333333</v>
      </c>
      <c r="CH97" s="106">
        <v>17397.666666666162</v>
      </c>
      <c r="CI97" s="106">
        <v>17397.666666666628</v>
      </c>
      <c r="CJ97" s="106">
        <v>17397.66666666721</v>
      </c>
      <c r="CK97" s="106">
        <v>-24380.826709362213</v>
      </c>
      <c r="CL97" s="106">
        <v>-24380.826709362213</v>
      </c>
      <c r="CM97" s="106">
        <v>-24380.826709361514</v>
      </c>
      <c r="CN97" s="106">
        <v>-8538.2935300052632</v>
      </c>
      <c r="CO97" s="106">
        <v>-8538.2935300052632</v>
      </c>
      <c r="CP97" s="106">
        <v>-8538.2935300047975</v>
      </c>
      <c r="CQ97" s="106"/>
      <c r="CR97" s="106"/>
      <c r="CS97" s="106"/>
      <c r="CT97" s="106"/>
      <c r="CU97" s="106"/>
      <c r="CV97" s="106"/>
      <c r="CW97" s="106"/>
      <c r="CX97" s="106"/>
      <c r="CY97" s="106"/>
      <c r="CZ97" s="106"/>
      <c r="DA97" s="106"/>
      <c r="DB97" s="106"/>
      <c r="DC97" s="106"/>
      <c r="DD97" s="106"/>
      <c r="DE97" s="106"/>
      <c r="DF97" s="106"/>
      <c r="DG97" s="106"/>
      <c r="DH97" s="106"/>
      <c r="DI97" s="106"/>
      <c r="DJ97" s="106"/>
      <c r="DK97" s="106"/>
      <c r="DL97" s="106"/>
      <c r="DM97" s="106"/>
      <c r="DN97" s="106"/>
      <c r="EN97" s="524"/>
    </row>
    <row r="98" spans="2:144" ht="7.5" customHeight="1" x14ac:dyDescent="0.35"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EN98" s="524"/>
    </row>
    <row r="99" spans="2:144" x14ac:dyDescent="0.35">
      <c r="C99" t="s">
        <v>154</v>
      </c>
      <c r="F99" s="19">
        <v>-422000</v>
      </c>
      <c r="G99" s="19">
        <f>SUM(R99:U99)</f>
        <v>-562000</v>
      </c>
      <c r="H99" s="19">
        <f>SUM(V99:BO99)</f>
        <v>-405000</v>
      </c>
      <c r="I99" s="19"/>
      <c r="J99" s="19"/>
      <c r="K99" s="19"/>
      <c r="L99" s="19"/>
      <c r="M99" s="19"/>
      <c r="N99" s="19"/>
      <c r="O99" s="19"/>
      <c r="P99" s="19"/>
      <c r="Q99" s="20"/>
      <c r="R99" s="20">
        <v>-239000</v>
      </c>
      <c r="S99" s="20">
        <v>-182000</v>
      </c>
      <c r="T99" s="20">
        <v>-141000</v>
      </c>
      <c r="U99" s="20">
        <v>0</v>
      </c>
      <c r="V99" s="20">
        <v>-99000</v>
      </c>
      <c r="W99" s="20">
        <v>-106000</v>
      </c>
      <c r="X99" s="20">
        <v>-100000</v>
      </c>
      <c r="Y99" s="20">
        <v>-100000</v>
      </c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CE99" s="106">
        <v>-108000</v>
      </c>
      <c r="CF99" s="106">
        <v>-108000</v>
      </c>
      <c r="CG99" s="106">
        <v>-108000</v>
      </c>
      <c r="CH99" s="106">
        <v>-99333.333333333328</v>
      </c>
      <c r="CI99" s="106">
        <v>-99333.333333333328</v>
      </c>
      <c r="CJ99" s="106">
        <v>-99333.333333333328</v>
      </c>
      <c r="CK99" s="106">
        <v>-66666.666666666672</v>
      </c>
      <c r="CL99" s="106">
        <v>-66666.666666666672</v>
      </c>
      <c r="CM99" s="106">
        <v>-66666.666666666672</v>
      </c>
      <c r="CN99" s="106">
        <v>-66666.666666666672</v>
      </c>
      <c r="CO99" s="106">
        <v>-66666.666666666672</v>
      </c>
      <c r="CP99" s="106">
        <v>-66666.666666666672</v>
      </c>
      <c r="CQ99" s="106"/>
      <c r="CR99" s="106"/>
      <c r="CS99" s="106"/>
      <c r="CT99" s="106"/>
      <c r="CU99" s="106"/>
      <c r="CV99" s="106"/>
      <c r="CW99" s="106"/>
      <c r="CX99" s="106"/>
      <c r="CY99" s="106"/>
      <c r="CZ99" s="106"/>
      <c r="DA99" s="106"/>
      <c r="DB99" s="106"/>
      <c r="DC99" s="106"/>
      <c r="DD99" s="106"/>
      <c r="DE99" s="106"/>
      <c r="DF99" s="106"/>
      <c r="DG99" s="106"/>
      <c r="DH99" s="106"/>
      <c r="DI99" s="106"/>
      <c r="DJ99" s="106"/>
      <c r="DK99" s="106"/>
      <c r="DL99" s="106"/>
      <c r="DM99" s="106"/>
      <c r="DN99" s="106"/>
      <c r="EN99" s="524"/>
    </row>
    <row r="100" spans="2:144" x14ac:dyDescent="0.35"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CE100" s="305">
        <f>SUM(CE95:CE99)</f>
        <v>-92037.666666666628</v>
      </c>
      <c r="CF100" s="305">
        <f t="shared" ref="CF100:CO100" si="141">SUM(CF95:CF99)</f>
        <v>-92037.666666666628</v>
      </c>
      <c r="CG100" s="305">
        <f t="shared" si="141"/>
        <v>-92037.666666666628</v>
      </c>
      <c r="CH100" s="305">
        <f t="shared" si="141"/>
        <v>-85147.000000000538</v>
      </c>
      <c r="CI100" s="305">
        <f t="shared" si="141"/>
        <v>-85147.000000000073</v>
      </c>
      <c r="CJ100" s="305">
        <f t="shared" si="141"/>
        <v>-85146.999999999491</v>
      </c>
      <c r="CK100" s="305">
        <f t="shared" si="141"/>
        <v>-138551.74139514676</v>
      </c>
      <c r="CL100" s="305">
        <f t="shared" si="141"/>
        <v>-138551.74139514676</v>
      </c>
      <c r="CM100" s="305">
        <f t="shared" si="141"/>
        <v>-138551.74139514606</v>
      </c>
      <c r="CN100" s="305">
        <f t="shared" si="141"/>
        <v>-270274.72977594775</v>
      </c>
      <c r="CO100" s="305">
        <f t="shared" si="141"/>
        <v>-270274.72977594775</v>
      </c>
      <c r="CP100" s="305">
        <f>SUM(CP95:CP99)</f>
        <v>-270274.72977594729</v>
      </c>
      <c r="CQ100" s="305"/>
      <c r="CR100" s="305"/>
      <c r="CS100" s="305"/>
      <c r="CT100" s="305"/>
      <c r="CU100" s="305"/>
      <c r="CV100" s="305"/>
      <c r="CW100" s="305"/>
      <c r="CX100" s="305"/>
      <c r="CY100" s="305"/>
      <c r="CZ100" s="305"/>
      <c r="DA100" s="305"/>
      <c r="DB100" s="305"/>
      <c r="DC100" s="305"/>
      <c r="DD100" s="305"/>
      <c r="DE100" s="305"/>
      <c r="DF100" s="305"/>
      <c r="DG100" s="305"/>
      <c r="DH100" s="305"/>
      <c r="DI100" s="305"/>
      <c r="DJ100" s="305"/>
      <c r="DK100" s="305"/>
      <c r="DL100" s="305"/>
      <c r="DM100" s="305"/>
      <c r="DN100" s="305"/>
      <c r="EN100" s="524"/>
    </row>
    <row r="101" spans="2:144" x14ac:dyDescent="0.35">
      <c r="F101" s="19">
        <v>0</v>
      </c>
      <c r="G101" s="19">
        <f>SUM(R101:U101)</f>
        <v>0</v>
      </c>
      <c r="H101" s="19">
        <f>SUM(V101:BO101)</f>
        <v>0</v>
      </c>
      <c r="I101" s="19"/>
      <c r="J101" s="19"/>
      <c r="K101" s="19"/>
      <c r="L101" s="19"/>
      <c r="M101" s="19"/>
      <c r="N101" s="19"/>
      <c r="O101" s="19"/>
      <c r="P101" s="19"/>
      <c r="Q101" s="20"/>
      <c r="R101" s="20"/>
      <c r="S101" s="20"/>
      <c r="T101" s="20"/>
      <c r="U101" s="20">
        <f>U62</f>
        <v>0</v>
      </c>
      <c r="V101" s="20"/>
      <c r="W101" s="20">
        <f>W62</f>
        <v>0</v>
      </c>
      <c r="X101" s="20">
        <f>X62</f>
        <v>0</v>
      </c>
      <c r="Y101" s="20">
        <f>Y62</f>
        <v>0</v>
      </c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EN101" s="524"/>
    </row>
    <row r="102" spans="2:144" x14ac:dyDescent="0.35">
      <c r="C102" t="s">
        <v>137</v>
      </c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20"/>
      <c r="R102" s="20"/>
      <c r="S102" s="20"/>
      <c r="T102" s="20"/>
      <c r="U102" s="20"/>
      <c r="V102" s="20">
        <v>0</v>
      </c>
      <c r="W102" s="20"/>
      <c r="X102" s="20">
        <v>320000</v>
      </c>
      <c r="Y102" s="20">
        <v>0</v>
      </c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CG102" s="106">
        <v>96000</v>
      </c>
      <c r="CH102" s="106"/>
      <c r="CI102" s="106"/>
      <c r="CJ102" s="106">
        <v>0</v>
      </c>
      <c r="CK102" s="106"/>
      <c r="CL102" s="106"/>
      <c r="CM102" s="106">
        <v>0</v>
      </c>
      <c r="CN102" s="106"/>
      <c r="CO102" s="106"/>
      <c r="CP102" s="106">
        <v>300000</v>
      </c>
      <c r="CS102" s="106"/>
      <c r="CT102" s="106"/>
      <c r="CU102" s="106"/>
      <c r="CV102" s="106"/>
      <c r="CW102" s="106"/>
      <c r="CX102" s="106"/>
      <c r="CY102" s="106"/>
      <c r="CZ102" s="106"/>
      <c r="DA102" s="106"/>
      <c r="DB102" s="106"/>
      <c r="DC102" s="106"/>
      <c r="DD102" s="106"/>
      <c r="DE102" s="106"/>
      <c r="DF102" s="106"/>
      <c r="DG102" s="106"/>
      <c r="DH102" s="106"/>
      <c r="DI102" s="106"/>
      <c r="DJ102" s="106"/>
      <c r="DK102" s="106"/>
      <c r="DL102" s="106"/>
      <c r="DM102" s="106"/>
      <c r="DN102" s="106"/>
      <c r="EN102" s="524"/>
    </row>
    <row r="103" spans="2:144" x14ac:dyDescent="0.35">
      <c r="C103" t="s">
        <v>156</v>
      </c>
      <c r="F103" s="19">
        <v>-190000</v>
      </c>
      <c r="G103" s="19">
        <f>SUM(R103:U103)</f>
        <v>461000</v>
      </c>
      <c r="H103" s="19">
        <f>SUM(V103:BO103)</f>
        <v>0</v>
      </c>
      <c r="I103" s="19"/>
      <c r="J103" s="19"/>
      <c r="K103" s="19"/>
      <c r="L103" s="19"/>
      <c r="M103" s="19"/>
      <c r="N103" s="19"/>
      <c r="O103" s="19"/>
      <c r="P103" s="19"/>
      <c r="Q103" s="20"/>
      <c r="R103" s="20">
        <v>-66000</v>
      </c>
      <c r="S103" s="20">
        <v>621000</v>
      </c>
      <c r="T103" s="20">
        <v>-40000</v>
      </c>
      <c r="U103" s="20">
        <v>-54000</v>
      </c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CG103" s="106">
        <v>1444000</v>
      </c>
      <c r="CH103" s="106"/>
      <c r="CI103" s="106"/>
      <c r="CJ103" s="106">
        <v>-97000</v>
      </c>
      <c r="CK103" s="106"/>
      <c r="CL103" s="106"/>
      <c r="CM103" s="106">
        <v>-344372.85429976066</v>
      </c>
      <c r="CN103" s="106"/>
      <c r="CO103" s="106"/>
      <c r="CP103" s="106">
        <v>-339192.44179088774</v>
      </c>
      <c r="CS103" s="106"/>
      <c r="CT103" s="106"/>
      <c r="CU103" s="106"/>
      <c r="CV103" s="106"/>
      <c r="CW103" s="106"/>
      <c r="CX103" s="106"/>
      <c r="CY103" s="106"/>
      <c r="CZ103" s="106"/>
      <c r="DA103" s="106"/>
      <c r="DB103" s="106"/>
      <c r="DC103" s="106"/>
      <c r="DD103" s="106"/>
      <c r="DE103" s="106"/>
      <c r="DF103" s="106"/>
      <c r="DG103" s="106"/>
      <c r="DH103" s="106"/>
      <c r="DI103" s="106"/>
      <c r="DJ103" s="106"/>
      <c r="DK103" s="106"/>
      <c r="DL103" s="106"/>
      <c r="DM103" s="106"/>
      <c r="DN103" s="106"/>
      <c r="EN103" s="524"/>
    </row>
    <row r="104" spans="2:144" x14ac:dyDescent="0.35">
      <c r="C104" t="s">
        <v>157</v>
      </c>
      <c r="F104" s="19">
        <v>-190000</v>
      </c>
      <c r="G104" s="19">
        <f>SUM(R104:U104)</f>
        <v>1065000</v>
      </c>
      <c r="H104" s="19">
        <f>SUM(V104:BO104)</f>
        <v>1750000</v>
      </c>
      <c r="I104" s="19"/>
      <c r="J104" s="19"/>
      <c r="K104" s="19"/>
      <c r="L104" s="19"/>
      <c r="M104" s="19"/>
      <c r="N104" s="19"/>
      <c r="O104" s="19"/>
      <c r="P104" s="19"/>
      <c r="Q104" s="20"/>
      <c r="R104" s="20"/>
      <c r="S104" s="20"/>
      <c r="T104" s="20"/>
      <c r="U104" s="20">
        <v>1065000</v>
      </c>
      <c r="V104" s="20">
        <v>250000</v>
      </c>
      <c r="W104" s="20">
        <v>500000</v>
      </c>
      <c r="X104" s="20">
        <v>500000</v>
      </c>
      <c r="Y104" s="20">
        <v>500000</v>
      </c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CG104" s="106">
        <v>0</v>
      </c>
      <c r="CH104" s="106"/>
      <c r="CI104" s="106"/>
      <c r="CJ104" s="106">
        <v>0</v>
      </c>
      <c r="CK104" s="106"/>
      <c r="CL104" s="106"/>
      <c r="CM104" s="106">
        <v>0</v>
      </c>
      <c r="CN104" s="106"/>
      <c r="CO104" s="106"/>
      <c r="CP104" s="106">
        <v>0</v>
      </c>
      <c r="CS104" s="106"/>
      <c r="CT104" s="106"/>
      <c r="CU104" s="106"/>
      <c r="CV104" s="106"/>
      <c r="CW104" s="106"/>
      <c r="CX104" s="106"/>
      <c r="CY104" s="106"/>
      <c r="CZ104" s="106"/>
      <c r="DA104" s="106"/>
      <c r="DB104" s="106"/>
      <c r="DC104" s="106"/>
      <c r="DD104" s="106"/>
      <c r="DE104" s="106"/>
      <c r="DF104" s="106"/>
      <c r="DG104" s="106"/>
      <c r="DH104" s="106"/>
      <c r="DI104" s="106"/>
      <c r="DJ104" s="106"/>
      <c r="DK104" s="106"/>
      <c r="DL104" s="106"/>
      <c r="DM104" s="106"/>
      <c r="DN104" s="106"/>
      <c r="EN104" s="524"/>
    </row>
    <row r="105" spans="2:144" x14ac:dyDescent="0.35">
      <c r="C105" t="s">
        <v>158</v>
      </c>
      <c r="F105" s="19">
        <v>-190000</v>
      </c>
      <c r="G105" s="19">
        <f>SUM(R105:U105)</f>
        <v>0</v>
      </c>
      <c r="H105" s="19">
        <f>SUM(V105:BO105)</f>
        <v>0</v>
      </c>
      <c r="I105" s="19"/>
      <c r="J105" s="19"/>
      <c r="K105" s="19"/>
      <c r="L105" s="19"/>
      <c r="M105" s="19"/>
      <c r="N105" s="19"/>
      <c r="O105" s="19"/>
      <c r="P105" s="19"/>
      <c r="U105" s="20"/>
      <c r="V105" s="20"/>
      <c r="BG105" s="20"/>
      <c r="BH105" s="20"/>
      <c r="BI105" s="20"/>
      <c r="CG105" s="106">
        <v>270000</v>
      </c>
      <c r="CH105" s="106"/>
      <c r="CI105" s="106"/>
      <c r="CJ105" s="106">
        <v>1210000</v>
      </c>
      <c r="CK105" s="106"/>
      <c r="CL105" s="106"/>
      <c r="CM105" s="106">
        <v>0</v>
      </c>
      <c r="CN105" s="106"/>
      <c r="CO105" s="106"/>
      <c r="CP105" s="106">
        <v>10000000</v>
      </c>
      <c r="CS105" s="106"/>
      <c r="CT105" s="106"/>
      <c r="CU105" s="106"/>
      <c r="CV105" s="106"/>
      <c r="CW105" s="106"/>
      <c r="CX105" s="106"/>
      <c r="CY105" s="106"/>
      <c r="CZ105" s="106"/>
      <c r="DA105" s="106"/>
      <c r="DB105" s="106"/>
      <c r="DC105" s="106"/>
      <c r="DD105" s="106"/>
      <c r="DE105" s="106"/>
      <c r="DF105" s="106"/>
      <c r="DG105" s="106"/>
      <c r="DH105" s="106"/>
      <c r="DI105" s="106"/>
      <c r="DJ105" s="106"/>
      <c r="DK105" s="106"/>
      <c r="DL105" s="106"/>
      <c r="DM105" s="106"/>
      <c r="DN105" s="106"/>
      <c r="EN105" s="524"/>
    </row>
    <row r="106" spans="2:144" x14ac:dyDescent="0.35">
      <c r="B106" s="10"/>
      <c r="C106" s="21" t="s">
        <v>159</v>
      </c>
      <c r="D106" s="21"/>
      <c r="E106" s="21"/>
      <c r="F106" s="23">
        <f>SUM(F95:F105)</f>
        <v>-935000</v>
      </c>
      <c r="G106" s="23">
        <f>SUM(G95:G105)</f>
        <v>17000</v>
      </c>
      <c r="H106" s="23">
        <f>SUM(H95:H105)</f>
        <v>-893663.18943892885</v>
      </c>
      <c r="I106" s="23"/>
      <c r="J106" s="23"/>
      <c r="K106" s="23"/>
      <c r="L106" s="23"/>
      <c r="M106" s="23"/>
      <c r="N106" s="23"/>
      <c r="O106" s="23"/>
      <c r="P106" s="23"/>
      <c r="Q106" s="24"/>
      <c r="R106" s="24">
        <f t="shared" ref="R106:Y106" si="142">SUM(R95:R105)</f>
        <v>-347000</v>
      </c>
      <c r="S106" s="24">
        <f t="shared" si="142"/>
        <v>-173000</v>
      </c>
      <c r="T106" s="24">
        <f t="shared" si="142"/>
        <v>-112000</v>
      </c>
      <c r="U106" s="24">
        <f t="shared" si="142"/>
        <v>587000</v>
      </c>
      <c r="V106" s="24">
        <f t="shared" si="142"/>
        <v>-626000</v>
      </c>
      <c r="W106" s="24">
        <f t="shared" si="142"/>
        <v>250027.06088634394</v>
      </c>
      <c r="X106" s="24">
        <f t="shared" si="142"/>
        <v>-308323.45761046861</v>
      </c>
      <c r="Y106" s="24">
        <f t="shared" si="142"/>
        <v>110633.20728519442</v>
      </c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CE106" s="302">
        <f>SUM(CE100:CE105)</f>
        <v>-92037.666666666628</v>
      </c>
      <c r="CF106" s="302">
        <f t="shared" ref="CF106:CO106" si="143">SUM(CF100:CF105)</f>
        <v>-92037.666666666628</v>
      </c>
      <c r="CG106" s="302">
        <f>SUM(CG100:CG105)</f>
        <v>1717962.3333333335</v>
      </c>
      <c r="CH106" s="302">
        <f t="shared" si="143"/>
        <v>-85147.000000000538</v>
      </c>
      <c r="CI106" s="302">
        <f t="shared" si="143"/>
        <v>-85147.000000000073</v>
      </c>
      <c r="CJ106" s="302">
        <f t="shared" si="143"/>
        <v>1027853.0000000005</v>
      </c>
      <c r="CK106" s="302">
        <f t="shared" si="143"/>
        <v>-138551.74139514676</v>
      </c>
      <c r="CL106" s="302">
        <f t="shared" si="143"/>
        <v>-138551.74139514676</v>
      </c>
      <c r="CM106" s="302">
        <f t="shared" si="143"/>
        <v>-482924.59569490672</v>
      </c>
      <c r="CN106" s="302">
        <f t="shared" si="143"/>
        <v>-270274.72977594775</v>
      </c>
      <c r="CO106" s="302">
        <f t="shared" si="143"/>
        <v>-270274.72977594775</v>
      </c>
      <c r="CP106" s="302">
        <f>SUM(CP100:CP105)</f>
        <v>9690532.8284331653</v>
      </c>
      <c r="CQ106" s="302"/>
      <c r="CR106" s="302"/>
      <c r="CS106" s="302"/>
      <c r="CT106" s="302"/>
      <c r="CU106" s="302"/>
      <c r="CV106" s="302"/>
      <c r="CW106" s="302"/>
      <c r="CX106" s="302"/>
      <c r="CY106" s="302"/>
      <c r="CZ106" s="302"/>
      <c r="DA106" s="302"/>
      <c r="DB106" s="302"/>
      <c r="DC106" s="302"/>
      <c r="DD106" s="302"/>
      <c r="DE106" s="302"/>
      <c r="DF106" s="302"/>
      <c r="DG106" s="302"/>
      <c r="DH106" s="302"/>
      <c r="DI106" s="302"/>
      <c r="DJ106" s="302"/>
      <c r="DK106" s="302"/>
      <c r="DL106" s="302"/>
      <c r="DM106" s="302"/>
      <c r="DN106" s="302"/>
      <c r="EN106" s="524"/>
    </row>
    <row r="107" spans="2:144" ht="5.25" customHeight="1" x14ac:dyDescent="0.35"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EN107" s="524"/>
    </row>
    <row r="108" spans="2:144" s="1" customFormat="1" x14ac:dyDescent="0.35">
      <c r="C108" s="46" t="s">
        <v>160</v>
      </c>
      <c r="F108" s="47">
        <f>F109-F106</f>
        <v>2135000</v>
      </c>
      <c r="G108" s="47">
        <f>R108</f>
        <v>1200000</v>
      </c>
      <c r="H108" s="47">
        <f>G109</f>
        <v>1217000</v>
      </c>
      <c r="I108" s="47"/>
      <c r="J108" s="47"/>
      <c r="K108" s="47"/>
      <c r="L108" s="47"/>
      <c r="M108" s="47"/>
      <c r="N108" s="47"/>
      <c r="O108" s="47"/>
      <c r="P108" s="47"/>
      <c r="R108" s="48">
        <v>1200000</v>
      </c>
      <c r="S108" s="48">
        <f>R109</f>
        <v>841800</v>
      </c>
      <c r="T108" s="48">
        <f>S109</f>
        <v>668800</v>
      </c>
      <c r="U108" s="48">
        <f>T109</f>
        <v>556800</v>
      </c>
      <c r="V108" s="48">
        <v>1141800</v>
      </c>
      <c r="W108" s="48">
        <v>515800</v>
      </c>
      <c r="X108" s="48">
        <v>765827.06088634394</v>
      </c>
      <c r="Y108" s="48">
        <v>462824.02517733979</v>
      </c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CE108" s="306">
        <v>1051000</v>
      </c>
      <c r="CF108" s="306">
        <v>958962.33333333337</v>
      </c>
      <c r="CG108" s="306">
        <v>866924.66666666674</v>
      </c>
      <c r="CH108" s="306">
        <v>2584887</v>
      </c>
      <c r="CI108" s="306">
        <v>2499739.9999999995</v>
      </c>
      <c r="CJ108" s="306">
        <v>2414592.9999999995</v>
      </c>
      <c r="CK108" s="306">
        <v>3442446</v>
      </c>
      <c r="CL108" s="306">
        <v>3303894.2586048534</v>
      </c>
      <c r="CM108" s="306">
        <v>3165342.5172097068</v>
      </c>
      <c r="CN108" s="306">
        <v>2682417.9215148003</v>
      </c>
      <c r="CO108" s="306">
        <v>2412143.1917388523</v>
      </c>
      <c r="CP108" s="306">
        <v>2141868.4619629048</v>
      </c>
      <c r="CQ108" s="306"/>
      <c r="CR108" s="306"/>
      <c r="CS108" s="306"/>
      <c r="CT108" s="306"/>
      <c r="CU108" s="306"/>
      <c r="CV108" s="306"/>
      <c r="CW108" s="306"/>
      <c r="CX108" s="306"/>
      <c r="CY108" s="306"/>
      <c r="CZ108" s="306"/>
      <c r="DA108" s="306"/>
      <c r="DB108" s="306"/>
      <c r="EN108" s="524"/>
    </row>
    <row r="109" spans="2:144" s="1" customFormat="1" x14ac:dyDescent="0.35">
      <c r="C109" s="46" t="s">
        <v>161</v>
      </c>
      <c r="F109" s="47">
        <f>G108</f>
        <v>1200000</v>
      </c>
      <c r="G109" s="47">
        <f>G106+G108</f>
        <v>1217000</v>
      </c>
      <c r="H109" s="47">
        <f>H106+H108</f>
        <v>323336.81056107115</v>
      </c>
      <c r="I109" s="47"/>
      <c r="J109" s="47"/>
      <c r="K109" s="47"/>
      <c r="L109" s="47"/>
      <c r="M109" s="47"/>
      <c r="N109" s="47"/>
      <c r="O109" s="47"/>
      <c r="P109" s="47"/>
      <c r="R109" s="48">
        <f>R75</f>
        <v>841800</v>
      </c>
      <c r="S109" s="48">
        <f t="shared" ref="S109:X109" si="144">S108+S106</f>
        <v>668800</v>
      </c>
      <c r="T109" s="48">
        <f t="shared" si="144"/>
        <v>556800</v>
      </c>
      <c r="U109" s="48">
        <f t="shared" si="144"/>
        <v>1143800</v>
      </c>
      <c r="V109" s="48">
        <f t="shared" si="144"/>
        <v>515800</v>
      </c>
      <c r="W109" s="48">
        <f t="shared" si="144"/>
        <v>765827.06088634394</v>
      </c>
      <c r="X109" s="48">
        <f t="shared" si="144"/>
        <v>457503.60327587533</v>
      </c>
      <c r="Y109" s="48">
        <f>Y108+Y106</f>
        <v>573457.23246253422</v>
      </c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CE109" s="306">
        <v>958962.33333333337</v>
      </c>
      <c r="CF109" s="306">
        <v>866924.66666666674</v>
      </c>
      <c r="CG109" s="306">
        <v>2584887</v>
      </c>
      <c r="CH109" s="306">
        <v>2499739.9999999995</v>
      </c>
      <c r="CI109" s="306">
        <v>2414592.9999999995</v>
      </c>
      <c r="CJ109" s="306">
        <v>3442446</v>
      </c>
      <c r="CK109" s="306">
        <v>3303894.2586048534</v>
      </c>
      <c r="CL109" s="306">
        <v>3165342.5172097068</v>
      </c>
      <c r="CM109" s="306">
        <v>2682417.9215148003</v>
      </c>
      <c r="CN109" s="306">
        <v>2412143.1917388523</v>
      </c>
      <c r="CO109" s="306">
        <v>2141868.4619629048</v>
      </c>
      <c r="CP109" s="306">
        <v>11832401.29039607</v>
      </c>
      <c r="CQ109" s="306"/>
      <c r="CR109" s="306"/>
      <c r="CS109" s="306"/>
      <c r="CT109" s="306"/>
      <c r="CU109" s="306"/>
      <c r="CV109" s="306"/>
      <c r="CW109" s="306"/>
      <c r="CX109" s="306"/>
      <c r="CY109" s="306"/>
      <c r="CZ109" s="306"/>
      <c r="DA109" s="306"/>
      <c r="DB109" s="306"/>
      <c r="EN109" s="524"/>
    </row>
    <row r="110" spans="2:144" s="1" customFormat="1" x14ac:dyDescent="0.35">
      <c r="C110" s="46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EN110" s="524"/>
    </row>
    <row r="111" spans="2:144" x14ac:dyDescent="0.35">
      <c r="C111" t="s">
        <v>190</v>
      </c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  <c r="BF111" s="44"/>
      <c r="BG111" s="44"/>
      <c r="BH111" s="44"/>
      <c r="BI111" s="44"/>
      <c r="BJ111" s="44"/>
      <c r="BK111" s="44"/>
      <c r="BL111" s="44"/>
      <c r="BM111" s="44"/>
      <c r="BN111" s="44"/>
      <c r="BO111" s="44"/>
      <c r="BP111" s="44"/>
      <c r="BQ111" s="44"/>
      <c r="BR111" s="44"/>
      <c r="CQ111" s="106">
        <f>200000/12</f>
        <v>16666.666666666668</v>
      </c>
      <c r="CR111" s="106">
        <f t="shared" ref="CR111:DB111" si="145">200000/12</f>
        <v>16666.666666666668</v>
      </c>
      <c r="CS111" s="106">
        <f t="shared" si="145"/>
        <v>16666.666666666668</v>
      </c>
      <c r="CT111" s="106">
        <f t="shared" si="145"/>
        <v>16666.666666666668</v>
      </c>
      <c r="CU111" s="106">
        <f t="shared" si="145"/>
        <v>16666.666666666668</v>
      </c>
      <c r="CV111" s="106">
        <f t="shared" si="145"/>
        <v>16666.666666666668</v>
      </c>
      <c r="CW111" s="106">
        <f t="shared" si="145"/>
        <v>16666.666666666668</v>
      </c>
      <c r="CX111" s="106">
        <f t="shared" si="145"/>
        <v>16666.666666666668</v>
      </c>
      <c r="CY111" s="106">
        <f t="shared" si="145"/>
        <v>16666.666666666668</v>
      </c>
      <c r="CZ111" s="106">
        <f t="shared" si="145"/>
        <v>16666.666666666668</v>
      </c>
      <c r="DA111" s="106">
        <f t="shared" si="145"/>
        <v>16666.666666666668</v>
      </c>
      <c r="DB111" s="106">
        <f t="shared" si="145"/>
        <v>16666.666666666668</v>
      </c>
      <c r="EN111" s="524"/>
    </row>
    <row r="112" spans="2:144" x14ac:dyDescent="0.35">
      <c r="D112" s="49"/>
      <c r="CQ112" s="106"/>
      <c r="CR112" s="106"/>
      <c r="CS112" s="106"/>
      <c r="CT112" s="106"/>
      <c r="CU112" s="106"/>
      <c r="CV112" s="106"/>
      <c r="CW112" s="106"/>
      <c r="CX112" s="106"/>
      <c r="CY112" s="106"/>
      <c r="CZ112" s="106"/>
      <c r="DA112" s="106"/>
      <c r="DB112" s="106"/>
      <c r="EN112" s="524"/>
    </row>
    <row r="113" spans="3:144" x14ac:dyDescent="0.35">
      <c r="D113" s="49"/>
      <c r="CC113" s="116"/>
      <c r="CQ113" s="20">
        <v>-598403.74879806954</v>
      </c>
      <c r="CR113" s="20">
        <v>-628876.91546473617</v>
      </c>
      <c r="CS113" s="20">
        <v>-630094.74879806943</v>
      </c>
      <c r="CT113" s="20">
        <v>-701640.5821314028</v>
      </c>
      <c r="CU113" s="20">
        <v>-756198.5821314028</v>
      </c>
      <c r="CV113" s="20">
        <v>-690552.74879806943</v>
      </c>
      <c r="CW113" s="20">
        <v>-723352.5821314028</v>
      </c>
      <c r="CX113" s="20">
        <v>-719810.91546473629</v>
      </c>
      <c r="CY113" s="20">
        <v>-756464.91546473629</v>
      </c>
      <c r="CZ113" s="20">
        <v>-751709.5821314028</v>
      </c>
      <c r="DA113" s="20">
        <v>-745167.91546473629</v>
      </c>
      <c r="DB113" s="20">
        <v>-772059.24879806966</v>
      </c>
      <c r="EN113" s="524"/>
    </row>
    <row r="114" spans="3:144" x14ac:dyDescent="0.35">
      <c r="C114" t="s">
        <v>191</v>
      </c>
      <c r="D114" s="49"/>
      <c r="CQ114" s="106">
        <f>-300000/12</f>
        <v>-25000</v>
      </c>
      <c r="CR114" s="106">
        <f t="shared" ref="CR114:DB114" si="146">-300000/12</f>
        <v>-25000</v>
      </c>
      <c r="CS114" s="106">
        <f t="shared" si="146"/>
        <v>-25000</v>
      </c>
      <c r="CT114" s="106">
        <f t="shared" si="146"/>
        <v>-25000</v>
      </c>
      <c r="CU114" s="106">
        <f t="shared" si="146"/>
        <v>-25000</v>
      </c>
      <c r="CV114" s="106">
        <f t="shared" si="146"/>
        <v>-25000</v>
      </c>
      <c r="CW114" s="106">
        <f t="shared" si="146"/>
        <v>-25000</v>
      </c>
      <c r="CX114" s="106">
        <f t="shared" si="146"/>
        <v>-25000</v>
      </c>
      <c r="CY114" s="106">
        <f t="shared" si="146"/>
        <v>-25000</v>
      </c>
      <c r="CZ114" s="106">
        <f t="shared" si="146"/>
        <v>-25000</v>
      </c>
      <c r="DA114" s="106">
        <f t="shared" si="146"/>
        <v>-25000</v>
      </c>
      <c r="DB114" s="106">
        <f t="shared" si="146"/>
        <v>-25000</v>
      </c>
      <c r="EN114" s="524"/>
    </row>
    <row r="115" spans="3:144" x14ac:dyDescent="0.35">
      <c r="C115" t="s">
        <v>192</v>
      </c>
      <c r="CQ115" s="106">
        <f>-150000/12</f>
        <v>-12500</v>
      </c>
      <c r="CR115" s="106">
        <f t="shared" ref="CR115:DB115" si="147">-150000/12</f>
        <v>-12500</v>
      </c>
      <c r="CS115" s="106">
        <f t="shared" si="147"/>
        <v>-12500</v>
      </c>
      <c r="CT115" s="106">
        <f t="shared" si="147"/>
        <v>-12500</v>
      </c>
      <c r="CU115" s="106">
        <f t="shared" si="147"/>
        <v>-12500</v>
      </c>
      <c r="CV115" s="106">
        <f t="shared" si="147"/>
        <v>-12500</v>
      </c>
      <c r="CW115" s="106">
        <f t="shared" si="147"/>
        <v>-12500</v>
      </c>
      <c r="CX115" s="106">
        <f t="shared" si="147"/>
        <v>-12500</v>
      </c>
      <c r="CY115" s="106">
        <f t="shared" si="147"/>
        <v>-12500</v>
      </c>
      <c r="CZ115" s="106">
        <f t="shared" si="147"/>
        <v>-12500</v>
      </c>
      <c r="DA115" s="106">
        <f t="shared" si="147"/>
        <v>-12500</v>
      </c>
      <c r="DB115" s="106">
        <f t="shared" si="147"/>
        <v>-12500</v>
      </c>
      <c r="EN115" s="524"/>
    </row>
    <row r="116" spans="3:144" x14ac:dyDescent="0.35">
      <c r="C116" s="46" t="s">
        <v>193</v>
      </c>
      <c r="CQ116" s="12">
        <f>SUM(CQ113:CQ115)</f>
        <v>-635903.74879806954</v>
      </c>
      <c r="CR116" s="12">
        <f t="shared" ref="CR116:DB116" si="148">SUM(CR113:CR115)</f>
        <v>-666376.91546473617</v>
      </c>
      <c r="CS116" s="12">
        <f t="shared" si="148"/>
        <v>-667594.74879806943</v>
      </c>
      <c r="CT116" s="12">
        <f t="shared" si="148"/>
        <v>-739140.5821314028</v>
      </c>
      <c r="CU116" s="12">
        <f t="shared" si="148"/>
        <v>-793698.5821314028</v>
      </c>
      <c r="CV116" s="12">
        <f t="shared" si="148"/>
        <v>-728052.74879806943</v>
      </c>
      <c r="CW116" s="12">
        <f t="shared" si="148"/>
        <v>-760852.5821314028</v>
      </c>
      <c r="CX116" s="12">
        <f t="shared" si="148"/>
        <v>-757310.91546473629</v>
      </c>
      <c r="CY116" s="12">
        <f t="shared" si="148"/>
        <v>-793964.91546473629</v>
      </c>
      <c r="CZ116" s="12">
        <f t="shared" si="148"/>
        <v>-789209.5821314028</v>
      </c>
      <c r="DA116" s="12">
        <f t="shared" si="148"/>
        <v>-782667.91546473629</v>
      </c>
      <c r="DB116" s="12">
        <f t="shared" si="148"/>
        <v>-809559.24879806966</v>
      </c>
      <c r="EN116" s="524"/>
    </row>
    <row r="117" spans="3:144" x14ac:dyDescent="0.35">
      <c r="EN117" s="524">
        <f t="shared" ref="EN117" si="149">SUM(EA117:EL117)-SUM(AT117:AW117)</f>
        <v>0</v>
      </c>
    </row>
    <row r="119" spans="3:144" x14ac:dyDescent="0.35">
      <c r="CC119" s="116"/>
    </row>
    <row r="129" spans="81:81" x14ac:dyDescent="0.35">
      <c r="CC129" s="117"/>
    </row>
  </sheetData>
  <phoneticPr fontId="39" type="noConversion"/>
  <pageMargins left="0.23622047244094491" right="0.23622047244094491" top="0.74803149606299213" bottom="0.74803149606299213" header="0.31496062992125984" footer="0.31496062992125984"/>
  <pageSetup paperSize="9" scale="68" fitToHeight="0" orientation="landscape" r:id="rId1"/>
  <headerFooter>
    <oddHeader>&amp;A</oddHeader>
  </headerFooter>
  <rowBreaks count="2" manualBreakCount="2">
    <brk id="63" min="1" max="29" man="1"/>
    <brk id="110" min="1" max="2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E0380-B205-4A12-9ADE-3C94CB4DA760}">
  <sheetPr>
    <pageSetUpPr fitToPage="1"/>
  </sheetPr>
  <dimension ref="A1:CW256"/>
  <sheetViews>
    <sheetView showGridLines="0" zoomScaleNormal="100" workbookViewId="0">
      <pane xSplit="14" ySplit="3" topLeftCell="CI52" activePane="bottomRight" state="frozen"/>
      <selection pane="topRight" activeCell="EV111" sqref="EA111:EV111"/>
      <selection pane="bottomLeft" activeCell="EV111" sqref="EA111:EV111"/>
      <selection pane="bottomRight" activeCell="CR96" sqref="CR96"/>
    </sheetView>
  </sheetViews>
  <sheetFormatPr defaultColWidth="8.453125" defaultRowHeight="14.5" outlineLevelCol="1" x14ac:dyDescent="0.35"/>
  <cols>
    <col min="1" max="1" width="8.453125" hidden="1" customWidth="1"/>
    <col min="2" max="2" width="6" style="10" customWidth="1"/>
    <col min="3" max="3" width="20.81640625" style="10" customWidth="1"/>
    <col min="4" max="4" width="12.453125" style="338" hidden="1" customWidth="1" outlineLevel="1"/>
    <col min="5" max="5" width="11.453125" style="338" hidden="1" customWidth="1" outlineLevel="1"/>
    <col min="6" max="12" width="11.453125" hidden="1" customWidth="1" outlineLevel="1"/>
    <col min="13" max="13" width="9" hidden="1" customWidth="1" outlineLevel="1"/>
    <col min="14" max="14" width="9.453125" hidden="1" customWidth="1" outlineLevel="1"/>
    <col min="15" max="15" width="9.453125" bestFit="1" customWidth="1" collapsed="1"/>
    <col min="16" max="17" width="9.453125" hidden="1" customWidth="1" outlineLevel="1"/>
    <col min="18" max="18" width="8" hidden="1" customWidth="1" outlineLevel="1"/>
    <col min="19" max="19" width="9.453125" hidden="1" customWidth="1" outlineLevel="1"/>
    <col min="20" max="20" width="8.453125" hidden="1" customWidth="1" outlineLevel="1"/>
    <col min="21" max="22" width="9.453125" hidden="1" customWidth="1" outlineLevel="1"/>
    <col min="23" max="24" width="9" hidden="1" customWidth="1" outlineLevel="1"/>
    <col min="25" max="25" width="8" hidden="1" customWidth="1" outlineLevel="1"/>
    <col min="26" max="26" width="9.453125" hidden="1" customWidth="1" outlineLevel="1"/>
    <col min="27" max="28" width="7.54296875" hidden="1" customWidth="1" outlineLevel="1"/>
    <col min="29" max="29" width="8.453125" hidden="1" customWidth="1" outlineLevel="1"/>
    <col min="30" max="30" width="7.54296875" hidden="1" customWidth="1" outlineLevel="1"/>
    <col min="31" max="32" width="9" hidden="1" customWidth="1" outlineLevel="1"/>
    <col min="33" max="33" width="7.54296875" hidden="1" customWidth="1" outlineLevel="1"/>
    <col min="34" max="34" width="11.453125" hidden="1" customWidth="1" outlineLevel="1"/>
    <col min="35" max="38" width="9" hidden="1" customWidth="1" outlineLevel="1"/>
    <col min="39" max="39" width="9" hidden="1" customWidth="1" outlineLevel="1" collapsed="1"/>
    <col min="40" max="40" width="8" hidden="1" customWidth="1" outlineLevel="1"/>
    <col min="41" max="42" width="8.453125" hidden="1" customWidth="1" outlineLevel="1"/>
    <col min="43" max="43" width="9" hidden="1" customWidth="1" outlineLevel="1"/>
    <col min="44" max="45" width="8.453125" hidden="1" customWidth="1" outlineLevel="1"/>
    <col min="46" max="46" width="10" hidden="1" customWidth="1" outlineLevel="1"/>
    <col min="47" max="47" width="8.453125" hidden="1" customWidth="1" outlineLevel="1"/>
    <col min="48" max="48" width="9.453125" hidden="1" customWidth="1" outlineLevel="1"/>
    <col min="49" max="49" width="9.54296875" hidden="1" customWidth="1" outlineLevel="1"/>
    <col min="50" max="50" width="8.453125" hidden="1" customWidth="1" outlineLevel="1"/>
    <col min="51" max="51" width="8.453125" collapsed="1"/>
    <col min="52" max="52" width="8.453125" hidden="1" customWidth="1" outlineLevel="1"/>
    <col min="53" max="53" width="10.54296875" hidden="1" customWidth="1" outlineLevel="1"/>
    <col min="54" max="54" width="8.453125" hidden="1" customWidth="1" outlineLevel="1"/>
    <col min="55" max="56" width="9" hidden="1" customWidth="1" outlineLevel="1"/>
    <col min="57" max="57" width="8.54296875" hidden="1" customWidth="1" outlineLevel="1"/>
    <col min="58" max="62" width="10" hidden="1" customWidth="1" outlineLevel="1"/>
    <col min="63" max="63" width="10" customWidth="1" collapsed="1"/>
    <col min="64" max="64" width="8.54296875" hidden="1" customWidth="1" outlineLevel="1"/>
    <col min="65" max="65" width="9" hidden="1" customWidth="1" outlineLevel="1"/>
    <col min="66" max="66" width="10.54296875" hidden="1" customWidth="1" outlineLevel="1"/>
    <col min="67" max="67" width="8.453125" hidden="1" customWidth="1" outlineLevel="1"/>
    <col min="68" max="68" width="8.453125" style="384" hidden="1" customWidth="1" outlineLevel="1"/>
    <col min="69" max="69" width="8.453125" hidden="1" customWidth="1" outlineLevel="1"/>
    <col min="70" max="70" width="10" hidden="1" customWidth="1" outlineLevel="1"/>
    <col min="71" max="74" width="8.453125" hidden="1" customWidth="1" outlineLevel="1"/>
    <col min="75" max="75" width="9.54296875" bestFit="1" customWidth="1" collapsed="1"/>
    <col min="76" max="77" width="9.54296875" customWidth="1"/>
    <col min="78" max="78" width="10.54296875" customWidth="1"/>
    <col min="79" max="80" width="10" customWidth="1"/>
    <col min="82" max="82" width="9.81640625" customWidth="1"/>
    <col min="83" max="83" width="10" customWidth="1"/>
    <col min="84" max="84" width="10.453125" customWidth="1"/>
    <col min="85" max="85" width="10" customWidth="1"/>
    <col min="89" max="89" width="12.26953125" bestFit="1" customWidth="1"/>
    <col min="91" max="91" width="10.81640625" customWidth="1"/>
    <col min="95" max="95" width="9.81640625" bestFit="1" customWidth="1"/>
    <col min="99" max="99" width="8.26953125" customWidth="1"/>
  </cols>
  <sheetData>
    <row r="1" spans="1:101" hidden="1" x14ac:dyDescent="0.35">
      <c r="A1" t="s">
        <v>0</v>
      </c>
      <c r="BP1"/>
    </row>
    <row r="2" spans="1:101" s="328" customFormat="1" x14ac:dyDescent="0.35">
      <c r="B2" s="327" t="s">
        <v>194</v>
      </c>
      <c r="C2" s="327"/>
      <c r="D2" s="70">
        <v>43101</v>
      </c>
      <c r="E2" s="70">
        <v>43132</v>
      </c>
      <c r="F2" s="70">
        <v>43160</v>
      </c>
      <c r="G2" s="70">
        <v>43191</v>
      </c>
      <c r="H2" s="70">
        <v>43221</v>
      </c>
      <c r="I2" s="70">
        <v>43252</v>
      </c>
      <c r="J2" s="70">
        <v>43282</v>
      </c>
      <c r="K2" s="70">
        <v>43313</v>
      </c>
      <c r="L2" s="70">
        <v>43344</v>
      </c>
      <c r="M2" s="70">
        <v>43374</v>
      </c>
      <c r="N2" s="70">
        <v>43405</v>
      </c>
      <c r="O2" s="70">
        <v>43435</v>
      </c>
      <c r="P2" s="70">
        <v>43466</v>
      </c>
      <c r="Q2" s="70">
        <v>43497</v>
      </c>
      <c r="R2" s="70">
        <v>43525</v>
      </c>
      <c r="S2" s="70">
        <v>43556</v>
      </c>
      <c r="T2" s="70">
        <v>43586</v>
      </c>
      <c r="U2" s="70">
        <v>43617</v>
      </c>
      <c r="V2" s="70">
        <v>43647</v>
      </c>
      <c r="W2" s="70">
        <v>43678</v>
      </c>
      <c r="X2" s="70">
        <v>43709</v>
      </c>
      <c r="Y2" s="70">
        <v>43739</v>
      </c>
      <c r="Z2" s="70">
        <v>43770</v>
      </c>
      <c r="AA2" s="70">
        <v>43800</v>
      </c>
      <c r="AB2" s="70">
        <v>43831</v>
      </c>
      <c r="AC2" s="70">
        <v>43862</v>
      </c>
      <c r="AD2" s="70">
        <v>43891</v>
      </c>
      <c r="AE2" s="70">
        <v>43922</v>
      </c>
      <c r="AF2" s="70">
        <v>43952</v>
      </c>
      <c r="AG2" s="70">
        <v>43983</v>
      </c>
      <c r="AH2" s="70">
        <v>44013</v>
      </c>
      <c r="AI2" s="70">
        <v>44044</v>
      </c>
      <c r="AJ2" s="70">
        <v>44075</v>
      </c>
      <c r="AK2" s="70">
        <v>44105</v>
      </c>
      <c r="AL2" s="70">
        <v>44136</v>
      </c>
      <c r="AM2" s="70">
        <v>44166</v>
      </c>
      <c r="AN2" s="70">
        <v>44197</v>
      </c>
      <c r="AO2" s="70">
        <v>44228</v>
      </c>
      <c r="AP2" s="70">
        <v>44256</v>
      </c>
      <c r="AQ2" s="70">
        <v>44287</v>
      </c>
      <c r="AR2" s="70">
        <v>44317</v>
      </c>
      <c r="AS2" s="70">
        <v>44348</v>
      </c>
      <c r="AT2" s="70">
        <v>44378</v>
      </c>
      <c r="AU2" s="70">
        <v>44409</v>
      </c>
      <c r="AV2" s="70">
        <v>44440</v>
      </c>
      <c r="AW2" s="70">
        <v>44470</v>
      </c>
      <c r="AX2" s="70">
        <v>44501</v>
      </c>
      <c r="AY2" s="70">
        <v>44531</v>
      </c>
      <c r="AZ2" s="70">
        <v>44562</v>
      </c>
      <c r="BA2" s="70">
        <v>44593</v>
      </c>
      <c r="BB2" s="70">
        <v>44621</v>
      </c>
      <c r="BC2" s="70">
        <v>44652</v>
      </c>
      <c r="BD2" s="70">
        <v>44682</v>
      </c>
      <c r="BE2" s="70">
        <v>44713</v>
      </c>
      <c r="BF2" s="70">
        <v>44743</v>
      </c>
      <c r="BG2" s="70">
        <v>44774</v>
      </c>
      <c r="BH2" s="70">
        <v>44805</v>
      </c>
      <c r="BI2" s="70">
        <v>44835</v>
      </c>
      <c r="BJ2" s="70">
        <v>44866</v>
      </c>
      <c r="BK2" s="70">
        <v>44896</v>
      </c>
      <c r="BL2" s="70">
        <v>44927</v>
      </c>
      <c r="BM2" s="70">
        <v>44958</v>
      </c>
      <c r="BN2" s="70">
        <v>44986</v>
      </c>
      <c r="BO2" s="70">
        <v>45017</v>
      </c>
      <c r="BP2" s="70">
        <v>45047</v>
      </c>
      <c r="BQ2" s="70">
        <v>45078</v>
      </c>
      <c r="BR2" s="70">
        <v>45108</v>
      </c>
      <c r="BS2" s="70">
        <v>45139</v>
      </c>
      <c r="BT2" s="70">
        <v>45170</v>
      </c>
      <c r="BU2" s="70">
        <v>45200</v>
      </c>
      <c r="BV2" s="70">
        <v>45231</v>
      </c>
      <c r="BW2" s="70">
        <v>45261</v>
      </c>
      <c r="BX2" s="70">
        <v>45292</v>
      </c>
      <c r="BY2" s="70">
        <v>45323</v>
      </c>
      <c r="BZ2" s="70">
        <v>45352</v>
      </c>
      <c r="CA2" s="70">
        <v>45383</v>
      </c>
      <c r="CB2" s="70">
        <v>45413</v>
      </c>
      <c r="CC2" s="70">
        <v>45444</v>
      </c>
      <c r="CD2" s="70">
        <v>45474</v>
      </c>
      <c r="CE2" s="70">
        <v>45505</v>
      </c>
      <c r="CF2" s="70">
        <v>45536</v>
      </c>
      <c r="CG2" s="70">
        <v>45566</v>
      </c>
      <c r="CH2" s="70">
        <v>45597</v>
      </c>
      <c r="CI2" s="70">
        <v>45627</v>
      </c>
      <c r="CJ2" s="70">
        <v>45658</v>
      </c>
      <c r="CK2" s="70">
        <v>45689</v>
      </c>
      <c r="CL2" s="70">
        <v>45717</v>
      </c>
      <c r="CM2" s="70">
        <v>45748</v>
      </c>
      <c r="CN2" s="70">
        <v>45778</v>
      </c>
      <c r="CO2" s="70">
        <v>45809</v>
      </c>
      <c r="CP2" s="70">
        <v>45839</v>
      </c>
      <c r="CQ2" s="70">
        <v>45870</v>
      </c>
      <c r="CR2" s="70">
        <v>45901</v>
      </c>
      <c r="CS2" s="70">
        <v>45931</v>
      </c>
      <c r="CT2" s="70">
        <v>45962</v>
      </c>
      <c r="CU2" s="70">
        <v>45992</v>
      </c>
      <c r="CV2" s="70">
        <v>46023</v>
      </c>
      <c r="CW2" s="70">
        <v>46054</v>
      </c>
    </row>
    <row r="3" spans="1:101" s="328" customFormat="1" ht="6" customHeight="1" x14ac:dyDescent="0.35">
      <c r="B3" s="3"/>
      <c r="C3" s="3"/>
      <c r="D3" s="614" t="str">
        <f>"Q"&amp;ROUNDUP(MONTH(D2)/3,0)&amp;"-"&amp;YEAR(D2)-2000</f>
        <v>Q1-18</v>
      </c>
      <c r="E3" s="615" t="str">
        <f t="shared" ref="E3:BP3" si="0">"Q"&amp;ROUNDUP(MONTH(E2)/3,0)&amp;"-"&amp;YEAR(E2)-2000</f>
        <v>Q1-18</v>
      </c>
      <c r="F3" s="615" t="str">
        <f t="shared" si="0"/>
        <v>Q1-18</v>
      </c>
      <c r="G3" s="616" t="str">
        <f t="shared" si="0"/>
        <v>Q2-18</v>
      </c>
      <c r="H3" s="615" t="str">
        <f t="shared" si="0"/>
        <v>Q2-18</v>
      </c>
      <c r="I3" s="615" t="str">
        <f t="shared" si="0"/>
        <v>Q2-18</v>
      </c>
      <c r="J3" s="615" t="str">
        <f t="shared" si="0"/>
        <v>Q3-18</v>
      </c>
      <c r="K3" s="615" t="str">
        <f t="shared" si="0"/>
        <v>Q3-18</v>
      </c>
      <c r="L3" s="615" t="str">
        <f t="shared" si="0"/>
        <v>Q3-18</v>
      </c>
      <c r="M3" s="615" t="str">
        <f t="shared" si="0"/>
        <v>Q4-18</v>
      </c>
      <c r="N3" s="615" t="str">
        <f t="shared" si="0"/>
        <v>Q4-18</v>
      </c>
      <c r="O3" s="615" t="str">
        <f t="shared" si="0"/>
        <v>Q4-18</v>
      </c>
      <c r="P3" s="615" t="str">
        <f t="shared" si="0"/>
        <v>Q1-19</v>
      </c>
      <c r="Q3" s="615" t="str">
        <f t="shared" si="0"/>
        <v>Q1-19</v>
      </c>
      <c r="R3" s="615" t="str">
        <f t="shared" si="0"/>
        <v>Q1-19</v>
      </c>
      <c r="S3" s="615" t="str">
        <f t="shared" si="0"/>
        <v>Q2-19</v>
      </c>
      <c r="T3" s="615" t="str">
        <f t="shared" si="0"/>
        <v>Q2-19</v>
      </c>
      <c r="U3" s="615" t="str">
        <f t="shared" si="0"/>
        <v>Q2-19</v>
      </c>
      <c r="V3" s="615" t="str">
        <f t="shared" si="0"/>
        <v>Q3-19</v>
      </c>
      <c r="W3" s="615" t="str">
        <f t="shared" si="0"/>
        <v>Q3-19</v>
      </c>
      <c r="X3" s="615" t="str">
        <f t="shared" si="0"/>
        <v>Q3-19</v>
      </c>
      <c r="Y3" s="615" t="str">
        <f t="shared" si="0"/>
        <v>Q4-19</v>
      </c>
      <c r="Z3" s="615" t="str">
        <f t="shared" si="0"/>
        <v>Q4-19</v>
      </c>
      <c r="AA3" s="615" t="str">
        <f t="shared" si="0"/>
        <v>Q4-19</v>
      </c>
      <c r="AB3" s="615" t="str">
        <f t="shared" si="0"/>
        <v>Q1-20</v>
      </c>
      <c r="AC3" s="615" t="str">
        <f t="shared" si="0"/>
        <v>Q1-20</v>
      </c>
      <c r="AD3" s="615" t="str">
        <f t="shared" si="0"/>
        <v>Q1-20</v>
      </c>
      <c r="AE3" s="615" t="str">
        <f t="shared" si="0"/>
        <v>Q2-20</v>
      </c>
      <c r="AF3" s="615" t="str">
        <f t="shared" si="0"/>
        <v>Q2-20</v>
      </c>
      <c r="AG3" s="615" t="str">
        <f t="shared" si="0"/>
        <v>Q2-20</v>
      </c>
      <c r="AH3" s="615" t="str">
        <f t="shared" si="0"/>
        <v>Q3-20</v>
      </c>
      <c r="AI3" s="615" t="str">
        <f t="shared" si="0"/>
        <v>Q3-20</v>
      </c>
      <c r="AJ3" s="615" t="str">
        <f t="shared" si="0"/>
        <v>Q3-20</v>
      </c>
      <c r="AK3" s="615" t="str">
        <f t="shared" si="0"/>
        <v>Q4-20</v>
      </c>
      <c r="AL3" s="615" t="str">
        <f t="shared" si="0"/>
        <v>Q4-20</v>
      </c>
      <c r="AM3" s="615" t="str">
        <f t="shared" si="0"/>
        <v>Q4-20</v>
      </c>
      <c r="AN3" s="615" t="str">
        <f t="shared" si="0"/>
        <v>Q1-21</v>
      </c>
      <c r="AO3" s="615" t="str">
        <f t="shared" si="0"/>
        <v>Q1-21</v>
      </c>
      <c r="AP3" s="615" t="str">
        <f t="shared" si="0"/>
        <v>Q1-21</v>
      </c>
      <c r="AQ3" s="615" t="str">
        <f t="shared" si="0"/>
        <v>Q2-21</v>
      </c>
      <c r="AR3" s="615" t="str">
        <f t="shared" si="0"/>
        <v>Q2-21</v>
      </c>
      <c r="AS3" s="615" t="str">
        <f t="shared" si="0"/>
        <v>Q2-21</v>
      </c>
      <c r="AT3" s="617" t="str">
        <f t="shared" si="0"/>
        <v>Q3-21</v>
      </c>
      <c r="AU3" s="617" t="str">
        <f t="shared" si="0"/>
        <v>Q3-21</v>
      </c>
      <c r="AV3" s="617" t="str">
        <f t="shared" si="0"/>
        <v>Q3-21</v>
      </c>
      <c r="AW3" s="617" t="str">
        <f t="shared" si="0"/>
        <v>Q4-21</v>
      </c>
      <c r="AX3" s="617" t="str">
        <f t="shared" si="0"/>
        <v>Q4-21</v>
      </c>
      <c r="AY3" s="617" t="str">
        <f t="shared" si="0"/>
        <v>Q4-21</v>
      </c>
      <c r="AZ3" s="617" t="str">
        <f t="shared" si="0"/>
        <v>Q1-22</v>
      </c>
      <c r="BA3" s="617" t="str">
        <f t="shared" si="0"/>
        <v>Q1-22</v>
      </c>
      <c r="BB3" s="617" t="str">
        <f t="shared" si="0"/>
        <v>Q1-22</v>
      </c>
      <c r="BC3" s="617" t="str">
        <f t="shared" si="0"/>
        <v>Q2-22</v>
      </c>
      <c r="BD3" s="617" t="str">
        <f t="shared" si="0"/>
        <v>Q2-22</v>
      </c>
      <c r="BE3" s="617" t="str">
        <f t="shared" si="0"/>
        <v>Q2-22</v>
      </c>
      <c r="BF3" s="617" t="str">
        <f t="shared" si="0"/>
        <v>Q3-22</v>
      </c>
      <c r="BG3" s="617" t="str">
        <f t="shared" si="0"/>
        <v>Q3-22</v>
      </c>
      <c r="BH3" s="617" t="str">
        <f t="shared" si="0"/>
        <v>Q3-22</v>
      </c>
      <c r="BI3" s="617" t="str">
        <f t="shared" si="0"/>
        <v>Q4-22</v>
      </c>
      <c r="BJ3" s="617" t="str">
        <f t="shared" si="0"/>
        <v>Q4-22</v>
      </c>
      <c r="BK3" s="617" t="str">
        <f t="shared" si="0"/>
        <v>Q4-22</v>
      </c>
      <c r="BL3" s="617" t="str">
        <f t="shared" si="0"/>
        <v>Q1-23</v>
      </c>
      <c r="BM3" s="617" t="str">
        <f t="shared" si="0"/>
        <v>Q1-23</v>
      </c>
      <c r="BN3" s="617" t="str">
        <f t="shared" si="0"/>
        <v>Q1-23</v>
      </c>
      <c r="BO3" s="617" t="str">
        <f t="shared" si="0"/>
        <v>Q2-23</v>
      </c>
      <c r="BP3" s="477" t="str">
        <f t="shared" si="0"/>
        <v>Q2-23</v>
      </c>
      <c r="BQ3" s="477" t="str">
        <f t="shared" ref="BQ3:CE3" si="1">"Q"&amp;ROUNDUP(MONTH(BQ2)/3,0)&amp;"-"&amp;YEAR(BQ2)-2000</f>
        <v>Q2-23</v>
      </c>
      <c r="BR3" s="617" t="str">
        <f t="shared" si="1"/>
        <v>Q3-23</v>
      </c>
      <c r="BS3" s="617" t="str">
        <f t="shared" si="1"/>
        <v>Q3-23</v>
      </c>
      <c r="BT3" s="617" t="str">
        <f t="shared" si="1"/>
        <v>Q3-23</v>
      </c>
      <c r="BU3" s="617" t="str">
        <f t="shared" si="1"/>
        <v>Q4-23</v>
      </c>
      <c r="BV3" s="617" t="str">
        <f t="shared" si="1"/>
        <v>Q4-23</v>
      </c>
      <c r="BW3" s="617" t="str">
        <f t="shared" si="1"/>
        <v>Q4-23</v>
      </c>
      <c r="BX3" s="617" t="str">
        <f t="shared" si="1"/>
        <v>Q1-24</v>
      </c>
      <c r="BY3" s="617" t="str">
        <f t="shared" si="1"/>
        <v>Q1-24</v>
      </c>
      <c r="BZ3" s="617" t="str">
        <f t="shared" si="1"/>
        <v>Q1-24</v>
      </c>
      <c r="CA3" s="617" t="str">
        <f t="shared" si="1"/>
        <v>Q2-24</v>
      </c>
      <c r="CB3" s="617" t="str">
        <f t="shared" si="1"/>
        <v>Q2-24</v>
      </c>
      <c r="CC3" s="617" t="str">
        <f t="shared" si="1"/>
        <v>Q2-24</v>
      </c>
      <c r="CD3" s="617" t="str">
        <f t="shared" si="1"/>
        <v>Q3-24</v>
      </c>
      <c r="CE3" s="617" t="str">
        <f t="shared" si="1"/>
        <v>Q3-24</v>
      </c>
      <c r="CF3" s="617"/>
      <c r="CW3" s="689"/>
    </row>
    <row r="4" spans="1:101" x14ac:dyDescent="0.35">
      <c r="B4" s="328" t="s">
        <v>195</v>
      </c>
      <c r="E4" s="44"/>
      <c r="BP4"/>
      <c r="CW4" s="79"/>
    </row>
    <row r="5" spans="1:101" x14ac:dyDescent="0.35">
      <c r="B5" s="3"/>
      <c r="C5" t="s">
        <v>196</v>
      </c>
      <c r="D5" s="106">
        <v>516642.53876627982</v>
      </c>
      <c r="E5" s="106">
        <v>522311.71640423575</v>
      </c>
      <c r="F5" s="106">
        <v>543465.98401605361</v>
      </c>
      <c r="G5" s="106">
        <v>552935.8476099869</v>
      </c>
      <c r="H5" s="106">
        <v>552225.90364685096</v>
      </c>
      <c r="I5" s="106">
        <v>574364.53177850973</v>
      </c>
      <c r="J5" s="106">
        <v>581299.16905752476</v>
      </c>
      <c r="K5" s="106">
        <v>604794.94620432681</v>
      </c>
      <c r="L5" s="106">
        <v>621001.22347088286</v>
      </c>
      <c r="M5" s="106">
        <v>622854.28301365324</v>
      </c>
      <c r="N5" s="106">
        <v>641723.78406659467</v>
      </c>
      <c r="O5" s="106">
        <v>628986.78741583298</v>
      </c>
      <c r="P5" s="106">
        <v>686773.93802042492</v>
      </c>
      <c r="Q5" s="106">
        <v>726165.70151030249</v>
      </c>
      <c r="R5" s="106">
        <v>730457.96763959283</v>
      </c>
      <c r="S5" s="106">
        <v>751056.17317618639</v>
      </c>
      <c r="T5" s="106">
        <v>767395.3428760384</v>
      </c>
      <c r="U5" s="106">
        <v>796372.25262706412</v>
      </c>
      <c r="V5" s="106">
        <v>833533.72568074113</v>
      </c>
      <c r="W5" s="106">
        <v>863754.33410988259</v>
      </c>
      <c r="X5" s="106">
        <v>864122.85876264446</v>
      </c>
      <c r="Y5" s="106">
        <v>874300.15253733774</v>
      </c>
      <c r="Z5" s="106">
        <v>891390.89537184231</v>
      </c>
      <c r="AA5" s="106">
        <v>881083.16297599243</v>
      </c>
      <c r="AB5" s="106">
        <v>914726.86404867657</v>
      </c>
      <c r="AC5" s="106">
        <v>928530.88085222163</v>
      </c>
      <c r="AD5" s="106">
        <v>950832.43777290778</v>
      </c>
      <c r="AE5" s="106">
        <v>932086.03218361584</v>
      </c>
      <c r="AF5" s="106">
        <v>917783.92380286986</v>
      </c>
      <c r="AG5" s="106">
        <v>929783.8821003373</v>
      </c>
      <c r="AH5" s="106">
        <v>938419.98180016095</v>
      </c>
      <c r="AI5" s="106">
        <v>936862.79996635357</v>
      </c>
      <c r="AJ5" s="106">
        <v>953593.91403206112</v>
      </c>
      <c r="AK5" s="106">
        <v>960976.90865479736</v>
      </c>
      <c r="AL5" s="106">
        <v>966156.06654554617</v>
      </c>
      <c r="AM5" s="106">
        <v>981962.27002013463</v>
      </c>
      <c r="AN5" s="106">
        <v>989500.56299308175</v>
      </c>
      <c r="AO5" s="106">
        <v>998681.89344273438</v>
      </c>
      <c r="AP5" s="106">
        <v>995199.73433848796</v>
      </c>
      <c r="AQ5" s="106">
        <v>998891.79758209432</v>
      </c>
      <c r="AR5" s="106">
        <v>1023608.6843643056</v>
      </c>
      <c r="AS5" s="106">
        <v>1049931.6911022775</v>
      </c>
      <c r="AT5" s="106">
        <v>1103641.4590078618</v>
      </c>
      <c r="AU5" s="106">
        <v>1192336.6258882028</v>
      </c>
      <c r="AV5" s="106">
        <v>1132875.4611226188</v>
      </c>
      <c r="AW5" s="102">
        <v>1199136.8938747551</v>
      </c>
      <c r="AX5" s="102">
        <v>1246400.5614233846</v>
      </c>
      <c r="AY5" s="102">
        <v>1273711.3533857246</v>
      </c>
      <c r="AZ5" s="102">
        <v>1269593.2743656121</v>
      </c>
      <c r="BA5" s="102">
        <v>1292786.2756759454</v>
      </c>
      <c r="BB5" s="102">
        <v>1340881.3141090435</v>
      </c>
      <c r="BC5" s="102">
        <v>1380049.6135414662</v>
      </c>
      <c r="BD5" s="102">
        <v>1419304.3810784025</v>
      </c>
      <c r="BE5" s="102">
        <v>1453245.7689245793</v>
      </c>
      <c r="BF5" s="102">
        <v>1474296.9163446398</v>
      </c>
      <c r="BG5" s="102">
        <v>1468603.5793628388</v>
      </c>
      <c r="BH5" s="102">
        <v>1564748.6695016113</v>
      </c>
      <c r="BI5" s="102">
        <v>1613100.9542075244</v>
      </c>
      <c r="BJ5" s="102">
        <v>1604655.6945569734</v>
      </c>
      <c r="BK5" s="102">
        <v>1594357.1914912886</v>
      </c>
      <c r="BL5" s="102">
        <v>1642540.1661813026</v>
      </c>
      <c r="BM5" s="102">
        <v>1647998.0921259061</v>
      </c>
      <c r="BN5" s="102">
        <v>1651429.1534613904</v>
      </c>
      <c r="BO5" s="102">
        <v>1650581.7784124652</v>
      </c>
      <c r="BP5" s="102">
        <v>1651198.7518360706</v>
      </c>
      <c r="BQ5" s="102">
        <v>1672778.08557028</v>
      </c>
      <c r="BR5" s="102">
        <v>1619357.6762481099</v>
      </c>
      <c r="BS5" s="102">
        <v>1644217.3863539901</v>
      </c>
      <c r="BT5" s="102">
        <v>1671959.5620182101</v>
      </c>
      <c r="BU5" s="102">
        <v>1681408.70894693</v>
      </c>
      <c r="BV5" s="102">
        <v>1701315.87514327</v>
      </c>
      <c r="BW5" s="102">
        <v>1689982.37636546</v>
      </c>
      <c r="BX5" s="102">
        <v>1716089.82324607</v>
      </c>
      <c r="BY5" s="102">
        <v>1735255.6992101299</v>
      </c>
      <c r="BZ5" s="102">
        <v>1733232.94838919</v>
      </c>
      <c r="CA5" s="102">
        <v>1726556.6059319701</v>
      </c>
      <c r="CB5" s="102">
        <v>1732561.294</v>
      </c>
      <c r="CC5" s="102">
        <v>1732035.56847252</v>
      </c>
      <c r="CD5" s="102">
        <v>1714474.3769274901</v>
      </c>
      <c r="CE5" s="102">
        <v>1685680.13370224</v>
      </c>
      <c r="CF5" s="102">
        <v>1646606.0449462</v>
      </c>
      <c r="CG5" s="102">
        <v>1645938.9295411799</v>
      </c>
      <c r="CH5" s="304">
        <v>1696818.2985535767</v>
      </c>
      <c r="CI5" s="304">
        <v>1668581.3566846352</v>
      </c>
      <c r="CJ5" s="102">
        <v>1682412.8255220074</v>
      </c>
      <c r="CK5" s="102">
        <v>1696336.7975817285</v>
      </c>
      <c r="CL5" s="102">
        <v>1653257.5020822235</v>
      </c>
      <c r="CM5" s="102">
        <v>1661159.38</v>
      </c>
      <c r="CN5" s="102">
        <v>1662595.9532144747</v>
      </c>
      <c r="CO5" s="102">
        <v>1672356.5916667243</v>
      </c>
      <c r="CP5" s="102">
        <v>1754481.1657073568</v>
      </c>
      <c r="CQ5" s="102">
        <v>1782997.7209624292</v>
      </c>
      <c r="CR5" s="102">
        <v>1824542.8019234259</v>
      </c>
      <c r="CS5" s="102">
        <v>1820359.5738172214</v>
      </c>
      <c r="CT5" s="102">
        <v>1874818.1470914262</v>
      </c>
      <c r="CU5" s="102">
        <v>1844242.6703466605</v>
      </c>
      <c r="CV5" s="102">
        <v>1825207.4452218884</v>
      </c>
      <c r="CW5" s="650">
        <v>1820862.9460685879</v>
      </c>
    </row>
    <row r="6" spans="1:101" x14ac:dyDescent="0.35">
      <c r="B6" s="3"/>
      <c r="C6" t="s">
        <v>197</v>
      </c>
      <c r="D6" s="106">
        <v>122504.46123372042</v>
      </c>
      <c r="E6" s="106">
        <v>100070.28359576421</v>
      </c>
      <c r="F6" s="106">
        <v>62417.015983945996</v>
      </c>
      <c r="G6" s="106">
        <v>84704.152390013274</v>
      </c>
      <c r="H6" s="106">
        <v>90272.096353148969</v>
      </c>
      <c r="I6" s="106">
        <v>95520.468221489355</v>
      </c>
      <c r="J6" s="106">
        <v>165054.83094247535</v>
      </c>
      <c r="K6" s="106">
        <v>149111.05379567298</v>
      </c>
      <c r="L6" s="106">
        <v>114803.0454194038</v>
      </c>
      <c r="M6" s="106">
        <v>132165.71698634676</v>
      </c>
      <c r="N6" s="106">
        <v>145089.02843340565</v>
      </c>
      <c r="O6" s="106">
        <v>192150.21258416711</v>
      </c>
      <c r="P6" s="106">
        <v>115265.06197957514</v>
      </c>
      <c r="Q6" s="106">
        <v>73400.298489697117</v>
      </c>
      <c r="R6" s="106">
        <v>110520.03236040696</v>
      </c>
      <c r="S6" s="106">
        <v>78908.288362275402</v>
      </c>
      <c r="T6" s="106">
        <v>73446.580200884695</v>
      </c>
      <c r="U6" s="106">
        <v>57700.747372935773</v>
      </c>
      <c r="V6" s="106">
        <v>63796.568436905996</v>
      </c>
      <c r="W6" s="106">
        <v>68594.054319869931</v>
      </c>
      <c r="X6" s="106">
        <v>110272.22381839951</v>
      </c>
      <c r="Y6" s="106">
        <v>114969.847462663</v>
      </c>
      <c r="Z6" s="106">
        <v>109016.10462815803</v>
      </c>
      <c r="AA6" s="106">
        <v>148342.52676654962</v>
      </c>
      <c r="AB6" s="106">
        <v>134624.60819271594</v>
      </c>
      <c r="AC6" s="106">
        <v>119228.12663839848</v>
      </c>
      <c r="AD6" s="106">
        <v>116947.82169936399</v>
      </c>
      <c r="AE6" s="106">
        <v>87540.764746885645</v>
      </c>
      <c r="AF6" s="106">
        <v>100803.64672718251</v>
      </c>
      <c r="AG6" s="106">
        <v>85470.338671320889</v>
      </c>
      <c r="AH6" s="106">
        <v>90417.230750685456</v>
      </c>
      <c r="AI6" s="106">
        <v>85534.125523142735</v>
      </c>
      <c r="AJ6" s="106">
        <v>54786.4809138325</v>
      </c>
      <c r="AK6" s="106">
        <v>63422.038734787682</v>
      </c>
      <c r="AL6" s="106">
        <v>51677.729720244875</v>
      </c>
      <c r="AM6" s="106">
        <v>52458.94464917951</v>
      </c>
      <c r="AN6" s="106">
        <v>59966.894723109785</v>
      </c>
      <c r="AO6" s="106">
        <v>70677.926778779118</v>
      </c>
      <c r="AP6" s="106">
        <v>69099.116693610616</v>
      </c>
      <c r="AQ6" s="106">
        <v>89731.045271592637</v>
      </c>
      <c r="AR6" s="106">
        <v>95975.835076008865</v>
      </c>
      <c r="AS6" s="106">
        <v>89080.427893399392</v>
      </c>
      <c r="AT6" s="106">
        <v>93721.340022046221</v>
      </c>
      <c r="AU6" s="106">
        <v>108308.0333743162</v>
      </c>
      <c r="AV6" s="106">
        <v>129870.29086124864</v>
      </c>
      <c r="AW6" s="379">
        <v>111176.15166755691</v>
      </c>
      <c r="AX6" s="379">
        <v>119661.18062464576</v>
      </c>
      <c r="AY6" s="102">
        <v>146994.6513656234</v>
      </c>
      <c r="AZ6" s="102">
        <v>95809.609269065186</v>
      </c>
      <c r="BA6" s="102">
        <v>100039.76698242706</v>
      </c>
      <c r="BB6" s="102">
        <v>54383.936254872388</v>
      </c>
      <c r="BC6" s="102">
        <v>94127.176177092348</v>
      </c>
      <c r="BD6" s="102">
        <v>107269.92842441663</v>
      </c>
      <c r="BE6" s="102">
        <v>102725.99585298882</v>
      </c>
      <c r="BF6" s="102">
        <v>119312.79337269482</v>
      </c>
      <c r="BG6" s="102">
        <v>141377.21504124795</v>
      </c>
      <c r="BH6" s="102">
        <v>134268.7964325131</v>
      </c>
      <c r="BI6" s="102">
        <v>125073.59778277521</v>
      </c>
      <c r="BJ6" s="102">
        <v>134559.80530381785</v>
      </c>
      <c r="BK6" s="102">
        <v>219998.22443559533</v>
      </c>
      <c r="BL6" s="102">
        <v>121179.36066456191</v>
      </c>
      <c r="BM6" s="102">
        <v>135522.96488533981</v>
      </c>
      <c r="BN6" s="102">
        <v>115301.08651021647</v>
      </c>
      <c r="BO6" s="102">
        <v>138343.64884233981</v>
      </c>
      <c r="BP6" s="102">
        <v>104276.51126984632</v>
      </c>
      <c r="BQ6" s="102">
        <v>111100.762493695</v>
      </c>
      <c r="BR6" s="102">
        <v>135023.934564903</v>
      </c>
      <c r="BS6" s="102">
        <v>124028.27677004501</v>
      </c>
      <c r="BT6" s="102">
        <v>159465.667892264</v>
      </c>
      <c r="BU6" s="102">
        <v>116492.141803807</v>
      </c>
      <c r="BV6" s="102">
        <v>146196.31390750001</v>
      </c>
      <c r="BW6" s="102">
        <v>208231.70839576799</v>
      </c>
      <c r="BX6" s="102">
        <v>124658.720631178</v>
      </c>
      <c r="BY6" s="102">
        <v>133202.45665311001</v>
      </c>
      <c r="BZ6" s="102">
        <v>154847.015463227</v>
      </c>
      <c r="CA6" s="102">
        <v>183304.35601215201</v>
      </c>
      <c r="CB6" s="102">
        <v>127767.03613206399</v>
      </c>
      <c r="CC6" s="102">
        <v>104296.798302631</v>
      </c>
      <c r="CD6" s="102">
        <v>112158.63362550399</v>
      </c>
      <c r="CE6" s="102">
        <v>128418.757540142</v>
      </c>
      <c r="CF6" s="102">
        <v>149872.117727187</v>
      </c>
      <c r="CG6" s="102">
        <v>132883.22620376499</v>
      </c>
      <c r="CH6" s="102">
        <v>160801.77681942747</v>
      </c>
      <c r="CI6" s="304">
        <v>142326.47167455702</v>
      </c>
      <c r="CJ6" s="102">
        <v>150188.5106229613</v>
      </c>
      <c r="CK6" s="102">
        <v>125467.46171222898</v>
      </c>
      <c r="CL6" s="102">
        <v>123347.88996754814</v>
      </c>
      <c r="CM6" s="102">
        <v>133927.83013098236</v>
      </c>
      <c r="CN6" s="102">
        <v>128982.71079146749</v>
      </c>
      <c r="CO6" s="102">
        <v>143363.78829027034</v>
      </c>
      <c r="CP6" s="102">
        <v>159021.62935833738</v>
      </c>
      <c r="CQ6" s="102">
        <v>172413.02619541861</v>
      </c>
      <c r="CR6" s="102">
        <v>194110.00548933563</v>
      </c>
      <c r="CS6" s="102">
        <v>173697.95568762126</v>
      </c>
      <c r="CT6" s="102">
        <v>177777.02645727393</v>
      </c>
      <c r="CU6" s="102">
        <v>173004.19218970978</v>
      </c>
      <c r="CV6" s="102">
        <v>162530.01861578086</v>
      </c>
      <c r="CW6" s="650">
        <v>176516.25356457647</v>
      </c>
    </row>
    <row r="7" spans="1:101" x14ac:dyDescent="0.35">
      <c r="B7" s="3"/>
      <c r="C7" s="10" t="s">
        <v>198</v>
      </c>
      <c r="D7" s="100">
        <f t="shared" ref="D7:AI7" si="2">SUM(D5:D6)</f>
        <v>639147.00000000023</v>
      </c>
      <c r="E7" s="100">
        <f t="shared" si="2"/>
        <v>622382</v>
      </c>
      <c r="F7" s="100">
        <f t="shared" si="2"/>
        <v>605882.99999999965</v>
      </c>
      <c r="G7" s="100">
        <f t="shared" si="2"/>
        <v>637640.00000000023</v>
      </c>
      <c r="H7" s="100">
        <f t="shared" si="2"/>
        <v>642497.99999999988</v>
      </c>
      <c r="I7" s="100">
        <f t="shared" si="2"/>
        <v>669884.99999999907</v>
      </c>
      <c r="J7" s="100">
        <f t="shared" si="2"/>
        <v>746354.00000000012</v>
      </c>
      <c r="K7" s="100">
        <f t="shared" si="2"/>
        <v>753905.99999999977</v>
      </c>
      <c r="L7" s="100">
        <f t="shared" si="2"/>
        <v>735804.26889028668</v>
      </c>
      <c r="M7" s="100">
        <f t="shared" si="2"/>
        <v>755020</v>
      </c>
      <c r="N7" s="100">
        <f t="shared" si="2"/>
        <v>786812.81250000035</v>
      </c>
      <c r="O7" s="100">
        <f t="shared" si="2"/>
        <v>821137.00000000012</v>
      </c>
      <c r="P7" s="100">
        <f t="shared" si="2"/>
        <v>802039</v>
      </c>
      <c r="Q7" s="100">
        <f t="shared" si="2"/>
        <v>799565.99999999965</v>
      </c>
      <c r="R7" s="100">
        <f t="shared" si="2"/>
        <v>840977.99999999977</v>
      </c>
      <c r="S7" s="100">
        <f t="shared" si="2"/>
        <v>829964.46153846174</v>
      </c>
      <c r="T7" s="100">
        <f t="shared" si="2"/>
        <v>840841.92307692312</v>
      </c>
      <c r="U7" s="100">
        <f t="shared" si="2"/>
        <v>854072.99999999988</v>
      </c>
      <c r="V7" s="100">
        <f t="shared" si="2"/>
        <v>897330.29411764711</v>
      </c>
      <c r="W7" s="100">
        <f t="shared" si="2"/>
        <v>932348.38842975255</v>
      </c>
      <c r="X7" s="100">
        <f t="shared" si="2"/>
        <v>974395.08258104394</v>
      </c>
      <c r="Y7" s="100">
        <f t="shared" si="2"/>
        <v>989270.0000000007</v>
      </c>
      <c r="Z7" s="100">
        <f t="shared" si="2"/>
        <v>1000407.0000000003</v>
      </c>
      <c r="AA7" s="100">
        <f t="shared" si="2"/>
        <v>1029425.6897425421</v>
      </c>
      <c r="AB7" s="100">
        <f>SUM(AB5:AB6)</f>
        <v>1049351.4722413926</v>
      </c>
      <c r="AC7" s="100">
        <f t="shared" si="2"/>
        <v>1047759.0074906201</v>
      </c>
      <c r="AD7" s="100">
        <f t="shared" si="2"/>
        <v>1067780.2594722719</v>
      </c>
      <c r="AE7" s="100">
        <f t="shared" si="2"/>
        <v>1019626.7969305015</v>
      </c>
      <c r="AF7" s="100">
        <f t="shared" si="2"/>
        <v>1018587.5705300524</v>
      </c>
      <c r="AG7" s="100">
        <f t="shared" si="2"/>
        <v>1015254.2207716582</v>
      </c>
      <c r="AH7" s="100">
        <f t="shared" si="2"/>
        <v>1028837.2125508464</v>
      </c>
      <c r="AI7" s="100">
        <f t="shared" si="2"/>
        <v>1022396.9254894963</v>
      </c>
      <c r="AJ7" s="100">
        <f t="shared" ref="AJ7:CB7" si="3">SUM(AJ5:AJ6)</f>
        <v>1008380.3949458937</v>
      </c>
      <c r="AK7" s="100">
        <f t="shared" si="3"/>
        <v>1024398.9473895851</v>
      </c>
      <c r="AL7" s="100">
        <f t="shared" si="3"/>
        <v>1017833.7962657911</v>
      </c>
      <c r="AM7" s="100">
        <f t="shared" si="3"/>
        <v>1034421.2146693141</v>
      </c>
      <c r="AN7" s="100">
        <f t="shared" si="3"/>
        <v>1049467.4577161917</v>
      </c>
      <c r="AO7" s="100">
        <f t="shared" si="3"/>
        <v>1069359.8202215135</v>
      </c>
      <c r="AP7" s="100">
        <f t="shared" si="3"/>
        <v>1064298.8510320985</v>
      </c>
      <c r="AQ7" s="100">
        <f t="shared" si="3"/>
        <v>1088622.842853687</v>
      </c>
      <c r="AR7" s="100">
        <f t="shared" si="3"/>
        <v>1119584.5194403145</v>
      </c>
      <c r="AS7" s="100">
        <f t="shared" si="3"/>
        <v>1139012.118995677</v>
      </c>
      <c r="AT7" s="100">
        <f t="shared" si="3"/>
        <v>1197362.7990299079</v>
      </c>
      <c r="AU7" s="100">
        <f t="shared" si="3"/>
        <v>1300644.6592625191</v>
      </c>
      <c r="AV7" s="100">
        <f t="shared" si="3"/>
        <v>1262745.7519838675</v>
      </c>
      <c r="AW7" s="100">
        <f t="shared" si="3"/>
        <v>1310313.0455423121</v>
      </c>
      <c r="AX7" s="100">
        <f t="shared" si="3"/>
        <v>1366061.7420480303</v>
      </c>
      <c r="AY7" s="100">
        <f t="shared" si="3"/>
        <v>1420706.0047513479</v>
      </c>
      <c r="AZ7" s="100">
        <f t="shared" si="3"/>
        <v>1365402.8836346772</v>
      </c>
      <c r="BA7" s="100">
        <f t="shared" si="3"/>
        <v>1392826.0426583725</v>
      </c>
      <c r="BB7" s="100">
        <f t="shared" si="3"/>
        <v>1395265.2503639159</v>
      </c>
      <c r="BC7" s="100">
        <f t="shared" si="3"/>
        <v>1474176.7897185585</v>
      </c>
      <c r="BD7" s="100">
        <f t="shared" si="3"/>
        <v>1526574.3095028191</v>
      </c>
      <c r="BE7" s="100">
        <f t="shared" si="3"/>
        <v>1555971.7647775682</v>
      </c>
      <c r="BF7" s="100">
        <f t="shared" si="3"/>
        <v>1593609.7097173347</v>
      </c>
      <c r="BG7" s="100">
        <f t="shared" si="3"/>
        <v>1609980.7944040867</v>
      </c>
      <c r="BH7" s="100">
        <f t="shared" si="3"/>
        <v>1699017.4659341243</v>
      </c>
      <c r="BI7" s="100">
        <f t="shared" si="3"/>
        <v>1738174.5519902997</v>
      </c>
      <c r="BJ7" s="100">
        <f t="shared" si="3"/>
        <v>1739215.4998607913</v>
      </c>
      <c r="BK7" s="100">
        <f t="shared" si="3"/>
        <v>1814355.4159268839</v>
      </c>
      <c r="BL7" s="100">
        <f t="shared" si="3"/>
        <v>1763719.5268458645</v>
      </c>
      <c r="BM7" s="100">
        <f t="shared" si="3"/>
        <v>1783521.057011246</v>
      </c>
      <c r="BN7" s="100">
        <f t="shared" si="3"/>
        <v>1766730.239971607</v>
      </c>
      <c r="BO7" s="100">
        <f t="shared" si="3"/>
        <v>1788925.4272548051</v>
      </c>
      <c r="BP7" s="100">
        <f t="shared" si="3"/>
        <v>1755475.2631059168</v>
      </c>
      <c r="BQ7" s="100">
        <f t="shared" si="3"/>
        <v>1783878.8480639749</v>
      </c>
      <c r="BR7" s="100">
        <f t="shared" si="3"/>
        <v>1754381.6108130128</v>
      </c>
      <c r="BS7" s="100">
        <f t="shared" si="3"/>
        <v>1768245.6631240351</v>
      </c>
      <c r="BT7" s="100">
        <f t="shared" si="3"/>
        <v>1831425.229910474</v>
      </c>
      <c r="BU7" s="100">
        <f t="shared" si="3"/>
        <v>1797900.8507507369</v>
      </c>
      <c r="BV7" s="100">
        <f t="shared" si="3"/>
        <v>1847512.1890507699</v>
      </c>
      <c r="BW7" s="100">
        <f t="shared" si="3"/>
        <v>1898214.0847612279</v>
      </c>
      <c r="BX7" s="100">
        <f t="shared" si="3"/>
        <v>1840748.543877248</v>
      </c>
      <c r="BY7" s="100">
        <f t="shared" si="3"/>
        <v>1868458.1558632399</v>
      </c>
      <c r="BZ7" s="100">
        <f t="shared" si="3"/>
        <v>1888079.963852417</v>
      </c>
      <c r="CA7" s="100">
        <f t="shared" si="3"/>
        <v>1909860.9619441221</v>
      </c>
      <c r="CB7" s="100">
        <f t="shared" si="3"/>
        <v>1860328.3301320639</v>
      </c>
      <c r="CC7" s="100">
        <f>SUM(CC5:CC6)</f>
        <v>1836332.3667751509</v>
      </c>
      <c r="CD7" s="100">
        <f t="shared" ref="CD7:CE7" si="4">SUM(CD5:CD6)</f>
        <v>1826633.0105529942</v>
      </c>
      <c r="CE7" s="100">
        <f t="shared" si="4"/>
        <v>1814098.8912423819</v>
      </c>
      <c r="CF7" s="100">
        <v>1796474.48305644</v>
      </c>
      <c r="CG7" s="100">
        <v>1778822.1557449501</v>
      </c>
      <c r="CH7" s="100">
        <v>1857620.0753730042</v>
      </c>
      <c r="CI7" s="100">
        <v>1810907.8283591922</v>
      </c>
      <c r="CJ7" s="100">
        <v>1832601.3361449686</v>
      </c>
      <c r="CK7" s="100">
        <v>1821804.2590000001</v>
      </c>
      <c r="CL7" s="100">
        <v>1776605.3272717386</v>
      </c>
      <c r="CM7" s="100">
        <v>1795087.2076713899</v>
      </c>
      <c r="CN7" s="100">
        <v>1791578.6640059422</v>
      </c>
      <c r="CO7" s="100">
        <v>1815720.3799569942</v>
      </c>
      <c r="CP7" s="100">
        <v>1913502.795065694</v>
      </c>
      <c r="CQ7" s="100">
        <v>1955410.747157848</v>
      </c>
      <c r="CR7" s="100">
        <v>2018652.8074127617</v>
      </c>
      <c r="CS7" s="100">
        <v>1994057.5295048428</v>
      </c>
      <c r="CT7" s="100">
        <v>2052595.1735487003</v>
      </c>
      <c r="CU7" s="100">
        <v>2017246.8625363703</v>
      </c>
      <c r="CV7" s="100">
        <v>1987737.4638376692</v>
      </c>
      <c r="CW7" s="99">
        <v>1997379.1996331643</v>
      </c>
    </row>
    <row r="8" spans="1:101" x14ac:dyDescent="0.35">
      <c r="B8" s="3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X8" s="330"/>
      <c r="Y8" s="330"/>
      <c r="Z8" s="330"/>
      <c r="AA8" s="330"/>
      <c r="AB8" s="330"/>
      <c r="AC8" s="330"/>
      <c r="AD8" s="330"/>
      <c r="AE8" s="330"/>
      <c r="AF8" s="330"/>
      <c r="AG8" s="330"/>
      <c r="AH8" s="330"/>
      <c r="AI8" s="330"/>
      <c r="AJ8" s="330"/>
      <c r="AK8" s="330"/>
      <c r="AL8" s="330"/>
      <c r="AM8" s="330"/>
      <c r="AN8" s="330"/>
      <c r="AO8" s="330"/>
      <c r="AP8" s="330"/>
      <c r="AQ8" s="330"/>
      <c r="AR8" s="330"/>
      <c r="AS8" s="330"/>
      <c r="AT8" s="330"/>
      <c r="AU8" s="330"/>
      <c r="AV8" s="330"/>
      <c r="AW8" s="330"/>
      <c r="AX8" s="330"/>
      <c r="AY8" s="330"/>
      <c r="AZ8" s="330"/>
      <c r="BA8" s="330"/>
      <c r="BP8"/>
      <c r="CW8" s="79"/>
    </row>
    <row r="9" spans="1:101" x14ac:dyDescent="0.35">
      <c r="B9" s="328" t="s">
        <v>199</v>
      </c>
      <c r="D9" s="92"/>
      <c r="E9" s="92"/>
      <c r="F9" s="330"/>
      <c r="G9" s="330"/>
      <c r="H9" s="330"/>
      <c r="I9" s="330"/>
      <c r="J9" s="330"/>
      <c r="K9" s="330"/>
      <c r="L9" s="330"/>
      <c r="M9" s="330"/>
      <c r="N9" s="330"/>
      <c r="O9" s="330"/>
      <c r="P9" s="330"/>
      <c r="Q9" s="330"/>
      <c r="R9" s="330"/>
      <c r="S9" s="330"/>
      <c r="T9" s="330"/>
      <c r="U9" s="330"/>
      <c r="V9" s="330"/>
      <c r="W9" s="330"/>
      <c r="X9" s="330"/>
      <c r="Y9" s="330"/>
      <c r="Z9" s="330"/>
      <c r="AA9" s="330"/>
      <c r="AB9" s="330"/>
      <c r="AC9" s="330"/>
      <c r="AD9" s="330"/>
      <c r="AE9" s="330"/>
      <c r="AF9" s="330"/>
      <c r="AG9" s="330"/>
      <c r="AH9" s="330"/>
      <c r="AI9" s="330"/>
      <c r="AJ9" s="330"/>
      <c r="AK9" s="330"/>
      <c r="AL9" s="330"/>
      <c r="AM9" s="330"/>
      <c r="AN9" s="330"/>
      <c r="AO9" s="330"/>
      <c r="AP9" s="330"/>
      <c r="AQ9" s="330"/>
      <c r="AR9" s="330"/>
      <c r="AS9" s="330"/>
      <c r="BC9" s="92"/>
      <c r="BD9" s="92"/>
      <c r="BE9" s="92"/>
      <c r="BF9" s="92"/>
      <c r="BG9" s="92"/>
      <c r="BH9" s="92"/>
      <c r="BI9" s="92"/>
      <c r="BJ9" s="92"/>
      <c r="BK9" s="92"/>
      <c r="BL9" s="92"/>
      <c r="BM9" s="92"/>
      <c r="BN9" s="92"/>
      <c r="BO9" s="92"/>
      <c r="BP9"/>
      <c r="CW9" s="79"/>
    </row>
    <row r="10" spans="1:101" x14ac:dyDescent="0.35">
      <c r="B10" s="3"/>
      <c r="C10" s="370" t="s">
        <v>25</v>
      </c>
      <c r="D10" s="106">
        <v>295027.01824952121</v>
      </c>
      <c r="E10" s="106">
        <v>300585.26652109192</v>
      </c>
      <c r="F10" s="106">
        <v>317018.7209603496</v>
      </c>
      <c r="G10" s="106">
        <v>318126.446552373</v>
      </c>
      <c r="H10" s="106">
        <v>307314.61204305926</v>
      </c>
      <c r="I10" s="106">
        <v>326817.49977050244</v>
      </c>
      <c r="J10" s="106">
        <v>317503.70977807342</v>
      </c>
      <c r="K10" s="106">
        <v>336640.88762197766</v>
      </c>
      <c r="L10" s="106">
        <v>347162.37507274939</v>
      </c>
      <c r="M10" s="106">
        <v>342127.84433243232</v>
      </c>
      <c r="N10" s="106">
        <v>350543.25404227542</v>
      </c>
      <c r="O10" s="106">
        <v>373107.20204610634</v>
      </c>
      <c r="P10" s="106">
        <v>389537.2072585756</v>
      </c>
      <c r="Q10" s="106">
        <v>406368.38153486868</v>
      </c>
      <c r="R10" s="106">
        <v>404080.26086305385</v>
      </c>
      <c r="S10" s="106">
        <v>418148.26393364457</v>
      </c>
      <c r="T10" s="106">
        <v>422617.17315275554</v>
      </c>
      <c r="U10" s="106">
        <v>437973.8710482358</v>
      </c>
      <c r="V10" s="106">
        <v>446774.96881134534</v>
      </c>
      <c r="W10" s="106">
        <v>473309.76379316597</v>
      </c>
      <c r="X10" s="106">
        <v>463181.30144946085</v>
      </c>
      <c r="Y10" s="106">
        <v>469776.04573872022</v>
      </c>
      <c r="Z10" s="106">
        <v>476507.97312374687</v>
      </c>
      <c r="AA10" s="106">
        <v>462961.07076559524</v>
      </c>
      <c r="AB10" s="106">
        <v>365643.0307</v>
      </c>
      <c r="AC10" s="106">
        <v>367365.88419999997</v>
      </c>
      <c r="AD10" s="106">
        <v>382370.46299999999</v>
      </c>
      <c r="AE10" s="106">
        <v>376469.0601</v>
      </c>
      <c r="AF10" s="106">
        <v>367258.49430000002</v>
      </c>
      <c r="AG10" s="106">
        <v>377808.61290000001</v>
      </c>
      <c r="AH10" s="106">
        <v>396614.47970000003</v>
      </c>
      <c r="AI10" s="106">
        <v>408709.9425</v>
      </c>
      <c r="AJ10" s="106">
        <v>410835.00099999999</v>
      </c>
      <c r="AK10" s="106">
        <v>428602.61210000003</v>
      </c>
      <c r="AL10" s="106">
        <v>427622.16850000003</v>
      </c>
      <c r="AM10" s="106">
        <v>436564.50939999998</v>
      </c>
      <c r="AN10" s="106">
        <v>442145.88150000002</v>
      </c>
      <c r="AO10" s="106">
        <v>450673.34120000002</v>
      </c>
      <c r="AP10" s="106">
        <v>456438.04920000001</v>
      </c>
      <c r="AQ10" s="106">
        <v>433129.32290000003</v>
      </c>
      <c r="AR10" s="106">
        <v>442285.18300000002</v>
      </c>
      <c r="AS10" s="106">
        <v>440694.53</v>
      </c>
      <c r="AT10" s="106">
        <v>465433.54849999998</v>
      </c>
      <c r="AU10" s="106">
        <v>507060.32679999998</v>
      </c>
      <c r="AV10" s="106">
        <v>462966.39179999998</v>
      </c>
      <c r="AW10" s="102">
        <v>469563.81030000001</v>
      </c>
      <c r="AX10" s="102">
        <v>484533.97480000003</v>
      </c>
      <c r="AY10" s="102">
        <v>488790.98200000002</v>
      </c>
      <c r="AZ10" s="102">
        <v>495448.65289999999</v>
      </c>
      <c r="BA10" s="102">
        <v>492350.21519999998</v>
      </c>
      <c r="BB10" s="102">
        <v>504843.48830000003</v>
      </c>
      <c r="BC10" s="92">
        <v>508661.18780000001</v>
      </c>
      <c r="BD10" s="92">
        <v>518739.01209999999</v>
      </c>
      <c r="BE10" s="92">
        <v>529184.04260000004</v>
      </c>
      <c r="BF10" s="92">
        <v>528773.43889999995</v>
      </c>
      <c r="BG10" s="92">
        <v>511947.50640000001</v>
      </c>
      <c r="BH10" s="92">
        <v>560689.81000000006</v>
      </c>
      <c r="BI10" s="92">
        <v>581243.53</v>
      </c>
      <c r="BJ10" s="92">
        <v>613449.63</v>
      </c>
      <c r="BK10" s="92">
        <v>683854.71</v>
      </c>
      <c r="BL10" s="92">
        <v>1016665.0495375689</v>
      </c>
      <c r="BM10" s="92">
        <v>1009685.5383018977</v>
      </c>
      <c r="BN10" s="102">
        <v>1024954.8962137724</v>
      </c>
      <c r="BO10" s="102">
        <v>1020676.2525082241</v>
      </c>
      <c r="BP10" s="102">
        <v>999525.97013197991</v>
      </c>
      <c r="BQ10" s="102">
        <v>1031174.4137999475</v>
      </c>
      <c r="BR10" s="102">
        <v>989850.15803355188</v>
      </c>
      <c r="BS10" s="102">
        <v>1017093.2899148965</v>
      </c>
      <c r="BT10" s="102">
        <v>1028848.7045889549</v>
      </c>
      <c r="BU10" s="102">
        <v>1046448.2700000005</v>
      </c>
      <c r="BV10" s="102">
        <v>1064841.1180512689</v>
      </c>
      <c r="BW10" s="102">
        <v>1067137.5157899952</v>
      </c>
      <c r="BX10" s="102">
        <v>1083082.7517526937</v>
      </c>
      <c r="BY10" s="102">
        <v>1103329.1563779085</v>
      </c>
      <c r="BZ10" s="102">
        <v>1110366.425089794</v>
      </c>
      <c r="CA10" s="102">
        <v>1098673.3032383209</v>
      </c>
      <c r="CB10" s="102">
        <v>1108458.235778678</v>
      </c>
      <c r="CC10" s="102">
        <v>1138411.9896115807</v>
      </c>
      <c r="CD10" s="102">
        <v>1139669.4634821077</v>
      </c>
      <c r="CE10" s="102">
        <v>1115159.8197063599</v>
      </c>
      <c r="CF10" s="102">
        <v>1085690.121595466</v>
      </c>
      <c r="CG10" s="102">
        <v>1077809.5524948491</v>
      </c>
      <c r="CH10" s="102">
        <v>1089205.4482867713</v>
      </c>
      <c r="CI10" s="102">
        <v>1077589.2749833732</v>
      </c>
      <c r="CJ10" s="102">
        <v>1077198.0488864845</v>
      </c>
      <c r="CK10" s="102">
        <v>1075391.6835749669</v>
      </c>
      <c r="CL10" s="102">
        <v>1076050.4017734595</v>
      </c>
      <c r="CM10" s="102">
        <v>1056355.314</v>
      </c>
      <c r="CN10" s="102">
        <v>1051749.8486662332</v>
      </c>
      <c r="CO10" s="102">
        <v>1059210.6534671162</v>
      </c>
      <c r="CP10" s="102">
        <v>1070296.3909641546</v>
      </c>
      <c r="CQ10" s="102">
        <v>1083331.0723387504</v>
      </c>
      <c r="CR10" s="102">
        <v>1115908.4219000412</v>
      </c>
      <c r="CS10" s="102">
        <v>1106952.0464072283</v>
      </c>
      <c r="CT10" s="102">
        <v>1130327.4828211751</v>
      </c>
      <c r="CU10" s="102">
        <v>1121829.7782208198</v>
      </c>
      <c r="CV10" s="102">
        <v>1100068.2436763353</v>
      </c>
      <c r="CW10" s="650">
        <v>1102838.14600047</v>
      </c>
    </row>
    <row r="11" spans="1:101" x14ac:dyDescent="0.35">
      <c r="B11" s="3"/>
      <c r="C11" s="372" t="s">
        <v>26</v>
      </c>
      <c r="D11" s="106">
        <v>0</v>
      </c>
      <c r="E11" s="106">
        <v>0</v>
      </c>
      <c r="F11" s="106">
        <v>0</v>
      </c>
      <c r="G11" s="106">
        <v>0</v>
      </c>
      <c r="H11" s="106">
        <v>0</v>
      </c>
      <c r="I11" s="106">
        <v>0</v>
      </c>
      <c r="J11" s="106">
        <v>0</v>
      </c>
      <c r="K11" s="106">
        <v>0</v>
      </c>
      <c r="L11" s="106">
        <v>0</v>
      </c>
      <c r="M11" s="106">
        <v>0</v>
      </c>
      <c r="N11" s="106">
        <v>0</v>
      </c>
      <c r="O11" s="106">
        <v>0</v>
      </c>
      <c r="P11" s="106">
        <v>0</v>
      </c>
      <c r="Q11" s="106">
        <v>0</v>
      </c>
      <c r="R11" s="106">
        <v>0</v>
      </c>
      <c r="S11" s="106">
        <v>0</v>
      </c>
      <c r="T11" s="106">
        <v>0</v>
      </c>
      <c r="U11" s="106">
        <v>106.96140475978252</v>
      </c>
      <c r="V11" s="106">
        <v>107.85741250067412</v>
      </c>
      <c r="W11" s="106">
        <v>109.95757470242732</v>
      </c>
      <c r="X11" s="106">
        <v>107.07784559374666</v>
      </c>
      <c r="Y11" s="106">
        <v>104.94005299472676</v>
      </c>
      <c r="Z11" s="106">
        <v>103.00517601009452</v>
      </c>
      <c r="AA11" s="106">
        <v>101.73112463758287</v>
      </c>
      <c r="AB11" s="106">
        <v>86332.448170000003</v>
      </c>
      <c r="AC11" s="106">
        <v>93373.666329999993</v>
      </c>
      <c r="AD11" s="106">
        <v>99369.726179999998</v>
      </c>
      <c r="AE11" s="106">
        <v>100237.4596</v>
      </c>
      <c r="AF11" s="106">
        <v>101728.5128</v>
      </c>
      <c r="AG11" s="106">
        <v>100187.9151</v>
      </c>
      <c r="AH11" s="106">
        <v>105762.00569999999</v>
      </c>
      <c r="AI11" s="106">
        <v>104762.27009999999</v>
      </c>
      <c r="AJ11" s="106">
        <v>104856.7261</v>
      </c>
      <c r="AK11" s="106">
        <v>112602.7089</v>
      </c>
      <c r="AL11" s="106">
        <v>114759.8208</v>
      </c>
      <c r="AM11" s="106">
        <v>114886.17329999999</v>
      </c>
      <c r="AN11" s="106">
        <v>112798.1352</v>
      </c>
      <c r="AO11" s="106">
        <v>114914.8262</v>
      </c>
      <c r="AP11" s="106">
        <v>114591.0148</v>
      </c>
      <c r="AQ11" s="106">
        <v>123636.3596</v>
      </c>
      <c r="AR11" s="106">
        <v>126863.431</v>
      </c>
      <c r="AS11" s="106">
        <v>135750.9491</v>
      </c>
      <c r="AT11" s="106">
        <v>148799.82</v>
      </c>
      <c r="AU11" s="106">
        <v>177493.4013</v>
      </c>
      <c r="AV11" s="106">
        <v>173593.9981</v>
      </c>
      <c r="AW11" s="102">
        <v>217967.1764</v>
      </c>
      <c r="AX11" s="102">
        <v>234471.75279999999</v>
      </c>
      <c r="AY11" s="102">
        <v>247183.5104</v>
      </c>
      <c r="AZ11" s="102">
        <v>242739.8615</v>
      </c>
      <c r="BA11" s="102">
        <v>246546.88949999999</v>
      </c>
      <c r="BB11" s="102">
        <v>254680.38680000001</v>
      </c>
      <c r="BC11" s="92">
        <v>265294.66690000001</v>
      </c>
      <c r="BD11" s="92">
        <v>286795.52490000002</v>
      </c>
      <c r="BE11" s="92">
        <v>296335.65269999998</v>
      </c>
      <c r="BF11" s="92">
        <v>324589.505</v>
      </c>
      <c r="BG11" s="92">
        <v>327285.076</v>
      </c>
      <c r="BH11" s="92">
        <v>357162.1618</v>
      </c>
      <c r="BI11" s="92">
        <v>381318.87459999998</v>
      </c>
      <c r="BJ11" s="92">
        <v>358479.00709999999</v>
      </c>
      <c r="BK11" s="92">
        <v>283851.69959999999</v>
      </c>
      <c r="BL11" s="92">
        <v>1561.1594818715839</v>
      </c>
      <c r="BM11" s="92">
        <v>1984.818886016234</v>
      </c>
      <c r="BN11" s="102">
        <v>2008.6070827311109</v>
      </c>
      <c r="BO11" s="102">
        <v>1983.910647293281</v>
      </c>
      <c r="BP11" s="102">
        <v>2005.2404262208793</v>
      </c>
      <c r="BQ11" s="102">
        <v>17173.284738327628</v>
      </c>
      <c r="BR11" s="102">
        <v>16326.295290036931</v>
      </c>
      <c r="BS11" s="102">
        <v>7007.93026585384</v>
      </c>
      <c r="BT11" s="102">
        <v>14390.28</v>
      </c>
      <c r="BU11" s="102">
        <v>6350.0099999999993</v>
      </c>
      <c r="BV11" s="102">
        <v>6225.7366272349545</v>
      </c>
      <c r="BW11" s="102">
        <v>9095.8159568270548</v>
      </c>
      <c r="BX11" s="102">
        <v>5476.3790432476208</v>
      </c>
      <c r="BY11" s="102">
        <v>5280.5370118619094</v>
      </c>
      <c r="BZ11" s="102">
        <v>5385.9084885134816</v>
      </c>
      <c r="CA11" s="102">
        <v>5936.5777978245997</v>
      </c>
      <c r="CB11" s="102">
        <v>5713.2403070422688</v>
      </c>
      <c r="CC11" s="102">
        <v>5475.07070138165</v>
      </c>
      <c r="CD11" s="102">
        <v>6034.3529032966153</v>
      </c>
      <c r="CE11" s="102">
        <v>4488.6155925368976</v>
      </c>
      <c r="CF11" s="102">
        <v>4023.9768675859077</v>
      </c>
      <c r="CG11" s="102">
        <v>7535.7675876535823</v>
      </c>
      <c r="CH11" s="102">
        <v>8988.3177765383825</v>
      </c>
      <c r="CI11" s="102">
        <v>5836.8368642273117</v>
      </c>
      <c r="CJ11" s="102">
        <v>6930.8831276405308</v>
      </c>
      <c r="CK11" s="102">
        <v>10584.976126100719</v>
      </c>
      <c r="CL11" s="102">
        <v>15364.80249368458</v>
      </c>
      <c r="CM11" s="102">
        <v>15209.914493104261</v>
      </c>
      <c r="CN11" s="102">
        <v>17451.216959931651</v>
      </c>
      <c r="CO11" s="102">
        <v>19386.634413952495</v>
      </c>
      <c r="CP11" s="102">
        <v>21732.779416881218</v>
      </c>
      <c r="CQ11" s="102">
        <v>24238.946897608112</v>
      </c>
      <c r="CR11" s="102">
        <v>25819.668166139443</v>
      </c>
      <c r="CS11" s="102">
        <v>31946.067937957116</v>
      </c>
      <c r="CT11" s="102">
        <v>34079.811399100006</v>
      </c>
      <c r="CU11" s="102">
        <v>34365.050014294939</v>
      </c>
      <c r="CV11" s="102">
        <v>41160.111189758041</v>
      </c>
      <c r="CW11" s="650">
        <v>40472.819369543417</v>
      </c>
    </row>
    <row r="12" spans="1:101" x14ac:dyDescent="0.35">
      <c r="B12" s="3"/>
      <c r="C12" s="372" t="s">
        <v>27</v>
      </c>
      <c r="D12" s="106">
        <v>170436.68261353177</v>
      </c>
      <c r="E12" s="106">
        <v>173236.42612032345</v>
      </c>
      <c r="F12" s="106">
        <v>176653.07184151566</v>
      </c>
      <c r="G12" s="106">
        <v>179879.48181552079</v>
      </c>
      <c r="H12" s="106">
        <v>183582.23923485112</v>
      </c>
      <c r="I12" s="106">
        <v>185416.64177111408</v>
      </c>
      <c r="J12" s="106">
        <v>189800.94094803082</v>
      </c>
      <c r="K12" s="106">
        <v>187509.23873070456</v>
      </c>
      <c r="L12" s="106">
        <v>190116.62196186552</v>
      </c>
      <c r="M12" s="106">
        <v>186504.98257922049</v>
      </c>
      <c r="N12" s="106">
        <v>185437.35017327737</v>
      </c>
      <c r="O12" s="106">
        <v>186399.69956807559</v>
      </c>
      <c r="P12" s="106">
        <v>191895.68005750258</v>
      </c>
      <c r="Q12" s="106">
        <v>192270.07173021309</v>
      </c>
      <c r="R12" s="106">
        <v>193182.64857899331</v>
      </c>
      <c r="S12" s="106">
        <v>193445.93006000778</v>
      </c>
      <c r="T12" s="106">
        <v>197202.35185539734</v>
      </c>
      <c r="U12" s="106">
        <v>198421.83575803408</v>
      </c>
      <c r="V12" s="106">
        <v>203428.1355818462</v>
      </c>
      <c r="W12" s="106">
        <v>207878.52343208043</v>
      </c>
      <c r="X12" s="106">
        <v>207847.10159644412</v>
      </c>
      <c r="Y12" s="106">
        <v>211108.59783524042</v>
      </c>
      <c r="Z12" s="106">
        <v>205591.86020561171</v>
      </c>
      <c r="AA12" s="106">
        <v>211128.26537610919</v>
      </c>
      <c r="AB12" s="106">
        <v>249185.47070000001</v>
      </c>
      <c r="AC12" s="106">
        <v>255417.9129</v>
      </c>
      <c r="AD12" s="106">
        <v>268677.63449999999</v>
      </c>
      <c r="AE12" s="106">
        <v>269548.45189999999</v>
      </c>
      <c r="AF12" s="106">
        <v>263574.3652</v>
      </c>
      <c r="AG12" s="106">
        <v>263053.40730000002</v>
      </c>
      <c r="AH12" s="106">
        <v>271948.2108</v>
      </c>
      <c r="AI12" s="106">
        <v>261311.72709999999</v>
      </c>
      <c r="AJ12" s="106">
        <v>271665.92790000001</v>
      </c>
      <c r="AK12" s="106">
        <v>260113.33730000001</v>
      </c>
      <c r="AL12" s="106">
        <v>268982.56939999998</v>
      </c>
      <c r="AM12" s="106">
        <v>265312.40139999997</v>
      </c>
      <c r="AN12" s="106">
        <v>259604.53409999999</v>
      </c>
      <c r="AO12" s="106">
        <v>260508.1072</v>
      </c>
      <c r="AP12" s="106">
        <v>254407.52929999999</v>
      </c>
      <c r="AQ12" s="106">
        <v>268823.11920000002</v>
      </c>
      <c r="AR12" s="106">
        <v>274594.74910000002</v>
      </c>
      <c r="AS12" s="106">
        <v>276708.36</v>
      </c>
      <c r="AT12" s="106">
        <v>284257.09279999998</v>
      </c>
      <c r="AU12" s="106">
        <v>292397.13410000002</v>
      </c>
      <c r="AV12" s="106">
        <v>279551.13130000001</v>
      </c>
      <c r="AW12" s="102">
        <v>300195.1385</v>
      </c>
      <c r="AX12" s="102">
        <v>304322.77279999998</v>
      </c>
      <c r="AY12" s="102">
        <v>307088.62449999998</v>
      </c>
      <c r="AZ12" s="102">
        <v>306308.08299999998</v>
      </c>
      <c r="BA12" s="102">
        <v>311549.33419999998</v>
      </c>
      <c r="BB12" s="102">
        <v>317195.30060000002</v>
      </c>
      <c r="BC12" s="92">
        <v>320587.48080000002</v>
      </c>
      <c r="BD12" s="92">
        <v>318091.62699999998</v>
      </c>
      <c r="BE12" s="92">
        <v>321329.20079999999</v>
      </c>
      <c r="BF12" s="92">
        <v>318045.50400000002</v>
      </c>
      <c r="BG12" s="92">
        <v>308581.01199999999</v>
      </c>
      <c r="BH12" s="92">
        <v>299904.01429999998</v>
      </c>
      <c r="BI12" s="92">
        <v>299941.47850000003</v>
      </c>
      <c r="BJ12" s="92">
        <v>283023.87319999997</v>
      </c>
      <c r="BK12" s="92">
        <v>274020.51400000002</v>
      </c>
      <c r="BL12" s="92">
        <v>268189.97236598004</v>
      </c>
      <c r="BM12" s="92">
        <v>266629.56234672823</v>
      </c>
      <c r="BN12" s="102">
        <v>259419.37941473018</v>
      </c>
      <c r="BO12" s="102">
        <v>252615.09890845322</v>
      </c>
      <c r="BP12" s="102">
        <v>266925.02243615384</v>
      </c>
      <c r="BQ12" s="102">
        <v>241933.18056368202</v>
      </c>
      <c r="BR12" s="102">
        <v>235151.02334034987</v>
      </c>
      <c r="BS12" s="102">
        <v>230972.10280386699</v>
      </c>
      <c r="BT12" s="102">
        <v>224914.92263581467</v>
      </c>
      <c r="BU12" s="102">
        <v>222760.52999999977</v>
      </c>
      <c r="BV12" s="102">
        <v>214280.54808111838</v>
      </c>
      <c r="BW12" s="102">
        <v>200188.49157160686</v>
      </c>
      <c r="BX12" s="102">
        <v>208675.26148740912</v>
      </c>
      <c r="BY12" s="102">
        <v>205244.3413776627</v>
      </c>
      <c r="BZ12" s="102">
        <v>191702.03912187883</v>
      </c>
      <c r="CA12" s="102">
        <v>192430.48336731276</v>
      </c>
      <c r="CB12" s="102">
        <v>190500.94904076061</v>
      </c>
      <c r="CC12" s="102">
        <v>178151.76783834031</v>
      </c>
      <c r="CD12" s="102">
        <v>174702.0522780763</v>
      </c>
      <c r="CE12" s="102">
        <v>175950.89798016282</v>
      </c>
      <c r="CF12" s="102">
        <v>171701.18000000002</v>
      </c>
      <c r="CG12" s="102">
        <v>169706.07740694901</v>
      </c>
      <c r="CH12" s="102">
        <v>171167.05359797907</v>
      </c>
      <c r="CI12" s="102">
        <v>169089.08792278098</v>
      </c>
      <c r="CJ12" s="102">
        <v>168898.24844658023</v>
      </c>
      <c r="CK12" s="102">
        <v>169602.93319344439</v>
      </c>
      <c r="CL12" s="102">
        <v>155406.89447509244</v>
      </c>
      <c r="CM12" s="102">
        <v>164160.75909063668</v>
      </c>
      <c r="CN12" s="102">
        <v>164835.0433108226</v>
      </c>
      <c r="CO12" s="102">
        <v>165036.23337080621</v>
      </c>
      <c r="CP12" s="102">
        <v>166084.73837599016</v>
      </c>
      <c r="CQ12" s="102">
        <v>167973.93945450531</v>
      </c>
      <c r="CR12" s="102">
        <v>164375.93329453852</v>
      </c>
      <c r="CS12" s="102">
        <v>153304.39979925167</v>
      </c>
      <c r="CT12" s="102">
        <v>154139.22522408961</v>
      </c>
      <c r="CU12" s="102">
        <v>157017.01573515745</v>
      </c>
      <c r="CV12" s="102">
        <v>153069.1063451175</v>
      </c>
      <c r="CW12" s="650">
        <v>152791.17142969824</v>
      </c>
    </row>
    <row r="13" spans="1:101" x14ac:dyDescent="0.35">
      <c r="B13" s="3"/>
      <c r="C13" s="372" t="s">
        <v>28</v>
      </c>
      <c r="D13" s="106">
        <v>15928.048623602674</v>
      </c>
      <c r="E13" s="106">
        <v>16080.903916958794</v>
      </c>
      <c r="F13" s="106">
        <v>13841.504846939895</v>
      </c>
      <c r="G13" s="106">
        <v>19934.14694831656</v>
      </c>
      <c r="H13" s="106">
        <v>23883.236603715624</v>
      </c>
      <c r="I13" s="106">
        <v>25912.57135790453</v>
      </c>
      <c r="J13" s="106">
        <v>40487.484310703636</v>
      </c>
      <c r="K13" s="106">
        <v>46172.538930049021</v>
      </c>
      <c r="L13" s="106">
        <v>59022.501918361937</v>
      </c>
      <c r="M13" s="106">
        <v>70119.49557446425</v>
      </c>
      <c r="N13" s="106">
        <v>79916.872605511569</v>
      </c>
      <c r="O13" s="106">
        <v>46248.801633269359</v>
      </c>
      <c r="P13" s="106">
        <v>79708.468141745034</v>
      </c>
      <c r="Q13" s="106">
        <v>105445.96362251534</v>
      </c>
      <c r="R13" s="106">
        <v>110182.6202796345</v>
      </c>
      <c r="S13" s="106">
        <v>119982.80705210281</v>
      </c>
      <c r="T13" s="106">
        <v>127776.64838423065</v>
      </c>
      <c r="U13" s="106">
        <v>140176.51538040684</v>
      </c>
      <c r="V13" s="106">
        <v>162157.48396814609</v>
      </c>
      <c r="W13" s="106">
        <v>161246.8574946138</v>
      </c>
      <c r="X13" s="106">
        <v>172167.3818392682</v>
      </c>
      <c r="Y13" s="106">
        <v>173642.71218998346</v>
      </c>
      <c r="Z13" s="106">
        <v>189195.59799265733</v>
      </c>
      <c r="AA13" s="106">
        <v>187787.45230290922</v>
      </c>
      <c r="AB13" s="106">
        <v>193751.06596842359</v>
      </c>
      <c r="AC13" s="106">
        <v>192160.94457164165</v>
      </c>
      <c r="AD13" s="106">
        <v>179755.4837498526</v>
      </c>
      <c r="AE13" s="106">
        <v>166337.69440319238</v>
      </c>
      <c r="AF13" s="106">
        <v>165303.54313791043</v>
      </c>
      <c r="AG13" s="106">
        <v>167713.49760431738</v>
      </c>
      <c r="AH13" s="106">
        <v>164095.28557731104</v>
      </c>
      <c r="AI13" s="106">
        <v>162078.860208609</v>
      </c>
      <c r="AJ13" s="106">
        <v>166236.25905676984</v>
      </c>
      <c r="AK13" s="106">
        <v>159658.25024769141</v>
      </c>
      <c r="AL13" s="106">
        <v>154791.50790400617</v>
      </c>
      <c r="AM13" s="106">
        <v>165199.18593836224</v>
      </c>
      <c r="AN13" s="106">
        <v>174952.01209389657</v>
      </c>
      <c r="AO13" s="106">
        <v>172585.61874546431</v>
      </c>
      <c r="AP13" s="106">
        <v>169763.14104783416</v>
      </c>
      <c r="AQ13" s="106">
        <v>173302.99584033244</v>
      </c>
      <c r="AR13" s="106">
        <v>179865.32129833047</v>
      </c>
      <c r="AS13" s="106">
        <v>194211.20516810761</v>
      </c>
      <c r="AT13" s="106">
        <v>197801.40765748423</v>
      </c>
      <c r="AU13" s="106">
        <v>197572.50358840081</v>
      </c>
      <c r="AV13" s="106">
        <v>198310.60999709473</v>
      </c>
      <c r="AW13" s="102">
        <v>191842.1287058648</v>
      </c>
      <c r="AX13" s="102">
        <v>199086.74092064184</v>
      </c>
      <c r="AY13" s="102">
        <v>205754.2563971424</v>
      </c>
      <c r="AZ13" s="102">
        <v>197890.95689999999</v>
      </c>
      <c r="BA13" s="102">
        <v>212299.0668</v>
      </c>
      <c r="BB13" s="102">
        <v>232249.31839999999</v>
      </c>
      <c r="BC13" s="92">
        <v>253248.77799999999</v>
      </c>
      <c r="BD13" s="92">
        <v>257647.82699999999</v>
      </c>
      <c r="BE13" s="92">
        <v>264932.97279999999</v>
      </c>
      <c r="BF13" s="92">
        <v>258096.03839999999</v>
      </c>
      <c r="BG13" s="92">
        <v>272140.40500000003</v>
      </c>
      <c r="BH13" s="92">
        <v>291468.27850000001</v>
      </c>
      <c r="BI13" s="92">
        <v>296081.67920000001</v>
      </c>
      <c r="BJ13" s="92">
        <v>294871.71980000002</v>
      </c>
      <c r="BK13" s="92">
        <v>295312.24849999999</v>
      </c>
      <c r="BL13" s="92">
        <v>297924.20480000001</v>
      </c>
      <c r="BM13" s="92">
        <v>307055.07260000001</v>
      </c>
      <c r="BN13" s="102">
        <v>303830.36080000002</v>
      </c>
      <c r="BO13" s="102">
        <v>315147.31630000001</v>
      </c>
      <c r="BP13" s="102">
        <v>322004.88880000002</v>
      </c>
      <c r="BQ13" s="102">
        <v>323546.16070000001</v>
      </c>
      <c r="BR13" s="102">
        <v>319629.42959999997</v>
      </c>
      <c r="BS13" s="102">
        <v>330125.8334</v>
      </c>
      <c r="BT13" s="102">
        <v>342491.40279999998</v>
      </c>
      <c r="BU13" s="102">
        <v>343968.36</v>
      </c>
      <c r="BV13" s="102">
        <v>356333.40240000002</v>
      </c>
      <c r="BW13" s="102">
        <v>354443.54300000001</v>
      </c>
      <c r="BX13" s="102">
        <v>359100.59100000001</v>
      </c>
      <c r="BY13" s="102">
        <v>361692.66440000001</v>
      </c>
      <c r="BZ13" s="102">
        <v>365765.94569999998</v>
      </c>
      <c r="CA13" s="102">
        <v>370062.7415</v>
      </c>
      <c r="CB13" s="102">
        <v>368562.7487</v>
      </c>
      <c r="CC13" s="102">
        <v>350352.55032122199</v>
      </c>
      <c r="CD13" s="102">
        <v>335248.838264013</v>
      </c>
      <c r="CE13" s="102">
        <v>332657.05042317801</v>
      </c>
      <c r="CF13" s="102">
        <v>324587.81099999999</v>
      </c>
      <c r="CG13" s="102">
        <v>332367.042051728</v>
      </c>
      <c r="CH13" s="371">
        <v>328868.7980305042</v>
      </c>
      <c r="CI13" s="371">
        <v>315337.18638187833</v>
      </c>
      <c r="CJ13" s="102">
        <v>327800.09556140658</v>
      </c>
      <c r="CK13" s="102">
        <v>340436.16242280224</v>
      </c>
      <c r="CL13" s="102">
        <v>308902.19963786821</v>
      </c>
      <c r="CM13" s="102">
        <v>330655.52085935551</v>
      </c>
      <c r="CN13" s="102">
        <v>334809.88999249227</v>
      </c>
      <c r="CO13" s="102">
        <v>336463.85965145146</v>
      </c>
      <c r="CP13" s="102">
        <v>342040.46668898559</v>
      </c>
      <c r="CQ13" s="102">
        <v>346823.86636636639</v>
      </c>
      <c r="CR13" s="102">
        <v>356959.2719979047</v>
      </c>
      <c r="CS13" s="102">
        <v>363567.67194076709</v>
      </c>
      <c r="CT13" s="102">
        <v>377053.48529097514</v>
      </c>
      <c r="CU13" s="102">
        <v>366270.84765726654</v>
      </c>
      <c r="CV13" s="102">
        <v>365999.47119244718</v>
      </c>
      <c r="CW13" s="650">
        <v>370124.32151641086</v>
      </c>
    </row>
    <row r="14" spans="1:101" x14ac:dyDescent="0.35">
      <c r="B14" s="3"/>
      <c r="C14" s="372" t="s">
        <v>200</v>
      </c>
      <c r="D14" s="106">
        <v>35250.78927962391</v>
      </c>
      <c r="E14" s="106">
        <v>32409.119845861755</v>
      </c>
      <c r="F14" s="106">
        <v>35952.686367248942</v>
      </c>
      <c r="G14" s="106">
        <v>34995.772293776419</v>
      </c>
      <c r="H14" s="106">
        <v>37445.815765224921</v>
      </c>
      <c r="I14" s="106">
        <v>36217.818878989507</v>
      </c>
      <c r="J14" s="106">
        <v>33507.034020717067</v>
      </c>
      <c r="K14" s="106">
        <v>34472.280921595986</v>
      </c>
      <c r="L14" s="106">
        <v>24699.724517906339</v>
      </c>
      <c r="M14" s="106">
        <v>24101.960527536325</v>
      </c>
      <c r="N14" s="106">
        <v>25826.307245530174</v>
      </c>
      <c r="O14" s="106">
        <v>23231.084168382004</v>
      </c>
      <c r="P14" s="106">
        <v>25632.582562601194</v>
      </c>
      <c r="Q14" s="106">
        <v>22081.284622705341</v>
      </c>
      <c r="R14" s="106">
        <v>23012.437917911891</v>
      </c>
      <c r="S14" s="106">
        <v>19479.172130430979</v>
      </c>
      <c r="T14" s="106">
        <v>19799.16948365427</v>
      </c>
      <c r="U14" s="106">
        <v>19693.069035627577</v>
      </c>
      <c r="V14" s="106">
        <v>21065.279906902841</v>
      </c>
      <c r="W14" s="106">
        <v>21209.231815319104</v>
      </c>
      <c r="X14" s="106">
        <v>20819.99603187725</v>
      </c>
      <c r="Y14" s="106">
        <v>19667.856720398311</v>
      </c>
      <c r="Z14" s="106">
        <v>19992.458873816067</v>
      </c>
      <c r="AA14" s="106">
        <v>19104.643406740583</v>
      </c>
      <c r="AB14" s="106">
        <v>19814.84851</v>
      </c>
      <c r="AC14" s="106">
        <v>20212.472900000001</v>
      </c>
      <c r="AD14" s="106">
        <v>20659.130300000001</v>
      </c>
      <c r="AE14" s="106">
        <v>19493.366170000001</v>
      </c>
      <c r="AF14" s="106">
        <v>19919.008419999998</v>
      </c>
      <c r="AG14" s="106">
        <v>21020.44918</v>
      </c>
      <c r="AH14" s="106">
        <v>0</v>
      </c>
      <c r="AI14" s="106">
        <v>0</v>
      </c>
      <c r="AJ14" s="106">
        <v>0</v>
      </c>
      <c r="AK14" s="106">
        <v>0</v>
      </c>
      <c r="AL14" s="106">
        <v>0</v>
      </c>
      <c r="AM14" s="106">
        <v>0</v>
      </c>
      <c r="AN14" s="106">
        <v>0</v>
      </c>
      <c r="AO14" s="106">
        <v>0</v>
      </c>
      <c r="AP14" s="106">
        <v>0</v>
      </c>
      <c r="AQ14" s="106">
        <v>0</v>
      </c>
      <c r="AR14" s="106">
        <v>0</v>
      </c>
      <c r="AS14" s="106">
        <v>2566.64</v>
      </c>
      <c r="AT14" s="106">
        <v>7349.59</v>
      </c>
      <c r="AU14" s="106">
        <v>17813.259999999998</v>
      </c>
      <c r="AV14" s="106">
        <v>18453.330000000002</v>
      </c>
      <c r="AW14" s="102">
        <v>19568.64</v>
      </c>
      <c r="AX14" s="102">
        <v>23985.32</v>
      </c>
      <c r="AY14" s="102">
        <v>24893.98</v>
      </c>
      <c r="AZ14" s="102">
        <v>27205.72</v>
      </c>
      <c r="BA14" s="102">
        <v>30040.77</v>
      </c>
      <c r="BB14" s="102">
        <v>31912.82</v>
      </c>
      <c r="BC14" s="92">
        <v>32257.5</v>
      </c>
      <c r="BD14" s="92">
        <v>38030.39</v>
      </c>
      <c r="BE14" s="92">
        <v>41463.9</v>
      </c>
      <c r="BF14" s="92">
        <v>44792.43</v>
      </c>
      <c r="BG14" s="92">
        <v>48649.58</v>
      </c>
      <c r="BH14" s="92">
        <v>55524.4</v>
      </c>
      <c r="BI14" s="92">
        <v>54515.39</v>
      </c>
      <c r="BJ14" s="92">
        <v>54831.46</v>
      </c>
      <c r="BK14" s="92">
        <v>57318.02</v>
      </c>
      <c r="BL14" s="92">
        <v>58199.78</v>
      </c>
      <c r="BM14" s="92">
        <v>62643.1</v>
      </c>
      <c r="BN14" s="102">
        <v>61215.91</v>
      </c>
      <c r="BO14" s="102">
        <v>60159.199999999997</v>
      </c>
      <c r="BP14" s="102">
        <v>60737.63</v>
      </c>
      <c r="BQ14" s="102">
        <v>58927.12</v>
      </c>
      <c r="BR14" s="102">
        <v>58400.77</v>
      </c>
      <c r="BS14" s="102">
        <v>59018.23</v>
      </c>
      <c r="BT14" s="102">
        <v>61314.23</v>
      </c>
      <c r="BU14" s="102">
        <v>61881.53</v>
      </c>
      <c r="BV14" s="102">
        <v>59635.07</v>
      </c>
      <c r="BW14" s="102">
        <v>59117.01</v>
      </c>
      <c r="BX14" s="102">
        <v>59754.84</v>
      </c>
      <c r="BY14" s="102">
        <v>59709</v>
      </c>
      <c r="BZ14" s="102">
        <v>60012.63</v>
      </c>
      <c r="CA14" s="102">
        <v>59453.5</v>
      </c>
      <c r="CB14" s="102">
        <v>59326.12</v>
      </c>
      <c r="CC14" s="102">
        <v>59644.19</v>
      </c>
      <c r="CD14" s="102">
        <v>58819.67</v>
      </c>
      <c r="CE14" s="102">
        <v>57423.75</v>
      </c>
      <c r="CF14" s="102">
        <v>60603.16</v>
      </c>
      <c r="CG14" s="102">
        <v>58520.49</v>
      </c>
      <c r="CH14" s="102">
        <v>98588.680861783709</v>
      </c>
      <c r="CI14" s="102">
        <v>100728.97053237549</v>
      </c>
      <c r="CJ14" s="102">
        <v>101585.54949989574</v>
      </c>
      <c r="CK14" s="102">
        <v>100321.04226441446</v>
      </c>
      <c r="CL14" s="102">
        <v>97533.203702118699</v>
      </c>
      <c r="CM14" s="102">
        <v>94627.663147794636</v>
      </c>
      <c r="CN14" s="102">
        <v>93749.954284994834</v>
      </c>
      <c r="CO14" s="102">
        <v>92259.210763397961</v>
      </c>
      <c r="CP14" s="102">
        <v>154326.7902613449</v>
      </c>
      <c r="CQ14" s="102">
        <v>160629.89590519923</v>
      </c>
      <c r="CR14" s="102">
        <v>161479.50656480223</v>
      </c>
      <c r="CS14" s="102">
        <v>164589.38773201735</v>
      </c>
      <c r="CT14" s="102">
        <v>179218.14235608638</v>
      </c>
      <c r="CU14" s="102">
        <v>164759.97871912186</v>
      </c>
      <c r="CV14" s="102">
        <v>164910.5128182302</v>
      </c>
      <c r="CW14" s="650">
        <v>154636.48775246521</v>
      </c>
    </row>
    <row r="15" spans="1:101" x14ac:dyDescent="0.35">
      <c r="B15" s="3"/>
      <c r="C15" s="10" t="s">
        <v>198</v>
      </c>
      <c r="D15" s="100">
        <f t="shared" ref="D15:O15" si="5">SUM(D10:D14)</f>
        <v>516642.53876627953</v>
      </c>
      <c r="E15" s="100">
        <f t="shared" si="5"/>
        <v>522311.71640423592</v>
      </c>
      <c r="F15" s="100">
        <f t="shared" si="5"/>
        <v>543465.98401605408</v>
      </c>
      <c r="G15" s="100">
        <f t="shared" si="5"/>
        <v>552935.84760998678</v>
      </c>
      <c r="H15" s="100">
        <f t="shared" si="5"/>
        <v>552225.90364685096</v>
      </c>
      <c r="I15" s="100">
        <f t="shared" si="5"/>
        <v>574364.53177851066</v>
      </c>
      <c r="J15" s="100">
        <f t="shared" si="5"/>
        <v>581299.16905752488</v>
      </c>
      <c r="K15" s="100">
        <f t="shared" si="5"/>
        <v>604794.94620432728</v>
      </c>
      <c r="L15" s="100">
        <f t="shared" si="5"/>
        <v>621001.22347088321</v>
      </c>
      <c r="M15" s="100">
        <f t="shared" si="5"/>
        <v>622854.28301365336</v>
      </c>
      <c r="N15" s="100">
        <f t="shared" si="5"/>
        <v>641723.78406659456</v>
      </c>
      <c r="O15" s="100">
        <f t="shared" si="5"/>
        <v>628986.78741583333</v>
      </c>
      <c r="P15" s="100">
        <v>686773.93802042445</v>
      </c>
      <c r="Q15" s="100">
        <v>726165.70151030237</v>
      </c>
      <c r="R15" s="100">
        <v>730457.96763959352</v>
      </c>
      <c r="S15" s="100">
        <v>751056.17317618604</v>
      </c>
      <c r="T15" s="100">
        <v>767395.34287603793</v>
      </c>
      <c r="U15" s="100">
        <v>796372.25262706401</v>
      </c>
      <c r="V15" s="100">
        <v>833533.72568074113</v>
      </c>
      <c r="W15" s="100">
        <v>863754.33410988178</v>
      </c>
      <c r="X15" s="100">
        <v>864122.85876264411</v>
      </c>
      <c r="Y15" s="100">
        <v>874300.15253733716</v>
      </c>
      <c r="Z15" s="100">
        <v>891390.89537184208</v>
      </c>
      <c r="AA15" s="100">
        <v>881083.16297599184</v>
      </c>
      <c r="AB15" s="100">
        <v>914726.86404867633</v>
      </c>
      <c r="AC15" s="100">
        <v>928530.88085222163</v>
      </c>
      <c r="AD15" s="100">
        <v>950832.4377729079</v>
      </c>
      <c r="AE15" s="100">
        <v>932086.03218361572</v>
      </c>
      <c r="AF15" s="100">
        <v>917783.92380286963</v>
      </c>
      <c r="AG15" s="100">
        <v>929783.88210033742</v>
      </c>
      <c r="AH15" s="100">
        <v>938419.98180016037</v>
      </c>
      <c r="AI15" s="100">
        <v>936862.79996635404</v>
      </c>
      <c r="AJ15" s="100">
        <v>953593.91403206065</v>
      </c>
      <c r="AK15" s="100">
        <v>960976.90865479759</v>
      </c>
      <c r="AL15" s="100">
        <v>966156.06654554629</v>
      </c>
      <c r="AM15" s="100">
        <v>981962.27002013463</v>
      </c>
      <c r="AN15" s="100">
        <v>989500.56299308152</v>
      </c>
      <c r="AO15" s="100">
        <v>998681.89344273426</v>
      </c>
      <c r="AP15" s="100">
        <v>995199.7343384882</v>
      </c>
      <c r="AQ15" s="100">
        <v>998891.79758209479</v>
      </c>
      <c r="AR15" s="100">
        <v>1023608.6843643056</v>
      </c>
      <c r="AS15" s="100">
        <v>1049931.691102277</v>
      </c>
      <c r="AT15" s="100">
        <v>1103641.459007862</v>
      </c>
      <c r="AU15" s="100">
        <v>1192336.6258882037</v>
      </c>
      <c r="AV15" s="100">
        <v>1132875.4611226185</v>
      </c>
      <c r="AW15" s="100">
        <v>1199136.8938747549</v>
      </c>
      <c r="AX15" s="100">
        <v>1246400.5614233841</v>
      </c>
      <c r="AY15" s="100">
        <v>1273711.3533857246</v>
      </c>
      <c r="AZ15" s="100">
        <f>SUM(AZ10:AZ14)</f>
        <v>1269593.2742999999</v>
      </c>
      <c r="BA15" s="100">
        <f>SUM(BA10:BA14)</f>
        <v>1292786.2756999999</v>
      </c>
      <c r="BB15" s="100">
        <f t="shared" ref="BB15:CC15" si="6">SUM(BB10:BB14)</f>
        <v>1340881.3141000001</v>
      </c>
      <c r="BC15" s="100">
        <f t="shared" si="6"/>
        <v>1380049.6135</v>
      </c>
      <c r="BD15" s="100">
        <f t="shared" si="6"/>
        <v>1419304.3809999998</v>
      </c>
      <c r="BE15" s="100">
        <f t="shared" si="6"/>
        <v>1453245.7689</v>
      </c>
      <c r="BF15" s="100">
        <f t="shared" si="6"/>
        <v>1474296.9162999999</v>
      </c>
      <c r="BG15" s="100">
        <f t="shared" si="6"/>
        <v>1468603.5793999999</v>
      </c>
      <c r="BH15" s="100">
        <f t="shared" si="6"/>
        <v>1564748.6646</v>
      </c>
      <c r="BI15" s="100">
        <f t="shared" si="6"/>
        <v>1613100.9522999998</v>
      </c>
      <c r="BJ15" s="100">
        <f t="shared" si="6"/>
        <v>1604655.6901</v>
      </c>
      <c r="BK15" s="100">
        <f t="shared" si="6"/>
        <v>1594357.1920999999</v>
      </c>
      <c r="BL15" s="100">
        <f t="shared" si="6"/>
        <v>1642540.1661854207</v>
      </c>
      <c r="BM15" s="100">
        <f t="shared" si="6"/>
        <v>1647998.0921346424</v>
      </c>
      <c r="BN15" s="100">
        <f t="shared" si="6"/>
        <v>1651429.1535112334</v>
      </c>
      <c r="BO15" s="100">
        <f t="shared" si="6"/>
        <v>1650581.7783639706</v>
      </c>
      <c r="BP15" s="100">
        <f t="shared" si="6"/>
        <v>1651198.7517943548</v>
      </c>
      <c r="BQ15" s="100">
        <f t="shared" si="6"/>
        <v>1672754.1598019572</v>
      </c>
      <c r="BR15" s="100">
        <f t="shared" si="6"/>
        <v>1619357.6762639387</v>
      </c>
      <c r="BS15" s="100">
        <f t="shared" si="6"/>
        <v>1644217.3863846175</v>
      </c>
      <c r="BT15" s="100">
        <f t="shared" si="6"/>
        <v>1671959.5400247697</v>
      </c>
      <c r="BU15" s="100">
        <f t="shared" si="6"/>
        <v>1681408.7000000004</v>
      </c>
      <c r="BV15" s="100">
        <f t="shared" si="6"/>
        <v>1701315.8751596222</v>
      </c>
      <c r="BW15" s="100">
        <f t="shared" si="6"/>
        <v>1689982.3763184291</v>
      </c>
      <c r="BX15" s="100">
        <f t="shared" si="6"/>
        <v>1716089.8232833503</v>
      </c>
      <c r="BY15" s="100">
        <f t="shared" si="6"/>
        <v>1735255.6991674332</v>
      </c>
      <c r="BZ15" s="100">
        <f t="shared" si="6"/>
        <v>1733232.9484001861</v>
      </c>
      <c r="CA15" s="100">
        <f t="shared" si="6"/>
        <v>1726556.6059034581</v>
      </c>
      <c r="CB15" s="100">
        <f t="shared" si="6"/>
        <v>1732561.2938264809</v>
      </c>
      <c r="CC15" s="100">
        <f t="shared" si="6"/>
        <v>1732035.5684725246</v>
      </c>
      <c r="CD15" s="100">
        <f>SUM(CD10:CD14)</f>
        <v>1714474.3769274936</v>
      </c>
      <c r="CE15" s="100">
        <f t="shared" ref="CE15:CG15" si="7">SUM(CE10:CE14)</f>
        <v>1685680.1337022376</v>
      </c>
      <c r="CF15" s="100">
        <f t="shared" si="7"/>
        <v>1646606.2494630518</v>
      </c>
      <c r="CG15" s="100">
        <f t="shared" si="7"/>
        <v>1645938.9295411797</v>
      </c>
      <c r="CH15" s="100">
        <f t="shared" ref="CH15:CN15" si="8">SUM(CH10:CH14)</f>
        <v>1696818.2985535767</v>
      </c>
      <c r="CI15" s="100">
        <f t="shared" si="8"/>
        <v>1668581.3566846352</v>
      </c>
      <c r="CJ15" s="100">
        <f t="shared" si="8"/>
        <v>1682412.8255220074</v>
      </c>
      <c r="CK15" s="100">
        <f t="shared" si="8"/>
        <v>1696336.7975817285</v>
      </c>
      <c r="CL15" s="100">
        <f t="shared" si="8"/>
        <v>1653257.5020822235</v>
      </c>
      <c r="CM15" s="100">
        <f t="shared" si="8"/>
        <v>1661009.171590891</v>
      </c>
      <c r="CN15" s="100">
        <f t="shared" si="8"/>
        <v>1662595.9532144747</v>
      </c>
      <c r="CO15" s="100">
        <f t="shared" ref="CO15:CU15" si="9">SUM(CO10:CO14)</f>
        <v>1672356.5916667243</v>
      </c>
      <c r="CP15" s="100">
        <f t="shared" si="9"/>
        <v>1754481.1657073568</v>
      </c>
      <c r="CQ15" s="100">
        <f t="shared" si="9"/>
        <v>1782997.7209624292</v>
      </c>
      <c r="CR15" s="100">
        <f t="shared" si="9"/>
        <v>1824542.8019234259</v>
      </c>
      <c r="CS15" s="100">
        <f t="shared" si="9"/>
        <v>1820359.5738172214</v>
      </c>
      <c r="CT15" s="100">
        <f t="shared" si="9"/>
        <v>1874818.1470914262</v>
      </c>
      <c r="CU15" s="100">
        <f t="shared" si="9"/>
        <v>1844242.6703466605</v>
      </c>
      <c r="CV15" s="100">
        <f>SUM(CV10:CV14)</f>
        <v>1825207.4452218884</v>
      </c>
      <c r="CW15" s="554">
        <f>SUM(CW10:CW14)</f>
        <v>1820862.9460685879</v>
      </c>
    </row>
    <row r="16" spans="1:101" x14ac:dyDescent="0.35">
      <c r="B16" s="3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308"/>
      <c r="AC16" s="308"/>
      <c r="AD16" s="308"/>
      <c r="AE16" s="308"/>
      <c r="AF16" s="308"/>
      <c r="AG16" s="308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8"/>
      <c r="BD16" s="308"/>
      <c r="BE16" s="308"/>
      <c r="BF16" s="308"/>
      <c r="BG16" s="308"/>
      <c r="BH16" s="308"/>
      <c r="BI16" s="308"/>
      <c r="BJ16" s="308"/>
      <c r="BK16" s="308"/>
      <c r="BL16" s="308"/>
      <c r="BM16" s="308"/>
      <c r="BN16" s="308"/>
      <c r="BO16" s="308"/>
      <c r="BP16" s="308"/>
      <c r="BQ16" s="308"/>
      <c r="BR16" s="308"/>
      <c r="BS16" s="308"/>
      <c r="BT16" s="308"/>
      <c r="BU16" s="308"/>
      <c r="BV16" s="308"/>
      <c r="BW16" s="308"/>
      <c r="BX16" s="308"/>
      <c r="BY16" s="308"/>
      <c r="BZ16" s="308"/>
      <c r="CA16" s="308"/>
      <c r="CB16" s="308"/>
      <c r="CC16" s="308"/>
      <c r="CD16" s="308"/>
      <c r="CE16" s="308"/>
      <c r="CF16" s="308"/>
      <c r="CW16" s="79"/>
    </row>
    <row r="17" spans="2:101" x14ac:dyDescent="0.35">
      <c r="B17" s="328" t="s">
        <v>201</v>
      </c>
      <c r="D17" s="92"/>
      <c r="E17" s="92"/>
      <c r="F17" s="330"/>
      <c r="G17" s="330"/>
      <c r="H17" s="330"/>
      <c r="I17" s="330"/>
      <c r="J17" s="330"/>
      <c r="K17" s="330"/>
      <c r="L17" s="330"/>
      <c r="M17" s="330"/>
      <c r="N17" s="330"/>
      <c r="O17" s="330"/>
      <c r="P17" s="330"/>
      <c r="Q17" s="330"/>
      <c r="R17" s="330"/>
      <c r="S17" s="330"/>
      <c r="T17" s="330"/>
      <c r="U17" s="330"/>
      <c r="V17" s="330"/>
      <c r="W17" s="330"/>
      <c r="X17" s="330"/>
      <c r="Y17" s="330"/>
      <c r="Z17" s="330"/>
      <c r="AA17" s="330"/>
      <c r="AB17" s="330"/>
      <c r="AC17" s="330"/>
      <c r="AD17" s="330"/>
      <c r="AE17" s="330"/>
      <c r="AF17" s="330"/>
      <c r="AG17" s="330"/>
      <c r="AH17" s="330"/>
      <c r="AI17" s="330"/>
      <c r="AJ17" s="330"/>
      <c r="AK17" s="330"/>
      <c r="AL17" s="330"/>
      <c r="AM17" s="330"/>
      <c r="AN17" s="330"/>
      <c r="AO17" s="330"/>
      <c r="AP17" s="330"/>
      <c r="AQ17" s="330"/>
      <c r="AR17" s="330"/>
      <c r="AS17" s="330"/>
      <c r="AZ17" s="572"/>
      <c r="BA17" s="330"/>
      <c r="BB17" s="330"/>
      <c r="BC17" s="330"/>
      <c r="BD17" s="330"/>
      <c r="BE17" s="330"/>
      <c r="BF17" s="330"/>
      <c r="BG17" s="330"/>
      <c r="BH17" s="330"/>
      <c r="BI17" s="330"/>
      <c r="BJ17" s="330"/>
      <c r="BK17" s="330"/>
      <c r="BL17" s="330"/>
      <c r="BM17" s="330"/>
      <c r="BN17" s="330"/>
      <c r="BO17" s="330"/>
      <c r="BP17" s="330"/>
      <c r="BQ17" s="330"/>
      <c r="BR17" s="330"/>
      <c r="BS17" s="330"/>
      <c r="BT17" s="330"/>
      <c r="BU17" s="330"/>
      <c r="BV17" s="330"/>
      <c r="BW17" s="330"/>
      <c r="BX17" s="330"/>
      <c r="BY17" s="330"/>
      <c r="BZ17" s="330"/>
      <c r="CA17" s="330"/>
      <c r="CB17" s="330"/>
      <c r="CC17" s="330"/>
      <c r="CD17" s="330"/>
      <c r="CE17" s="330"/>
      <c r="CF17" s="330"/>
      <c r="CW17" s="79"/>
    </row>
    <row r="18" spans="2:101" x14ac:dyDescent="0.35">
      <c r="B18" s="3"/>
      <c r="C18" s="370" t="s">
        <v>25</v>
      </c>
      <c r="D18" s="373">
        <v>48829.574948424335</v>
      </c>
      <c r="E18" s="373">
        <v>37507.282401446108</v>
      </c>
      <c r="F18" s="373">
        <v>29353.278063417092</v>
      </c>
      <c r="G18" s="106">
        <v>40668.486408015582</v>
      </c>
      <c r="H18" s="106">
        <v>32555.855197664183</v>
      </c>
      <c r="I18" s="106">
        <v>51787.17278142352</v>
      </c>
      <c r="J18" s="106">
        <v>109538.95107556447</v>
      </c>
      <c r="K18" s="106">
        <v>21626.22936720906</v>
      </c>
      <c r="L18" s="106">
        <v>108723.92976694091</v>
      </c>
      <c r="M18" s="106">
        <v>44218.650100243933</v>
      </c>
      <c r="N18" s="106">
        <v>75590.264290511084</v>
      </c>
      <c r="O18" s="106">
        <v>41131.27696743088</v>
      </c>
      <c r="P18" s="106">
        <v>47725.793605044077</v>
      </c>
      <c r="Q18" s="106">
        <v>47626.42159817474</v>
      </c>
      <c r="R18" s="106">
        <v>32419.335406687998</v>
      </c>
      <c r="S18" s="106">
        <v>32207.149374572997</v>
      </c>
      <c r="T18" s="106">
        <v>40039.563721283463</v>
      </c>
      <c r="U18" s="106">
        <v>33212.202436443105</v>
      </c>
      <c r="V18" s="106">
        <v>36720.666393441308</v>
      </c>
      <c r="W18" s="106">
        <v>38188.842531633825</v>
      </c>
      <c r="X18" s="106">
        <v>42567.93829888785</v>
      </c>
      <c r="Y18" s="106">
        <v>37733.569271593937</v>
      </c>
      <c r="Z18" s="106">
        <v>57060.031517594201</v>
      </c>
      <c r="AA18" s="106">
        <v>116113.59666666674</v>
      </c>
      <c r="AB18" s="106">
        <v>73412.473769999997</v>
      </c>
      <c r="AC18" s="106">
        <v>67720.367710000006</v>
      </c>
      <c r="AD18" s="106">
        <v>52087.762730000002</v>
      </c>
      <c r="AE18" s="106">
        <v>4087.4033330000002</v>
      </c>
      <c r="AF18" s="106">
        <v>38649.023330000004</v>
      </c>
      <c r="AG18" s="106">
        <v>11079.46358</v>
      </c>
      <c r="AH18" s="106">
        <v>9214.178371</v>
      </c>
      <c r="AI18" s="106">
        <v>20860.219700000001</v>
      </c>
      <c r="AJ18" s="106">
        <v>26195.626469999999</v>
      </c>
      <c r="AK18" s="106">
        <v>13196.868899999999</v>
      </c>
      <c r="AL18" s="106">
        <v>30626.308120000002</v>
      </c>
      <c r="AM18" s="106">
        <v>31313.94975</v>
      </c>
      <c r="AN18" s="106">
        <v>12210.40214</v>
      </c>
      <c r="AO18" s="106">
        <v>21026.949100000002</v>
      </c>
      <c r="AP18" s="106">
        <v>21390.651379999999</v>
      </c>
      <c r="AQ18" s="106">
        <v>43479.910309999999</v>
      </c>
      <c r="AR18" s="106">
        <v>51956.137880000002</v>
      </c>
      <c r="AS18" s="106">
        <v>42529.210780000001</v>
      </c>
      <c r="AT18" s="106">
        <v>43500.690009999998</v>
      </c>
      <c r="AU18" s="106">
        <v>46958.824229999998</v>
      </c>
      <c r="AV18" s="106">
        <v>75991.612510000006</v>
      </c>
      <c r="AW18" s="102">
        <v>50341.666669999999</v>
      </c>
      <c r="AX18" s="102">
        <v>49919.774060000003</v>
      </c>
      <c r="AY18" s="102">
        <v>67822.151490000004</v>
      </c>
      <c r="AZ18" s="102">
        <v>49215.584560000003</v>
      </c>
      <c r="BA18" s="102">
        <v>37479.925569999999</v>
      </c>
      <c r="BB18" s="102">
        <v>26443.60255</v>
      </c>
      <c r="BC18" s="92">
        <v>33969.490449999998</v>
      </c>
      <c r="BD18" s="92">
        <v>30378.880399999998</v>
      </c>
      <c r="BE18" s="92">
        <v>38059.651530000003</v>
      </c>
      <c r="BF18" s="92">
        <v>47687.706760000001</v>
      </c>
      <c r="BG18" s="92">
        <v>49531.262130000003</v>
      </c>
      <c r="BH18" s="92">
        <v>37426.44</v>
      </c>
      <c r="BI18" s="92">
        <v>-2194.89</v>
      </c>
      <c r="BJ18" s="92">
        <v>81809.13</v>
      </c>
      <c r="BK18" s="92">
        <v>108780.59</v>
      </c>
      <c r="BL18" s="92">
        <v>61463.724241459931</v>
      </c>
      <c r="BM18" s="92">
        <v>64962.827071412423</v>
      </c>
      <c r="BN18" s="102">
        <v>49079.293797382459</v>
      </c>
      <c r="BO18" s="102">
        <v>77577.125580476946</v>
      </c>
      <c r="BP18" s="102">
        <v>60699.554812965842</v>
      </c>
      <c r="BQ18" s="102">
        <v>60804.08126217001</v>
      </c>
      <c r="BR18" s="102">
        <v>88306.751501463106</v>
      </c>
      <c r="BS18" s="102">
        <v>73746.228430586663</v>
      </c>
      <c r="BT18" s="102">
        <v>89306.86</v>
      </c>
      <c r="BU18" s="102">
        <v>74328.290000000008</v>
      </c>
      <c r="BV18" s="102">
        <v>88417.496362190432</v>
      </c>
      <c r="BW18" s="102">
        <v>121581.45271108329</v>
      </c>
      <c r="BX18" s="102">
        <v>69631.780275509489</v>
      </c>
      <c r="BY18" s="102">
        <v>92809.720016450752</v>
      </c>
      <c r="BZ18" s="102">
        <v>98574.641568023348</v>
      </c>
      <c r="CA18" s="102">
        <v>123494.42068089833</v>
      </c>
      <c r="CB18" s="102">
        <v>83582.506218828974</v>
      </c>
      <c r="CC18" s="102">
        <v>62680.970529436323</v>
      </c>
      <c r="CD18" s="102">
        <v>74811.372374601313</v>
      </c>
      <c r="CE18" s="102">
        <v>84655.24632422885</v>
      </c>
      <c r="CF18" s="102">
        <v>90660.808404533222</v>
      </c>
      <c r="CG18" s="102">
        <v>109091.29726743043</v>
      </c>
      <c r="CH18" s="102">
        <v>140798.53989313962</v>
      </c>
      <c r="CI18" s="102">
        <v>113931.677684649</v>
      </c>
      <c r="CJ18" s="102">
        <v>117780.97521597036</v>
      </c>
      <c r="CK18" s="102">
        <v>93052.255629452528</v>
      </c>
      <c r="CL18" s="102">
        <v>91825.84326112768</v>
      </c>
      <c r="CM18" s="102">
        <v>99348.518750031712</v>
      </c>
      <c r="CN18" s="102">
        <v>97496.744134073335</v>
      </c>
      <c r="CO18" s="102">
        <v>112500.42346502127</v>
      </c>
      <c r="CP18" s="102">
        <v>126753.32732896917</v>
      </c>
      <c r="CQ18" s="102">
        <v>135096.17435697184</v>
      </c>
      <c r="CR18" s="102">
        <v>146790.08323357865</v>
      </c>
      <c r="CS18" s="102">
        <v>132425.44525991302</v>
      </c>
      <c r="CT18" s="102">
        <v>139102.95381841031</v>
      </c>
      <c r="CU18" s="102">
        <v>129787.34294254609</v>
      </c>
      <c r="CV18" s="102">
        <v>132056.73823384094</v>
      </c>
      <c r="CW18" s="650">
        <v>144545.01089639828</v>
      </c>
    </row>
    <row r="19" spans="2:101" x14ac:dyDescent="0.35">
      <c r="B19" s="3"/>
      <c r="C19" s="372" t="s">
        <v>26</v>
      </c>
      <c r="D19" s="373">
        <v>74.489999999999995</v>
      </c>
      <c r="E19" s="373">
        <v>209.94</v>
      </c>
      <c r="F19" s="373">
        <v>203.63</v>
      </c>
      <c r="G19" s="106">
        <v>92.82</v>
      </c>
      <c r="H19" s="106">
        <v>136.41999999999999</v>
      </c>
      <c r="I19" s="106">
        <v>159.47999999999999</v>
      </c>
      <c r="J19" s="106">
        <v>240.51</v>
      </c>
      <c r="K19" s="106">
        <v>198.03</v>
      </c>
      <c r="L19" s="106">
        <v>230.47</v>
      </c>
      <c r="M19" s="106">
        <v>304.56</v>
      </c>
      <c r="N19" s="106">
        <v>558.71</v>
      </c>
      <c r="O19" s="106">
        <v>268.96000000000004</v>
      </c>
      <c r="P19" s="106">
        <v>0</v>
      </c>
      <c r="Q19" s="106">
        <v>0</v>
      </c>
      <c r="R19" s="106">
        <v>0</v>
      </c>
      <c r="S19" s="106">
        <v>0</v>
      </c>
      <c r="T19" s="106">
        <v>0</v>
      </c>
      <c r="U19" s="106">
        <v>0</v>
      </c>
      <c r="V19" s="106">
        <v>0</v>
      </c>
      <c r="W19" s="106">
        <v>0</v>
      </c>
      <c r="X19" s="106">
        <v>0</v>
      </c>
      <c r="Y19" s="106">
        <v>0</v>
      </c>
      <c r="Z19" s="106">
        <v>0</v>
      </c>
      <c r="AA19" s="106">
        <v>0</v>
      </c>
      <c r="AB19" s="106">
        <v>14290.1</v>
      </c>
      <c r="AC19" s="106">
        <v>12158.96</v>
      </c>
      <c r="AD19" s="106">
        <v>12600.57</v>
      </c>
      <c r="AE19" s="106">
        <v>30721.45</v>
      </c>
      <c r="AF19" s="106">
        <v>14572.08</v>
      </c>
      <c r="AG19" s="106">
        <v>17954.63</v>
      </c>
      <c r="AH19" s="106">
        <v>20349.05831</v>
      </c>
      <c r="AI19" s="106">
        <v>1072.46</v>
      </c>
      <c r="AJ19" s="106">
        <v>2531.584237</v>
      </c>
      <c r="AK19" s="106">
        <v>3711.207981</v>
      </c>
      <c r="AL19" s="106">
        <v>-464.95763950000003</v>
      </c>
      <c r="AM19" s="106">
        <v>4567.1344120000003</v>
      </c>
      <c r="AN19" s="106">
        <v>6668.8408689999997</v>
      </c>
      <c r="AO19" s="106">
        <v>6197.3805979999997</v>
      </c>
      <c r="AP19" s="106">
        <v>3054.8659339999999</v>
      </c>
      <c r="AQ19" s="106">
        <v>3233.4749579999998</v>
      </c>
      <c r="AR19" s="106">
        <v>5854.0300870000001</v>
      </c>
      <c r="AS19" s="106">
        <v>7970.9774440000001</v>
      </c>
      <c r="AT19" s="106">
        <v>11326.22781</v>
      </c>
      <c r="AU19" s="106">
        <v>14753.748820000001</v>
      </c>
      <c r="AV19" s="106">
        <v>12962.94198</v>
      </c>
      <c r="AW19" s="102">
        <v>14616.128849999999</v>
      </c>
      <c r="AX19" s="102">
        <v>10469.706759999999</v>
      </c>
      <c r="AY19" s="102">
        <v>10643.554539999999</v>
      </c>
      <c r="AZ19" s="102">
        <v>5713.3770809999996</v>
      </c>
      <c r="BA19" s="102">
        <v>3655.5676360000002</v>
      </c>
      <c r="BB19" s="102">
        <v>12566.04495</v>
      </c>
      <c r="BC19" s="92">
        <v>2597.5672960000002</v>
      </c>
      <c r="BD19" s="92">
        <v>7321.7256870000001</v>
      </c>
      <c r="BE19" s="92">
        <v>12657.63141</v>
      </c>
      <c r="BF19" s="92">
        <v>12771.72365</v>
      </c>
      <c r="BG19" s="92">
        <v>13176.41526</v>
      </c>
      <c r="BH19" s="92">
        <v>23298.475119999999</v>
      </c>
      <c r="BI19" s="92">
        <v>7400.2637949999998</v>
      </c>
      <c r="BJ19" s="92">
        <v>7472.8505089999999</v>
      </c>
      <c r="BK19" s="92">
        <v>6299.0821459999997</v>
      </c>
      <c r="BL19" s="92">
        <v>291.58</v>
      </c>
      <c r="BM19" s="92">
        <v>624.43802225178001</v>
      </c>
      <c r="BN19" s="102">
        <v>253.32616494984032</v>
      </c>
      <c r="BO19" s="102">
        <v>310.57</v>
      </c>
      <c r="BP19" s="102">
        <v>293.54220030427064</v>
      </c>
      <c r="BQ19" s="102">
        <v>3736.25</v>
      </c>
      <c r="BR19" s="102">
        <v>279.0671956387053</v>
      </c>
      <c r="BS19" s="102">
        <v>345</v>
      </c>
      <c r="BT19" s="102">
        <v>321.01000000000005</v>
      </c>
      <c r="BU19" s="102">
        <v>310.46000000000072</v>
      </c>
      <c r="BV19" s="102">
        <v>1268.984308316652</v>
      </c>
      <c r="BW19" s="102">
        <v>189.05334125916028</v>
      </c>
      <c r="BX19" s="102">
        <v>230.98992247940481</v>
      </c>
      <c r="BY19" s="102">
        <v>1267.2569054977371</v>
      </c>
      <c r="BZ19" s="102">
        <v>542.66247404752494</v>
      </c>
      <c r="CA19" s="102">
        <v>384.49171041282415</v>
      </c>
      <c r="CB19" s="102">
        <v>503.21905895992222</v>
      </c>
      <c r="CC19" s="102">
        <v>243.6200000000008</v>
      </c>
      <c r="CD19" s="102">
        <v>744.34999999999991</v>
      </c>
      <c r="CE19" s="102">
        <v>104.35999999999996</v>
      </c>
      <c r="CF19" s="102">
        <v>278.97598414418462</v>
      </c>
      <c r="CG19" s="102">
        <v>23.633187477003958</v>
      </c>
      <c r="CH19" s="102">
        <v>864.40587802450318</v>
      </c>
      <c r="CI19" s="102">
        <v>432.46061466095125</v>
      </c>
      <c r="CJ19" s="102">
        <v>681.58217373388743</v>
      </c>
      <c r="CK19" s="102">
        <v>2054.9172798675208</v>
      </c>
      <c r="CL19" s="102">
        <v>731.94727321176833</v>
      </c>
      <c r="CM19" s="102">
        <v>977.84150786005193</v>
      </c>
      <c r="CN19" s="102">
        <v>453.8084740608756</v>
      </c>
      <c r="CO19" s="102">
        <v>360.97654548109858</v>
      </c>
      <c r="CP19" s="102">
        <v>921.60583140225481</v>
      </c>
      <c r="CQ19" s="102">
        <v>393.55584065235598</v>
      </c>
      <c r="CR19" s="102">
        <v>601.40421272973663</v>
      </c>
      <c r="CS19" s="102">
        <v>2168.5496298427097</v>
      </c>
      <c r="CT19" s="102">
        <v>1123.3216291560038</v>
      </c>
      <c r="CU19" s="102">
        <v>1244.106279588239</v>
      </c>
      <c r="CV19" s="102">
        <v>2733.3116398800339</v>
      </c>
      <c r="CW19" s="650">
        <v>512.22736745106226</v>
      </c>
    </row>
    <row r="20" spans="2:101" x14ac:dyDescent="0.35">
      <c r="B20" s="3"/>
      <c r="C20" s="372" t="s">
        <v>27</v>
      </c>
      <c r="D20" s="373">
        <v>73600.396285296069</v>
      </c>
      <c r="E20" s="373">
        <v>62353.061194318056</v>
      </c>
      <c r="F20" s="373">
        <v>32860.107920528913</v>
      </c>
      <c r="G20" s="106">
        <v>43942.845981997561</v>
      </c>
      <c r="H20" s="106">
        <v>57579.821155484766</v>
      </c>
      <c r="I20" s="106">
        <v>43573.815440065817</v>
      </c>
      <c r="J20" s="106">
        <v>55275.369866910885</v>
      </c>
      <c r="K20" s="106">
        <v>127286.79442846394</v>
      </c>
      <c r="L20" s="106">
        <v>5848.6456524629975</v>
      </c>
      <c r="M20" s="106">
        <v>87642.506886102812</v>
      </c>
      <c r="N20" s="106">
        <v>68940.054142894631</v>
      </c>
      <c r="O20" s="106">
        <v>150749.9756167361</v>
      </c>
      <c r="P20" s="106">
        <v>67539.268374531093</v>
      </c>
      <c r="Q20" s="106">
        <v>25773.876891522483</v>
      </c>
      <c r="R20" s="106">
        <v>78100.6969537189</v>
      </c>
      <c r="S20" s="106">
        <v>46701.138987702478</v>
      </c>
      <c r="T20" s="106">
        <v>33407.016479601058</v>
      </c>
      <c r="U20" s="106">
        <v>24488.544936492654</v>
      </c>
      <c r="V20" s="106">
        <v>27075.902043464721</v>
      </c>
      <c r="W20" s="106">
        <v>30405.211788236018</v>
      </c>
      <c r="X20" s="106">
        <v>67704.285519511599</v>
      </c>
      <c r="Y20" s="106">
        <v>77236.278191069112</v>
      </c>
      <c r="Z20" s="106">
        <v>51956.073110563746</v>
      </c>
      <c r="AA20" s="106">
        <v>32228.930099883113</v>
      </c>
      <c r="AB20" s="106">
        <v>46922.03443</v>
      </c>
      <c r="AC20" s="106">
        <v>39348.798929999997</v>
      </c>
      <c r="AD20" s="106">
        <v>52259.488969999999</v>
      </c>
      <c r="AE20" s="106">
        <v>52731.911410000001</v>
      </c>
      <c r="AF20" s="106">
        <v>47582.543389999999</v>
      </c>
      <c r="AG20" s="106">
        <v>56436.245089999997</v>
      </c>
      <c r="AH20" s="106">
        <v>50815.583729999998</v>
      </c>
      <c r="AI20" s="106">
        <v>54884.671419999999</v>
      </c>
      <c r="AJ20" s="106">
        <v>20719.032510000001</v>
      </c>
      <c r="AK20" s="106">
        <v>41385.038650000002</v>
      </c>
      <c r="AL20" s="106">
        <v>21322.835419999999</v>
      </c>
      <c r="AM20" s="106">
        <v>16375.814630000001</v>
      </c>
      <c r="AN20" s="106">
        <v>38507.238559999998</v>
      </c>
      <c r="AO20" s="106">
        <v>39051.39961</v>
      </c>
      <c r="AP20" s="106">
        <v>39362.105159999999</v>
      </c>
      <c r="AQ20" s="106">
        <v>38926.694100000001</v>
      </c>
      <c r="AR20" s="106">
        <v>35912.226719999999</v>
      </c>
      <c r="AS20" s="106">
        <v>34526.720679999999</v>
      </c>
      <c r="AT20" s="106">
        <v>35706.176440000003</v>
      </c>
      <c r="AU20" s="106">
        <v>41274.081980000003</v>
      </c>
      <c r="AV20" s="106">
        <v>37317.948620000003</v>
      </c>
      <c r="AW20" s="102">
        <v>39466.103889999999</v>
      </c>
      <c r="AX20" s="102">
        <v>49640.95076</v>
      </c>
      <c r="AY20" s="102">
        <v>62567.8482</v>
      </c>
      <c r="AZ20" s="102">
        <v>34474.993840000003</v>
      </c>
      <c r="BA20" s="102">
        <v>51082.204819999999</v>
      </c>
      <c r="BB20" s="102">
        <v>1841.32205</v>
      </c>
      <c r="BC20" s="92">
        <v>46482.882080000003</v>
      </c>
      <c r="BD20" s="92">
        <v>51909.595289999997</v>
      </c>
      <c r="BE20" s="92">
        <v>34419.026810000003</v>
      </c>
      <c r="BF20" s="92">
        <v>41696.34648</v>
      </c>
      <c r="BG20" s="92">
        <v>49920.056279999997</v>
      </c>
      <c r="BH20" s="92">
        <v>33581.586799999997</v>
      </c>
      <c r="BI20" s="92">
        <v>80839.549729999999</v>
      </c>
      <c r="BJ20" s="92">
        <v>14373.87887</v>
      </c>
      <c r="BK20" s="92">
        <v>45725.496729999999</v>
      </c>
      <c r="BL20" s="92">
        <v>35539.565654231046</v>
      </c>
      <c r="BM20" s="92">
        <v>36658.547673541245</v>
      </c>
      <c r="BN20" s="102">
        <v>30942.743619779485</v>
      </c>
      <c r="BO20" s="102">
        <v>32196.685989437414</v>
      </c>
      <c r="BP20" s="102">
        <v>22351.198822374128</v>
      </c>
      <c r="BQ20" s="102">
        <v>24826.464412566482</v>
      </c>
      <c r="BR20" s="102">
        <v>24109.176100263012</v>
      </c>
      <c r="BS20" s="102">
        <v>25356.06781563615</v>
      </c>
      <c r="BT20" s="102">
        <v>46094.830000000096</v>
      </c>
      <c r="BU20" s="102">
        <v>25874.370000000101</v>
      </c>
      <c r="BV20" s="102">
        <v>33542.062742696195</v>
      </c>
      <c r="BW20" s="102">
        <v>25405.96466062453</v>
      </c>
      <c r="BX20" s="102">
        <v>27421.178979290264</v>
      </c>
      <c r="BY20" s="102">
        <v>18630.603817235355</v>
      </c>
      <c r="BZ20" s="102">
        <v>26517.269870448501</v>
      </c>
      <c r="CA20" s="102">
        <v>23759.86300042869</v>
      </c>
      <c r="CB20" s="102">
        <v>14886.074087984663</v>
      </c>
      <c r="CC20" s="102">
        <v>15650.056193858987</v>
      </c>
      <c r="CD20" s="102">
        <v>21275.452139478512</v>
      </c>
      <c r="CE20" s="102">
        <v>24925.808964773791</v>
      </c>
      <c r="CF20" s="102">
        <v>43879.339999999975</v>
      </c>
      <c r="CG20" s="102">
        <v>22207.51867094955</v>
      </c>
      <c r="CH20" s="102">
        <v>15181.115497626906</v>
      </c>
      <c r="CI20" s="102">
        <v>16234.076425779171</v>
      </c>
      <c r="CJ20" s="102">
        <v>18141.392080639467</v>
      </c>
      <c r="CK20" s="102">
        <v>16251.644030253883</v>
      </c>
      <c r="CL20" s="102">
        <v>16619.32505449537</v>
      </c>
      <c r="CM20" s="102">
        <v>19021.729678236727</v>
      </c>
      <c r="CN20" s="102">
        <v>16326.617044308907</v>
      </c>
      <c r="CO20" s="102">
        <v>16825.976365936185</v>
      </c>
      <c r="CP20" s="102">
        <v>16594.86425956622</v>
      </c>
      <c r="CQ20" s="102">
        <v>19568.179972678383</v>
      </c>
      <c r="CR20" s="102">
        <v>24216.173162201208</v>
      </c>
      <c r="CS20" s="102">
        <v>25728.651366996048</v>
      </c>
      <c r="CT20" s="102">
        <v>24117.16884573581</v>
      </c>
      <c r="CU20" s="102">
        <v>27475.083646632596</v>
      </c>
      <c r="CV20" s="102">
        <v>18734.204462871647</v>
      </c>
      <c r="CW20" s="650">
        <v>21113.109525135565</v>
      </c>
    </row>
    <row r="21" spans="2:101" x14ac:dyDescent="0.35">
      <c r="B21" s="3"/>
      <c r="C21" s="372" t="s">
        <v>28</v>
      </c>
      <c r="D21" s="373">
        <v>0</v>
      </c>
      <c r="E21" s="373">
        <v>0</v>
      </c>
      <c r="F21" s="373">
        <v>0</v>
      </c>
      <c r="G21" s="106">
        <v>0</v>
      </c>
      <c r="H21" s="106">
        <v>0</v>
      </c>
      <c r="I21" s="106">
        <v>0</v>
      </c>
      <c r="J21" s="106">
        <v>0</v>
      </c>
      <c r="K21" s="106">
        <v>0</v>
      </c>
      <c r="L21" s="106">
        <v>0</v>
      </c>
      <c r="M21" s="106">
        <v>0</v>
      </c>
      <c r="N21" s="106">
        <v>0</v>
      </c>
      <c r="O21" s="106">
        <v>0</v>
      </c>
      <c r="P21" s="106">
        <v>0</v>
      </c>
      <c r="Q21" s="106">
        <v>0</v>
      </c>
      <c r="R21" s="106">
        <v>0</v>
      </c>
      <c r="S21" s="106">
        <v>0</v>
      </c>
      <c r="T21" s="106">
        <v>0</v>
      </c>
      <c r="U21" s="106">
        <v>0</v>
      </c>
      <c r="V21" s="106">
        <v>0</v>
      </c>
      <c r="W21" s="106">
        <v>0</v>
      </c>
      <c r="X21" s="106">
        <v>0</v>
      </c>
      <c r="Y21" s="106">
        <v>0</v>
      </c>
      <c r="Z21" s="106">
        <v>0</v>
      </c>
      <c r="AA21" s="106">
        <v>0</v>
      </c>
      <c r="AB21" s="106">
        <v>0</v>
      </c>
      <c r="AC21" s="106">
        <v>0</v>
      </c>
      <c r="AD21" s="106">
        <v>0</v>
      </c>
      <c r="AE21" s="106">
        <v>0</v>
      </c>
      <c r="AF21" s="106">
        <v>0</v>
      </c>
      <c r="AG21" s="106">
        <v>0</v>
      </c>
      <c r="AH21" s="106">
        <v>10038.410338990669</v>
      </c>
      <c r="AI21" s="106">
        <v>8716.7744065982097</v>
      </c>
      <c r="AJ21" s="106">
        <v>5340.2376901529069</v>
      </c>
      <c r="AK21" s="106">
        <v>5128.9231985509132</v>
      </c>
      <c r="AL21" s="106">
        <v>193.54381907912372</v>
      </c>
      <c r="AM21" s="106">
        <v>202.04586097929385</v>
      </c>
      <c r="AN21" s="106">
        <v>2580.4131577270878</v>
      </c>
      <c r="AO21" s="106">
        <v>4402.1974713592253</v>
      </c>
      <c r="AP21" s="106">
        <v>5291.4942241937988</v>
      </c>
      <c r="AQ21" s="106">
        <v>4090.9659009391403</v>
      </c>
      <c r="AR21" s="106">
        <v>2253.4403940378993</v>
      </c>
      <c r="AS21" s="106">
        <v>4053.5189843580297</v>
      </c>
      <c r="AT21" s="106">
        <v>3188.245765446813</v>
      </c>
      <c r="AU21" s="106">
        <v>5321.3783438765968</v>
      </c>
      <c r="AV21" s="106">
        <v>3597.7877492071812</v>
      </c>
      <c r="AW21" s="102">
        <v>6752.2522537422692</v>
      </c>
      <c r="AX21" s="102">
        <v>7336.9690488515462</v>
      </c>
      <c r="AY21" s="102">
        <v>5961.0971384964541</v>
      </c>
      <c r="AZ21" s="102">
        <v>5343.453794</v>
      </c>
      <c r="BA21" s="102">
        <v>6632.3989549999997</v>
      </c>
      <c r="BB21" s="102">
        <v>13532.966700000001</v>
      </c>
      <c r="BC21" s="92">
        <v>15859.44635</v>
      </c>
      <c r="BD21" s="92">
        <v>17659.727050000001</v>
      </c>
      <c r="BE21" s="92">
        <v>17589.686099999999</v>
      </c>
      <c r="BF21" s="92">
        <v>17157.016490000002</v>
      </c>
      <c r="BG21" s="92">
        <v>28749.481370000001</v>
      </c>
      <c r="BH21" s="92">
        <v>39962.295960000003</v>
      </c>
      <c r="BI21" s="92">
        <v>39028.671470000001</v>
      </c>
      <c r="BJ21" s="92">
        <v>30903.94</v>
      </c>
      <c r="BK21" s="92">
        <v>59193.055959999998</v>
      </c>
      <c r="BL21" s="92">
        <v>23884.49077</v>
      </c>
      <c r="BM21" s="92">
        <v>33277.152119999999</v>
      </c>
      <c r="BN21" s="102">
        <v>35025.722930000004</v>
      </c>
      <c r="BO21" s="102">
        <v>28259.26727</v>
      </c>
      <c r="BP21" s="102">
        <v>20932.21543</v>
      </c>
      <c r="BQ21" s="102">
        <v>21733.966820000001</v>
      </c>
      <c r="BR21" s="102">
        <v>22778.939770000001</v>
      </c>
      <c r="BS21" s="102">
        <v>24580.980520000001</v>
      </c>
      <c r="BT21" s="102">
        <v>23742.969639999999</v>
      </c>
      <c r="BU21" s="102">
        <v>15979.05053</v>
      </c>
      <c r="BV21" s="102">
        <v>22967.770489999999</v>
      </c>
      <c r="BW21" s="102">
        <v>61055.237679999998</v>
      </c>
      <c r="BX21" s="102">
        <v>27374.77145</v>
      </c>
      <c r="BY21" s="102">
        <v>20494.875909999999</v>
      </c>
      <c r="BZ21" s="102">
        <v>29212.44155</v>
      </c>
      <c r="CA21" s="102">
        <v>35665.580620000001</v>
      </c>
      <c r="CB21" s="102">
        <v>28795.23677</v>
      </c>
      <c r="CC21" s="102">
        <v>25722.1515793361</v>
      </c>
      <c r="CD21" s="102">
        <v>15327.4591114246</v>
      </c>
      <c r="CE21" s="102">
        <v>18733.342251139598</v>
      </c>
      <c r="CF21" s="102">
        <v>15052.99835</v>
      </c>
      <c r="CG21" s="102">
        <v>1560.7770779079999</v>
      </c>
      <c r="CH21" s="102">
        <v>3957.7155506364288</v>
      </c>
      <c r="CI21" s="102">
        <v>11728.25694946791</v>
      </c>
      <c r="CJ21" s="102">
        <v>13584.561152617582</v>
      </c>
      <c r="CK21" s="102">
        <v>14108.644772655052</v>
      </c>
      <c r="CL21" s="102">
        <v>14170.774378713306</v>
      </c>
      <c r="CM21" s="102">
        <v>14579.740194853861</v>
      </c>
      <c r="CN21" s="102">
        <v>14705.541139024361</v>
      </c>
      <c r="CO21" s="102">
        <v>13676.411913831778</v>
      </c>
      <c r="CP21" s="102">
        <v>14751.831938399735</v>
      </c>
      <c r="CQ21" s="102">
        <v>17355.116025116029</v>
      </c>
      <c r="CR21" s="102">
        <v>22502.344880826015</v>
      </c>
      <c r="CS21" s="102">
        <v>13375.309430869465</v>
      </c>
      <c r="CT21" s="102">
        <v>13433.582163971794</v>
      </c>
      <c r="CU21" s="102">
        <v>14497.659320942847</v>
      </c>
      <c r="CV21" s="102">
        <v>9005.7642791882408</v>
      </c>
      <c r="CW21" s="650">
        <v>10345.905775591553</v>
      </c>
    </row>
    <row r="22" spans="2:101" x14ac:dyDescent="0.35">
      <c r="B22" s="3"/>
      <c r="C22" s="372" t="s">
        <v>200</v>
      </c>
      <c r="D22" s="373">
        <v>0</v>
      </c>
      <c r="E22" s="106">
        <v>0</v>
      </c>
      <c r="F22" s="106">
        <v>0</v>
      </c>
      <c r="G22" s="106">
        <v>0</v>
      </c>
      <c r="H22" s="106">
        <v>0</v>
      </c>
      <c r="I22" s="106">
        <v>0</v>
      </c>
      <c r="J22" s="106">
        <v>0</v>
      </c>
      <c r="K22" s="106">
        <v>0</v>
      </c>
      <c r="L22" s="106">
        <v>0</v>
      </c>
      <c r="M22" s="106">
        <v>0</v>
      </c>
      <c r="N22" s="106">
        <v>0</v>
      </c>
      <c r="O22" s="106">
        <v>0</v>
      </c>
      <c r="P22" s="106">
        <v>0</v>
      </c>
      <c r="Q22" s="106">
        <v>0</v>
      </c>
      <c r="R22" s="106">
        <v>0</v>
      </c>
      <c r="S22" s="106">
        <v>0</v>
      </c>
      <c r="T22" s="106">
        <v>0</v>
      </c>
      <c r="U22" s="106">
        <v>0</v>
      </c>
      <c r="V22" s="106">
        <v>0</v>
      </c>
      <c r="W22" s="106">
        <v>0</v>
      </c>
      <c r="X22" s="106">
        <v>0</v>
      </c>
      <c r="Y22" s="106">
        <v>0</v>
      </c>
      <c r="Z22" s="106">
        <v>0</v>
      </c>
      <c r="AA22" s="106">
        <v>0</v>
      </c>
      <c r="AB22" s="106">
        <v>0</v>
      </c>
      <c r="AC22" s="106">
        <v>0</v>
      </c>
      <c r="AD22" s="106">
        <v>0</v>
      </c>
      <c r="AE22" s="106">
        <v>0</v>
      </c>
      <c r="AF22" s="106">
        <v>0</v>
      </c>
      <c r="AG22" s="106">
        <v>0</v>
      </c>
      <c r="AH22" s="106">
        <v>0</v>
      </c>
      <c r="AI22" s="106">
        <v>0</v>
      </c>
      <c r="AJ22" s="106">
        <v>0</v>
      </c>
      <c r="AK22" s="106">
        <v>0</v>
      </c>
      <c r="AL22" s="106">
        <v>0</v>
      </c>
      <c r="AM22" s="106">
        <v>0</v>
      </c>
      <c r="AN22" s="106">
        <v>0</v>
      </c>
      <c r="AO22" s="106">
        <v>0</v>
      </c>
      <c r="AP22" s="106">
        <v>0</v>
      </c>
      <c r="AQ22" s="106">
        <v>0</v>
      </c>
      <c r="AR22" s="106">
        <v>0</v>
      </c>
      <c r="AS22" s="371">
        <v>0</v>
      </c>
      <c r="AT22" s="371">
        <v>0</v>
      </c>
      <c r="AU22" s="371">
        <v>0</v>
      </c>
      <c r="AV22" s="371">
        <v>0</v>
      </c>
      <c r="AW22" s="102">
        <v>0</v>
      </c>
      <c r="AX22" s="102">
        <v>2293.7799999999997</v>
      </c>
      <c r="AY22" s="102">
        <v>0</v>
      </c>
      <c r="AZ22" s="102">
        <v>1062.2</v>
      </c>
      <c r="BA22" s="102">
        <v>1189.67</v>
      </c>
      <c r="BB22" s="102">
        <v>0</v>
      </c>
      <c r="BC22" s="92">
        <v>-4782.21</v>
      </c>
      <c r="BD22" s="92">
        <v>0</v>
      </c>
      <c r="BE22" s="92">
        <v>0</v>
      </c>
      <c r="BF22" s="92">
        <v>0</v>
      </c>
      <c r="BG22" s="92">
        <v>0</v>
      </c>
      <c r="BH22" s="92">
        <v>0</v>
      </c>
      <c r="BI22" s="92">
        <v>0</v>
      </c>
      <c r="BJ22" s="92" t="s">
        <v>202</v>
      </c>
      <c r="BK22" s="92">
        <v>0</v>
      </c>
      <c r="BL22" s="92">
        <v>0</v>
      </c>
      <c r="BM22" s="92">
        <v>0</v>
      </c>
      <c r="BN22" s="102">
        <v>0</v>
      </c>
      <c r="BO22" s="102">
        <v>0</v>
      </c>
      <c r="BP22" s="102">
        <v>0</v>
      </c>
      <c r="BQ22" s="102">
        <v>0</v>
      </c>
      <c r="BR22" s="102">
        <v>0</v>
      </c>
      <c r="BS22" s="102">
        <v>0</v>
      </c>
      <c r="BT22" s="102">
        <v>0</v>
      </c>
      <c r="BU22" s="102">
        <v>0</v>
      </c>
      <c r="BV22" s="102">
        <v>0</v>
      </c>
      <c r="BW22" s="102">
        <v>0</v>
      </c>
      <c r="BX22" s="102">
        <v>0</v>
      </c>
      <c r="BY22" s="102">
        <v>0</v>
      </c>
      <c r="BZ22" s="102">
        <v>0</v>
      </c>
      <c r="CA22" s="102">
        <v>0</v>
      </c>
      <c r="CB22" s="102">
        <v>0</v>
      </c>
      <c r="CC22" s="102">
        <v>0</v>
      </c>
      <c r="CD22" s="102">
        <v>0</v>
      </c>
      <c r="CE22" s="102">
        <v>0</v>
      </c>
      <c r="CF22" s="102">
        <v>0</v>
      </c>
      <c r="CG22" s="102">
        <v>0</v>
      </c>
      <c r="CH22" s="102">
        <v>0</v>
      </c>
      <c r="CI22" s="102">
        <v>0</v>
      </c>
      <c r="CJ22" s="102">
        <v>0</v>
      </c>
      <c r="CK22" s="102">
        <v>0</v>
      </c>
      <c r="CL22" s="102">
        <v>0</v>
      </c>
      <c r="CM22" s="102">
        <v>0</v>
      </c>
      <c r="CN22" s="102">
        <v>0</v>
      </c>
      <c r="CO22" s="102">
        <v>0</v>
      </c>
      <c r="CP22" s="102">
        <v>0</v>
      </c>
      <c r="CQ22" s="102">
        <v>0</v>
      </c>
      <c r="CR22" s="102">
        <v>0</v>
      </c>
      <c r="CS22" s="102">
        <v>0</v>
      </c>
      <c r="CT22" s="102">
        <v>0</v>
      </c>
      <c r="CU22" s="102">
        <v>0</v>
      </c>
      <c r="CV22" s="102">
        <v>0</v>
      </c>
      <c r="CW22" s="650">
        <v>0</v>
      </c>
    </row>
    <row r="23" spans="2:101" x14ac:dyDescent="0.35">
      <c r="B23" s="3"/>
      <c r="C23" s="10" t="s">
        <v>198</v>
      </c>
      <c r="D23" s="100">
        <f t="shared" ref="D23:BO23" si="10">SUM(D18:D22)</f>
        <v>122504.4612337204</v>
      </c>
      <c r="E23" s="100">
        <f t="shared" si="10"/>
        <v>100070.28359576417</v>
      </c>
      <c r="F23" s="100">
        <f t="shared" si="10"/>
        <v>62417.01598394601</v>
      </c>
      <c r="G23" s="100">
        <f t="shared" si="10"/>
        <v>84704.152390013143</v>
      </c>
      <c r="H23" s="100">
        <f t="shared" si="10"/>
        <v>90272.096353148954</v>
      </c>
      <c r="I23" s="100">
        <f t="shared" si="10"/>
        <v>95520.46822148934</v>
      </c>
      <c r="J23" s="100">
        <f t="shared" si="10"/>
        <v>165054.83094247535</v>
      </c>
      <c r="K23" s="100">
        <f t="shared" si="10"/>
        <v>149111.05379567301</v>
      </c>
      <c r="L23" s="100">
        <f t="shared" si="10"/>
        <v>114803.0454194039</v>
      </c>
      <c r="M23" s="100">
        <f t="shared" si="10"/>
        <v>132165.71698634676</v>
      </c>
      <c r="N23" s="100">
        <f t="shared" si="10"/>
        <v>145089.02843340574</v>
      </c>
      <c r="O23" s="100">
        <f t="shared" si="10"/>
        <v>192150.21258416699</v>
      </c>
      <c r="P23" s="100">
        <f t="shared" si="10"/>
        <v>115265.06197957517</v>
      </c>
      <c r="Q23" s="100">
        <f t="shared" si="10"/>
        <v>73400.298489697219</v>
      </c>
      <c r="R23" s="100">
        <f t="shared" si="10"/>
        <v>110520.0323604069</v>
      </c>
      <c r="S23" s="100">
        <f t="shared" si="10"/>
        <v>78908.288362275474</v>
      </c>
      <c r="T23" s="100">
        <f t="shared" si="10"/>
        <v>73446.58020088452</v>
      </c>
      <c r="U23" s="100">
        <f t="shared" si="10"/>
        <v>57700.747372935759</v>
      </c>
      <c r="V23" s="100">
        <f t="shared" si="10"/>
        <v>63796.568436906033</v>
      </c>
      <c r="W23" s="100">
        <f t="shared" si="10"/>
        <v>68594.054319869843</v>
      </c>
      <c r="X23" s="100">
        <f t="shared" si="10"/>
        <v>110272.22381839945</v>
      </c>
      <c r="Y23" s="100">
        <f t="shared" si="10"/>
        <v>114969.84746266305</v>
      </c>
      <c r="Z23" s="100">
        <f t="shared" si="10"/>
        <v>109016.10462815795</v>
      </c>
      <c r="AA23" s="100">
        <f t="shared" si="10"/>
        <v>148342.52676654985</v>
      </c>
      <c r="AB23" s="100">
        <f t="shared" si="10"/>
        <v>134624.60820000002</v>
      </c>
      <c r="AC23" s="100">
        <f t="shared" si="10"/>
        <v>119228.12664</v>
      </c>
      <c r="AD23" s="100">
        <f t="shared" si="10"/>
        <v>116947.8217</v>
      </c>
      <c r="AE23" s="100">
        <f t="shared" si="10"/>
        <v>87540.764743000007</v>
      </c>
      <c r="AF23" s="100">
        <f t="shared" si="10"/>
        <v>100803.64672</v>
      </c>
      <c r="AG23" s="100">
        <f t="shared" si="10"/>
        <v>85470.338669999997</v>
      </c>
      <c r="AH23" s="100">
        <f t="shared" si="10"/>
        <v>90417.23074999066</v>
      </c>
      <c r="AI23" s="100">
        <f t="shared" si="10"/>
        <v>85534.125526598218</v>
      </c>
      <c r="AJ23" s="100">
        <f t="shared" si="10"/>
        <v>54786.480907152902</v>
      </c>
      <c r="AK23" s="100">
        <f t="shared" si="10"/>
        <v>63422.038729550914</v>
      </c>
      <c r="AL23" s="100">
        <f t="shared" si="10"/>
        <v>51677.729719579125</v>
      </c>
      <c r="AM23" s="100">
        <f t="shared" si="10"/>
        <v>52458.944652979291</v>
      </c>
      <c r="AN23" s="100">
        <f t="shared" si="10"/>
        <v>59966.894726727085</v>
      </c>
      <c r="AO23" s="100">
        <f t="shared" si="10"/>
        <v>70677.92677935923</v>
      </c>
      <c r="AP23" s="100">
        <f t="shared" si="10"/>
        <v>69099.1166981938</v>
      </c>
      <c r="AQ23" s="100">
        <f t="shared" si="10"/>
        <v>89731.045268939153</v>
      </c>
      <c r="AR23" s="100">
        <f t="shared" si="10"/>
        <v>95975.835081037891</v>
      </c>
      <c r="AS23" s="100">
        <f t="shared" si="10"/>
        <v>89080.427888358026</v>
      </c>
      <c r="AT23" s="100">
        <f t="shared" si="10"/>
        <v>93721.340025446829</v>
      </c>
      <c r="AU23" s="100">
        <f t="shared" si="10"/>
        <v>108308.03337387659</v>
      </c>
      <c r="AV23" s="100">
        <f t="shared" si="10"/>
        <v>129870.29085920721</v>
      </c>
      <c r="AW23" s="100">
        <f t="shared" si="10"/>
        <v>111176.15166374226</v>
      </c>
      <c r="AX23" s="100">
        <f t="shared" si="10"/>
        <v>119661.18062885155</v>
      </c>
      <c r="AY23" s="100">
        <f t="shared" si="10"/>
        <v>146994.65136849647</v>
      </c>
      <c r="AZ23" s="100">
        <f t="shared" si="10"/>
        <v>95809.60927500001</v>
      </c>
      <c r="BA23" s="100">
        <f t="shared" si="10"/>
        <v>100039.76698099999</v>
      </c>
      <c r="BB23" s="100">
        <f t="shared" si="10"/>
        <v>54383.936249999999</v>
      </c>
      <c r="BC23" s="100">
        <f t="shared" si="10"/>
        <v>94127.176175999994</v>
      </c>
      <c r="BD23" s="100">
        <f t="shared" si="10"/>
        <v>107269.92842699999</v>
      </c>
      <c r="BE23" s="100">
        <f t="shared" si="10"/>
        <v>102725.99585000001</v>
      </c>
      <c r="BF23" s="100">
        <f t="shared" si="10"/>
        <v>119312.79338000002</v>
      </c>
      <c r="BG23" s="100">
        <f t="shared" si="10"/>
        <v>141377.21504000001</v>
      </c>
      <c r="BH23" s="100">
        <f t="shared" si="10"/>
        <v>134268.79788000003</v>
      </c>
      <c r="BI23" s="100">
        <f t="shared" si="10"/>
        <v>125073.59499499999</v>
      </c>
      <c r="BJ23" s="100">
        <f t="shared" si="10"/>
        <v>134559.799379</v>
      </c>
      <c r="BK23" s="100">
        <f t="shared" si="10"/>
        <v>219998.22483599998</v>
      </c>
      <c r="BL23" s="100">
        <f t="shared" si="10"/>
        <v>121179.36066569098</v>
      </c>
      <c r="BM23" s="100">
        <f t="shared" si="10"/>
        <v>135522.96488720545</v>
      </c>
      <c r="BN23" s="100">
        <f t="shared" si="10"/>
        <v>115301.08651211178</v>
      </c>
      <c r="BO23" s="100">
        <f t="shared" si="10"/>
        <v>138343.64883991439</v>
      </c>
      <c r="BP23" s="100">
        <f t="shared" ref="BP23:CN23" si="11">SUM(BP18:BP22)</f>
        <v>104276.51126564424</v>
      </c>
      <c r="BQ23" s="100">
        <f t="shared" si="11"/>
        <v>111100.7624947365</v>
      </c>
      <c r="BR23" s="100">
        <f t="shared" si="11"/>
        <v>135473.93456736483</v>
      </c>
      <c r="BS23" s="100">
        <f t="shared" si="11"/>
        <v>124028.27676622281</v>
      </c>
      <c r="BT23" s="100">
        <f t="shared" si="11"/>
        <v>159465.66964000009</v>
      </c>
      <c r="BU23" s="100">
        <f t="shared" si="11"/>
        <v>116492.17053000012</v>
      </c>
      <c r="BV23" s="100">
        <f t="shared" si="11"/>
        <v>146196.31390320326</v>
      </c>
      <c r="BW23" s="100">
        <f t="shared" si="11"/>
        <v>208231.70839296698</v>
      </c>
      <c r="BX23" s="100">
        <f t="shared" si="11"/>
        <v>124658.72062727917</v>
      </c>
      <c r="BY23" s="100">
        <f t="shared" si="11"/>
        <v>133202.45664918385</v>
      </c>
      <c r="BZ23" s="100">
        <f t="shared" si="11"/>
        <v>154847.01546251937</v>
      </c>
      <c r="CA23" s="100">
        <f t="shared" si="11"/>
        <v>183304.35601173984</v>
      </c>
      <c r="CB23" s="100">
        <f t="shared" si="11"/>
        <v>127767.03613577357</v>
      </c>
      <c r="CC23" s="100">
        <f t="shared" si="11"/>
        <v>104296.79830263142</v>
      </c>
      <c r="CD23" s="100">
        <f t="shared" si="11"/>
        <v>112158.63362550443</v>
      </c>
      <c r="CE23" s="100">
        <f t="shared" si="11"/>
        <v>128418.75754014225</v>
      </c>
      <c r="CF23" s="100">
        <f t="shared" si="11"/>
        <v>149872.1227386774</v>
      </c>
      <c r="CG23" s="100">
        <f t="shared" si="11"/>
        <v>132883.22620376499</v>
      </c>
      <c r="CH23" s="100">
        <f t="shared" si="11"/>
        <v>160801.77681942747</v>
      </c>
      <c r="CI23" s="100">
        <f t="shared" si="11"/>
        <v>142326.47167455702</v>
      </c>
      <c r="CJ23" s="100">
        <f t="shared" si="11"/>
        <v>150188.5106229613</v>
      </c>
      <c r="CK23" s="100">
        <f t="shared" si="11"/>
        <v>125467.46171222898</v>
      </c>
      <c r="CL23" s="100">
        <f t="shared" si="11"/>
        <v>123347.88996754814</v>
      </c>
      <c r="CM23" s="100">
        <f t="shared" si="11"/>
        <v>133927.83013098236</v>
      </c>
      <c r="CN23" s="100">
        <f t="shared" si="11"/>
        <v>128982.71079146749</v>
      </c>
      <c r="CO23" s="100">
        <f t="shared" ref="CO23:CU23" si="12">SUM(CO18:CO22)</f>
        <v>143363.78829027034</v>
      </c>
      <c r="CP23" s="100">
        <f t="shared" si="12"/>
        <v>159021.62935833738</v>
      </c>
      <c r="CQ23" s="100">
        <f t="shared" si="12"/>
        <v>172413.02619541861</v>
      </c>
      <c r="CR23" s="100">
        <f t="shared" si="12"/>
        <v>194110.00548933563</v>
      </c>
      <c r="CS23" s="100">
        <f t="shared" si="12"/>
        <v>173697.95568762126</v>
      </c>
      <c r="CT23" s="100">
        <f t="shared" si="12"/>
        <v>177777.02645727393</v>
      </c>
      <c r="CU23" s="100">
        <f t="shared" si="12"/>
        <v>173004.19218970978</v>
      </c>
      <c r="CV23" s="100">
        <f>SUM(CV18:CV22)</f>
        <v>162530.01861578086</v>
      </c>
      <c r="CW23" s="99">
        <f>SUM(CW18:CW22)</f>
        <v>176516.25356457647</v>
      </c>
    </row>
    <row r="24" spans="2:101" x14ac:dyDescent="0.35">
      <c r="B24" s="3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308"/>
      <c r="AC24" s="308"/>
      <c r="AD24" s="308"/>
      <c r="AE24" s="308"/>
      <c r="AF24" s="308"/>
      <c r="AG24" s="308"/>
      <c r="AH24" s="308"/>
      <c r="AI24" s="308"/>
      <c r="AJ24" s="308"/>
      <c r="AK24" s="308"/>
      <c r="AL24" s="308"/>
      <c r="AM24" s="308"/>
      <c r="AN24" s="308"/>
      <c r="AO24" s="308"/>
      <c r="AP24" s="308"/>
      <c r="AQ24" s="308"/>
      <c r="AR24" s="308"/>
      <c r="AS24" s="308"/>
      <c r="AT24" s="308"/>
      <c r="AU24" s="308"/>
      <c r="AV24" s="308"/>
      <c r="AW24" s="308"/>
      <c r="AX24" s="308"/>
      <c r="AY24" s="308"/>
      <c r="AZ24" s="308"/>
      <c r="BA24" s="308"/>
      <c r="BB24" s="308"/>
      <c r="BC24" s="308"/>
      <c r="BD24" s="308"/>
      <c r="BE24" s="308"/>
      <c r="BF24" s="308"/>
      <c r="BG24" s="308"/>
      <c r="BH24" s="308"/>
      <c r="BI24" s="308"/>
      <c r="BJ24" s="308"/>
      <c r="BK24" s="308"/>
      <c r="BL24" s="308"/>
      <c r="BM24" s="308"/>
      <c r="BN24" s="308"/>
      <c r="BO24" s="308"/>
      <c r="BP24" s="308"/>
      <c r="BQ24" s="308"/>
      <c r="BR24" s="308"/>
      <c r="BS24" s="308"/>
      <c r="BT24" s="308"/>
      <c r="BU24" s="308"/>
      <c r="BV24" s="308"/>
      <c r="BW24" s="308"/>
      <c r="BX24" s="308"/>
      <c r="BY24" s="308"/>
      <c r="BZ24" s="308"/>
      <c r="CA24" s="308"/>
      <c r="CB24" s="308"/>
      <c r="CC24" s="308"/>
      <c r="CD24" s="308"/>
      <c r="CE24" s="308"/>
      <c r="CF24" s="308"/>
      <c r="CG24" s="308"/>
      <c r="CH24" s="308"/>
      <c r="CI24" s="308"/>
      <c r="CJ24" s="308"/>
      <c r="CK24" s="308"/>
      <c r="CL24" s="308"/>
      <c r="CW24" s="79"/>
    </row>
    <row r="25" spans="2:101" x14ac:dyDescent="0.35">
      <c r="D25" s="96"/>
      <c r="E25" s="96"/>
      <c r="F25" s="330"/>
      <c r="G25" s="330"/>
      <c r="H25" s="330"/>
      <c r="I25" s="330"/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0"/>
      <c r="U25" s="330"/>
      <c r="V25" s="330"/>
      <c r="W25" s="330"/>
      <c r="X25" s="330"/>
      <c r="Y25" s="330"/>
      <c r="Z25" s="330"/>
      <c r="AA25" s="330"/>
      <c r="AB25" s="330"/>
      <c r="AC25" s="330"/>
      <c r="AD25" s="330"/>
      <c r="AE25" s="330"/>
      <c r="AF25" s="330"/>
      <c r="AG25" s="330"/>
      <c r="AH25" s="330"/>
      <c r="AI25" s="330"/>
      <c r="AJ25" s="330"/>
      <c r="AK25" s="330"/>
      <c r="AL25" s="330"/>
      <c r="AM25" s="330"/>
      <c r="AN25" s="330"/>
      <c r="AO25" s="330"/>
      <c r="AP25" s="330"/>
      <c r="AQ25" s="330"/>
      <c r="AR25" s="330"/>
      <c r="AS25" s="330"/>
      <c r="AZ25" s="330"/>
      <c r="BA25" s="330"/>
      <c r="BB25" s="330"/>
      <c r="BC25" s="330"/>
      <c r="BD25" s="330"/>
      <c r="BE25" s="330"/>
      <c r="BF25" s="330"/>
      <c r="BG25" s="330"/>
      <c r="BH25" s="330"/>
      <c r="BI25" s="330"/>
      <c r="BJ25" s="330"/>
      <c r="BK25" s="330"/>
      <c r="BL25" s="330"/>
      <c r="BM25" s="330"/>
      <c r="BN25" s="330"/>
      <c r="BO25" s="330"/>
      <c r="BP25" s="330"/>
      <c r="BQ25" s="330"/>
      <c r="BR25" s="330"/>
      <c r="BS25" s="330"/>
      <c r="BT25" s="330"/>
      <c r="BU25" s="330"/>
      <c r="BV25" s="330"/>
      <c r="BW25" s="330"/>
      <c r="BX25" s="330"/>
      <c r="BY25" s="330"/>
      <c r="BZ25" s="330"/>
      <c r="CA25" s="330"/>
      <c r="CB25" s="330"/>
      <c r="CC25" s="330"/>
      <c r="CD25" s="330"/>
      <c r="CE25" s="330"/>
      <c r="CF25" s="330"/>
      <c r="CG25" s="330"/>
      <c r="CH25" s="330"/>
      <c r="CI25" s="330"/>
      <c r="CJ25" s="330"/>
      <c r="CK25" s="330"/>
      <c r="CL25" s="330"/>
      <c r="CW25" s="79"/>
    </row>
    <row r="26" spans="2:101" s="10" customFormat="1" x14ac:dyDescent="0.35">
      <c r="B26" s="10" t="s">
        <v>203</v>
      </c>
      <c r="D26" s="96">
        <f t="shared" ref="D26:BO26" si="13">D15+D23</f>
        <v>639146.99999999988</v>
      </c>
      <c r="E26" s="96">
        <f t="shared" si="13"/>
        <v>622382.00000000012</v>
      </c>
      <c r="F26" s="96">
        <f t="shared" si="13"/>
        <v>605883.00000000012</v>
      </c>
      <c r="G26" s="96">
        <f t="shared" si="13"/>
        <v>637639.99999999988</v>
      </c>
      <c r="H26" s="96">
        <f t="shared" si="13"/>
        <v>642497.99999999988</v>
      </c>
      <c r="I26" s="96">
        <f t="shared" si="13"/>
        <v>669885</v>
      </c>
      <c r="J26" s="96">
        <f t="shared" si="13"/>
        <v>746354.00000000023</v>
      </c>
      <c r="K26" s="96">
        <f t="shared" si="13"/>
        <v>753906.00000000023</v>
      </c>
      <c r="L26" s="96">
        <f t="shared" si="13"/>
        <v>735804.26889028715</v>
      </c>
      <c r="M26" s="96">
        <f t="shared" si="13"/>
        <v>755020.00000000012</v>
      </c>
      <c r="N26" s="96">
        <f t="shared" si="13"/>
        <v>786812.81250000023</v>
      </c>
      <c r="O26" s="96">
        <f t="shared" si="13"/>
        <v>821137.00000000035</v>
      </c>
      <c r="P26" s="96">
        <f t="shared" si="13"/>
        <v>802038.99999999965</v>
      </c>
      <c r="Q26" s="96">
        <f t="shared" si="13"/>
        <v>799565.99999999953</v>
      </c>
      <c r="R26" s="96">
        <f t="shared" si="13"/>
        <v>840978.00000000047</v>
      </c>
      <c r="S26" s="96">
        <f t="shared" si="13"/>
        <v>829964.4615384615</v>
      </c>
      <c r="T26" s="96">
        <f t="shared" si="13"/>
        <v>840841.92307692242</v>
      </c>
      <c r="U26" s="96">
        <f t="shared" si="13"/>
        <v>854072.99999999977</v>
      </c>
      <c r="V26" s="96">
        <f t="shared" si="13"/>
        <v>897330.29411764722</v>
      </c>
      <c r="W26" s="96">
        <f t="shared" si="13"/>
        <v>932348.38842975162</v>
      </c>
      <c r="X26" s="96">
        <f t="shared" si="13"/>
        <v>974395.08258104359</v>
      </c>
      <c r="Y26" s="96">
        <f t="shared" si="13"/>
        <v>989270.00000000023</v>
      </c>
      <c r="Z26" s="96">
        <f t="shared" si="13"/>
        <v>1000407</v>
      </c>
      <c r="AA26" s="96">
        <f t="shared" si="13"/>
        <v>1029425.6897425416</v>
      </c>
      <c r="AB26" s="96">
        <f t="shared" si="13"/>
        <v>1049351.4722486762</v>
      </c>
      <c r="AC26" s="96">
        <f t="shared" si="13"/>
        <v>1047759.0074922217</v>
      </c>
      <c r="AD26" s="96">
        <f t="shared" si="13"/>
        <v>1067780.259472908</v>
      </c>
      <c r="AE26" s="96">
        <f t="shared" si="13"/>
        <v>1019626.7969266158</v>
      </c>
      <c r="AF26" s="96">
        <f t="shared" si="13"/>
        <v>1018587.5705228696</v>
      </c>
      <c r="AG26" s="96">
        <f t="shared" si="13"/>
        <v>1015254.2207703374</v>
      </c>
      <c r="AH26" s="96">
        <f t="shared" si="13"/>
        <v>1028837.212550151</v>
      </c>
      <c r="AI26" s="96">
        <f t="shared" si="13"/>
        <v>1022396.9254929522</v>
      </c>
      <c r="AJ26" s="96">
        <f t="shared" si="13"/>
        <v>1008380.3949392135</v>
      </c>
      <c r="AK26" s="96">
        <f t="shared" si="13"/>
        <v>1024398.9473843485</v>
      </c>
      <c r="AL26" s="96">
        <f t="shared" si="13"/>
        <v>1017833.7962651254</v>
      </c>
      <c r="AM26" s="96">
        <f t="shared" si="13"/>
        <v>1034421.2146731139</v>
      </c>
      <c r="AN26" s="96">
        <f t="shared" si="13"/>
        <v>1049467.4577198087</v>
      </c>
      <c r="AO26" s="96">
        <f t="shared" si="13"/>
        <v>1069359.8202220935</v>
      </c>
      <c r="AP26" s="96">
        <f t="shared" si="13"/>
        <v>1064298.851036682</v>
      </c>
      <c r="AQ26" s="96">
        <f t="shared" si="13"/>
        <v>1088622.8428510339</v>
      </c>
      <c r="AR26" s="96">
        <f t="shared" si="13"/>
        <v>1119584.5194453434</v>
      </c>
      <c r="AS26" s="96">
        <f t="shared" si="13"/>
        <v>1139012.118990635</v>
      </c>
      <c r="AT26" s="96">
        <f t="shared" si="13"/>
        <v>1197362.7990333089</v>
      </c>
      <c r="AU26" s="96">
        <f t="shared" si="13"/>
        <v>1300644.6592620802</v>
      </c>
      <c r="AV26" s="96">
        <f t="shared" si="13"/>
        <v>1262745.7519818258</v>
      </c>
      <c r="AW26" s="96">
        <f t="shared" si="13"/>
        <v>1310313.0455384972</v>
      </c>
      <c r="AX26" s="96">
        <f t="shared" si="13"/>
        <v>1366061.7420522356</v>
      </c>
      <c r="AY26" s="96">
        <f t="shared" si="13"/>
        <v>1420706.0047542211</v>
      </c>
      <c r="AZ26" s="96">
        <f t="shared" si="13"/>
        <v>1365402.8835749999</v>
      </c>
      <c r="BA26" s="96">
        <f t="shared" si="13"/>
        <v>1392826.042681</v>
      </c>
      <c r="BB26" s="96">
        <f t="shared" si="13"/>
        <v>1395265.2503500001</v>
      </c>
      <c r="BC26" s="96">
        <f t="shared" si="13"/>
        <v>1474176.7896759999</v>
      </c>
      <c r="BD26" s="96">
        <f t="shared" si="13"/>
        <v>1526574.3094269999</v>
      </c>
      <c r="BE26" s="96">
        <f t="shared" si="13"/>
        <v>1555971.7647500001</v>
      </c>
      <c r="BF26" s="96">
        <f t="shared" si="13"/>
        <v>1593609.7096799999</v>
      </c>
      <c r="BG26" s="96">
        <f t="shared" si="13"/>
        <v>1609980.7944399999</v>
      </c>
      <c r="BH26" s="96">
        <f t="shared" si="13"/>
        <v>1699017.46248</v>
      </c>
      <c r="BI26" s="96">
        <f t="shared" si="13"/>
        <v>1738174.5472949997</v>
      </c>
      <c r="BJ26" s="96">
        <f t="shared" si="13"/>
        <v>1739215.489479</v>
      </c>
      <c r="BK26" s="96">
        <f t="shared" si="13"/>
        <v>1814355.4169359999</v>
      </c>
      <c r="BL26" s="96">
        <f t="shared" si="13"/>
        <v>1763719.5268511118</v>
      </c>
      <c r="BM26" s="96">
        <f t="shared" si="13"/>
        <v>1783521.0570218479</v>
      </c>
      <c r="BN26" s="96">
        <f t="shared" si="13"/>
        <v>1766730.2400233452</v>
      </c>
      <c r="BO26" s="96">
        <f t="shared" si="13"/>
        <v>1788925.427203885</v>
      </c>
      <c r="BP26" s="96">
        <f t="shared" ref="BP26:CN26" si="14">BP15+BP23</f>
        <v>1755475.2630599991</v>
      </c>
      <c r="BQ26" s="96">
        <f t="shared" si="14"/>
        <v>1783854.9222966938</v>
      </c>
      <c r="BR26" s="96">
        <f t="shared" si="14"/>
        <v>1754831.6108313035</v>
      </c>
      <c r="BS26" s="96">
        <f t="shared" si="14"/>
        <v>1768245.6631508404</v>
      </c>
      <c r="BT26" s="96">
        <f t="shared" si="14"/>
        <v>1831425.2096647699</v>
      </c>
      <c r="BU26" s="96">
        <f t="shared" si="14"/>
        <v>1797900.8705300004</v>
      </c>
      <c r="BV26" s="96">
        <f t="shared" si="14"/>
        <v>1847512.1890628254</v>
      </c>
      <c r="BW26" s="96">
        <f t="shared" si="14"/>
        <v>1898214.0847113961</v>
      </c>
      <c r="BX26" s="96">
        <f t="shared" si="14"/>
        <v>1840748.5439106296</v>
      </c>
      <c r="BY26" s="96">
        <f t="shared" si="14"/>
        <v>1868458.155816617</v>
      </c>
      <c r="BZ26" s="96">
        <f t="shared" si="14"/>
        <v>1888079.9638627055</v>
      </c>
      <c r="CA26" s="96">
        <f t="shared" si="14"/>
        <v>1909860.961915198</v>
      </c>
      <c r="CB26" s="96">
        <f t="shared" si="14"/>
        <v>1860328.3299622545</v>
      </c>
      <c r="CC26" s="96">
        <f t="shared" si="14"/>
        <v>1836332.366775156</v>
      </c>
      <c r="CD26" s="96">
        <f t="shared" si="14"/>
        <v>1826633.0105529979</v>
      </c>
      <c r="CE26" s="96">
        <f t="shared" si="14"/>
        <v>1814098.8912423798</v>
      </c>
      <c r="CF26" s="96">
        <f t="shared" si="14"/>
        <v>1796478.3722017291</v>
      </c>
      <c r="CG26" s="96">
        <f t="shared" si="14"/>
        <v>1778822.1557449447</v>
      </c>
      <c r="CH26" s="96">
        <f t="shared" si="14"/>
        <v>1857620.0753730042</v>
      </c>
      <c r="CI26" s="96">
        <f t="shared" si="14"/>
        <v>1810907.8283591922</v>
      </c>
      <c r="CJ26" s="96">
        <f t="shared" si="14"/>
        <v>1832601.3361449686</v>
      </c>
      <c r="CK26" s="96">
        <f t="shared" si="14"/>
        <v>1821804.2592939576</v>
      </c>
      <c r="CL26" s="96">
        <f t="shared" si="14"/>
        <v>1776605.3920497717</v>
      </c>
      <c r="CM26" s="96">
        <f t="shared" si="14"/>
        <v>1794937.0017218734</v>
      </c>
      <c r="CN26" s="96">
        <f t="shared" si="14"/>
        <v>1791578.6640059422</v>
      </c>
      <c r="CO26" s="96">
        <f t="shared" ref="CO26:CU26" si="15">CO15+CO23</f>
        <v>1815720.3799569947</v>
      </c>
      <c r="CP26" s="96">
        <f t="shared" si="15"/>
        <v>1913502.795065694</v>
      </c>
      <c r="CQ26" s="96">
        <f t="shared" si="15"/>
        <v>1955410.7471578477</v>
      </c>
      <c r="CR26" s="96">
        <f t="shared" si="15"/>
        <v>2018652.8074127615</v>
      </c>
      <c r="CS26" s="96">
        <f t="shared" si="15"/>
        <v>1994057.5295048426</v>
      </c>
      <c r="CT26" s="96">
        <f t="shared" si="15"/>
        <v>2052595.1735487001</v>
      </c>
      <c r="CU26" s="96">
        <f t="shared" si="15"/>
        <v>2017246.8625363703</v>
      </c>
      <c r="CV26" s="96">
        <f>CV15+CV23</f>
        <v>1987737.4638376692</v>
      </c>
      <c r="CW26" s="97">
        <f>CW15+CW23</f>
        <v>1997379.1996331643</v>
      </c>
    </row>
    <row r="27" spans="2:101" x14ac:dyDescent="0.35">
      <c r="B27"/>
      <c r="C27"/>
      <c r="D27" s="92"/>
      <c r="E27" s="92"/>
      <c r="F27" s="330"/>
      <c r="G27" s="330"/>
      <c r="H27" s="330"/>
      <c r="I27" s="330"/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0"/>
      <c r="U27" s="330"/>
      <c r="V27" s="330"/>
      <c r="W27" s="330"/>
      <c r="X27" s="330"/>
      <c r="Y27" s="330"/>
      <c r="Z27" s="330"/>
      <c r="AA27" s="330"/>
      <c r="AB27" s="330"/>
      <c r="AC27" s="330"/>
      <c r="AD27" s="330"/>
      <c r="AE27" s="330"/>
      <c r="AF27" s="330"/>
      <c r="AG27" s="330"/>
      <c r="AH27" s="330"/>
      <c r="AI27" s="330"/>
      <c r="AJ27" s="330"/>
      <c r="AK27" s="330"/>
      <c r="AL27" s="330"/>
      <c r="AM27" s="330"/>
      <c r="AN27" s="330"/>
      <c r="AO27" s="330"/>
      <c r="AP27" s="330"/>
      <c r="AQ27" s="330"/>
      <c r="AR27" s="330"/>
      <c r="AS27" s="330"/>
      <c r="BC27" s="92"/>
      <c r="BD27" s="92"/>
      <c r="BE27" s="92"/>
      <c r="BF27" s="92"/>
      <c r="BG27" s="92"/>
      <c r="BH27" s="92"/>
      <c r="BI27" s="92"/>
      <c r="BJ27" s="92"/>
      <c r="BK27" s="92"/>
      <c r="BL27" s="92"/>
      <c r="BM27" s="92"/>
      <c r="BN27" s="92"/>
      <c r="BO27" s="92"/>
      <c r="BP27"/>
      <c r="CW27" s="79"/>
    </row>
    <row r="28" spans="2:101" ht="15" customHeight="1" x14ac:dyDescent="0.35">
      <c r="B28" s="328" t="s">
        <v>91</v>
      </c>
      <c r="D28" s="92"/>
      <c r="E28" s="92"/>
      <c r="F28" s="330"/>
      <c r="G28" s="330"/>
      <c r="H28" s="330"/>
      <c r="I28" s="330"/>
      <c r="J28" s="330"/>
      <c r="K28" s="330"/>
      <c r="L28" s="330"/>
      <c r="M28" s="330"/>
      <c r="N28" s="330"/>
      <c r="O28" s="330"/>
      <c r="P28" s="330"/>
      <c r="Q28" s="330"/>
      <c r="R28" s="330"/>
      <c r="S28" s="330"/>
      <c r="T28" s="330"/>
      <c r="U28" s="330"/>
      <c r="V28" s="330"/>
      <c r="W28" s="330"/>
      <c r="X28" s="330"/>
      <c r="Y28" s="330"/>
      <c r="Z28" s="330"/>
      <c r="AA28" s="330"/>
      <c r="AB28" s="330"/>
      <c r="AC28" s="330"/>
      <c r="AD28" s="330"/>
      <c r="AE28" s="330"/>
      <c r="AF28" s="330"/>
      <c r="AG28" s="330"/>
      <c r="AH28" s="330"/>
      <c r="AI28" s="330"/>
      <c r="AJ28" s="330"/>
      <c r="AK28" s="330"/>
      <c r="AL28" s="330"/>
      <c r="AM28" s="330"/>
      <c r="AN28" s="330"/>
      <c r="AO28" s="330"/>
      <c r="AP28" s="330"/>
      <c r="AQ28" s="330"/>
      <c r="AR28" s="330"/>
      <c r="AS28" s="330"/>
      <c r="BC28" s="92"/>
      <c r="BD28" s="92"/>
      <c r="BE28" s="92"/>
      <c r="BF28" s="92"/>
      <c r="BG28" s="92"/>
      <c r="BH28" s="92"/>
      <c r="BI28" s="92"/>
      <c r="BJ28" s="92"/>
      <c r="BK28" s="92"/>
      <c r="BL28" s="92"/>
      <c r="BM28" s="92"/>
      <c r="BN28" s="92"/>
      <c r="BO28" s="92"/>
      <c r="BP28"/>
      <c r="CW28" s="79"/>
    </row>
    <row r="29" spans="2:101" x14ac:dyDescent="0.35">
      <c r="C29" s="370" t="s">
        <v>25</v>
      </c>
      <c r="D29" s="106">
        <v>6001.79</v>
      </c>
      <c r="E29" s="106">
        <v>11656.203959802689</v>
      </c>
      <c r="F29" s="106">
        <v>16350</v>
      </c>
      <c r="G29" s="106">
        <v>3538.05</v>
      </c>
      <c r="H29" s="106">
        <v>4899.8500000000004</v>
      </c>
      <c r="I29" s="106">
        <v>1530.0000634269854</v>
      </c>
      <c r="J29" s="106">
        <v>-571.54833517063093</v>
      </c>
      <c r="K29" s="106">
        <v>2165.5300000000002</v>
      </c>
      <c r="L29" s="106">
        <v>8798.68</v>
      </c>
      <c r="M29" s="106">
        <v>6486.09</v>
      </c>
      <c r="N29" s="106">
        <v>1913.4452336783431</v>
      </c>
      <c r="O29" s="106">
        <v>2923.9900000000002</v>
      </c>
      <c r="P29" s="106">
        <v>5990.1301845321268</v>
      </c>
      <c r="Q29" s="106">
        <v>-34.95999999999998</v>
      </c>
      <c r="R29" s="106">
        <v>1757.61</v>
      </c>
      <c r="S29" s="106">
        <v>19853</v>
      </c>
      <c r="T29" s="106">
        <v>43004.259448770426</v>
      </c>
      <c r="U29" s="106">
        <v>11014.289999999999</v>
      </c>
      <c r="V29" s="106">
        <v>19613.548385346152</v>
      </c>
      <c r="W29" s="106">
        <v>1113.54</v>
      </c>
      <c r="X29" s="106">
        <v>3852.6674189566043</v>
      </c>
      <c r="Y29" s="106">
        <v>6977.5400000000009</v>
      </c>
      <c r="Z29" s="106">
        <v>12118.548815711554</v>
      </c>
      <c r="AA29" s="106">
        <v>13559.980000000001</v>
      </c>
      <c r="AB29" s="106">
        <v>7959.4986099999996</v>
      </c>
      <c r="AC29" s="106">
        <v>12638.4061</v>
      </c>
      <c r="AD29" s="106">
        <v>4453</v>
      </c>
      <c r="AE29" s="106">
        <v>5262.77</v>
      </c>
      <c r="AF29" s="106">
        <v>8667.8700000000008</v>
      </c>
      <c r="AG29" s="106">
        <v>-2653.24</v>
      </c>
      <c r="AH29" s="106">
        <v>3821.9</v>
      </c>
      <c r="AI29" s="106">
        <v>5264.200366</v>
      </c>
      <c r="AJ29" s="106">
        <v>27871.41</v>
      </c>
      <c r="AK29" s="106">
        <v>997.2</v>
      </c>
      <c r="AL29" s="106">
        <v>24487.263610000002</v>
      </c>
      <c r="AM29" s="106">
        <v>17112.842860000001</v>
      </c>
      <c r="AN29" s="106">
        <v>4044.95</v>
      </c>
      <c r="AO29" s="106">
        <v>4153.1384580000004</v>
      </c>
      <c r="AP29" s="106">
        <v>27664.66</v>
      </c>
      <c r="AQ29" s="106">
        <v>12163.42</v>
      </c>
      <c r="AR29" s="106">
        <v>16858.123619999998</v>
      </c>
      <c r="AS29" s="106">
        <v>15006.06</v>
      </c>
      <c r="AT29" s="106">
        <v>25545.25</v>
      </c>
      <c r="AU29" s="106">
        <v>44477.87</v>
      </c>
      <c r="AV29" s="106">
        <v>31066.77867</v>
      </c>
      <c r="AW29" s="102">
        <v>48450.058799999999</v>
      </c>
      <c r="AX29" s="102">
        <v>13356.044680000001</v>
      </c>
      <c r="AY29" s="102">
        <v>1049</v>
      </c>
      <c r="AZ29" s="102">
        <v>26269.58</v>
      </c>
      <c r="BA29" s="102">
        <v>24700.18</v>
      </c>
      <c r="BB29" s="102">
        <v>31691.82</v>
      </c>
      <c r="BC29" s="92">
        <v>26663.13</v>
      </c>
      <c r="BD29" s="92">
        <v>29361.3</v>
      </c>
      <c r="BE29" s="92">
        <v>27479.910209999998</v>
      </c>
      <c r="BF29" s="92">
        <v>55357.092120000001</v>
      </c>
      <c r="BG29" s="92">
        <v>37699.039510000002</v>
      </c>
      <c r="BH29" s="92">
        <v>42308.124589999999</v>
      </c>
      <c r="BI29" s="92">
        <v>9332.6943690000007</v>
      </c>
      <c r="BJ29" s="92">
        <v>89079.982980000001</v>
      </c>
      <c r="BK29" s="92">
        <v>25985.69</v>
      </c>
      <c r="BL29" s="92">
        <v>14163.407518420496</v>
      </c>
      <c r="BM29" s="92">
        <v>16516.015312865991</v>
      </c>
      <c r="BN29" s="106">
        <v>74859.963601803145</v>
      </c>
      <c r="BO29" s="106">
        <v>31105.591645931454</v>
      </c>
      <c r="BP29" s="102">
        <v>17136.71203199308</v>
      </c>
      <c r="BQ29" s="102">
        <v>50783.008258576629</v>
      </c>
      <c r="BR29" s="102">
        <v>94903.773046017173</v>
      </c>
      <c r="BS29" s="102">
        <v>63556.121389848558</v>
      </c>
      <c r="BT29" s="102">
        <v>53421.33</v>
      </c>
      <c r="BU29" s="102">
        <v>46168.56</v>
      </c>
      <c r="BV29" s="102">
        <v>25865.247680229702</v>
      </c>
      <c r="BW29" s="102">
        <v>24810.670487418483</v>
      </c>
      <c r="BX29" s="102">
        <v>21074.869127918351</v>
      </c>
      <c r="BY29" s="102">
        <v>68286.585153084379</v>
      </c>
      <c r="BZ29" s="102">
        <v>94500.389608158395</v>
      </c>
      <c r="CA29" s="102">
        <v>37347.557679852449</v>
      </c>
      <c r="CB29" s="102">
        <v>56325.46688104757</v>
      </c>
      <c r="CC29" s="102">
        <v>44691.137194825889</v>
      </c>
      <c r="CD29" s="102">
        <v>42789.348337437339</v>
      </c>
      <c r="CE29" s="102">
        <v>45314.187067956518</v>
      </c>
      <c r="CF29" s="102">
        <v>25715.63</v>
      </c>
      <c r="CG29" s="102">
        <v>73686.036838210333</v>
      </c>
      <c r="CH29" s="102">
        <v>43129.90922916001</v>
      </c>
      <c r="CI29" s="102">
        <v>14513.58126492777</v>
      </c>
      <c r="CJ29" s="102">
        <v>29071.56528151306</v>
      </c>
      <c r="CK29" s="102">
        <v>39607.085031165792</v>
      </c>
      <c r="CL29" s="102">
        <v>5094.3949376899272</v>
      </c>
      <c r="CM29" s="102">
        <v>56765.125594584795</v>
      </c>
      <c r="CN29" s="102">
        <v>3955.6899999999996</v>
      </c>
      <c r="CO29" s="102">
        <v>46963.509032226888</v>
      </c>
      <c r="CP29" s="102">
        <v>16125.855920360975</v>
      </c>
      <c r="CQ29" s="102">
        <v>13308.52885490209</v>
      </c>
      <c r="CR29" s="102">
        <v>33299.036695496485</v>
      </c>
      <c r="CS29" s="102">
        <v>40691.057398622223</v>
      </c>
      <c r="CT29" s="102">
        <v>18977.417270931201</v>
      </c>
      <c r="CU29" s="102">
        <v>66960.759679917217</v>
      </c>
      <c r="CV29" s="102">
        <v>5460.3117669396179</v>
      </c>
      <c r="CW29" s="650">
        <v>9379.5522463726338</v>
      </c>
    </row>
    <row r="30" spans="2:101" x14ac:dyDescent="0.35">
      <c r="C30" s="372" t="s">
        <v>26</v>
      </c>
      <c r="D30" s="106">
        <v>0</v>
      </c>
      <c r="E30" s="106">
        <v>0</v>
      </c>
      <c r="F30" s="106">
        <v>0</v>
      </c>
      <c r="G30" s="106">
        <v>0</v>
      </c>
      <c r="H30" s="106">
        <v>0</v>
      </c>
      <c r="I30" s="106">
        <v>0</v>
      </c>
      <c r="J30" s="106">
        <v>0</v>
      </c>
      <c r="K30" s="106">
        <v>0</v>
      </c>
      <c r="L30" s="106">
        <v>0</v>
      </c>
      <c r="M30" s="106">
        <v>0</v>
      </c>
      <c r="N30" s="106">
        <v>0</v>
      </c>
      <c r="O30" s="106">
        <v>0</v>
      </c>
      <c r="P30" s="106">
        <v>0</v>
      </c>
      <c r="Q30" s="106">
        <v>0</v>
      </c>
      <c r="R30" s="106">
        <v>0</v>
      </c>
      <c r="S30" s="106">
        <v>0</v>
      </c>
      <c r="T30" s="106">
        <v>0</v>
      </c>
      <c r="U30" s="106">
        <v>0</v>
      </c>
      <c r="V30" s="106">
        <v>0</v>
      </c>
      <c r="W30" s="106">
        <v>0</v>
      </c>
      <c r="X30" s="106">
        <v>0</v>
      </c>
      <c r="Y30" s="106">
        <v>0</v>
      </c>
      <c r="Z30" s="106">
        <v>0</v>
      </c>
      <c r="AA30" s="106">
        <v>0</v>
      </c>
      <c r="AB30" s="106">
        <v>5385.95</v>
      </c>
      <c r="AC30" s="106">
        <v>9008.7800000000007</v>
      </c>
      <c r="AD30" s="106">
        <v>-1314.9791250000001</v>
      </c>
      <c r="AE30" s="106">
        <v>33170.480000000003</v>
      </c>
      <c r="AF30" s="106">
        <v>0</v>
      </c>
      <c r="AG30" s="106">
        <v>2778.5524599999999</v>
      </c>
      <c r="AH30" s="106">
        <v>3896.8938870000002</v>
      </c>
      <c r="AI30" s="106">
        <v>234.0522656</v>
      </c>
      <c r="AJ30" s="106">
        <v>4167.32</v>
      </c>
      <c r="AK30" s="106">
        <v>12008.11752</v>
      </c>
      <c r="AL30" s="106">
        <v>10005.553830000001</v>
      </c>
      <c r="AM30" s="106">
        <v>1401.9273539999999</v>
      </c>
      <c r="AN30" s="106">
        <v>3891.7</v>
      </c>
      <c r="AO30" s="106">
        <v>13326.273349999999</v>
      </c>
      <c r="AP30" s="106">
        <v>10833.38161</v>
      </c>
      <c r="AQ30" s="106">
        <v>76251.265029999995</v>
      </c>
      <c r="AR30" s="106">
        <v>32707.500189999999</v>
      </c>
      <c r="AS30" s="106">
        <v>59074.201000000001</v>
      </c>
      <c r="AT30" s="106">
        <v>39024.729619999998</v>
      </c>
      <c r="AU30" s="106">
        <v>18759.704849999998</v>
      </c>
      <c r="AV30" s="106">
        <v>78828.799199999994</v>
      </c>
      <c r="AW30" s="102">
        <v>62251.487679999998</v>
      </c>
      <c r="AX30" s="102">
        <v>61308.625139999996</v>
      </c>
      <c r="AY30" s="102">
        <v>-20420.23934</v>
      </c>
      <c r="AZ30" s="102">
        <v>17730.526129999998</v>
      </c>
      <c r="BA30" s="102">
        <v>7815.9203710000002</v>
      </c>
      <c r="BB30" s="102">
        <v>19874.283019999999</v>
      </c>
      <c r="BC30" s="92">
        <v>66448.647859999997</v>
      </c>
      <c r="BD30" s="92">
        <v>35430.076780000003</v>
      </c>
      <c r="BE30" s="92">
        <v>68035.846529999995</v>
      </c>
      <c r="BF30" s="92">
        <v>36539.079489999996</v>
      </c>
      <c r="BG30" s="92">
        <v>21252.446980000001</v>
      </c>
      <c r="BH30" s="92">
        <v>33671.765729999999</v>
      </c>
      <c r="BI30" s="92">
        <v>14180.39759</v>
      </c>
      <c r="BJ30" s="92">
        <v>64781.006159999997</v>
      </c>
      <c r="BK30" s="92">
        <v>18434.62025</v>
      </c>
      <c r="BL30" s="92">
        <v>0</v>
      </c>
      <c r="BM30" s="92">
        <v>0</v>
      </c>
      <c r="BN30" s="106">
        <v>0</v>
      </c>
      <c r="BO30" s="106">
        <v>0</v>
      </c>
      <c r="BP30" s="102">
        <v>882.47</v>
      </c>
      <c r="BQ30" s="102">
        <v>0</v>
      </c>
      <c r="BR30" s="102">
        <v>0</v>
      </c>
      <c r="BS30" s="102">
        <v>157.37999999999997</v>
      </c>
      <c r="BT30" s="102">
        <v>61.31</v>
      </c>
      <c r="BU30" s="102">
        <v>99.01</v>
      </c>
      <c r="BV30" s="102">
        <v>0</v>
      </c>
      <c r="BW30" s="102">
        <v>473.72175977195599</v>
      </c>
      <c r="BX30" s="102">
        <v>0</v>
      </c>
      <c r="BY30" s="102">
        <v>2895.7638016134401</v>
      </c>
      <c r="BZ30" s="102">
        <v>3876.40138387868</v>
      </c>
      <c r="CA30" s="102">
        <v>-721.35471308869023</v>
      </c>
      <c r="CB30" s="102">
        <v>2230.1479192942797</v>
      </c>
      <c r="CC30" s="102">
        <v>14465.801030397501</v>
      </c>
      <c r="CD30" s="102">
        <v>-601.94896404710994</v>
      </c>
      <c r="CE30" s="102">
        <v>300</v>
      </c>
      <c r="CF30" s="102">
        <v>17586.13</v>
      </c>
      <c r="CG30" s="102">
        <v>14245.9738194008</v>
      </c>
      <c r="CH30" s="102">
        <v>-7157.440504786382</v>
      </c>
      <c r="CI30" s="102">
        <v>33539.917247195408</v>
      </c>
      <c r="CJ30" s="102">
        <v>4763.1934361793865</v>
      </c>
      <c r="CK30" s="102">
        <v>44191.4203667068</v>
      </c>
      <c r="CL30" s="102">
        <v>14210.971382523179</v>
      </c>
      <c r="CM30" s="102">
        <v>37543.939365493636</v>
      </c>
      <c r="CN30" s="102">
        <v>27161.674130906271</v>
      </c>
      <c r="CO30" s="102">
        <v>19633.028904600913</v>
      </c>
      <c r="CP30" s="102">
        <v>2750</v>
      </c>
      <c r="CQ30" s="102">
        <v>21162.955659882558</v>
      </c>
      <c r="CR30" s="102">
        <v>1950</v>
      </c>
      <c r="CS30" s="102">
        <v>41915.129594059581</v>
      </c>
      <c r="CT30" s="102">
        <v>4850</v>
      </c>
      <c r="CU30" s="102">
        <v>43254.281515900286</v>
      </c>
      <c r="CV30" s="102">
        <v>48089.367030479341</v>
      </c>
      <c r="CW30" s="650">
        <v>900</v>
      </c>
    </row>
    <row r="31" spans="2:101" x14ac:dyDescent="0.35">
      <c r="C31" s="372" t="s">
        <v>27</v>
      </c>
      <c r="D31" s="106">
        <v>6647.2099999999928</v>
      </c>
      <c r="E31" s="106">
        <v>7684.7960401973105</v>
      </c>
      <c r="F31" s="106">
        <v>9336.9999999999964</v>
      </c>
      <c r="G31" s="106">
        <v>1223.9500000000003</v>
      </c>
      <c r="H31" s="106">
        <v>5196.1500000000015</v>
      </c>
      <c r="I31" s="106">
        <v>6760.9999365730137</v>
      </c>
      <c r="J31" s="106">
        <v>3295.5483351706312</v>
      </c>
      <c r="K31" s="106">
        <v>5330.4699999999957</v>
      </c>
      <c r="L31" s="106">
        <v>15045.051109713255</v>
      </c>
      <c r="M31" s="106">
        <v>13430.909999999998</v>
      </c>
      <c r="N31" s="106">
        <v>8360.7422663216585</v>
      </c>
      <c r="O31" s="106">
        <v>985.01000000000158</v>
      </c>
      <c r="P31" s="106">
        <v>17298.869815467868</v>
      </c>
      <c r="Q31" s="106">
        <v>27314.960000000003</v>
      </c>
      <c r="R31" s="106">
        <v>8103.39</v>
      </c>
      <c r="S31" s="106">
        <v>29783.538461538457</v>
      </c>
      <c r="T31" s="106">
        <v>-554.18252569350773</v>
      </c>
      <c r="U31" s="106">
        <v>24659.710000000006</v>
      </c>
      <c r="V31" s="106">
        <v>15180.157497006792</v>
      </c>
      <c r="W31" s="106">
        <v>14783.071570247934</v>
      </c>
      <c r="X31" s="106">
        <v>3943.2499999999995</v>
      </c>
      <c r="Y31" s="106">
        <v>7327.4599999999937</v>
      </c>
      <c r="Z31" s="106">
        <v>37996.451184288446</v>
      </c>
      <c r="AA31" s="106">
        <v>22042.019999999993</v>
      </c>
      <c r="AB31" s="106">
        <v>4056.8847230000001</v>
      </c>
      <c r="AC31" s="106">
        <v>8768.9164600000004</v>
      </c>
      <c r="AD31" s="106">
        <v>11093.97912</v>
      </c>
      <c r="AE31" s="106">
        <v>5281.1847829999997</v>
      </c>
      <c r="AF31" s="106">
        <v>5762.8953959999999</v>
      </c>
      <c r="AG31" s="106">
        <v>14868.03651</v>
      </c>
      <c r="AH31" s="106">
        <v>2488.8755649999998</v>
      </c>
      <c r="AI31" s="106">
        <v>6605.996341</v>
      </c>
      <c r="AJ31" s="106">
        <v>10473.582249999999</v>
      </c>
      <c r="AK31" s="106">
        <v>18456.388210000001</v>
      </c>
      <c r="AL31" s="106">
        <v>13698.567499999999</v>
      </c>
      <c r="AM31" s="106">
        <v>5279.7951899999998</v>
      </c>
      <c r="AN31" s="106">
        <v>25422.423719999999</v>
      </c>
      <c r="AO31" s="106">
        <v>2889.6397449999999</v>
      </c>
      <c r="AP31" s="106">
        <v>10031.623170000001</v>
      </c>
      <c r="AQ31" s="106">
        <v>16890.326580000001</v>
      </c>
      <c r="AR31" s="106">
        <v>5071.7607360000002</v>
      </c>
      <c r="AS31" s="106">
        <v>17525.345959999999</v>
      </c>
      <c r="AT31" s="106">
        <v>10233.49055</v>
      </c>
      <c r="AU31" s="106">
        <v>21815.12271</v>
      </c>
      <c r="AV31" s="106">
        <v>9487.4254330000003</v>
      </c>
      <c r="AW31" s="102">
        <v>17624.817040000002</v>
      </c>
      <c r="AX31" s="102">
        <v>12433.1098</v>
      </c>
      <c r="AY31" s="102">
        <v>19658.141390000001</v>
      </c>
      <c r="AZ31" s="102">
        <v>20659.456859999998</v>
      </c>
      <c r="BA31" s="102">
        <v>10595.95392</v>
      </c>
      <c r="BB31" s="102">
        <v>11196.31781</v>
      </c>
      <c r="BC31" s="92">
        <v>7530.3371930000003</v>
      </c>
      <c r="BD31" s="92">
        <v>16784.780350000001</v>
      </c>
      <c r="BE31" s="92">
        <v>1714.826791</v>
      </c>
      <c r="BF31" s="92">
        <v>751.01250210000001</v>
      </c>
      <c r="BG31" s="92">
        <v>1664.8777339999999</v>
      </c>
      <c r="BH31" s="92">
        <v>8600.8366440000009</v>
      </c>
      <c r="BI31" s="92">
        <v>20919.19472</v>
      </c>
      <c r="BJ31" s="92">
        <v>4923.3096100000002</v>
      </c>
      <c r="BK31" s="92">
        <v>2113.2362090000001</v>
      </c>
      <c r="BL31" s="92">
        <v>2032.313616829658</v>
      </c>
      <c r="BM31" s="92">
        <v>6072.9005427757311</v>
      </c>
      <c r="BN31" s="106">
        <v>2119.1029706743166</v>
      </c>
      <c r="BO31" s="106">
        <v>7934.6532481641261</v>
      </c>
      <c r="BP31" s="102">
        <v>3250.4028776938094</v>
      </c>
      <c r="BQ31" s="102">
        <v>6929.82</v>
      </c>
      <c r="BR31" s="102">
        <v>1663.7087625210854</v>
      </c>
      <c r="BS31" s="102">
        <v>9683.4662740278545</v>
      </c>
      <c r="BT31" s="102">
        <v>5946.0899999999992</v>
      </c>
      <c r="BU31" s="102">
        <v>1514.06</v>
      </c>
      <c r="BV31" s="102">
        <v>11621.859999999999</v>
      </c>
      <c r="BW31" s="102">
        <v>7950.54</v>
      </c>
      <c r="BX31" s="102">
        <v>6845.1188022577044</v>
      </c>
      <c r="BY31" s="102">
        <v>2841.84</v>
      </c>
      <c r="BZ31" s="102">
        <v>8904.1914975769178</v>
      </c>
      <c r="CA31" s="102">
        <v>9391.1419576586759</v>
      </c>
      <c r="CB31" s="102">
        <v>6294.5873780321463</v>
      </c>
      <c r="CC31" s="102">
        <v>1292.1116736936879</v>
      </c>
      <c r="CD31" s="102">
        <v>8360.7342774651825</v>
      </c>
      <c r="CE31" s="102">
        <v>21078.511156517179</v>
      </c>
      <c r="CF31" s="102">
        <v>25241.629999999997</v>
      </c>
      <c r="CG31" s="102">
        <v>26771.767955367035</v>
      </c>
      <c r="CH31" s="102">
        <v>5902.5487520251918</v>
      </c>
      <c r="CI31" s="102">
        <v>1964.9821362359769</v>
      </c>
      <c r="CJ31" s="102">
        <v>4772.8067016999385</v>
      </c>
      <c r="CK31" s="102">
        <v>7741.8471882945132</v>
      </c>
      <c r="CL31" s="102">
        <v>2650.38</v>
      </c>
      <c r="CM31" s="102">
        <v>1590.2995372560638</v>
      </c>
      <c r="CN31" s="102">
        <v>5826.6321274267384</v>
      </c>
      <c r="CO31" s="102">
        <v>7084.5572171802123</v>
      </c>
      <c r="CP31" s="102">
        <v>4731.8547606964094</v>
      </c>
      <c r="CQ31" s="102">
        <v>5805.6582553810449</v>
      </c>
      <c r="CR31" s="102">
        <v>52594.559937298611</v>
      </c>
      <c r="CS31" s="102">
        <v>4278.2769439108943</v>
      </c>
      <c r="CT31" s="102">
        <v>22829.136248753246</v>
      </c>
      <c r="CU31" s="102">
        <v>6292.7113752785544</v>
      </c>
      <c r="CV31" s="102">
        <v>19995.244668182691</v>
      </c>
      <c r="CW31" s="650">
        <v>16558.198014503818</v>
      </c>
    </row>
    <row r="32" spans="2:101" x14ac:dyDescent="0.35">
      <c r="C32" s="372" t="s">
        <v>28</v>
      </c>
      <c r="D32" s="106">
        <v>0</v>
      </c>
      <c r="E32" s="106">
        <v>0</v>
      </c>
      <c r="F32" s="106">
        <v>0</v>
      </c>
      <c r="G32" s="106">
        <v>0</v>
      </c>
      <c r="H32" s="106">
        <v>0</v>
      </c>
      <c r="I32" s="106">
        <v>0</v>
      </c>
      <c r="J32" s="106">
        <v>0</v>
      </c>
      <c r="K32" s="106">
        <v>0</v>
      </c>
      <c r="L32" s="106">
        <v>0</v>
      </c>
      <c r="M32" s="106">
        <v>0</v>
      </c>
      <c r="N32" s="106">
        <v>0</v>
      </c>
      <c r="O32" s="106">
        <v>0</v>
      </c>
      <c r="P32" s="106">
        <v>0</v>
      </c>
      <c r="Q32" s="106">
        <v>0</v>
      </c>
      <c r="R32" s="106">
        <v>0</v>
      </c>
      <c r="S32" s="106">
        <v>0</v>
      </c>
      <c r="T32" s="106">
        <v>0</v>
      </c>
      <c r="U32" s="106">
        <v>0</v>
      </c>
      <c r="V32" s="106">
        <v>0</v>
      </c>
      <c r="W32" s="106">
        <v>0</v>
      </c>
      <c r="X32" s="106">
        <v>0</v>
      </c>
      <c r="Y32" s="106">
        <v>0</v>
      </c>
      <c r="Z32" s="106">
        <v>0</v>
      </c>
      <c r="AA32" s="106">
        <v>0</v>
      </c>
      <c r="AB32" s="106">
        <v>0</v>
      </c>
      <c r="AC32" s="106">
        <v>0</v>
      </c>
      <c r="AD32" s="106">
        <v>0</v>
      </c>
      <c r="AE32" s="106">
        <v>0</v>
      </c>
      <c r="AF32" s="106">
        <v>0</v>
      </c>
      <c r="AG32" s="106">
        <v>0</v>
      </c>
      <c r="AH32" s="106">
        <v>0</v>
      </c>
      <c r="AI32" s="106">
        <v>0</v>
      </c>
      <c r="AJ32" s="106">
        <v>0</v>
      </c>
      <c r="AK32" s="106">
        <v>0</v>
      </c>
      <c r="AL32" s="106">
        <v>0</v>
      </c>
      <c r="AM32" s="106">
        <v>0</v>
      </c>
      <c r="AN32" s="106">
        <v>0</v>
      </c>
      <c r="AO32" s="106">
        <v>0</v>
      </c>
      <c r="AP32" s="106">
        <v>0</v>
      </c>
      <c r="AQ32" s="106">
        <v>0</v>
      </c>
      <c r="AR32" s="106">
        <v>0</v>
      </c>
      <c r="AS32" s="371">
        <v>0</v>
      </c>
      <c r="AT32" s="371">
        <v>0</v>
      </c>
      <c r="AU32" s="371">
        <v>0</v>
      </c>
      <c r="AV32" s="371">
        <v>0</v>
      </c>
      <c r="AW32" s="102">
        <v>0</v>
      </c>
      <c r="AX32" s="102">
        <v>0</v>
      </c>
      <c r="AY32" s="102">
        <v>0</v>
      </c>
      <c r="AZ32" s="102">
        <v>0</v>
      </c>
      <c r="BA32" s="102">
        <v>0</v>
      </c>
      <c r="BB32" s="102">
        <v>0</v>
      </c>
      <c r="BC32" s="92">
        <v>0</v>
      </c>
      <c r="BD32" s="92">
        <v>0</v>
      </c>
      <c r="BE32" s="92">
        <v>0</v>
      </c>
      <c r="BF32" s="92">
        <v>0</v>
      </c>
      <c r="BG32" s="92">
        <v>0</v>
      </c>
      <c r="BH32" s="92">
        <v>0</v>
      </c>
      <c r="BI32" s="92">
        <v>0</v>
      </c>
      <c r="BJ32" s="92">
        <v>0</v>
      </c>
      <c r="BK32" s="92">
        <v>0</v>
      </c>
      <c r="BL32" s="92">
        <v>0</v>
      </c>
      <c r="BM32" s="92">
        <v>0</v>
      </c>
      <c r="BN32" s="106">
        <v>0</v>
      </c>
      <c r="BO32" s="106">
        <v>0</v>
      </c>
      <c r="BP32" s="106">
        <v>0</v>
      </c>
      <c r="BQ32" s="106">
        <v>0</v>
      </c>
      <c r="BR32" s="106">
        <v>0</v>
      </c>
      <c r="BS32" s="106">
        <v>0</v>
      </c>
      <c r="BT32" s="106">
        <v>0</v>
      </c>
      <c r="BU32" s="106">
        <v>0</v>
      </c>
      <c r="BV32" s="106">
        <v>0</v>
      </c>
      <c r="BW32" s="106">
        <v>0</v>
      </c>
      <c r="BX32" s="106">
        <v>0</v>
      </c>
      <c r="BY32" s="106">
        <v>0</v>
      </c>
      <c r="BZ32" s="106">
        <v>0</v>
      </c>
      <c r="CA32" s="106">
        <v>0</v>
      </c>
      <c r="CB32" s="106">
        <v>0</v>
      </c>
      <c r="CC32" s="106">
        <v>0</v>
      </c>
      <c r="CD32" s="106">
        <v>15300.566887717299</v>
      </c>
      <c r="CE32" s="106">
        <v>16877.695893029162</v>
      </c>
      <c r="CF32" s="106">
        <v>4953.0533850000002</v>
      </c>
      <c r="CG32" s="102">
        <v>10005.791380025799</v>
      </c>
      <c r="CH32" s="102">
        <v>9843.6096254288168</v>
      </c>
      <c r="CI32" s="102">
        <v>-8915.5429337571131</v>
      </c>
      <c r="CJ32" s="102">
        <v>8198.9261469706253</v>
      </c>
      <c r="CK32" s="102">
        <v>0</v>
      </c>
      <c r="CL32" s="102">
        <v>6512.583723898977</v>
      </c>
      <c r="CM32" s="102">
        <v>0</v>
      </c>
      <c r="CN32" s="102">
        <v>6411.8782690542239</v>
      </c>
      <c r="CO32" s="102">
        <v>11279.441583331765</v>
      </c>
      <c r="CP32" s="102">
        <v>0</v>
      </c>
      <c r="CQ32" s="102">
        <v>0</v>
      </c>
      <c r="CR32" s="102">
        <v>0</v>
      </c>
      <c r="CS32" s="102">
        <v>0</v>
      </c>
      <c r="CT32" s="102">
        <v>3458.9388582999495</v>
      </c>
      <c r="CU32" s="102">
        <v>3325.4328752941001</v>
      </c>
      <c r="CV32" s="102">
        <v>5095.2505580819407</v>
      </c>
      <c r="CW32" s="650">
        <v>7491.5800620195641</v>
      </c>
    </row>
    <row r="33" spans="2:101" x14ac:dyDescent="0.35">
      <c r="C33" s="372" t="s">
        <v>200</v>
      </c>
      <c r="D33" s="106">
        <v>0</v>
      </c>
      <c r="E33" s="106">
        <v>0</v>
      </c>
      <c r="F33" s="106">
        <v>0</v>
      </c>
      <c r="G33" s="106">
        <v>0</v>
      </c>
      <c r="H33" s="106">
        <v>0</v>
      </c>
      <c r="I33" s="106">
        <v>0</v>
      </c>
      <c r="J33" s="106">
        <v>0</v>
      </c>
      <c r="K33" s="106">
        <v>0</v>
      </c>
      <c r="L33" s="106">
        <v>0</v>
      </c>
      <c r="M33" s="106">
        <v>0</v>
      </c>
      <c r="N33" s="106">
        <v>0</v>
      </c>
      <c r="O33" s="106">
        <v>0</v>
      </c>
      <c r="P33" s="106">
        <v>0</v>
      </c>
      <c r="Q33" s="106">
        <v>0</v>
      </c>
      <c r="R33" s="106">
        <v>0</v>
      </c>
      <c r="S33" s="106">
        <v>0</v>
      </c>
      <c r="T33" s="106">
        <v>0</v>
      </c>
      <c r="U33" s="106">
        <v>0</v>
      </c>
      <c r="V33" s="106">
        <v>0</v>
      </c>
      <c r="W33" s="106">
        <v>0</v>
      </c>
      <c r="X33" s="106">
        <v>0</v>
      </c>
      <c r="Y33" s="106">
        <v>0</v>
      </c>
      <c r="Z33" s="106">
        <v>0</v>
      </c>
      <c r="AA33" s="106">
        <v>0</v>
      </c>
      <c r="AB33" s="106">
        <v>0</v>
      </c>
      <c r="AC33" s="106">
        <v>0</v>
      </c>
      <c r="AD33" s="106">
        <v>0</v>
      </c>
      <c r="AE33" s="106">
        <v>0</v>
      </c>
      <c r="AF33" s="106">
        <v>0</v>
      </c>
      <c r="AG33" s="106">
        <v>0</v>
      </c>
      <c r="AH33" s="106">
        <v>0</v>
      </c>
      <c r="AI33" s="106">
        <v>0</v>
      </c>
      <c r="AJ33" s="106">
        <v>0</v>
      </c>
      <c r="AK33" s="106">
        <v>0</v>
      </c>
      <c r="AL33" s="106">
        <v>0</v>
      </c>
      <c r="AM33" s="106">
        <v>0</v>
      </c>
      <c r="AN33" s="106">
        <v>0</v>
      </c>
      <c r="AO33" s="106">
        <v>0</v>
      </c>
      <c r="AP33" s="106">
        <v>0</v>
      </c>
      <c r="AQ33" s="106">
        <v>0</v>
      </c>
      <c r="AR33" s="106">
        <v>0</v>
      </c>
      <c r="AS33" s="371" t="s">
        <v>202</v>
      </c>
      <c r="AT33" s="371">
        <v>0</v>
      </c>
      <c r="AU33" s="371">
        <v>0</v>
      </c>
      <c r="AV33" s="371">
        <v>0</v>
      </c>
      <c r="AW33" s="102">
        <v>0</v>
      </c>
      <c r="AX33" s="102">
        <v>0</v>
      </c>
      <c r="AY33" s="102">
        <v>0</v>
      </c>
      <c r="AZ33" s="102">
        <v>0</v>
      </c>
      <c r="BA33" s="102">
        <v>0</v>
      </c>
      <c r="BB33" s="102">
        <v>0</v>
      </c>
      <c r="BC33" s="92">
        <v>0</v>
      </c>
      <c r="BD33" s="92">
        <v>0</v>
      </c>
      <c r="BE33" s="92">
        <v>0</v>
      </c>
      <c r="BF33" s="92">
        <v>0</v>
      </c>
      <c r="BG33" s="92">
        <v>0</v>
      </c>
      <c r="BH33" s="92">
        <v>0</v>
      </c>
      <c r="BI33" s="92">
        <v>0</v>
      </c>
      <c r="BJ33" s="92">
        <v>0</v>
      </c>
      <c r="BK33" s="92">
        <v>0</v>
      </c>
      <c r="BL33" s="92">
        <v>0</v>
      </c>
      <c r="BM33" s="92">
        <v>0</v>
      </c>
      <c r="BN33" s="106">
        <v>0</v>
      </c>
      <c r="BO33" s="106">
        <v>0</v>
      </c>
      <c r="BP33" s="106">
        <v>0</v>
      </c>
      <c r="BQ33" s="106">
        <v>0</v>
      </c>
      <c r="BR33" s="106">
        <v>0</v>
      </c>
      <c r="BS33" s="106">
        <v>0</v>
      </c>
      <c r="BT33" s="106">
        <v>0</v>
      </c>
      <c r="BU33" s="106">
        <v>0</v>
      </c>
      <c r="BV33" s="106">
        <v>0</v>
      </c>
      <c r="BW33" s="106">
        <v>183.33</v>
      </c>
      <c r="BX33" s="106">
        <v>0</v>
      </c>
      <c r="BY33" s="106">
        <v>43.73</v>
      </c>
      <c r="BZ33" s="106">
        <v>546.83000000000004</v>
      </c>
      <c r="CA33" s="106">
        <v>0</v>
      </c>
      <c r="CB33" s="106">
        <v>0</v>
      </c>
      <c r="CC33" s="106">
        <v>0</v>
      </c>
      <c r="CD33" s="106">
        <v>0</v>
      </c>
      <c r="CE33" s="106">
        <v>0</v>
      </c>
      <c r="CF33" s="106">
        <v>0</v>
      </c>
      <c r="CG33" s="106">
        <v>0</v>
      </c>
      <c r="CH33" s="106"/>
      <c r="CI33" s="106"/>
      <c r="CJ33" s="106">
        <v>2138.4</v>
      </c>
      <c r="CK33" s="106">
        <v>0</v>
      </c>
      <c r="CL33" s="106">
        <v>0</v>
      </c>
      <c r="CM33" s="106">
        <v>0</v>
      </c>
      <c r="CN33" s="106">
        <v>0</v>
      </c>
      <c r="CO33" s="106">
        <v>0</v>
      </c>
      <c r="CP33" s="106">
        <v>0</v>
      </c>
      <c r="CQ33" s="106">
        <v>0</v>
      </c>
      <c r="CR33" s="106">
        <v>0</v>
      </c>
      <c r="CS33" s="106">
        <v>0</v>
      </c>
      <c r="CT33" s="106">
        <v>0</v>
      </c>
      <c r="CU33" s="106">
        <v>0</v>
      </c>
      <c r="CV33" s="106">
        <v>0</v>
      </c>
      <c r="CW33" s="690">
        <v>0</v>
      </c>
    </row>
    <row r="34" spans="2:101" x14ac:dyDescent="0.35">
      <c r="C34" s="10" t="s">
        <v>198</v>
      </c>
      <c r="D34" s="100">
        <f t="shared" ref="D34:BO34" si="16">SUM(D29:D33)</f>
        <v>12648.999999999993</v>
      </c>
      <c r="E34" s="100">
        <f t="shared" si="16"/>
        <v>19341</v>
      </c>
      <c r="F34" s="100">
        <f t="shared" si="16"/>
        <v>25686.999999999996</v>
      </c>
      <c r="G34" s="100">
        <f t="shared" si="16"/>
        <v>4762</v>
      </c>
      <c r="H34" s="100">
        <f t="shared" si="16"/>
        <v>10096.000000000002</v>
      </c>
      <c r="I34" s="100">
        <f t="shared" si="16"/>
        <v>8291</v>
      </c>
      <c r="J34" s="100">
        <f t="shared" si="16"/>
        <v>2724</v>
      </c>
      <c r="K34" s="100">
        <f t="shared" si="16"/>
        <v>7495.9999999999964</v>
      </c>
      <c r="L34" s="100">
        <f t="shared" si="16"/>
        <v>23843.731109713255</v>
      </c>
      <c r="M34" s="100">
        <f t="shared" si="16"/>
        <v>19917</v>
      </c>
      <c r="N34" s="100">
        <f t="shared" si="16"/>
        <v>10274.187500000002</v>
      </c>
      <c r="O34" s="100">
        <f t="shared" si="16"/>
        <v>3909.0000000000018</v>
      </c>
      <c r="P34" s="100">
        <f t="shared" si="16"/>
        <v>23288.999999999993</v>
      </c>
      <c r="Q34" s="100">
        <f t="shared" si="16"/>
        <v>27280.000000000004</v>
      </c>
      <c r="R34" s="100">
        <f t="shared" si="16"/>
        <v>9861</v>
      </c>
      <c r="S34" s="100">
        <f t="shared" si="16"/>
        <v>49636.538461538454</v>
      </c>
      <c r="T34" s="100">
        <f t="shared" si="16"/>
        <v>42450.076923076922</v>
      </c>
      <c r="U34" s="100">
        <f t="shared" si="16"/>
        <v>35674.000000000007</v>
      </c>
      <c r="V34" s="100">
        <f t="shared" si="16"/>
        <v>34793.705882352944</v>
      </c>
      <c r="W34" s="100">
        <f t="shared" si="16"/>
        <v>15896.611570247933</v>
      </c>
      <c r="X34" s="100">
        <f t="shared" si="16"/>
        <v>7795.9174189566038</v>
      </c>
      <c r="Y34" s="100">
        <f t="shared" si="16"/>
        <v>14304.999999999995</v>
      </c>
      <c r="Z34" s="100">
        <f t="shared" si="16"/>
        <v>50115</v>
      </c>
      <c r="AA34" s="100">
        <f t="shared" si="16"/>
        <v>35601.999999999993</v>
      </c>
      <c r="AB34" s="100">
        <f t="shared" si="16"/>
        <v>17402.333332999999</v>
      </c>
      <c r="AC34" s="100">
        <f t="shared" si="16"/>
        <v>30416.102559999999</v>
      </c>
      <c r="AD34" s="100">
        <f t="shared" si="16"/>
        <v>14231.999995</v>
      </c>
      <c r="AE34" s="100">
        <f t="shared" si="16"/>
        <v>43714.434782999997</v>
      </c>
      <c r="AF34" s="100">
        <f t="shared" si="16"/>
        <v>14430.765396000001</v>
      </c>
      <c r="AG34" s="100">
        <f t="shared" si="16"/>
        <v>14993.348969999999</v>
      </c>
      <c r="AH34" s="100">
        <f t="shared" si="16"/>
        <v>10207.669452</v>
      </c>
      <c r="AI34" s="100">
        <f t="shared" si="16"/>
        <v>12104.2489726</v>
      </c>
      <c r="AJ34" s="100">
        <f t="shared" si="16"/>
        <v>42512.312250000003</v>
      </c>
      <c r="AK34" s="100">
        <f t="shared" si="16"/>
        <v>31461.705730000001</v>
      </c>
      <c r="AL34" s="100">
        <f t="shared" si="16"/>
        <v>48191.384939999996</v>
      </c>
      <c r="AM34" s="100">
        <f t="shared" si="16"/>
        <v>23794.565404000001</v>
      </c>
      <c r="AN34" s="100">
        <f t="shared" si="16"/>
        <v>33359.07372</v>
      </c>
      <c r="AO34" s="100">
        <f t="shared" si="16"/>
        <v>20369.051553000001</v>
      </c>
      <c r="AP34" s="100">
        <f t="shared" si="16"/>
        <v>48529.664779999999</v>
      </c>
      <c r="AQ34" s="100">
        <f t="shared" si="16"/>
        <v>105305.01160999999</v>
      </c>
      <c r="AR34" s="100">
        <f t="shared" si="16"/>
        <v>54637.384546000001</v>
      </c>
      <c r="AS34" s="100">
        <f t="shared" si="16"/>
        <v>91605.606960000005</v>
      </c>
      <c r="AT34" s="100">
        <f t="shared" si="16"/>
        <v>74803.470170000001</v>
      </c>
      <c r="AU34" s="100">
        <f t="shared" si="16"/>
        <v>85052.697560000001</v>
      </c>
      <c r="AV34" s="100">
        <f t="shared" si="16"/>
        <v>119383.00330299999</v>
      </c>
      <c r="AW34" s="100">
        <f t="shared" si="16"/>
        <v>128326.36351999998</v>
      </c>
      <c r="AX34" s="100">
        <f t="shared" si="16"/>
        <v>87097.779620000001</v>
      </c>
      <c r="AY34" s="100">
        <f t="shared" si="16"/>
        <v>286.9020500000006</v>
      </c>
      <c r="AZ34" s="100">
        <f t="shared" si="16"/>
        <v>64659.562989999999</v>
      </c>
      <c r="BA34" s="100">
        <f t="shared" si="16"/>
        <v>43112.054291</v>
      </c>
      <c r="BB34" s="100">
        <f t="shared" si="16"/>
        <v>62762.420829999995</v>
      </c>
      <c r="BC34" s="100">
        <f t="shared" si="16"/>
        <v>100642.115053</v>
      </c>
      <c r="BD34" s="100">
        <f t="shared" si="16"/>
        <v>81576.157130000007</v>
      </c>
      <c r="BE34" s="100">
        <f t="shared" si="16"/>
        <v>97230.583530999997</v>
      </c>
      <c r="BF34" s="100">
        <f t="shared" si="16"/>
        <v>92647.184112099989</v>
      </c>
      <c r="BG34" s="100">
        <f t="shared" si="16"/>
        <v>60616.364224000004</v>
      </c>
      <c r="BH34" s="100">
        <f t="shared" si="16"/>
        <v>84580.726964000001</v>
      </c>
      <c r="BI34" s="100">
        <f t="shared" si="16"/>
        <v>44432.286678999997</v>
      </c>
      <c r="BJ34" s="100">
        <f t="shared" si="16"/>
        <v>158784.29874999999</v>
      </c>
      <c r="BK34" s="100">
        <f t="shared" si="16"/>
        <v>46533.546458999997</v>
      </c>
      <c r="BL34" s="100">
        <f t="shared" si="16"/>
        <v>16195.721135250154</v>
      </c>
      <c r="BM34" s="100">
        <f t="shared" si="16"/>
        <v>22588.915855641724</v>
      </c>
      <c r="BN34" s="100">
        <f t="shared" si="16"/>
        <v>76979.066572477459</v>
      </c>
      <c r="BO34" s="100">
        <f t="shared" si="16"/>
        <v>39040.24489409558</v>
      </c>
      <c r="BP34" s="100">
        <f t="shared" ref="BP34:CN34" si="17">SUM(BP29:BP33)</f>
        <v>21269.584909686891</v>
      </c>
      <c r="BQ34" s="100">
        <f t="shared" si="17"/>
        <v>57712.828258576628</v>
      </c>
      <c r="BR34" s="100">
        <f t="shared" si="17"/>
        <v>96567.481808538258</v>
      </c>
      <c r="BS34" s="100">
        <f t="shared" si="17"/>
        <v>73396.967663876407</v>
      </c>
      <c r="BT34" s="100">
        <f t="shared" si="17"/>
        <v>59428.729999999996</v>
      </c>
      <c r="BU34" s="100">
        <f t="shared" si="17"/>
        <v>47781.63</v>
      </c>
      <c r="BV34" s="100">
        <f t="shared" si="17"/>
        <v>37487.107680229703</v>
      </c>
      <c r="BW34" s="100">
        <f t="shared" si="17"/>
        <v>33418.26224719044</v>
      </c>
      <c r="BX34" s="100">
        <f t="shared" si="17"/>
        <v>27919.987930176056</v>
      </c>
      <c r="BY34" s="100">
        <f t="shared" si="17"/>
        <v>74067.918954697816</v>
      </c>
      <c r="BZ34" s="100">
        <f t="shared" si="17"/>
        <v>107827.81248961399</v>
      </c>
      <c r="CA34" s="100">
        <f t="shared" si="17"/>
        <v>46017.344924422439</v>
      </c>
      <c r="CB34" s="100">
        <f t="shared" si="17"/>
        <v>64850.202178373998</v>
      </c>
      <c r="CC34" s="100">
        <f t="shared" si="17"/>
        <v>60449.049898917081</v>
      </c>
      <c r="CD34" s="100">
        <f t="shared" si="17"/>
        <v>65848.70053857271</v>
      </c>
      <c r="CE34" s="100">
        <f t="shared" si="17"/>
        <v>83570.394117502859</v>
      </c>
      <c r="CF34" s="100">
        <f t="shared" si="17"/>
        <v>73496.443385000006</v>
      </c>
      <c r="CG34" s="100">
        <f t="shared" si="17"/>
        <v>124709.56999300396</v>
      </c>
      <c r="CH34" s="100">
        <f t="shared" si="17"/>
        <v>51718.627101827631</v>
      </c>
      <c r="CI34" s="100">
        <f t="shared" si="17"/>
        <v>41102.937714602049</v>
      </c>
      <c r="CJ34" s="100">
        <f t="shared" si="17"/>
        <v>48944.89156636301</v>
      </c>
      <c r="CK34" s="100">
        <f t="shared" si="17"/>
        <v>91540.352586167108</v>
      </c>
      <c r="CL34" s="100">
        <f t="shared" si="17"/>
        <v>28468.330044112085</v>
      </c>
      <c r="CM34" s="100">
        <f t="shared" si="17"/>
        <v>95899.364497334493</v>
      </c>
      <c r="CN34" s="100">
        <f t="shared" si="17"/>
        <v>43355.874527387226</v>
      </c>
      <c r="CO34" s="100">
        <f t="shared" ref="CO34:CU34" si="18">SUM(CO29:CO33)</f>
        <v>84960.536737339775</v>
      </c>
      <c r="CP34" s="100">
        <f t="shared" si="18"/>
        <v>23607.710681057386</v>
      </c>
      <c r="CQ34" s="100">
        <f t="shared" si="18"/>
        <v>40277.142770165694</v>
      </c>
      <c r="CR34" s="100">
        <f t="shared" si="18"/>
        <v>87843.596632795088</v>
      </c>
      <c r="CS34" s="100">
        <f t="shared" si="18"/>
        <v>86884.4639365927</v>
      </c>
      <c r="CT34" s="100">
        <f t="shared" si="18"/>
        <v>50115.492377984396</v>
      </c>
      <c r="CU34" s="100">
        <f t="shared" si="18"/>
        <v>119833.18544639015</v>
      </c>
      <c r="CV34" s="100">
        <f>SUM(CV29:CV33)</f>
        <v>78640.17402368359</v>
      </c>
      <c r="CW34" s="99">
        <f>SUM(CW29:CW33)</f>
        <v>34329.330322896014</v>
      </c>
    </row>
    <row r="35" spans="2:101" x14ac:dyDescent="0.35"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BP35"/>
      <c r="CW35" s="79"/>
    </row>
    <row r="36" spans="2:101" x14ac:dyDescent="0.35">
      <c r="B36" s="328" t="s">
        <v>204</v>
      </c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Z36" s="330"/>
      <c r="BA36" s="330"/>
      <c r="BB36" s="330"/>
      <c r="BC36" s="330"/>
      <c r="BD36" s="330"/>
      <c r="BE36" s="330"/>
      <c r="BF36" s="330"/>
      <c r="BG36" s="330"/>
      <c r="BH36" s="330"/>
      <c r="BI36" s="330"/>
      <c r="BJ36" s="330"/>
      <c r="BK36" s="330"/>
      <c r="BL36" s="330"/>
      <c r="BM36" s="330"/>
      <c r="BN36" s="330"/>
      <c r="BO36" s="330"/>
      <c r="BP36" s="330"/>
      <c r="BQ36" s="330"/>
      <c r="BR36" s="330"/>
      <c r="BS36" s="330"/>
      <c r="BT36" s="330"/>
      <c r="BU36" s="330"/>
      <c r="BV36" s="330"/>
      <c r="BW36" s="330"/>
      <c r="BX36" s="330"/>
      <c r="BY36" s="330"/>
      <c r="BZ36" s="330"/>
      <c r="CA36" s="330"/>
      <c r="CB36" s="330"/>
      <c r="CC36" s="330"/>
      <c r="CD36" s="330"/>
      <c r="CE36" s="330"/>
      <c r="CF36" s="330"/>
      <c r="CW36" s="79"/>
    </row>
    <row r="37" spans="2:101" x14ac:dyDescent="0.35">
      <c r="C37" t="s">
        <v>205</v>
      </c>
      <c r="D37" s="92">
        <v>40000</v>
      </c>
      <c r="E37" s="92">
        <v>-10450</v>
      </c>
      <c r="F37" s="92">
        <v>-12154</v>
      </c>
      <c r="G37" s="92">
        <v>4348</v>
      </c>
      <c r="H37" s="92">
        <v>-1241</v>
      </c>
      <c r="I37" s="92">
        <v>232</v>
      </c>
      <c r="J37" s="92">
        <v>4502</v>
      </c>
      <c r="K37" s="92">
        <v>-4462</v>
      </c>
      <c r="L37" s="92">
        <v>7099</v>
      </c>
      <c r="M37" s="92">
        <v>3739</v>
      </c>
      <c r="N37" s="92">
        <v>-7000</v>
      </c>
      <c r="O37" s="92">
        <v>4203</v>
      </c>
      <c r="P37" s="92">
        <v>-2949.9163083106105</v>
      </c>
      <c r="Q37" s="92">
        <v>-17198.999720451844</v>
      </c>
      <c r="R37" s="92">
        <v>12266.25388583864</v>
      </c>
      <c r="S37" s="92">
        <v>-9601.1834799352364</v>
      </c>
      <c r="T37" s="106">
        <v>2940.8044769014959</v>
      </c>
      <c r="U37" s="106">
        <v>-14962.630013350659</v>
      </c>
      <c r="V37" s="106">
        <v>-22063.2462030934</v>
      </c>
      <c r="W37" s="106">
        <v>-7649.9768133784819</v>
      </c>
      <c r="X37" s="106">
        <v>4763.8643203240063</v>
      </c>
      <c r="Y37" s="106">
        <v>14530.45559462774</v>
      </c>
      <c r="Z37" s="106">
        <v>-4000</v>
      </c>
      <c r="AA37" s="106">
        <v>2267</v>
      </c>
      <c r="AB37" s="106">
        <v>-1619.3347263759899</v>
      </c>
      <c r="AC37" s="106">
        <v>-5000</v>
      </c>
      <c r="AD37" s="106">
        <v>2720</v>
      </c>
      <c r="AE37" s="106">
        <v>1590</v>
      </c>
      <c r="AF37" s="106">
        <v>3000</v>
      </c>
      <c r="AG37" s="106">
        <v>4000</v>
      </c>
      <c r="AH37" s="106">
        <v>4000</v>
      </c>
      <c r="AI37" s="106">
        <v>0</v>
      </c>
      <c r="AJ37" s="106">
        <v>0</v>
      </c>
      <c r="AK37" s="106">
        <v>0</v>
      </c>
      <c r="AL37" s="106">
        <v>0</v>
      </c>
      <c r="AM37" s="106">
        <v>0</v>
      </c>
      <c r="AN37" s="106">
        <v>0</v>
      </c>
      <c r="AO37" s="106">
        <v>0</v>
      </c>
      <c r="AP37" s="106">
        <v>0</v>
      </c>
      <c r="AQ37" s="106">
        <v>0</v>
      </c>
      <c r="AR37" s="106">
        <v>0</v>
      </c>
      <c r="AS37" s="106">
        <v>0</v>
      </c>
      <c r="AT37" s="106">
        <v>0</v>
      </c>
      <c r="AU37" s="106">
        <v>0</v>
      </c>
      <c r="AV37" s="106"/>
      <c r="AW37" s="106">
        <v>0</v>
      </c>
      <c r="AX37" s="106">
        <v>0</v>
      </c>
      <c r="AY37" s="106">
        <v>0</v>
      </c>
      <c r="AZ37" s="106"/>
      <c r="BA37" s="106"/>
      <c r="BB37" s="106"/>
      <c r="BP37"/>
      <c r="CW37" s="79"/>
    </row>
    <row r="38" spans="2:101" x14ac:dyDescent="0.35">
      <c r="C38" t="s">
        <v>185</v>
      </c>
      <c r="D38" s="92">
        <v>-22869.892679369077</v>
      </c>
      <c r="E38" s="92">
        <v>23289.197528581135</v>
      </c>
      <c r="F38" s="92">
        <v>10519.399304580409</v>
      </c>
      <c r="G38" s="92">
        <v>-4746.8029907321325</v>
      </c>
      <c r="H38" s="92">
        <v>12443.15363135573</v>
      </c>
      <c r="I38" s="92">
        <v>-24712.843456979725</v>
      </c>
      <c r="J38" s="92">
        <v>-17171.916896605399</v>
      </c>
      <c r="K38" s="92">
        <v>32830.164617789909</v>
      </c>
      <c r="L38" s="92">
        <v>-8326.714313283097</v>
      </c>
      <c r="M38" s="92">
        <v>2191.8701923829503</v>
      </c>
      <c r="N38" s="92">
        <v>-2292.7635525520891</v>
      </c>
      <c r="O38" s="92">
        <v>-90.341032044030726</v>
      </c>
      <c r="P38" s="92">
        <v>-9515.7121977551142</v>
      </c>
      <c r="Q38" s="92">
        <v>-4488.6065616370179</v>
      </c>
      <c r="R38" s="92">
        <v>20205.051073555835</v>
      </c>
      <c r="S38" s="92">
        <v>-1505.2803124925122</v>
      </c>
      <c r="T38" s="106">
        <v>-7632.9388517042389</v>
      </c>
      <c r="U38" s="106">
        <v>-9450.4282482605195</v>
      </c>
      <c r="V38" s="106">
        <v>-4000.2175616886234</v>
      </c>
      <c r="W38" s="106">
        <v>-3847.3629779127659</v>
      </c>
      <c r="X38" s="106">
        <v>10510.07254596136</v>
      </c>
      <c r="Y38" s="106">
        <v>-4114.8676200491609</v>
      </c>
      <c r="Z38" s="106">
        <v>-10627.845844551688</v>
      </c>
      <c r="AA38" s="106">
        <v>-62.548289761180058</v>
      </c>
      <c r="AB38" s="106">
        <v>0</v>
      </c>
      <c r="AC38" s="106">
        <v>0</v>
      </c>
      <c r="AD38" s="106">
        <v>-2907</v>
      </c>
      <c r="AE38" s="106">
        <v>-1367</v>
      </c>
      <c r="AF38" s="106">
        <v>0</v>
      </c>
      <c r="AG38" s="106">
        <v>0</v>
      </c>
      <c r="AH38" s="106">
        <v>0</v>
      </c>
      <c r="AI38" s="106">
        <v>0</v>
      </c>
      <c r="AJ38" s="106">
        <v>0</v>
      </c>
      <c r="AK38" s="106">
        <v>0</v>
      </c>
      <c r="AL38" s="106">
        <v>0</v>
      </c>
      <c r="AM38" s="106">
        <v>0</v>
      </c>
      <c r="AN38" s="106">
        <v>0</v>
      </c>
      <c r="AO38" s="106">
        <v>0</v>
      </c>
      <c r="AP38" s="106">
        <v>0</v>
      </c>
      <c r="AQ38" s="106">
        <v>0</v>
      </c>
      <c r="AR38" s="106">
        <v>0</v>
      </c>
      <c r="AS38" s="106">
        <v>0</v>
      </c>
      <c r="AT38" s="106">
        <v>0</v>
      </c>
      <c r="AU38" s="106">
        <v>0</v>
      </c>
      <c r="AV38" s="106"/>
      <c r="AW38" s="106">
        <v>0</v>
      </c>
      <c r="AX38" s="106">
        <v>0</v>
      </c>
      <c r="AY38" s="106">
        <v>0</v>
      </c>
      <c r="AZ38" s="106"/>
      <c r="BA38" s="106"/>
      <c r="BB38" s="106"/>
      <c r="BP38"/>
      <c r="CW38" s="79"/>
    </row>
    <row r="39" spans="2:101" x14ac:dyDescent="0.35">
      <c r="C39" t="s">
        <v>206</v>
      </c>
      <c r="D39" s="374">
        <v>-6356.1722083825152</v>
      </c>
      <c r="E39" s="92">
        <v>-6390.6244884099578</v>
      </c>
      <c r="F39" s="92">
        <v>-6129.7825899205636</v>
      </c>
      <c r="G39" s="92">
        <v>-5111.4865063308971</v>
      </c>
      <c r="H39" s="92">
        <v>-6052.3647870764835</v>
      </c>
      <c r="I39" s="92">
        <v>-6372.6436733528972</v>
      </c>
      <c r="J39" s="92">
        <v>-11828.577902914141</v>
      </c>
      <c r="K39" s="92">
        <v>-1981.6796299073612</v>
      </c>
      <c r="L39" s="92">
        <v>-909.20044898055494</v>
      </c>
      <c r="M39" s="92">
        <v>10754.504106610664</v>
      </c>
      <c r="N39" s="92">
        <v>-6257.5181897735456</v>
      </c>
      <c r="O39" s="92">
        <v>-17156.886192564387</v>
      </c>
      <c r="P39" s="92">
        <v>2139.7185389811639</v>
      </c>
      <c r="Q39" s="92">
        <v>-1070.1712151429383</v>
      </c>
      <c r="R39" s="92">
        <v>-2670.1958486580988</v>
      </c>
      <c r="S39" s="92">
        <v>-4106.3588381049922</v>
      </c>
      <c r="T39" s="106">
        <v>-3847.914223091444</v>
      </c>
      <c r="U39" s="106">
        <v>7530.2461916757748</v>
      </c>
      <c r="V39" s="106">
        <v>11649.749783525011</v>
      </c>
      <c r="W39" s="106">
        <v>16412.170529870549</v>
      </c>
      <c r="X39" s="106">
        <v>8965.0959888866637</v>
      </c>
      <c r="Y39" s="106">
        <v>-0.33400461624842137</v>
      </c>
      <c r="Z39" s="106">
        <v>20.19658585684374</v>
      </c>
      <c r="AA39" s="106">
        <v>-137.49386388319544</v>
      </c>
      <c r="AB39" s="106">
        <v>765.48727402300574</v>
      </c>
      <c r="AC39" s="106">
        <v>-735.42724273353815</v>
      </c>
      <c r="AD39" s="106">
        <v>-6.5276047447696328E-2</v>
      </c>
      <c r="AE39" s="106">
        <v>50.625970484223217</v>
      </c>
      <c r="AF39" s="106">
        <v>-858.84452079841867</v>
      </c>
      <c r="AG39" s="106">
        <v>0</v>
      </c>
      <c r="AH39" s="106">
        <v>0</v>
      </c>
      <c r="AI39" s="106">
        <v>0</v>
      </c>
      <c r="AJ39" s="106">
        <v>0</v>
      </c>
      <c r="AK39" s="106">
        <v>0</v>
      </c>
      <c r="AL39" s="106">
        <v>0</v>
      </c>
      <c r="AM39" s="106">
        <v>0</v>
      </c>
      <c r="AN39" s="106">
        <v>0</v>
      </c>
      <c r="AO39" s="106">
        <v>0</v>
      </c>
      <c r="AP39" s="106">
        <v>0</v>
      </c>
      <c r="AQ39" s="106">
        <v>0</v>
      </c>
      <c r="AR39" s="106">
        <v>0</v>
      </c>
      <c r="AS39" s="106">
        <v>0</v>
      </c>
      <c r="AT39" s="106">
        <v>0</v>
      </c>
      <c r="AU39" s="106">
        <v>0</v>
      </c>
      <c r="AV39" s="106"/>
      <c r="AW39" s="106">
        <v>0</v>
      </c>
      <c r="AX39" s="106">
        <v>0</v>
      </c>
      <c r="AY39" s="106">
        <v>0</v>
      </c>
      <c r="AZ39" s="106"/>
      <c r="BA39" s="106"/>
      <c r="BB39" s="106"/>
      <c r="BP39"/>
      <c r="CW39" s="79"/>
    </row>
    <row r="40" spans="2:101" x14ac:dyDescent="0.35">
      <c r="D40" s="92"/>
      <c r="E40" s="92"/>
      <c r="F40" s="330"/>
      <c r="G40" s="330"/>
      <c r="H40" s="330"/>
      <c r="I40" s="330"/>
      <c r="J40" s="330"/>
      <c r="K40" s="330"/>
      <c r="L40" s="330"/>
      <c r="M40" s="330"/>
      <c r="N40" s="330"/>
      <c r="O40" s="330"/>
      <c r="P40" s="330"/>
      <c r="Q40" s="330"/>
      <c r="R40" s="330"/>
      <c r="S40" s="330"/>
      <c r="T40" s="330"/>
      <c r="U40" s="330"/>
      <c r="V40" s="330"/>
      <c r="W40" s="330"/>
      <c r="X40" s="330"/>
      <c r="Y40" s="330"/>
      <c r="Z40" s="330"/>
      <c r="AA40" s="330"/>
      <c r="AB40" s="330"/>
      <c r="AC40" s="330"/>
      <c r="AD40" s="330"/>
      <c r="AE40" s="330"/>
      <c r="AF40" s="330"/>
      <c r="AG40" s="330"/>
      <c r="AH40" s="330"/>
      <c r="AI40" s="330"/>
      <c r="AJ40" s="330"/>
      <c r="AK40" s="330"/>
      <c r="AL40" s="330"/>
      <c r="AM40" s="330"/>
      <c r="AN40" s="330"/>
      <c r="AO40" s="330"/>
      <c r="AP40" s="330"/>
      <c r="AQ40" s="330"/>
      <c r="AR40" s="330"/>
      <c r="AS40" s="330"/>
      <c r="BP40"/>
      <c r="CW40" s="79"/>
    </row>
    <row r="41" spans="2:101" x14ac:dyDescent="0.35">
      <c r="B41" s="10" t="s">
        <v>207</v>
      </c>
      <c r="D41" s="100">
        <f t="shared" ref="D41:BO41" si="19">D7+D34</f>
        <v>651796.00000000023</v>
      </c>
      <c r="E41" s="100">
        <f t="shared" si="19"/>
        <v>641723</v>
      </c>
      <c r="F41" s="100">
        <f t="shared" si="19"/>
        <v>631569.99999999965</v>
      </c>
      <c r="G41" s="100">
        <f t="shared" si="19"/>
        <v>642402.00000000023</v>
      </c>
      <c r="H41" s="100">
        <f t="shared" si="19"/>
        <v>652593.99999999988</v>
      </c>
      <c r="I41" s="100">
        <f t="shared" si="19"/>
        <v>678175.99999999907</v>
      </c>
      <c r="J41" s="100">
        <f t="shared" si="19"/>
        <v>749078.00000000012</v>
      </c>
      <c r="K41" s="100">
        <f t="shared" si="19"/>
        <v>761401.99999999977</v>
      </c>
      <c r="L41" s="100">
        <f t="shared" si="19"/>
        <v>759647.99999999988</v>
      </c>
      <c r="M41" s="100">
        <f t="shared" si="19"/>
        <v>774937</v>
      </c>
      <c r="N41" s="100">
        <f t="shared" si="19"/>
        <v>797087.00000000035</v>
      </c>
      <c r="O41" s="100">
        <f t="shared" si="19"/>
        <v>825046.00000000012</v>
      </c>
      <c r="P41" s="100">
        <f t="shared" si="19"/>
        <v>825328</v>
      </c>
      <c r="Q41" s="100">
        <f t="shared" si="19"/>
        <v>826845.99999999965</v>
      </c>
      <c r="R41" s="100">
        <f t="shared" si="19"/>
        <v>850838.99999999977</v>
      </c>
      <c r="S41" s="100">
        <f t="shared" si="19"/>
        <v>879601.00000000023</v>
      </c>
      <c r="T41" s="100">
        <f t="shared" si="19"/>
        <v>883292</v>
      </c>
      <c r="U41" s="100">
        <f t="shared" si="19"/>
        <v>889746.99999999988</v>
      </c>
      <c r="V41" s="100">
        <f t="shared" si="19"/>
        <v>932124</v>
      </c>
      <c r="W41" s="100">
        <f t="shared" si="19"/>
        <v>948245.00000000047</v>
      </c>
      <c r="X41" s="100">
        <f t="shared" si="19"/>
        <v>982191.00000000058</v>
      </c>
      <c r="Y41" s="100">
        <f t="shared" si="19"/>
        <v>1003575.0000000007</v>
      </c>
      <c r="Z41" s="100">
        <f t="shared" si="19"/>
        <v>1050522.0000000005</v>
      </c>
      <c r="AA41" s="100">
        <f t="shared" si="19"/>
        <v>1065027.6897425421</v>
      </c>
      <c r="AB41" s="100">
        <f t="shared" si="19"/>
        <v>1066753.8055743927</v>
      </c>
      <c r="AC41" s="100">
        <f t="shared" si="19"/>
        <v>1078175.11005062</v>
      </c>
      <c r="AD41" s="100">
        <f t="shared" si="19"/>
        <v>1082012.2594672719</v>
      </c>
      <c r="AE41" s="100">
        <f t="shared" si="19"/>
        <v>1063341.2317135015</v>
      </c>
      <c r="AF41" s="100">
        <f t="shared" si="19"/>
        <v>1033018.3359260524</v>
      </c>
      <c r="AG41" s="100">
        <f t="shared" si="19"/>
        <v>1030247.5697416583</v>
      </c>
      <c r="AH41" s="100">
        <f t="shared" si="19"/>
        <v>1039044.8820028463</v>
      </c>
      <c r="AI41" s="100">
        <f t="shared" si="19"/>
        <v>1034501.1744620963</v>
      </c>
      <c r="AJ41" s="100">
        <f t="shared" si="19"/>
        <v>1050892.7071958936</v>
      </c>
      <c r="AK41" s="100">
        <f t="shared" si="19"/>
        <v>1055860.653119585</v>
      </c>
      <c r="AL41" s="100">
        <f t="shared" si="19"/>
        <v>1066025.181205791</v>
      </c>
      <c r="AM41" s="100">
        <f t="shared" si="19"/>
        <v>1058215.7800733142</v>
      </c>
      <c r="AN41" s="100">
        <f t="shared" si="19"/>
        <v>1082826.5314361916</v>
      </c>
      <c r="AO41" s="100">
        <f t="shared" si="19"/>
        <v>1089728.8717745135</v>
      </c>
      <c r="AP41" s="100">
        <f t="shared" si="19"/>
        <v>1112828.5158120985</v>
      </c>
      <c r="AQ41" s="100">
        <f t="shared" si="19"/>
        <v>1193927.8544636869</v>
      </c>
      <c r="AR41" s="100">
        <f t="shared" si="19"/>
        <v>1174221.9039863145</v>
      </c>
      <c r="AS41" s="100">
        <f t="shared" si="19"/>
        <v>1230617.725955677</v>
      </c>
      <c r="AT41" s="100">
        <f t="shared" si="19"/>
        <v>1272166.269199908</v>
      </c>
      <c r="AU41" s="100">
        <f t="shared" si="19"/>
        <v>1385697.3568225191</v>
      </c>
      <c r="AV41" s="100">
        <f t="shared" si="19"/>
        <v>1382128.7552868675</v>
      </c>
      <c r="AW41" s="100">
        <f t="shared" si="19"/>
        <v>1438639.409062312</v>
      </c>
      <c r="AX41" s="100">
        <f t="shared" si="19"/>
        <v>1453159.5216680302</v>
      </c>
      <c r="AY41" s="100">
        <f t="shared" si="19"/>
        <v>1420992.9068013479</v>
      </c>
      <c r="AZ41" s="100">
        <f t="shared" si="19"/>
        <v>1430062.4466246772</v>
      </c>
      <c r="BA41" s="100">
        <f t="shared" si="19"/>
        <v>1435938.0969493724</v>
      </c>
      <c r="BB41" s="100">
        <f t="shared" si="19"/>
        <v>1458027.6711939159</v>
      </c>
      <c r="BC41" s="100">
        <f t="shared" si="19"/>
        <v>1574818.9047715585</v>
      </c>
      <c r="BD41" s="100">
        <f t="shared" si="19"/>
        <v>1608150.466632819</v>
      </c>
      <c r="BE41" s="100">
        <f t="shared" si="19"/>
        <v>1653202.3483085681</v>
      </c>
      <c r="BF41" s="100">
        <f t="shared" si="19"/>
        <v>1686256.8938294346</v>
      </c>
      <c r="BG41" s="100">
        <f t="shared" si="19"/>
        <v>1670597.1586280866</v>
      </c>
      <c r="BH41" s="100">
        <f t="shared" si="19"/>
        <v>1783598.1928981242</v>
      </c>
      <c r="BI41" s="100">
        <f t="shared" si="19"/>
        <v>1782606.8386692996</v>
      </c>
      <c r="BJ41" s="100">
        <f t="shared" si="19"/>
        <v>1897999.7986107913</v>
      </c>
      <c r="BK41" s="100">
        <f t="shared" si="19"/>
        <v>1860888.962385884</v>
      </c>
      <c r="BL41" s="100">
        <f t="shared" si="19"/>
        <v>1779915.2479811145</v>
      </c>
      <c r="BM41" s="100">
        <f t="shared" si="19"/>
        <v>1806109.9728668877</v>
      </c>
      <c r="BN41" s="100">
        <f t="shared" si="19"/>
        <v>1843709.3065440846</v>
      </c>
      <c r="BO41" s="100">
        <f t="shared" si="19"/>
        <v>1827965.6721489006</v>
      </c>
      <c r="BP41" s="100">
        <f t="shared" ref="BP41:CI41" si="20">BP7+BP34</f>
        <v>1776744.8480156036</v>
      </c>
      <c r="BQ41" s="100">
        <f t="shared" si="20"/>
        <v>1841591.6763225514</v>
      </c>
      <c r="BR41" s="100">
        <f t="shared" si="20"/>
        <v>1850949.0926215511</v>
      </c>
      <c r="BS41" s="100">
        <f t="shared" si="20"/>
        <v>1841642.6307879116</v>
      </c>
      <c r="BT41" s="100">
        <f t="shared" si="20"/>
        <v>1890853.959910474</v>
      </c>
      <c r="BU41" s="100">
        <f t="shared" si="20"/>
        <v>1845682.4807507368</v>
      </c>
      <c r="BV41" s="100">
        <f t="shared" si="20"/>
        <v>1884999.2967309996</v>
      </c>
      <c r="BW41" s="100">
        <f t="shared" si="20"/>
        <v>1931632.3470084183</v>
      </c>
      <c r="BX41" s="100">
        <f t="shared" si="20"/>
        <v>1868668.531807424</v>
      </c>
      <c r="BY41" s="100">
        <f t="shared" si="20"/>
        <v>1942526.0748179378</v>
      </c>
      <c r="BZ41" s="100">
        <f t="shared" si="20"/>
        <v>1995907.7763420308</v>
      </c>
      <c r="CA41" s="100">
        <f t="shared" si="20"/>
        <v>1955878.3068685445</v>
      </c>
      <c r="CB41" s="100">
        <f t="shared" si="20"/>
        <v>1925178.5323104379</v>
      </c>
      <c r="CC41" s="100">
        <f t="shared" si="20"/>
        <v>1896781.416674068</v>
      </c>
      <c r="CD41" s="100">
        <f t="shared" si="20"/>
        <v>1892481.7110915668</v>
      </c>
      <c r="CE41" s="100">
        <f t="shared" si="20"/>
        <v>1897669.2853598848</v>
      </c>
      <c r="CF41" s="100">
        <f t="shared" si="20"/>
        <v>1869970.9264414401</v>
      </c>
      <c r="CG41" s="100">
        <f t="shared" si="20"/>
        <v>1903531.725737954</v>
      </c>
      <c r="CH41" s="100">
        <f t="shared" si="20"/>
        <v>1909338.7024748318</v>
      </c>
      <c r="CI41" s="100">
        <f t="shared" si="20"/>
        <v>1852010.7660737943</v>
      </c>
      <c r="CJ41" s="100">
        <f t="shared" ref="CJ41:CS41" si="21">CJ7+CJ34</f>
        <v>1881546.2277113316</v>
      </c>
      <c r="CK41" s="100">
        <f t="shared" si="21"/>
        <v>1913344.6115861672</v>
      </c>
      <c r="CL41" s="100">
        <f t="shared" si="21"/>
        <v>1805073.6573158507</v>
      </c>
      <c r="CM41" s="100">
        <f t="shared" si="21"/>
        <v>1890986.5721687244</v>
      </c>
      <c r="CN41" s="100">
        <f t="shared" si="21"/>
        <v>1834934.5385333295</v>
      </c>
      <c r="CO41" s="100">
        <f t="shared" si="21"/>
        <v>1900680.916694334</v>
      </c>
      <c r="CP41" s="100">
        <f t="shared" si="21"/>
        <v>1937110.5057467513</v>
      </c>
      <c r="CQ41" s="100">
        <f t="shared" si="21"/>
        <v>1995687.8899280136</v>
      </c>
      <c r="CR41" s="100">
        <f t="shared" si="21"/>
        <v>2106496.4040455567</v>
      </c>
      <c r="CS41" s="100">
        <f t="shared" si="21"/>
        <v>2080941.9934414355</v>
      </c>
      <c r="CT41" s="100">
        <f t="shared" ref="CT41:CU41" si="22">CT7+CT34</f>
        <v>2102710.6659266846</v>
      </c>
      <c r="CU41" s="100">
        <f t="shared" si="22"/>
        <v>2137080.0479827602</v>
      </c>
      <c r="CV41" s="100">
        <f>CV7+CV34</f>
        <v>2066377.6378613529</v>
      </c>
      <c r="CW41" s="554">
        <f>CW7+CW34</f>
        <v>2031708.5299560605</v>
      </c>
    </row>
    <row r="42" spans="2:101" x14ac:dyDescent="0.35">
      <c r="D42" s="96"/>
      <c r="E42" s="96"/>
      <c r="F42" s="96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  <c r="AA42" s="96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12"/>
      <c r="AO42" s="12"/>
      <c r="AP42" s="12"/>
      <c r="AQ42" s="12"/>
      <c r="AR42" s="12"/>
      <c r="AS42" s="12"/>
      <c r="AT42" s="12"/>
      <c r="AU42" s="12"/>
      <c r="AV42" s="12"/>
      <c r="BP42"/>
      <c r="CW42" s="79"/>
    </row>
    <row r="43" spans="2:101" x14ac:dyDescent="0.35">
      <c r="D43" s="96"/>
      <c r="E43" s="96"/>
      <c r="F43" s="96"/>
      <c r="G43" s="331"/>
      <c r="H43" s="96"/>
      <c r="I43" s="96"/>
      <c r="J43" s="96"/>
      <c r="K43" s="96"/>
      <c r="L43" s="96"/>
      <c r="M43" s="96"/>
      <c r="N43" s="96"/>
      <c r="O43" s="96"/>
      <c r="P43" s="332"/>
      <c r="Q43" s="332"/>
      <c r="R43" s="332"/>
      <c r="S43" s="332"/>
      <c r="T43" s="332"/>
      <c r="U43" s="332"/>
      <c r="V43" s="332"/>
      <c r="W43" s="332"/>
      <c r="X43" s="332"/>
      <c r="Y43" s="332"/>
      <c r="Z43" s="332"/>
      <c r="AA43" s="332"/>
      <c r="AB43" s="332"/>
      <c r="AC43" s="332"/>
      <c r="AD43" s="332"/>
      <c r="AE43" s="332"/>
      <c r="AF43" s="332"/>
      <c r="AG43" s="332"/>
      <c r="AH43" s="332"/>
      <c r="AI43" s="332"/>
      <c r="AJ43" s="332"/>
      <c r="AK43" s="332"/>
      <c r="AL43" s="332"/>
      <c r="AM43" s="332"/>
      <c r="AN43" s="332"/>
      <c r="AO43" s="332"/>
      <c r="AP43" s="332"/>
      <c r="AQ43" s="332"/>
      <c r="AR43" s="332"/>
      <c r="AS43" s="332"/>
      <c r="BP43"/>
      <c r="CW43" s="79"/>
    </row>
    <row r="44" spans="2:101" x14ac:dyDescent="0.35">
      <c r="B44" s="327" t="s">
        <v>208</v>
      </c>
      <c r="C44" s="327"/>
      <c r="D44" s="70">
        <v>43101</v>
      </c>
      <c r="E44" s="70">
        <v>43132</v>
      </c>
      <c r="F44" s="70">
        <v>43160</v>
      </c>
      <c r="G44" s="70">
        <v>43191</v>
      </c>
      <c r="H44" s="70">
        <v>43221</v>
      </c>
      <c r="I44" s="70">
        <v>43252</v>
      </c>
      <c r="J44" s="70">
        <v>43282</v>
      </c>
      <c r="K44" s="70">
        <v>43313</v>
      </c>
      <c r="L44" s="70">
        <v>43344</v>
      </c>
      <c r="M44" s="70">
        <v>43374</v>
      </c>
      <c r="N44" s="70">
        <v>43405</v>
      </c>
      <c r="O44" s="70">
        <v>43435</v>
      </c>
      <c r="P44" s="70">
        <v>43466</v>
      </c>
      <c r="Q44" s="70">
        <v>43497</v>
      </c>
      <c r="R44" s="70">
        <v>43525</v>
      </c>
      <c r="S44" s="70">
        <v>43556</v>
      </c>
      <c r="T44" s="70">
        <v>43586</v>
      </c>
      <c r="U44" s="70">
        <v>43617</v>
      </c>
      <c r="V44" s="70">
        <v>43647</v>
      </c>
      <c r="W44" s="70">
        <v>43678</v>
      </c>
      <c r="X44" s="70">
        <v>43709</v>
      </c>
      <c r="Y44" s="70">
        <v>43739</v>
      </c>
      <c r="Z44" s="70">
        <v>43770</v>
      </c>
      <c r="AA44" s="70">
        <v>43800</v>
      </c>
      <c r="AB44" s="70">
        <v>43831</v>
      </c>
      <c r="AC44" s="70">
        <v>43862</v>
      </c>
      <c r="AD44" s="70">
        <v>43891</v>
      </c>
      <c r="AE44" s="70">
        <v>43922</v>
      </c>
      <c r="AF44" s="70">
        <v>43952</v>
      </c>
      <c r="AG44" s="70">
        <v>43983</v>
      </c>
      <c r="AH44" s="70">
        <v>44013</v>
      </c>
      <c r="AI44" s="70">
        <v>44044</v>
      </c>
      <c r="AJ44" s="70">
        <v>44075</v>
      </c>
      <c r="AK44" s="70">
        <v>44105</v>
      </c>
      <c r="AL44" s="70">
        <v>44136</v>
      </c>
      <c r="AM44" s="70">
        <v>44166</v>
      </c>
      <c r="AN44" s="70">
        <v>44197</v>
      </c>
      <c r="AO44" s="70">
        <v>44228</v>
      </c>
      <c r="AP44" s="70">
        <v>44256</v>
      </c>
      <c r="AQ44" s="70">
        <v>44287</v>
      </c>
      <c r="AR44" s="70">
        <v>44317</v>
      </c>
      <c r="AS44" s="70">
        <v>44348</v>
      </c>
      <c r="AT44" s="70">
        <v>44378</v>
      </c>
      <c r="AU44" s="69">
        <v>44409</v>
      </c>
      <c r="AV44" s="69">
        <v>44440</v>
      </c>
      <c r="AW44" s="70">
        <v>44470</v>
      </c>
      <c r="AX44" s="70">
        <v>44501</v>
      </c>
      <c r="AY44" s="70">
        <v>44531</v>
      </c>
      <c r="AZ44" s="70">
        <v>44562</v>
      </c>
      <c r="BA44" s="70">
        <v>44593</v>
      </c>
      <c r="BB44" s="70">
        <v>44621</v>
      </c>
      <c r="BC44" s="70">
        <v>44652</v>
      </c>
      <c r="BD44" s="70">
        <v>44682</v>
      </c>
      <c r="BE44" s="70">
        <v>44713</v>
      </c>
      <c r="BF44" s="70">
        <v>44743</v>
      </c>
      <c r="BG44" s="70">
        <v>44774</v>
      </c>
      <c r="BH44" s="70">
        <v>44805</v>
      </c>
      <c r="BI44" s="70">
        <v>44835</v>
      </c>
      <c r="BJ44" s="70">
        <v>44866</v>
      </c>
      <c r="BK44" s="70">
        <v>44896</v>
      </c>
      <c r="BL44" s="70">
        <v>44927</v>
      </c>
      <c r="BM44" s="70">
        <v>44958</v>
      </c>
      <c r="BN44" s="70">
        <v>44986</v>
      </c>
      <c r="BO44" s="70">
        <v>45017</v>
      </c>
      <c r="BP44" s="69">
        <v>45047</v>
      </c>
      <c r="BQ44" s="69">
        <v>45078</v>
      </c>
      <c r="BR44" s="70">
        <v>45108</v>
      </c>
      <c r="BS44" s="70">
        <v>45139</v>
      </c>
      <c r="BT44" s="70">
        <v>45170</v>
      </c>
      <c r="BU44" s="70">
        <v>45200</v>
      </c>
      <c r="BV44" s="70">
        <v>45231</v>
      </c>
      <c r="BW44" s="70">
        <v>45261</v>
      </c>
      <c r="BX44" s="70">
        <v>45292</v>
      </c>
      <c r="BY44" s="70">
        <v>45323</v>
      </c>
      <c r="BZ44" s="70">
        <v>45352</v>
      </c>
      <c r="CA44" s="70">
        <v>45383</v>
      </c>
      <c r="CB44" s="70">
        <v>45413</v>
      </c>
      <c r="CC44" s="70">
        <v>45444</v>
      </c>
      <c r="CD44" s="70">
        <v>45474</v>
      </c>
      <c r="CE44" s="70">
        <v>45505</v>
      </c>
      <c r="CF44" s="70">
        <v>45536</v>
      </c>
      <c r="CG44" s="69">
        <v>45566</v>
      </c>
      <c r="CH44" s="69">
        <v>45597</v>
      </c>
      <c r="CI44" s="69">
        <v>45627</v>
      </c>
      <c r="CJ44" s="69">
        <v>45658</v>
      </c>
      <c r="CK44" s="70">
        <v>45689</v>
      </c>
      <c r="CL44" s="70">
        <v>45717</v>
      </c>
      <c r="CM44" s="70">
        <v>45748</v>
      </c>
      <c r="CN44" s="70">
        <v>45778</v>
      </c>
      <c r="CO44" s="70">
        <v>45809</v>
      </c>
      <c r="CP44" s="70">
        <v>45839</v>
      </c>
      <c r="CQ44" s="70">
        <v>45870</v>
      </c>
      <c r="CR44" s="70">
        <v>45901</v>
      </c>
      <c r="CS44" s="70">
        <v>45931</v>
      </c>
      <c r="CT44" s="70">
        <v>45962</v>
      </c>
      <c r="CU44" s="70">
        <v>45992</v>
      </c>
      <c r="CV44" s="70">
        <v>46023</v>
      </c>
      <c r="CW44" s="70">
        <v>46054</v>
      </c>
    </row>
    <row r="45" spans="2:101" s="328" customFormat="1" ht="6" customHeight="1" x14ac:dyDescent="0.35">
      <c r="B45" s="3"/>
      <c r="C45" s="3"/>
      <c r="D45" s="227"/>
      <c r="E45" s="227"/>
      <c r="F45" s="227"/>
      <c r="G45" s="329"/>
      <c r="H45" s="227"/>
      <c r="I45" s="227"/>
      <c r="J45" s="227"/>
      <c r="K45" s="227"/>
      <c r="L45" s="227"/>
      <c r="M45" s="227"/>
      <c r="N45" s="227"/>
      <c r="O45" s="227"/>
      <c r="P45" s="227"/>
      <c r="Q45" s="227"/>
      <c r="R45" s="227"/>
      <c r="S45" s="227"/>
      <c r="T45" s="227"/>
      <c r="U45" s="227"/>
      <c r="V45" s="227"/>
      <c r="W45" s="227"/>
      <c r="X45" s="227"/>
      <c r="Y45" s="227"/>
      <c r="Z45" s="227"/>
      <c r="AA45" s="227"/>
      <c r="AB45" s="227"/>
      <c r="AC45" s="227"/>
      <c r="AD45" s="227"/>
      <c r="AE45" s="227"/>
      <c r="AF45" s="227"/>
      <c r="AG45" s="227"/>
      <c r="AH45" s="227"/>
      <c r="AI45" s="227"/>
      <c r="AJ45" s="227"/>
      <c r="AK45" s="227"/>
      <c r="AL45" s="227"/>
      <c r="AM45" s="227"/>
      <c r="AN45" s="227"/>
      <c r="AO45" s="227"/>
      <c r="AP45" s="227"/>
      <c r="AQ45" s="227"/>
      <c r="AR45" s="227"/>
      <c r="AS45" s="227"/>
      <c r="AT45" s="227"/>
      <c r="AU45" s="227"/>
      <c r="AV45" s="227"/>
      <c r="AW45"/>
      <c r="AX45"/>
      <c r="AY45"/>
      <c r="AZ45"/>
      <c r="BA45"/>
      <c r="BN45" s="449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W45" s="689"/>
    </row>
    <row r="46" spans="2:101" x14ac:dyDescent="0.35">
      <c r="B46" s="3"/>
      <c r="C46" s="370" t="s">
        <v>25</v>
      </c>
      <c r="D46" s="102"/>
      <c r="E46" s="102"/>
      <c r="F46" s="102"/>
      <c r="G46" s="102">
        <v>757051</v>
      </c>
      <c r="H46" s="102">
        <v>760368</v>
      </c>
      <c r="I46" s="102">
        <v>786919</v>
      </c>
      <c r="J46" s="102">
        <v>798806</v>
      </c>
      <c r="K46" s="102">
        <v>849061</v>
      </c>
      <c r="L46" s="102">
        <v>806612</v>
      </c>
      <c r="M46" s="102">
        <v>869188</v>
      </c>
      <c r="N46" s="102">
        <v>875319</v>
      </c>
      <c r="O46" s="102">
        <v>829058</v>
      </c>
      <c r="P46" s="102">
        <v>847757</v>
      </c>
      <c r="Q46" s="102">
        <v>832715</v>
      </c>
      <c r="R46" s="102">
        <v>822817</v>
      </c>
      <c r="S46" s="102">
        <v>869622</v>
      </c>
      <c r="T46" s="102">
        <v>851572</v>
      </c>
      <c r="U46" s="102">
        <v>880488</v>
      </c>
      <c r="V46" s="102">
        <v>900850</v>
      </c>
      <c r="W46" s="102">
        <v>904517</v>
      </c>
      <c r="X46" s="102">
        <v>917209</v>
      </c>
      <c r="Y46" s="102">
        <v>919380</v>
      </c>
      <c r="Z46" s="102">
        <v>919379</v>
      </c>
      <c r="AA46" s="102">
        <v>953815</v>
      </c>
      <c r="AB46" s="102">
        <v>937698</v>
      </c>
      <c r="AC46" s="102">
        <v>978742</v>
      </c>
      <c r="AD46" s="102">
        <v>973161</v>
      </c>
      <c r="AE46" s="102">
        <v>975172.33000000007</v>
      </c>
      <c r="AF46" s="102">
        <v>1006088.3300000001</v>
      </c>
      <c r="AG46" s="102">
        <v>1024038.3300000001</v>
      </c>
      <c r="AH46" s="102">
        <v>1045558</v>
      </c>
      <c r="AI46" s="102">
        <v>1045074</v>
      </c>
      <c r="AJ46" s="102">
        <v>1059448</v>
      </c>
      <c r="AK46" s="564">
        <v>1046149</v>
      </c>
      <c r="AL46" s="102">
        <v>1041967</v>
      </c>
      <c r="AM46" s="102">
        <v>1046343</v>
      </c>
      <c r="AN46" s="102">
        <v>843148</v>
      </c>
      <c r="AO46" s="102">
        <v>839291</v>
      </c>
      <c r="AP46" s="102">
        <v>842906</v>
      </c>
      <c r="AQ46" s="102">
        <v>851497</v>
      </c>
      <c r="AR46" s="102">
        <v>852931</v>
      </c>
      <c r="AS46" s="102">
        <v>857724</v>
      </c>
      <c r="AT46" s="102">
        <v>860361</v>
      </c>
      <c r="AU46" s="102">
        <v>861341</v>
      </c>
      <c r="AV46" s="102">
        <v>858732</v>
      </c>
      <c r="AW46" s="102">
        <v>871811</v>
      </c>
      <c r="AX46" s="102">
        <v>872012</v>
      </c>
      <c r="AY46" s="102">
        <v>869782</v>
      </c>
      <c r="AZ46" s="102">
        <v>1331984</v>
      </c>
      <c r="BA46" s="102">
        <v>1353874</v>
      </c>
      <c r="BB46" s="102">
        <v>1354926</v>
      </c>
      <c r="BC46" s="102">
        <v>1393386</v>
      </c>
      <c r="BD46" s="102">
        <v>1377184</v>
      </c>
      <c r="BE46" s="102">
        <v>1392034</v>
      </c>
      <c r="BF46" s="102">
        <v>1394500</v>
      </c>
      <c r="BG46" s="102">
        <v>1388722</v>
      </c>
      <c r="BH46" s="102">
        <v>1419843</v>
      </c>
      <c r="BI46" s="102">
        <v>1457650</v>
      </c>
      <c r="BJ46" s="102">
        <v>1417180</v>
      </c>
      <c r="BK46" s="102">
        <v>1488964</v>
      </c>
      <c r="BL46" s="102">
        <v>1666996</v>
      </c>
      <c r="BM46" s="102">
        <v>1626510</v>
      </c>
      <c r="BN46" s="102">
        <v>1646760</v>
      </c>
      <c r="BO46" s="102">
        <v>1689968</v>
      </c>
      <c r="BP46" s="102">
        <v>1679661</v>
      </c>
      <c r="BQ46" s="102">
        <v>1703212</v>
      </c>
      <c r="BR46" s="102">
        <v>1743065</v>
      </c>
      <c r="BS46" s="102">
        <v>1809832</v>
      </c>
      <c r="BT46" s="102">
        <v>1767005</v>
      </c>
      <c r="BU46" s="102">
        <v>1802836</v>
      </c>
      <c r="BV46" s="102">
        <v>1819023</v>
      </c>
      <c r="BW46" s="102">
        <v>1844536</v>
      </c>
      <c r="BX46" s="102">
        <v>1911190</v>
      </c>
      <c r="BY46" s="102">
        <v>1888765</v>
      </c>
      <c r="BZ46" s="102">
        <v>1888998</v>
      </c>
      <c r="CA46" s="102">
        <v>1909569</v>
      </c>
      <c r="CB46" s="102">
        <v>1795160</v>
      </c>
      <c r="CC46" s="102">
        <v>2155089</v>
      </c>
      <c r="CD46" s="102">
        <v>2028159</v>
      </c>
      <c r="CE46" s="102">
        <v>1927445</v>
      </c>
      <c r="CF46" s="102">
        <v>1917910</v>
      </c>
      <c r="CG46" s="102">
        <v>1889770</v>
      </c>
      <c r="CH46" s="102">
        <v>1893799</v>
      </c>
      <c r="CI46" s="102">
        <v>1856579</v>
      </c>
      <c r="CJ46" s="102">
        <v>1874162</v>
      </c>
      <c r="CK46" s="102">
        <v>1878616</v>
      </c>
      <c r="CL46" s="102">
        <v>1845759</v>
      </c>
      <c r="CM46" s="102">
        <v>1817998</v>
      </c>
      <c r="CN46" s="102">
        <v>1821462</v>
      </c>
      <c r="CO46" s="102">
        <v>1842636</v>
      </c>
      <c r="CP46" s="102">
        <v>1870776</v>
      </c>
      <c r="CQ46" s="102">
        <v>1856564</v>
      </c>
      <c r="CR46" s="102">
        <v>1855187</v>
      </c>
      <c r="CS46" s="102">
        <v>1867246</v>
      </c>
      <c r="CT46" s="102">
        <v>1854584</v>
      </c>
      <c r="CU46" s="102">
        <v>1834478</v>
      </c>
      <c r="CV46" s="102">
        <v>1863661</v>
      </c>
      <c r="CW46" s="650">
        <v>1831317</v>
      </c>
    </row>
    <row r="47" spans="2:101" x14ac:dyDescent="0.35">
      <c r="B47" s="3"/>
      <c r="C47" s="372" t="s">
        <v>26</v>
      </c>
      <c r="D47" s="102"/>
      <c r="E47" s="102"/>
      <c r="F47" s="102"/>
      <c r="G47" s="102">
        <v>70</v>
      </c>
      <c r="H47" s="102">
        <v>73</v>
      </c>
      <c r="I47" s="102">
        <v>75</v>
      </c>
      <c r="J47" s="102">
        <v>74</v>
      </c>
      <c r="K47" s="102">
        <v>74</v>
      </c>
      <c r="L47" s="102">
        <v>74</v>
      </c>
      <c r="M47" s="102">
        <v>74</v>
      </c>
      <c r="N47" s="102">
        <v>76</v>
      </c>
      <c r="O47" s="102">
        <v>80</v>
      </c>
      <c r="P47" s="102">
        <v>84</v>
      </c>
      <c r="Q47" s="102">
        <v>83</v>
      </c>
      <c r="R47" s="102">
        <v>87</v>
      </c>
      <c r="S47" s="102">
        <v>91</v>
      </c>
      <c r="T47" s="102">
        <v>75</v>
      </c>
      <c r="U47" s="102">
        <v>84</v>
      </c>
      <c r="V47" s="102">
        <v>86</v>
      </c>
      <c r="W47" s="102">
        <v>88</v>
      </c>
      <c r="X47" s="102">
        <v>92</v>
      </c>
      <c r="Y47" s="102">
        <v>101</v>
      </c>
      <c r="Z47" s="102">
        <v>117</v>
      </c>
      <c r="AA47" s="102">
        <v>119</v>
      </c>
      <c r="AB47" s="102">
        <v>150</v>
      </c>
      <c r="AC47" s="102">
        <v>212</v>
      </c>
      <c r="AD47" s="102">
        <v>219</v>
      </c>
      <c r="AE47" s="102">
        <v>235</v>
      </c>
      <c r="AF47" s="102">
        <v>511</v>
      </c>
      <c r="AG47" s="102">
        <v>541</v>
      </c>
      <c r="AH47" s="102">
        <v>639</v>
      </c>
      <c r="AI47" s="102">
        <v>934</v>
      </c>
      <c r="AJ47" s="102">
        <v>1232</v>
      </c>
      <c r="AK47" s="102">
        <v>2295</v>
      </c>
      <c r="AL47" s="102">
        <v>932</v>
      </c>
      <c r="AM47" s="102">
        <v>3708</v>
      </c>
      <c r="AN47" s="102">
        <v>157827</v>
      </c>
      <c r="AO47" s="102">
        <v>159130</v>
      </c>
      <c r="AP47" s="102">
        <v>160793</v>
      </c>
      <c r="AQ47" s="102">
        <v>177673</v>
      </c>
      <c r="AR47" s="102">
        <v>187183</v>
      </c>
      <c r="AS47" s="102">
        <v>216139</v>
      </c>
      <c r="AT47" s="102">
        <v>239802</v>
      </c>
      <c r="AU47" s="102">
        <v>358359</v>
      </c>
      <c r="AV47" s="102">
        <v>328386</v>
      </c>
      <c r="AW47" s="102">
        <v>521548</v>
      </c>
      <c r="AX47" s="102">
        <v>415700</v>
      </c>
      <c r="AY47" s="102">
        <v>448731</v>
      </c>
      <c r="AZ47" s="102">
        <v>105968</v>
      </c>
      <c r="BA47" s="102">
        <v>112198</v>
      </c>
      <c r="BB47" s="102">
        <v>118149</v>
      </c>
      <c r="BC47" s="102">
        <v>125146</v>
      </c>
      <c r="BD47" s="102">
        <v>147316</v>
      </c>
      <c r="BE47" s="102">
        <v>161384</v>
      </c>
      <c r="BF47" s="102">
        <v>185163</v>
      </c>
      <c r="BG47" s="102">
        <v>198060</v>
      </c>
      <c r="BH47" s="102">
        <v>214904</v>
      </c>
      <c r="BI47" s="102">
        <v>216272</v>
      </c>
      <c r="BJ47" s="102">
        <v>256850</v>
      </c>
      <c r="BK47" s="102">
        <v>251457</v>
      </c>
      <c r="BL47" s="102">
        <v>226</v>
      </c>
      <c r="BM47" s="102">
        <v>312</v>
      </c>
      <c r="BN47" s="102">
        <v>314</v>
      </c>
      <c r="BO47" s="102">
        <v>322</v>
      </c>
      <c r="BP47" s="102">
        <v>327</v>
      </c>
      <c r="BQ47" s="102">
        <v>262</v>
      </c>
      <c r="BR47" s="102">
        <v>814</v>
      </c>
      <c r="BS47" s="102">
        <v>817</v>
      </c>
      <c r="BT47" s="102">
        <v>806</v>
      </c>
      <c r="BU47" s="102">
        <v>266</v>
      </c>
      <c r="BV47" s="102">
        <v>274</v>
      </c>
      <c r="BW47" s="102">
        <v>256</v>
      </c>
      <c r="BX47" s="102">
        <v>257</v>
      </c>
      <c r="BY47" s="102">
        <v>214</v>
      </c>
      <c r="BZ47" s="102">
        <v>209</v>
      </c>
      <c r="CA47" s="102">
        <v>219</v>
      </c>
      <c r="CB47" s="102">
        <v>293</v>
      </c>
      <c r="CC47" s="102">
        <v>236</v>
      </c>
      <c r="CD47" s="102">
        <v>485</v>
      </c>
      <c r="CE47" s="102">
        <v>524</v>
      </c>
      <c r="CF47" s="102">
        <v>625</v>
      </c>
      <c r="CG47" s="102">
        <v>2214</v>
      </c>
      <c r="CH47" s="102">
        <v>2240</v>
      </c>
      <c r="CI47" s="102">
        <v>3990</v>
      </c>
      <c r="CJ47" s="102">
        <v>75735</v>
      </c>
      <c r="CK47" s="102">
        <v>75955</v>
      </c>
      <c r="CL47" s="102">
        <v>82256</v>
      </c>
      <c r="CM47" s="102">
        <v>86128</v>
      </c>
      <c r="CN47" s="102">
        <v>92418</v>
      </c>
      <c r="CO47" s="102">
        <v>107882</v>
      </c>
      <c r="CP47" s="102">
        <v>124180</v>
      </c>
      <c r="CQ47" s="102">
        <v>145500</v>
      </c>
      <c r="CR47" s="102">
        <v>157027</v>
      </c>
      <c r="CS47" s="102">
        <v>174141</v>
      </c>
      <c r="CT47" s="102">
        <v>187810</v>
      </c>
      <c r="CU47" s="102">
        <v>214258</v>
      </c>
      <c r="CV47" s="102">
        <v>261425</v>
      </c>
      <c r="CW47" s="650">
        <v>272788</v>
      </c>
    </row>
    <row r="48" spans="2:101" x14ac:dyDescent="0.35">
      <c r="B48" s="3"/>
      <c r="C48" s="372" t="s">
        <v>27</v>
      </c>
      <c r="D48" s="102"/>
      <c r="E48" s="102"/>
      <c r="F48" s="102"/>
      <c r="G48" s="102">
        <v>156066</v>
      </c>
      <c r="H48" s="102">
        <v>156009</v>
      </c>
      <c r="I48" s="102">
        <v>172354</v>
      </c>
      <c r="J48" s="102">
        <v>172337</v>
      </c>
      <c r="K48" s="102">
        <v>181915</v>
      </c>
      <c r="L48" s="102">
        <v>174986</v>
      </c>
      <c r="M48" s="102">
        <v>183957</v>
      </c>
      <c r="N48" s="102">
        <v>183784</v>
      </c>
      <c r="O48" s="102">
        <v>171526</v>
      </c>
      <c r="P48" s="102">
        <v>175926</v>
      </c>
      <c r="Q48" s="102">
        <v>173084</v>
      </c>
      <c r="R48" s="102">
        <v>175110</v>
      </c>
      <c r="S48" s="102">
        <v>176387</v>
      </c>
      <c r="T48" s="102">
        <v>187656</v>
      </c>
      <c r="U48" s="102">
        <v>188908</v>
      </c>
      <c r="V48" s="102">
        <v>190027</v>
      </c>
      <c r="W48" s="102">
        <v>192995</v>
      </c>
      <c r="X48" s="102">
        <v>192308</v>
      </c>
      <c r="Y48" s="102">
        <v>192792</v>
      </c>
      <c r="Z48" s="102">
        <v>191204</v>
      </c>
      <c r="AA48" s="102">
        <v>187905</v>
      </c>
      <c r="AB48" s="102">
        <v>188062</v>
      </c>
      <c r="AC48" s="102">
        <v>189527</v>
      </c>
      <c r="AD48" s="102">
        <v>190644</v>
      </c>
      <c r="AE48" s="102">
        <v>192436</v>
      </c>
      <c r="AF48" s="102">
        <v>190802</v>
      </c>
      <c r="AG48" s="102">
        <v>189322</v>
      </c>
      <c r="AH48" s="102">
        <v>178828</v>
      </c>
      <c r="AI48" s="102">
        <v>182729</v>
      </c>
      <c r="AJ48" s="102">
        <v>182609</v>
      </c>
      <c r="AK48" s="102">
        <v>178880</v>
      </c>
      <c r="AL48" s="102">
        <v>178282</v>
      </c>
      <c r="AM48" s="102">
        <v>203100</v>
      </c>
      <c r="AN48" s="102">
        <v>234417</v>
      </c>
      <c r="AO48" s="102">
        <v>232662</v>
      </c>
      <c r="AP48" s="102">
        <v>256749</v>
      </c>
      <c r="AQ48" s="102">
        <v>254249</v>
      </c>
      <c r="AR48" s="102">
        <v>250662</v>
      </c>
      <c r="AS48" s="102">
        <v>255835</v>
      </c>
      <c r="AT48" s="102">
        <v>252040</v>
      </c>
      <c r="AU48" s="102">
        <v>252898</v>
      </c>
      <c r="AV48" s="102">
        <v>251341</v>
      </c>
      <c r="AW48" s="102">
        <v>259307</v>
      </c>
      <c r="AX48" s="102">
        <v>262209</v>
      </c>
      <c r="AY48" s="102">
        <v>267501</v>
      </c>
      <c r="AZ48" s="102">
        <v>182436</v>
      </c>
      <c r="BA48" s="102">
        <v>181126</v>
      </c>
      <c r="BB48" s="102">
        <v>181240</v>
      </c>
      <c r="BC48" s="102">
        <v>181155</v>
      </c>
      <c r="BD48" s="102">
        <v>202219</v>
      </c>
      <c r="BE48" s="102">
        <v>184280</v>
      </c>
      <c r="BF48" s="102">
        <v>178061</v>
      </c>
      <c r="BG48" s="102">
        <v>184668</v>
      </c>
      <c r="BH48" s="102">
        <v>192274</v>
      </c>
      <c r="BI48" s="102">
        <v>177005</v>
      </c>
      <c r="BJ48" s="102">
        <v>168087</v>
      </c>
      <c r="BK48" s="102">
        <v>174636</v>
      </c>
      <c r="BL48" s="102">
        <v>226622</v>
      </c>
      <c r="BM48" s="102">
        <v>221131</v>
      </c>
      <c r="BN48" s="102">
        <v>219834</v>
      </c>
      <c r="BO48" s="102">
        <v>210800</v>
      </c>
      <c r="BP48" s="102">
        <v>212288</v>
      </c>
      <c r="BQ48" s="102">
        <v>204893</v>
      </c>
      <c r="BR48" s="102">
        <v>196637</v>
      </c>
      <c r="BS48" s="102">
        <v>192684</v>
      </c>
      <c r="BT48" s="102">
        <v>194961</v>
      </c>
      <c r="BU48" s="102">
        <v>190898</v>
      </c>
      <c r="BV48" s="102">
        <v>187367</v>
      </c>
      <c r="BW48" s="102">
        <v>177862</v>
      </c>
      <c r="BX48" s="102">
        <v>178777</v>
      </c>
      <c r="BY48" s="102">
        <v>176112</v>
      </c>
      <c r="BZ48" s="102">
        <v>182132</v>
      </c>
      <c r="CA48" s="102">
        <v>174004</v>
      </c>
      <c r="CB48" s="102">
        <v>171449</v>
      </c>
      <c r="CC48" s="102">
        <v>164137</v>
      </c>
      <c r="CD48" s="102">
        <v>160254</v>
      </c>
      <c r="CE48" s="102">
        <v>161221</v>
      </c>
      <c r="CF48" s="102">
        <v>157789</v>
      </c>
      <c r="CG48" s="102">
        <v>156708</v>
      </c>
      <c r="CH48" s="102">
        <v>156963</v>
      </c>
      <c r="CI48" s="102">
        <v>153907</v>
      </c>
      <c r="CJ48" s="102">
        <v>153488</v>
      </c>
      <c r="CK48" s="102">
        <v>157371</v>
      </c>
      <c r="CL48" s="102">
        <v>145344</v>
      </c>
      <c r="CM48" s="102">
        <v>145369</v>
      </c>
      <c r="CN48" s="102">
        <v>146311</v>
      </c>
      <c r="CO48" s="102">
        <v>150057</v>
      </c>
      <c r="CP48" s="102">
        <v>151676</v>
      </c>
      <c r="CQ48" s="102">
        <v>153410</v>
      </c>
      <c r="CR48" s="102">
        <v>150359</v>
      </c>
      <c r="CS48" s="102">
        <v>135237</v>
      </c>
      <c r="CT48" s="102">
        <v>145079</v>
      </c>
      <c r="CU48" s="102">
        <v>141610</v>
      </c>
      <c r="CV48" s="102">
        <v>141387</v>
      </c>
      <c r="CW48" s="650">
        <v>141625</v>
      </c>
    </row>
    <row r="49" spans="2:101" s="431" customFormat="1" x14ac:dyDescent="0.35">
      <c r="B49" s="561"/>
      <c r="C49" s="562" t="s">
        <v>28</v>
      </c>
      <c r="D49" s="563"/>
      <c r="E49" s="563"/>
      <c r="F49" s="563"/>
      <c r="G49" s="563">
        <v>11498</v>
      </c>
      <c r="H49" s="563">
        <v>14119</v>
      </c>
      <c r="I49" s="563">
        <v>26225</v>
      </c>
      <c r="J49" s="563">
        <v>26801</v>
      </c>
      <c r="K49" s="563">
        <v>38895</v>
      </c>
      <c r="L49" s="563">
        <v>45405</v>
      </c>
      <c r="M49" s="563">
        <v>57601</v>
      </c>
      <c r="N49" s="563">
        <v>64324</v>
      </c>
      <c r="O49" s="563">
        <v>68548</v>
      </c>
      <c r="P49" s="563">
        <v>68612</v>
      </c>
      <c r="Q49" s="563">
        <v>73125</v>
      </c>
      <c r="R49" s="563">
        <v>76290</v>
      </c>
      <c r="S49" s="563">
        <v>84937</v>
      </c>
      <c r="T49" s="563">
        <v>89675</v>
      </c>
      <c r="U49" s="563">
        <v>96725</v>
      </c>
      <c r="V49" s="563">
        <v>102987</v>
      </c>
      <c r="W49" s="563">
        <v>107219</v>
      </c>
      <c r="X49" s="563">
        <v>120389</v>
      </c>
      <c r="Y49" s="563">
        <v>124654</v>
      </c>
      <c r="Z49" s="563">
        <v>134370</v>
      </c>
      <c r="AA49" s="563">
        <v>140532</v>
      </c>
      <c r="AB49" s="563">
        <v>141814</v>
      </c>
      <c r="AC49" s="563">
        <v>143706</v>
      </c>
      <c r="AD49" s="563">
        <v>145427</v>
      </c>
      <c r="AE49" s="563">
        <v>150502</v>
      </c>
      <c r="AF49" s="563">
        <v>150891</v>
      </c>
      <c r="AG49" s="563">
        <v>150097</v>
      </c>
      <c r="AH49" s="563">
        <v>160326</v>
      </c>
      <c r="AI49" s="563">
        <v>168114</v>
      </c>
      <c r="AJ49" s="563">
        <v>177539</v>
      </c>
      <c r="AK49" s="563">
        <v>178408</v>
      </c>
      <c r="AL49" s="563">
        <v>183668</v>
      </c>
      <c r="AM49" s="563">
        <v>186101</v>
      </c>
      <c r="AN49" s="563">
        <v>184983</v>
      </c>
      <c r="AO49" s="563">
        <v>188168</v>
      </c>
      <c r="AP49" s="563">
        <v>192424</v>
      </c>
      <c r="AQ49" s="563">
        <v>194881</v>
      </c>
      <c r="AR49" s="563">
        <v>195782</v>
      </c>
      <c r="AS49" s="563">
        <v>197409</v>
      </c>
      <c r="AT49" s="563">
        <v>203010</v>
      </c>
      <c r="AU49" s="563">
        <v>207698</v>
      </c>
      <c r="AV49" s="563">
        <v>209071</v>
      </c>
      <c r="AW49" s="563">
        <v>212779</v>
      </c>
      <c r="AX49" s="563">
        <v>218596</v>
      </c>
      <c r="AY49" s="563">
        <v>219986</v>
      </c>
      <c r="AZ49" s="563">
        <v>223662</v>
      </c>
      <c r="BA49" s="563">
        <v>225755</v>
      </c>
      <c r="BB49" s="563">
        <v>232510</v>
      </c>
      <c r="BC49" s="563">
        <v>235193</v>
      </c>
      <c r="BD49" s="563">
        <v>238992</v>
      </c>
      <c r="BE49" s="563">
        <v>246491</v>
      </c>
      <c r="BF49" s="563">
        <v>251806</v>
      </c>
      <c r="BG49" s="563">
        <v>255094</v>
      </c>
      <c r="BH49" s="563">
        <v>263781</v>
      </c>
      <c r="BI49" s="563">
        <v>271234</v>
      </c>
      <c r="BJ49" s="563">
        <v>282854</v>
      </c>
      <c r="BK49" s="563">
        <v>292542</v>
      </c>
      <c r="BL49" s="563">
        <v>293138</v>
      </c>
      <c r="BM49" s="563">
        <v>293827</v>
      </c>
      <c r="BN49" s="563">
        <v>294543</v>
      </c>
      <c r="BO49" s="563">
        <v>303237</v>
      </c>
      <c r="BP49" s="563">
        <v>308274</v>
      </c>
      <c r="BQ49" s="563">
        <v>308038</v>
      </c>
      <c r="BR49" s="563">
        <v>304743</v>
      </c>
      <c r="BS49" s="563">
        <v>315866</v>
      </c>
      <c r="BT49" s="563">
        <v>324662</v>
      </c>
      <c r="BU49" s="563">
        <v>331580</v>
      </c>
      <c r="BV49" s="563">
        <v>338636</v>
      </c>
      <c r="BW49" s="563">
        <v>344472</v>
      </c>
      <c r="BX49" s="563">
        <v>350848</v>
      </c>
      <c r="BY49" s="563">
        <v>357082</v>
      </c>
      <c r="BZ49" s="563">
        <v>363553</v>
      </c>
      <c r="CA49" s="563">
        <v>374635</v>
      </c>
      <c r="CB49" s="563">
        <v>374754</v>
      </c>
      <c r="CC49" s="563">
        <v>373716</v>
      </c>
      <c r="CD49" s="563">
        <v>374889</v>
      </c>
      <c r="CE49" s="563">
        <v>381642</v>
      </c>
      <c r="CF49" s="563">
        <v>388043</v>
      </c>
      <c r="CG49" s="102">
        <v>395479</v>
      </c>
      <c r="CH49" s="102">
        <v>400470</v>
      </c>
      <c r="CI49" s="102">
        <v>402866</v>
      </c>
      <c r="CJ49" s="102">
        <v>406023</v>
      </c>
      <c r="CK49" s="102">
        <v>408595</v>
      </c>
      <c r="CL49" s="102">
        <v>415903</v>
      </c>
      <c r="CM49" s="102">
        <v>420731</v>
      </c>
      <c r="CN49" s="102">
        <v>425020</v>
      </c>
      <c r="CO49" s="102">
        <v>425978</v>
      </c>
      <c r="CP49" s="102">
        <v>432144</v>
      </c>
      <c r="CQ49" s="102">
        <v>429849</v>
      </c>
      <c r="CR49" s="102">
        <v>440670</v>
      </c>
      <c r="CS49" s="102">
        <v>445654</v>
      </c>
      <c r="CT49" s="102">
        <v>451496</v>
      </c>
      <c r="CU49" s="102">
        <v>456787</v>
      </c>
      <c r="CV49" s="102">
        <v>451209</v>
      </c>
      <c r="CW49" s="650">
        <v>447214</v>
      </c>
    </row>
    <row r="50" spans="2:101" x14ac:dyDescent="0.35">
      <c r="B50" s="3"/>
      <c r="C50" s="372" t="s">
        <v>185</v>
      </c>
      <c r="D50" s="102"/>
      <c r="E50" s="102"/>
      <c r="F50" s="102"/>
      <c r="G50" s="102">
        <v>0</v>
      </c>
      <c r="H50" s="102">
        <v>0</v>
      </c>
      <c r="I50" s="102">
        <v>0</v>
      </c>
      <c r="J50" s="102">
        <v>0</v>
      </c>
      <c r="K50" s="102">
        <v>0</v>
      </c>
      <c r="L50" s="102">
        <v>0</v>
      </c>
      <c r="M50" s="102">
        <v>0</v>
      </c>
      <c r="N50" s="102">
        <v>0</v>
      </c>
      <c r="O50" s="102">
        <v>0</v>
      </c>
      <c r="P50" s="102">
        <v>0</v>
      </c>
      <c r="Q50" s="102">
        <v>0</v>
      </c>
      <c r="R50" s="102">
        <v>0</v>
      </c>
      <c r="S50" s="102">
        <v>0</v>
      </c>
      <c r="T50" s="102">
        <v>0</v>
      </c>
      <c r="U50" s="102">
        <v>0</v>
      </c>
      <c r="V50" s="102">
        <v>0</v>
      </c>
      <c r="W50" s="102">
        <v>0</v>
      </c>
      <c r="X50" s="102">
        <v>0</v>
      </c>
      <c r="Y50" s="102">
        <v>0</v>
      </c>
      <c r="Z50" s="102">
        <v>0</v>
      </c>
      <c r="AA50" s="102">
        <v>0</v>
      </c>
      <c r="AB50" s="102">
        <v>0</v>
      </c>
      <c r="AC50" s="102">
        <v>0</v>
      </c>
      <c r="AD50" s="102">
        <v>0</v>
      </c>
      <c r="AE50" s="102">
        <v>0</v>
      </c>
      <c r="AF50" s="102">
        <v>0</v>
      </c>
      <c r="AG50" s="102">
        <v>0</v>
      </c>
      <c r="AH50" s="102">
        <v>0</v>
      </c>
      <c r="AI50" s="102">
        <v>0</v>
      </c>
      <c r="AJ50" s="102">
        <v>0</v>
      </c>
      <c r="AK50" s="102">
        <v>0</v>
      </c>
      <c r="AL50" s="102">
        <v>0</v>
      </c>
      <c r="AM50" s="102">
        <v>0</v>
      </c>
      <c r="AN50" s="102">
        <v>0</v>
      </c>
      <c r="AO50" s="102">
        <v>0</v>
      </c>
      <c r="AP50" s="102">
        <v>0</v>
      </c>
      <c r="AQ50" s="102">
        <v>0</v>
      </c>
      <c r="AR50" s="102">
        <v>0</v>
      </c>
      <c r="AS50" s="102">
        <v>0</v>
      </c>
      <c r="AT50" s="102">
        <v>0</v>
      </c>
      <c r="AU50" s="102">
        <v>0</v>
      </c>
      <c r="AV50" s="102">
        <v>0</v>
      </c>
      <c r="AW50" s="102">
        <v>0</v>
      </c>
      <c r="AX50" s="102">
        <v>0</v>
      </c>
      <c r="AY50" s="102">
        <v>0</v>
      </c>
      <c r="AZ50" s="102">
        <v>0</v>
      </c>
      <c r="BA50" s="102">
        <v>0</v>
      </c>
      <c r="BB50" s="102">
        <v>0</v>
      </c>
      <c r="BC50" s="102">
        <v>0</v>
      </c>
      <c r="BD50" s="102">
        <v>0</v>
      </c>
      <c r="BE50" s="102">
        <v>0</v>
      </c>
      <c r="BF50" s="102">
        <v>0</v>
      </c>
      <c r="BG50" s="102">
        <v>0</v>
      </c>
      <c r="BH50" s="102">
        <v>0</v>
      </c>
      <c r="BI50" s="102">
        <v>0</v>
      </c>
      <c r="BJ50" s="102">
        <v>0</v>
      </c>
      <c r="BK50" s="102">
        <v>0</v>
      </c>
      <c r="BL50" s="102">
        <v>0</v>
      </c>
      <c r="BM50" s="102"/>
      <c r="BN50" s="102">
        <v>0</v>
      </c>
      <c r="BO50" s="102"/>
      <c r="BP50" s="102"/>
      <c r="BQ50" s="102"/>
      <c r="BR50" s="102"/>
      <c r="BS50" s="102"/>
      <c r="BT50" s="102"/>
      <c r="BU50" s="102"/>
      <c r="BV50" s="102"/>
      <c r="BW50" s="102"/>
      <c r="BX50" s="102"/>
      <c r="BY50" s="102"/>
      <c r="BZ50" s="102"/>
      <c r="CA50" s="102"/>
      <c r="CB50" s="102"/>
      <c r="CC50" s="102"/>
      <c r="CD50" s="102"/>
      <c r="CE50" s="102"/>
      <c r="CF50" s="102"/>
      <c r="CG50" s="102"/>
      <c r="CH50" s="102"/>
      <c r="CI50" s="102"/>
      <c r="CJ50" s="102"/>
      <c r="CK50" s="102">
        <v>0</v>
      </c>
      <c r="CL50" s="102"/>
      <c r="CP50" s="102"/>
      <c r="CQ50" s="102">
        <v>0</v>
      </c>
      <c r="CR50" s="102">
        <v>0</v>
      </c>
      <c r="CS50" s="102">
        <v>0</v>
      </c>
      <c r="CT50" s="102">
        <v>0</v>
      </c>
      <c r="CU50" s="102"/>
      <c r="CV50" s="102"/>
      <c r="CW50" s="650"/>
    </row>
    <row r="51" spans="2:101" x14ac:dyDescent="0.35">
      <c r="B51" s="3"/>
      <c r="C51" s="372" t="s">
        <v>200</v>
      </c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2"/>
      <c r="BB51" s="102"/>
      <c r="BC51" s="102"/>
      <c r="BD51" s="102"/>
      <c r="BE51" s="102"/>
      <c r="BF51" s="102"/>
      <c r="BG51" s="102"/>
      <c r="BH51" s="102"/>
      <c r="BI51" s="102"/>
      <c r="BJ51" s="102"/>
      <c r="BK51" s="102"/>
      <c r="BL51" s="102"/>
      <c r="BM51" s="102"/>
      <c r="BN51" s="102"/>
      <c r="BO51" s="102"/>
      <c r="BP51" s="102"/>
      <c r="BQ51" s="102"/>
      <c r="BR51" s="102"/>
      <c r="BS51" s="102"/>
      <c r="BT51" s="102"/>
      <c r="BU51" s="102"/>
      <c r="BV51" s="102"/>
      <c r="BW51" s="102"/>
      <c r="BX51" s="102"/>
      <c r="BY51" s="102"/>
      <c r="BZ51" s="102"/>
      <c r="CA51" s="102"/>
      <c r="CB51" s="102"/>
      <c r="CC51" s="102"/>
      <c r="CD51" s="102"/>
      <c r="CE51" s="102"/>
      <c r="CF51" s="102"/>
      <c r="CG51" s="102"/>
      <c r="CH51" s="102"/>
      <c r="CI51" s="102"/>
      <c r="CJ51" s="102"/>
      <c r="CK51" s="102"/>
      <c r="CL51" s="102"/>
      <c r="CP51" s="102">
        <v>2081834</v>
      </c>
      <c r="CQ51" s="102">
        <v>2097502</v>
      </c>
      <c r="CR51" s="102">
        <v>2100606</v>
      </c>
      <c r="CS51" s="102">
        <v>2103898</v>
      </c>
      <c r="CT51" s="102">
        <v>2107083</v>
      </c>
      <c r="CU51" s="102">
        <v>2055152</v>
      </c>
      <c r="CV51" s="102">
        <v>2056088</v>
      </c>
      <c r="CW51" s="650">
        <v>2066022</v>
      </c>
    </row>
    <row r="52" spans="2:101" s="10" customFormat="1" x14ac:dyDescent="0.35">
      <c r="B52" s="3"/>
      <c r="C52" s="10" t="s">
        <v>198</v>
      </c>
      <c r="D52" s="333">
        <f t="shared" ref="D52:BO52" si="23">SUM(D46:D50)</f>
        <v>0</v>
      </c>
      <c r="E52" s="333">
        <f t="shared" si="23"/>
        <v>0</v>
      </c>
      <c r="F52" s="333">
        <f t="shared" si="23"/>
        <v>0</v>
      </c>
      <c r="G52" s="333">
        <f t="shared" si="23"/>
        <v>924685</v>
      </c>
      <c r="H52" s="333">
        <f t="shared" si="23"/>
        <v>930569</v>
      </c>
      <c r="I52" s="333">
        <f t="shared" si="23"/>
        <v>985573</v>
      </c>
      <c r="J52" s="333">
        <f t="shared" si="23"/>
        <v>998018</v>
      </c>
      <c r="K52" s="333">
        <f t="shared" si="23"/>
        <v>1069945</v>
      </c>
      <c r="L52" s="333">
        <f t="shared" si="23"/>
        <v>1027077</v>
      </c>
      <c r="M52" s="333">
        <f t="shared" si="23"/>
        <v>1110820</v>
      </c>
      <c r="N52" s="333">
        <f t="shared" si="23"/>
        <v>1123503</v>
      </c>
      <c r="O52" s="333">
        <f t="shared" si="23"/>
        <v>1069212</v>
      </c>
      <c r="P52" s="333">
        <f t="shared" si="23"/>
        <v>1092379</v>
      </c>
      <c r="Q52" s="333">
        <f t="shared" si="23"/>
        <v>1079007</v>
      </c>
      <c r="R52" s="333">
        <f t="shared" si="23"/>
        <v>1074304</v>
      </c>
      <c r="S52" s="333">
        <f t="shared" si="23"/>
        <v>1131037</v>
      </c>
      <c r="T52" s="333">
        <f t="shared" si="23"/>
        <v>1128978</v>
      </c>
      <c r="U52" s="333">
        <f t="shared" si="23"/>
        <v>1166205</v>
      </c>
      <c r="V52" s="333">
        <f t="shared" si="23"/>
        <v>1193950</v>
      </c>
      <c r="W52" s="333">
        <f t="shared" si="23"/>
        <v>1204819</v>
      </c>
      <c r="X52" s="333">
        <f t="shared" si="23"/>
        <v>1229998</v>
      </c>
      <c r="Y52" s="333">
        <f t="shared" si="23"/>
        <v>1236927</v>
      </c>
      <c r="Z52" s="333">
        <f t="shared" si="23"/>
        <v>1245070</v>
      </c>
      <c r="AA52" s="333">
        <f t="shared" si="23"/>
        <v>1282371</v>
      </c>
      <c r="AB52" s="333">
        <f t="shared" si="23"/>
        <v>1267724</v>
      </c>
      <c r="AC52" s="333">
        <f t="shared" si="23"/>
        <v>1312187</v>
      </c>
      <c r="AD52" s="333">
        <f t="shared" si="23"/>
        <v>1309451</v>
      </c>
      <c r="AE52" s="333">
        <f t="shared" si="23"/>
        <v>1318345.33</v>
      </c>
      <c r="AF52" s="333">
        <f t="shared" si="23"/>
        <v>1348292.33</v>
      </c>
      <c r="AG52" s="333">
        <f t="shared" si="23"/>
        <v>1363998.33</v>
      </c>
      <c r="AH52" s="333">
        <f t="shared" si="23"/>
        <v>1385351</v>
      </c>
      <c r="AI52" s="333">
        <f t="shared" si="23"/>
        <v>1396851</v>
      </c>
      <c r="AJ52" s="333">
        <f t="shared" si="23"/>
        <v>1420828</v>
      </c>
      <c r="AK52" s="333">
        <f t="shared" si="23"/>
        <v>1405732</v>
      </c>
      <c r="AL52" s="333">
        <f t="shared" si="23"/>
        <v>1404849</v>
      </c>
      <c r="AM52" s="333">
        <f t="shared" si="23"/>
        <v>1439252</v>
      </c>
      <c r="AN52" s="333">
        <f t="shared" si="23"/>
        <v>1420375</v>
      </c>
      <c r="AO52" s="333">
        <f t="shared" si="23"/>
        <v>1419251</v>
      </c>
      <c r="AP52" s="333">
        <f t="shared" si="23"/>
        <v>1452872</v>
      </c>
      <c r="AQ52" s="333">
        <f t="shared" si="23"/>
        <v>1478300</v>
      </c>
      <c r="AR52" s="333">
        <f t="shared" si="23"/>
        <v>1486558</v>
      </c>
      <c r="AS52" s="333">
        <f t="shared" si="23"/>
        <v>1527107</v>
      </c>
      <c r="AT52" s="333">
        <f t="shared" si="23"/>
        <v>1555213</v>
      </c>
      <c r="AU52" s="333">
        <f t="shared" si="23"/>
        <v>1680296</v>
      </c>
      <c r="AV52" s="333">
        <f t="shared" si="23"/>
        <v>1647530</v>
      </c>
      <c r="AW52" s="333">
        <f t="shared" si="23"/>
        <v>1865445</v>
      </c>
      <c r="AX52" s="333">
        <f t="shared" si="23"/>
        <v>1768517</v>
      </c>
      <c r="AY52" s="333">
        <f t="shared" si="23"/>
        <v>1806000</v>
      </c>
      <c r="AZ52" s="333">
        <f t="shared" si="23"/>
        <v>1844050</v>
      </c>
      <c r="BA52" s="333">
        <f t="shared" si="23"/>
        <v>1872953</v>
      </c>
      <c r="BB52" s="333">
        <f t="shared" si="23"/>
        <v>1886825</v>
      </c>
      <c r="BC52" s="333">
        <f t="shared" si="23"/>
        <v>1934880</v>
      </c>
      <c r="BD52" s="333">
        <f t="shared" si="23"/>
        <v>1965711</v>
      </c>
      <c r="BE52" s="333">
        <f t="shared" si="23"/>
        <v>1984189</v>
      </c>
      <c r="BF52" s="333">
        <f t="shared" si="23"/>
        <v>2009530</v>
      </c>
      <c r="BG52" s="333">
        <f t="shared" si="23"/>
        <v>2026544</v>
      </c>
      <c r="BH52" s="333">
        <f t="shared" si="23"/>
        <v>2090802</v>
      </c>
      <c r="BI52" s="333">
        <f t="shared" si="23"/>
        <v>2122161</v>
      </c>
      <c r="BJ52" s="333">
        <f t="shared" si="23"/>
        <v>2124971</v>
      </c>
      <c r="BK52" s="333">
        <f t="shared" si="23"/>
        <v>2207599</v>
      </c>
      <c r="BL52" s="333">
        <f>SUM(BL46:BL50)</f>
        <v>2186982</v>
      </c>
      <c r="BM52" s="333">
        <f t="shared" si="23"/>
        <v>2141780</v>
      </c>
      <c r="BN52" s="333">
        <f t="shared" si="23"/>
        <v>2161451</v>
      </c>
      <c r="BO52" s="333">
        <f t="shared" si="23"/>
        <v>2204327</v>
      </c>
      <c r="BP52" s="333">
        <f t="shared" ref="BP52:CI52" si="24">SUM(BP46:BP50)</f>
        <v>2200550</v>
      </c>
      <c r="BQ52" s="333">
        <f t="shared" si="24"/>
        <v>2216405</v>
      </c>
      <c r="BR52" s="333">
        <f t="shared" si="24"/>
        <v>2245259</v>
      </c>
      <c r="BS52" s="333">
        <f t="shared" si="24"/>
        <v>2319199</v>
      </c>
      <c r="BT52" s="333">
        <f t="shared" si="24"/>
        <v>2287434</v>
      </c>
      <c r="BU52" s="333">
        <f t="shared" si="24"/>
        <v>2325580</v>
      </c>
      <c r="BV52" s="333">
        <f t="shared" si="24"/>
        <v>2345300</v>
      </c>
      <c r="BW52" s="333">
        <f t="shared" si="24"/>
        <v>2367126</v>
      </c>
      <c r="BX52" s="333">
        <f t="shared" si="24"/>
        <v>2441072</v>
      </c>
      <c r="BY52" s="333">
        <f t="shared" si="24"/>
        <v>2422173</v>
      </c>
      <c r="BZ52" s="333">
        <f t="shared" si="24"/>
        <v>2434892</v>
      </c>
      <c r="CA52" s="333">
        <f t="shared" si="24"/>
        <v>2458427</v>
      </c>
      <c r="CB52" s="333">
        <f t="shared" si="24"/>
        <v>2341656</v>
      </c>
      <c r="CC52" s="333">
        <f t="shared" si="24"/>
        <v>2693178</v>
      </c>
      <c r="CD52" s="333">
        <f t="shared" si="24"/>
        <v>2563787</v>
      </c>
      <c r="CE52" s="333">
        <f t="shared" si="24"/>
        <v>2470832</v>
      </c>
      <c r="CF52" s="333">
        <f t="shared" si="24"/>
        <v>2464367</v>
      </c>
      <c r="CG52" s="333">
        <f t="shared" si="24"/>
        <v>2444171</v>
      </c>
      <c r="CH52" s="333">
        <f t="shared" si="24"/>
        <v>2453472</v>
      </c>
      <c r="CI52" s="333">
        <f t="shared" si="24"/>
        <v>2417342</v>
      </c>
      <c r="CJ52" s="333">
        <f t="shared" ref="CJ52:CO52" si="25">SUM(CJ46:CJ50)</f>
        <v>2509408</v>
      </c>
      <c r="CK52" s="333">
        <f t="shared" si="25"/>
        <v>2520537</v>
      </c>
      <c r="CL52" s="333">
        <f t="shared" si="25"/>
        <v>2489262</v>
      </c>
      <c r="CM52" s="333">
        <f t="shared" si="25"/>
        <v>2470226</v>
      </c>
      <c r="CN52" s="333">
        <f t="shared" si="25"/>
        <v>2485211</v>
      </c>
      <c r="CO52" s="333">
        <f t="shared" si="25"/>
        <v>2526553</v>
      </c>
      <c r="CP52" s="722">
        <f t="shared" ref="CP52:CU52" si="26">SUM(CP46:CP51)</f>
        <v>4660610</v>
      </c>
      <c r="CQ52" s="722">
        <f t="shared" si="26"/>
        <v>4682825</v>
      </c>
      <c r="CR52" s="722">
        <f t="shared" si="26"/>
        <v>4703849</v>
      </c>
      <c r="CS52" s="722">
        <f t="shared" si="26"/>
        <v>4726176</v>
      </c>
      <c r="CT52" s="722">
        <f t="shared" si="26"/>
        <v>4746052</v>
      </c>
      <c r="CU52" s="722">
        <f t="shared" si="26"/>
        <v>4702285</v>
      </c>
      <c r="CV52" s="722">
        <f>SUM(CV46:CV51)</f>
        <v>4773770</v>
      </c>
      <c r="CW52" s="721">
        <f>SUM(CW46:CW51)</f>
        <v>4758966</v>
      </c>
    </row>
    <row r="53" spans="2:101" x14ac:dyDescent="0.35">
      <c r="B53" s="3"/>
      <c r="C53" t="s">
        <v>209</v>
      </c>
      <c r="D53" s="102"/>
      <c r="E53" s="102"/>
      <c r="F53" s="102"/>
      <c r="G53" s="102">
        <v>344605</v>
      </c>
      <c r="H53" s="102">
        <v>344605</v>
      </c>
      <c r="I53" s="102">
        <v>344605</v>
      </c>
      <c r="J53" s="102">
        <v>344821</v>
      </c>
      <c r="K53" s="102">
        <v>344821</v>
      </c>
      <c r="L53" s="102">
        <v>344821</v>
      </c>
      <c r="M53" s="102">
        <v>355575</v>
      </c>
      <c r="N53" s="102">
        <v>355575</v>
      </c>
      <c r="O53" s="102">
        <v>355575</v>
      </c>
      <c r="P53" s="102">
        <v>359328</v>
      </c>
      <c r="Q53" s="102">
        <v>348622</v>
      </c>
      <c r="R53" s="102">
        <v>329591</v>
      </c>
      <c r="S53" s="102">
        <v>358819</v>
      </c>
      <c r="T53" s="102">
        <v>338136</v>
      </c>
      <c r="U53" s="102">
        <v>357970</v>
      </c>
      <c r="V53" s="102">
        <v>365798</v>
      </c>
      <c r="W53" s="102">
        <v>348697</v>
      </c>
      <c r="X53" s="102">
        <v>357796</v>
      </c>
      <c r="Y53" s="102">
        <v>357986</v>
      </c>
      <c r="Z53" s="102">
        <v>351773</v>
      </c>
      <c r="AA53" s="102">
        <v>376529</v>
      </c>
      <c r="AB53" s="102">
        <v>355158</v>
      </c>
      <c r="AC53" s="102">
        <v>375672</v>
      </c>
      <c r="AD53" s="102">
        <v>357123</v>
      </c>
      <c r="AE53" s="102">
        <v>354154</v>
      </c>
      <c r="AF53" s="102">
        <v>382298</v>
      </c>
      <c r="AG53" s="102">
        <v>393560</v>
      </c>
      <c r="AH53" s="102">
        <v>393748</v>
      </c>
      <c r="AI53" s="102">
        <v>392364</v>
      </c>
      <c r="AJ53" s="102">
        <v>402286</v>
      </c>
      <c r="AK53" s="102">
        <v>371982</v>
      </c>
      <c r="AL53" s="102">
        <v>371514</v>
      </c>
      <c r="AM53" s="102">
        <v>360855</v>
      </c>
      <c r="AN53" s="102">
        <v>362157</v>
      </c>
      <c r="AO53" s="102">
        <v>353479</v>
      </c>
      <c r="AP53" s="102">
        <v>353479</v>
      </c>
      <c r="AQ53" s="102">
        <v>359100</v>
      </c>
      <c r="AR53" s="102">
        <v>358045</v>
      </c>
      <c r="AS53" s="102">
        <v>358046</v>
      </c>
      <c r="AT53" s="102">
        <v>340019</v>
      </c>
      <c r="AU53" s="102">
        <v>335105</v>
      </c>
      <c r="AV53" s="102">
        <v>330352</v>
      </c>
      <c r="AW53" s="102">
        <v>326653</v>
      </c>
      <c r="AX53" s="102">
        <v>322851</v>
      </c>
      <c r="AY53" s="102">
        <v>316649</v>
      </c>
      <c r="AZ53" s="102">
        <v>317289</v>
      </c>
      <c r="BA53" s="102">
        <v>314413</v>
      </c>
      <c r="BB53" s="102">
        <v>305535</v>
      </c>
      <c r="BC53" s="102">
        <v>305456</v>
      </c>
      <c r="BD53" s="102">
        <v>299670</v>
      </c>
      <c r="BE53" s="102">
        <v>294650</v>
      </c>
      <c r="BF53" s="102">
        <v>300628</v>
      </c>
      <c r="BG53" s="102">
        <v>291480</v>
      </c>
      <c r="BH53" s="102">
        <v>289307</v>
      </c>
      <c r="BI53" s="102">
        <v>280573</v>
      </c>
      <c r="BJ53" s="102">
        <v>281415</v>
      </c>
      <c r="BK53" s="102">
        <v>274712</v>
      </c>
      <c r="BL53" s="102">
        <v>273307</v>
      </c>
      <c r="BM53" s="102">
        <v>271658</v>
      </c>
      <c r="BN53" s="102">
        <v>271805</v>
      </c>
      <c r="BO53" s="102">
        <v>269224</v>
      </c>
      <c r="BP53" s="102">
        <v>259519</v>
      </c>
      <c r="BQ53" s="102">
        <v>241059</v>
      </c>
      <c r="BR53" s="102">
        <v>240050</v>
      </c>
      <c r="BS53" s="102">
        <v>228641</v>
      </c>
      <c r="BT53" s="102">
        <v>227701</v>
      </c>
      <c r="BU53" s="102">
        <v>228142</v>
      </c>
      <c r="BV53" s="102">
        <v>228684</v>
      </c>
      <c r="BW53" s="102">
        <v>229818</v>
      </c>
      <c r="BX53" s="102">
        <v>229351</v>
      </c>
      <c r="BY53" s="102">
        <v>227192</v>
      </c>
      <c r="BZ53" s="102">
        <v>213505</v>
      </c>
      <c r="CA53" s="102">
        <v>214034</v>
      </c>
      <c r="CB53" s="102">
        <v>213352</v>
      </c>
      <c r="CC53" s="102">
        <v>211531</v>
      </c>
      <c r="CD53" s="102">
        <v>211578</v>
      </c>
      <c r="CE53" s="102">
        <v>210976</v>
      </c>
      <c r="CF53" s="102">
        <v>175480</v>
      </c>
      <c r="CG53" s="102">
        <v>166107</v>
      </c>
      <c r="CH53" s="663">
        <v>157765</v>
      </c>
      <c r="CI53" s="663">
        <v>127983</v>
      </c>
      <c r="CJ53" s="663">
        <v>125062</v>
      </c>
      <c r="CK53" s="663">
        <v>121357</v>
      </c>
      <c r="CL53" s="663">
        <v>105448</v>
      </c>
      <c r="CM53" s="663">
        <v>93482</v>
      </c>
      <c r="CN53" s="663">
        <v>92539</v>
      </c>
      <c r="CO53" s="663">
        <v>90922</v>
      </c>
      <c r="CP53" s="663">
        <v>91608</v>
      </c>
      <c r="CQ53" s="663">
        <v>94860</v>
      </c>
      <c r="CR53" s="663">
        <v>95239</v>
      </c>
      <c r="CS53" s="663">
        <v>95530</v>
      </c>
      <c r="CT53" s="663">
        <v>95445</v>
      </c>
      <c r="CU53" s="663">
        <v>71536</v>
      </c>
      <c r="CV53" s="663">
        <v>72759</v>
      </c>
      <c r="CW53" s="662">
        <v>72321</v>
      </c>
    </row>
    <row r="54" spans="2:101" x14ac:dyDescent="0.35">
      <c r="B54" s="3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114"/>
      <c r="Q54" s="114"/>
      <c r="R54" s="114"/>
      <c r="S54" s="114"/>
      <c r="T54" s="114"/>
      <c r="U54" s="114"/>
      <c r="V54" s="114"/>
      <c r="W54" s="114"/>
      <c r="X54" s="114"/>
      <c r="Y54" s="114"/>
      <c r="Z54" s="114"/>
      <c r="AA54" s="114"/>
      <c r="AB54" s="114"/>
      <c r="AC54" s="114"/>
      <c r="AD54" s="114"/>
      <c r="AE54" s="114"/>
      <c r="AF54" s="114"/>
      <c r="AG54" s="114"/>
      <c r="AH54" s="114"/>
      <c r="AI54" s="114"/>
      <c r="AJ54" s="114"/>
      <c r="AK54" s="114"/>
      <c r="AL54" s="114"/>
      <c r="AM54" s="114"/>
      <c r="AN54" s="114"/>
      <c r="AO54" s="308"/>
      <c r="AP54" s="308"/>
      <c r="AQ54" s="308"/>
      <c r="AR54" s="308"/>
      <c r="AS54" s="308"/>
      <c r="AT54" s="308"/>
      <c r="AU54" s="308"/>
      <c r="AV54" s="308"/>
      <c r="AW54" s="308"/>
      <c r="AX54" s="308"/>
      <c r="AY54" s="308"/>
      <c r="AZ54" s="308"/>
      <c r="BA54" s="308"/>
      <c r="BB54" s="308"/>
      <c r="BC54" s="308"/>
      <c r="BD54" s="308"/>
      <c r="BE54" s="308"/>
      <c r="BF54" s="308"/>
      <c r="BG54" s="308"/>
      <c r="BH54" s="308"/>
      <c r="BI54" s="308"/>
      <c r="BJ54" s="308"/>
      <c r="BK54" s="308"/>
      <c r="BL54" s="308"/>
      <c r="BM54" s="308"/>
      <c r="BN54" s="308"/>
      <c r="BO54" s="308"/>
      <c r="BP54" s="308"/>
      <c r="BQ54" s="308"/>
      <c r="BR54" s="308"/>
      <c r="BS54" s="308"/>
      <c r="BT54" s="308"/>
      <c r="BU54" s="308"/>
      <c r="BV54" s="308"/>
      <c r="BW54" s="308"/>
      <c r="BX54" s="308"/>
      <c r="BY54" s="308"/>
      <c r="BZ54" s="308"/>
      <c r="CA54" s="308"/>
      <c r="CB54" s="308"/>
      <c r="CC54" s="308"/>
      <c r="CD54" s="308"/>
      <c r="CE54" s="308"/>
      <c r="CF54" s="308"/>
      <c r="CG54" s="102"/>
      <c r="CH54" s="102"/>
      <c r="CI54" s="102"/>
      <c r="CJ54" s="102"/>
      <c r="CK54" s="102"/>
      <c r="CL54" s="102"/>
      <c r="CW54" s="79"/>
    </row>
    <row r="55" spans="2:101" x14ac:dyDescent="0.35">
      <c r="B55" s="327" t="s">
        <v>210</v>
      </c>
      <c r="C55" s="327"/>
      <c r="D55" s="70">
        <v>43101</v>
      </c>
      <c r="E55" s="70">
        <v>43132</v>
      </c>
      <c r="F55" s="70">
        <v>43160</v>
      </c>
      <c r="G55" s="70">
        <v>43191</v>
      </c>
      <c r="H55" s="70">
        <v>43221</v>
      </c>
      <c r="I55" s="70">
        <v>43252</v>
      </c>
      <c r="J55" s="70">
        <v>43282</v>
      </c>
      <c r="K55" s="70">
        <v>43313</v>
      </c>
      <c r="L55" s="70">
        <v>43344</v>
      </c>
      <c r="M55" s="70">
        <v>43374</v>
      </c>
      <c r="N55" s="70">
        <v>43405</v>
      </c>
      <c r="O55" s="70">
        <v>43435</v>
      </c>
      <c r="P55" s="70">
        <v>43466</v>
      </c>
      <c r="Q55" s="70">
        <v>43497</v>
      </c>
      <c r="R55" s="70">
        <v>43525</v>
      </c>
      <c r="S55" s="70">
        <v>43556</v>
      </c>
      <c r="T55" s="70">
        <v>43586</v>
      </c>
      <c r="U55" s="70">
        <v>43617</v>
      </c>
      <c r="V55" s="69">
        <v>43647</v>
      </c>
      <c r="W55" s="69">
        <v>43678</v>
      </c>
      <c r="X55" s="69">
        <v>43709</v>
      </c>
      <c r="Y55" s="69">
        <v>43739</v>
      </c>
      <c r="Z55" s="69">
        <v>43770</v>
      </c>
      <c r="AA55" s="69">
        <v>43800</v>
      </c>
      <c r="AB55" s="69">
        <v>43831</v>
      </c>
      <c r="AC55" s="69">
        <v>43862</v>
      </c>
      <c r="AD55" s="69">
        <v>43891</v>
      </c>
      <c r="AE55" s="69">
        <v>43922</v>
      </c>
      <c r="AF55" s="69">
        <v>43952</v>
      </c>
      <c r="AG55" s="69">
        <v>43983</v>
      </c>
      <c r="AH55" s="69">
        <v>44013</v>
      </c>
      <c r="AI55" s="69">
        <v>44044</v>
      </c>
      <c r="AJ55" s="69">
        <v>44075</v>
      </c>
      <c r="AK55" s="69">
        <v>44105</v>
      </c>
      <c r="AL55" s="69">
        <v>44136</v>
      </c>
      <c r="AM55" s="69">
        <v>44166</v>
      </c>
      <c r="AN55" s="69">
        <v>44197</v>
      </c>
      <c r="AO55" s="69">
        <v>44228</v>
      </c>
      <c r="AP55" s="69">
        <v>44256</v>
      </c>
      <c r="AQ55" s="69">
        <v>44287</v>
      </c>
      <c r="AR55" s="69">
        <v>44317</v>
      </c>
      <c r="AS55" s="70">
        <v>44348</v>
      </c>
      <c r="AT55" s="70">
        <v>44378</v>
      </c>
      <c r="AU55" s="70">
        <v>44409</v>
      </c>
      <c r="AV55" s="70">
        <v>44440</v>
      </c>
      <c r="AW55" s="70">
        <v>44470</v>
      </c>
      <c r="AX55" s="70">
        <v>44501</v>
      </c>
      <c r="AY55" s="70">
        <v>44531</v>
      </c>
      <c r="AZ55" s="70">
        <v>44562</v>
      </c>
      <c r="BA55" s="70">
        <v>44593</v>
      </c>
      <c r="BB55" s="70">
        <v>44621</v>
      </c>
      <c r="BC55" s="70">
        <v>44652</v>
      </c>
      <c r="BD55" s="70">
        <v>44682</v>
      </c>
      <c r="BE55" s="70">
        <v>44713</v>
      </c>
      <c r="BF55" s="70">
        <v>44743</v>
      </c>
      <c r="BG55" s="70">
        <v>44774</v>
      </c>
      <c r="BH55" s="70">
        <v>44805</v>
      </c>
      <c r="BI55" s="70">
        <v>44835</v>
      </c>
      <c r="BJ55" s="70">
        <v>44866</v>
      </c>
      <c r="BK55" s="70">
        <v>44896</v>
      </c>
      <c r="BL55" s="70">
        <v>44927</v>
      </c>
      <c r="BM55" s="70">
        <v>44958</v>
      </c>
      <c r="BN55" s="70">
        <v>44986</v>
      </c>
      <c r="BO55" s="70">
        <v>45017</v>
      </c>
      <c r="BP55" s="69">
        <v>45047</v>
      </c>
      <c r="BQ55" s="69">
        <v>45078</v>
      </c>
      <c r="BR55" s="70">
        <v>45108</v>
      </c>
      <c r="BS55" s="70">
        <v>45139</v>
      </c>
      <c r="BT55" s="70">
        <v>45170</v>
      </c>
      <c r="BU55" s="70">
        <v>45200</v>
      </c>
      <c r="BV55" s="70">
        <v>45231</v>
      </c>
      <c r="BW55" s="70">
        <v>45261</v>
      </c>
      <c r="BX55" s="70">
        <v>45292</v>
      </c>
      <c r="BY55" s="70">
        <v>45323</v>
      </c>
      <c r="BZ55" s="70">
        <v>45352</v>
      </c>
      <c r="CA55" s="70">
        <v>45383</v>
      </c>
      <c r="CB55" s="70">
        <v>45413</v>
      </c>
      <c r="CC55" s="70">
        <v>45444</v>
      </c>
      <c r="CD55" s="70">
        <v>45474</v>
      </c>
      <c r="CE55" s="70">
        <v>45505</v>
      </c>
      <c r="CF55" s="70">
        <v>45536</v>
      </c>
      <c r="CG55" s="69">
        <v>45566</v>
      </c>
      <c r="CH55" s="69">
        <v>45597</v>
      </c>
      <c r="CI55" s="69">
        <v>45627</v>
      </c>
      <c r="CJ55" s="69">
        <v>45658</v>
      </c>
      <c r="CK55" s="70">
        <v>45689</v>
      </c>
      <c r="CL55" s="70">
        <v>45717</v>
      </c>
      <c r="CM55" s="70">
        <v>45748</v>
      </c>
      <c r="CN55" s="70">
        <v>45778</v>
      </c>
      <c r="CO55" s="70">
        <v>45809</v>
      </c>
      <c r="CP55" s="70">
        <v>45839</v>
      </c>
      <c r="CQ55" s="70">
        <v>45870</v>
      </c>
      <c r="CR55" s="70">
        <v>45901</v>
      </c>
      <c r="CS55" s="70">
        <v>45931</v>
      </c>
      <c r="CT55" s="70">
        <v>45962</v>
      </c>
      <c r="CU55" s="70">
        <v>45992</v>
      </c>
      <c r="CV55" s="70">
        <v>46023</v>
      </c>
      <c r="CW55" s="70">
        <v>46054</v>
      </c>
    </row>
    <row r="56" spans="2:101" s="328" customFormat="1" ht="6" customHeight="1" x14ac:dyDescent="0.35">
      <c r="B56" s="3"/>
      <c r="C56" s="3"/>
      <c r="D56" s="227"/>
      <c r="E56" s="227"/>
      <c r="F56" s="227"/>
      <c r="G56" s="329"/>
      <c r="H56" s="227"/>
      <c r="I56" s="227"/>
      <c r="J56" s="227"/>
      <c r="K56" s="227"/>
      <c r="L56" s="227"/>
      <c r="M56" s="227"/>
      <c r="N56" s="227"/>
      <c r="O56" s="227"/>
      <c r="P56" s="227"/>
      <c r="Q56" s="227"/>
      <c r="R56" s="227"/>
      <c r="S56" s="227"/>
      <c r="T56" s="227"/>
      <c r="U56" s="227"/>
      <c r="V56" s="227"/>
      <c r="W56" s="227"/>
      <c r="X56" s="227"/>
      <c r="Y56" s="227"/>
      <c r="Z56" s="227"/>
      <c r="AA56" s="227"/>
      <c r="AB56" s="227"/>
      <c r="AC56" s="227"/>
      <c r="AD56" s="227"/>
      <c r="AE56" s="227"/>
      <c r="AF56" s="227"/>
      <c r="AG56" s="227"/>
      <c r="AH56" s="227"/>
      <c r="AI56" s="227"/>
      <c r="AJ56" s="227"/>
      <c r="AK56" s="227"/>
      <c r="AL56" s="227"/>
      <c r="AM56" s="227"/>
      <c r="AN56" s="227"/>
      <c r="AO56" s="227"/>
      <c r="AP56" s="227"/>
      <c r="AQ56" s="227"/>
      <c r="AR56" s="227"/>
      <c r="AS56" s="227"/>
      <c r="AT56" s="227"/>
      <c r="AU56" s="227"/>
      <c r="AV56" s="227"/>
      <c r="AW56" s="227"/>
      <c r="AX56" s="227"/>
      <c r="AY56" s="227"/>
      <c r="AZ56" s="227"/>
      <c r="BA56" s="227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 s="384"/>
    </row>
    <row r="57" spans="2:101" x14ac:dyDescent="0.35">
      <c r="B57" s="3"/>
      <c r="C57" s="370" t="s">
        <v>25</v>
      </c>
      <c r="D57" s="102">
        <f t="shared" ref="D57:BO60" si="27">D10+D18</f>
        <v>343856.59319794556</v>
      </c>
      <c r="E57" s="102">
        <f t="shared" si="27"/>
        <v>338092.54892253806</v>
      </c>
      <c r="F57" s="102">
        <f t="shared" si="27"/>
        <v>346371.99902376672</v>
      </c>
      <c r="G57" s="102">
        <f t="shared" si="27"/>
        <v>358794.9329603886</v>
      </c>
      <c r="H57" s="102">
        <f t="shared" si="27"/>
        <v>339870.46724072343</v>
      </c>
      <c r="I57" s="102">
        <f t="shared" si="27"/>
        <v>378604.67255192599</v>
      </c>
      <c r="J57" s="102">
        <f t="shared" si="27"/>
        <v>427042.66085363791</v>
      </c>
      <c r="K57" s="102">
        <f t="shared" si="27"/>
        <v>358267.11698918673</v>
      </c>
      <c r="L57" s="102">
        <f t="shared" si="27"/>
        <v>455886.30483969033</v>
      </c>
      <c r="M57" s="102">
        <f t="shared" si="27"/>
        <v>386346.49443267623</v>
      </c>
      <c r="N57" s="102">
        <f t="shared" si="27"/>
        <v>426133.51833278651</v>
      </c>
      <c r="O57" s="102">
        <f t="shared" si="27"/>
        <v>414238.47901353723</v>
      </c>
      <c r="P57" s="102">
        <f t="shared" si="27"/>
        <v>437263.00086361967</v>
      </c>
      <c r="Q57" s="102">
        <f t="shared" si="27"/>
        <v>453994.8031330434</v>
      </c>
      <c r="R57" s="102">
        <f t="shared" si="27"/>
        <v>436499.59626974183</v>
      </c>
      <c r="S57" s="102">
        <f t="shared" si="27"/>
        <v>450355.41330821754</v>
      </c>
      <c r="T57" s="102">
        <f t="shared" si="27"/>
        <v>462656.73687403899</v>
      </c>
      <c r="U57" s="102">
        <f t="shared" si="27"/>
        <v>471186.07348467893</v>
      </c>
      <c r="V57" s="102">
        <f t="shared" si="27"/>
        <v>483495.63520478667</v>
      </c>
      <c r="W57" s="102">
        <f t="shared" si="27"/>
        <v>511498.60632479982</v>
      </c>
      <c r="X57" s="102">
        <f t="shared" si="27"/>
        <v>505749.23974834871</v>
      </c>
      <c r="Y57" s="102">
        <f t="shared" si="27"/>
        <v>507509.61501031416</v>
      </c>
      <c r="Z57" s="102">
        <f t="shared" si="27"/>
        <v>533568.00464134105</v>
      </c>
      <c r="AA57" s="102">
        <f t="shared" si="27"/>
        <v>579074.66743226198</v>
      </c>
      <c r="AB57" s="102">
        <f t="shared" si="27"/>
        <v>439055.50446999999</v>
      </c>
      <c r="AC57" s="102">
        <f t="shared" si="27"/>
        <v>435086.25190999999</v>
      </c>
      <c r="AD57" s="102">
        <f t="shared" si="27"/>
        <v>434458.22573000001</v>
      </c>
      <c r="AE57" s="102">
        <f t="shared" si="27"/>
        <v>380556.46343300003</v>
      </c>
      <c r="AF57" s="102">
        <f t="shared" si="27"/>
        <v>405907.51763000002</v>
      </c>
      <c r="AG57" s="102">
        <f t="shared" si="27"/>
        <v>388888.07647999999</v>
      </c>
      <c r="AH57" s="102">
        <f t="shared" si="27"/>
        <v>405828.65807100001</v>
      </c>
      <c r="AI57" s="102">
        <f t="shared" si="27"/>
        <v>429570.16220000002</v>
      </c>
      <c r="AJ57" s="102">
        <f t="shared" si="27"/>
        <v>437030.62747000001</v>
      </c>
      <c r="AK57" s="102">
        <f t="shared" si="27"/>
        <v>441799.48100000003</v>
      </c>
      <c r="AL57" s="102">
        <f t="shared" si="27"/>
        <v>458248.47662000003</v>
      </c>
      <c r="AM57" s="102">
        <f t="shared" si="27"/>
        <v>467878.45915000001</v>
      </c>
      <c r="AN57" s="102">
        <f t="shared" si="27"/>
        <v>454356.28364000004</v>
      </c>
      <c r="AO57" s="102">
        <f t="shared" si="27"/>
        <v>471700.29030000005</v>
      </c>
      <c r="AP57" s="102">
        <f t="shared" si="27"/>
        <v>477828.70058</v>
      </c>
      <c r="AQ57" s="102">
        <f t="shared" si="27"/>
        <v>476609.23321000003</v>
      </c>
      <c r="AR57" s="102">
        <f t="shared" si="27"/>
        <v>494241.32088000001</v>
      </c>
      <c r="AS57" s="102">
        <f t="shared" si="27"/>
        <v>483223.74078000005</v>
      </c>
      <c r="AT57" s="102">
        <f t="shared" si="27"/>
        <v>508934.23851</v>
      </c>
      <c r="AU57" s="102">
        <f t="shared" si="27"/>
        <v>554019.15102999995</v>
      </c>
      <c r="AV57" s="102">
        <f t="shared" si="27"/>
        <v>538958.00430999999</v>
      </c>
      <c r="AW57" s="102">
        <f t="shared" si="27"/>
        <v>519905.47697000002</v>
      </c>
      <c r="AX57" s="102">
        <f t="shared" si="27"/>
        <v>534453.74886000005</v>
      </c>
      <c r="AY57" s="102">
        <f t="shared" si="27"/>
        <v>556613.13349000004</v>
      </c>
      <c r="AZ57" s="102">
        <f t="shared" si="27"/>
        <v>544664.23745999997</v>
      </c>
      <c r="BA57" s="102">
        <f t="shared" si="27"/>
        <v>529830.14076999994</v>
      </c>
      <c r="BB57" s="102">
        <f t="shared" si="27"/>
        <v>531287.09085000004</v>
      </c>
      <c r="BC57" s="102">
        <f t="shared" si="27"/>
        <v>542630.67825</v>
      </c>
      <c r="BD57" s="102">
        <f t="shared" si="27"/>
        <v>549117.89249999996</v>
      </c>
      <c r="BE57" s="102">
        <f t="shared" si="27"/>
        <v>567243.69413000008</v>
      </c>
      <c r="BF57" s="102">
        <f t="shared" si="27"/>
        <v>576461.14565999992</v>
      </c>
      <c r="BG57" s="102">
        <f t="shared" si="27"/>
        <v>561478.76853</v>
      </c>
      <c r="BH57" s="102">
        <f t="shared" si="27"/>
        <v>598116.25</v>
      </c>
      <c r="BI57" s="102">
        <f t="shared" si="27"/>
        <v>579048.64</v>
      </c>
      <c r="BJ57" s="102">
        <f t="shared" si="27"/>
        <v>695258.76</v>
      </c>
      <c r="BK57" s="102">
        <f t="shared" si="27"/>
        <v>792635.29999999993</v>
      </c>
      <c r="BL57" s="102">
        <f t="shared" si="27"/>
        <v>1078128.7737790288</v>
      </c>
      <c r="BM57" s="102">
        <f t="shared" si="27"/>
        <v>1074648.3653733102</v>
      </c>
      <c r="BN57" s="102">
        <f t="shared" si="27"/>
        <v>1074034.1900111549</v>
      </c>
      <c r="BO57" s="102">
        <f t="shared" si="27"/>
        <v>1098253.3780887011</v>
      </c>
      <c r="BP57" s="102">
        <f t="shared" ref="BP57:CG61" si="28">BP10+BP18</f>
        <v>1060225.5249449457</v>
      </c>
      <c r="BQ57" s="102">
        <f t="shared" si="28"/>
        <v>1091978.4950621175</v>
      </c>
      <c r="BR57" s="102">
        <f t="shared" si="28"/>
        <v>1078156.909535015</v>
      </c>
      <c r="BS57" s="102">
        <f t="shared" si="28"/>
        <v>1090839.5183454831</v>
      </c>
      <c r="BT57" s="102">
        <f t="shared" si="28"/>
        <v>1118155.5645889549</v>
      </c>
      <c r="BU57" s="102">
        <f t="shared" si="28"/>
        <v>1120776.5600000005</v>
      </c>
      <c r="BV57" s="102">
        <f t="shared" si="28"/>
        <v>1153258.6144134593</v>
      </c>
      <c r="BW57" s="102">
        <f t="shared" si="28"/>
        <v>1188718.9685010784</v>
      </c>
      <c r="BX57" s="102">
        <f t="shared" si="28"/>
        <v>1152714.5320282031</v>
      </c>
      <c r="BY57" s="102">
        <f t="shared" si="28"/>
        <v>1196138.8763943594</v>
      </c>
      <c r="BZ57" s="102">
        <f t="shared" si="28"/>
        <v>1208941.0666578172</v>
      </c>
      <c r="CA57" s="102">
        <f t="shared" si="28"/>
        <v>1222167.7239192191</v>
      </c>
      <c r="CB57" s="102">
        <f t="shared" si="28"/>
        <v>1192040.7419975069</v>
      </c>
      <c r="CC57" s="102">
        <f t="shared" si="28"/>
        <v>1201092.9601410171</v>
      </c>
      <c r="CD57" s="102">
        <f t="shared" si="28"/>
        <v>1214480.8358567092</v>
      </c>
      <c r="CE57" s="102">
        <f t="shared" si="28"/>
        <v>1199815.0660305887</v>
      </c>
      <c r="CF57" s="102">
        <f t="shared" si="28"/>
        <v>1176350.9299999992</v>
      </c>
      <c r="CG57" s="102">
        <f t="shared" si="28"/>
        <v>1186900.8497622795</v>
      </c>
      <c r="CH57" s="102">
        <f t="shared" ref="CH57:CN61" si="29">CH10+CH18</f>
        <v>1230003.9881799109</v>
      </c>
      <c r="CI57" s="102">
        <f t="shared" si="29"/>
        <v>1191520.9526680221</v>
      </c>
      <c r="CJ57" s="102">
        <f t="shared" si="29"/>
        <v>1194979.0241024548</v>
      </c>
      <c r="CK57" s="102">
        <f t="shared" si="29"/>
        <v>1168443.9392044195</v>
      </c>
      <c r="CL57" s="102">
        <f t="shared" si="29"/>
        <v>1167876.2450345871</v>
      </c>
      <c r="CM57" s="102">
        <f t="shared" si="29"/>
        <v>1155703.8327500317</v>
      </c>
      <c r="CN57" s="102">
        <f t="shared" si="29"/>
        <v>1149246.5928003066</v>
      </c>
      <c r="CO57" s="102">
        <f t="shared" ref="CO57:CS61" si="30">CO10+CO18</f>
        <v>1171711.0769321374</v>
      </c>
      <c r="CP57" s="102">
        <f t="shared" si="30"/>
        <v>1197049.7182931239</v>
      </c>
      <c r="CQ57" s="102">
        <f t="shared" si="30"/>
        <v>1218427.2466957222</v>
      </c>
      <c r="CR57" s="102">
        <f t="shared" si="30"/>
        <v>1262698.5051336198</v>
      </c>
      <c r="CS57" s="102">
        <f t="shared" si="30"/>
        <v>1239377.4916671414</v>
      </c>
      <c r="CT57" s="102">
        <f t="shared" ref="CT57:CU61" si="31">CT10+CT18</f>
        <v>1269430.4366395855</v>
      </c>
      <c r="CU57" s="102">
        <f t="shared" si="31"/>
        <v>1251617.1211633659</v>
      </c>
      <c r="CV57" s="102">
        <f t="shared" ref="CV57:CW61" si="32">CV10+CV18</f>
        <v>1232124.9819101763</v>
      </c>
      <c r="CW57" s="519">
        <f t="shared" si="32"/>
        <v>1247383.1568968683</v>
      </c>
    </row>
    <row r="58" spans="2:101" x14ac:dyDescent="0.35">
      <c r="B58" s="3"/>
      <c r="C58" s="372" t="s">
        <v>26</v>
      </c>
      <c r="D58" s="102">
        <f t="shared" si="27"/>
        <v>74.489999999999995</v>
      </c>
      <c r="E58" s="102">
        <f t="shared" si="27"/>
        <v>209.94</v>
      </c>
      <c r="F58" s="102">
        <f t="shared" si="27"/>
        <v>203.63</v>
      </c>
      <c r="G58" s="102">
        <f t="shared" si="27"/>
        <v>92.82</v>
      </c>
      <c r="H58" s="102">
        <f t="shared" si="27"/>
        <v>136.41999999999999</v>
      </c>
      <c r="I58" s="102">
        <f t="shared" si="27"/>
        <v>159.47999999999999</v>
      </c>
      <c r="J58" s="102">
        <f t="shared" si="27"/>
        <v>240.51</v>
      </c>
      <c r="K58" s="102">
        <f t="shared" si="27"/>
        <v>198.03</v>
      </c>
      <c r="L58" s="102">
        <f t="shared" si="27"/>
        <v>230.47</v>
      </c>
      <c r="M58" s="102">
        <f t="shared" si="27"/>
        <v>304.56</v>
      </c>
      <c r="N58" s="102">
        <f t="shared" si="27"/>
        <v>558.71</v>
      </c>
      <c r="O58" s="102">
        <f t="shared" si="27"/>
        <v>268.96000000000004</v>
      </c>
      <c r="P58" s="102">
        <f t="shared" si="27"/>
        <v>0</v>
      </c>
      <c r="Q58" s="102">
        <f t="shared" si="27"/>
        <v>0</v>
      </c>
      <c r="R58" s="102">
        <f t="shared" si="27"/>
        <v>0</v>
      </c>
      <c r="S58" s="102">
        <f t="shared" si="27"/>
        <v>0</v>
      </c>
      <c r="T58" s="102">
        <f t="shared" si="27"/>
        <v>0</v>
      </c>
      <c r="U58" s="102">
        <f t="shared" si="27"/>
        <v>106.96140475978252</v>
      </c>
      <c r="V58" s="102">
        <f t="shared" si="27"/>
        <v>107.85741250067412</v>
      </c>
      <c r="W58" s="102">
        <f t="shared" si="27"/>
        <v>109.95757470242732</v>
      </c>
      <c r="X58" s="102">
        <f t="shared" si="27"/>
        <v>107.07784559374666</v>
      </c>
      <c r="Y58" s="102">
        <f t="shared" si="27"/>
        <v>104.94005299472676</v>
      </c>
      <c r="Z58" s="102">
        <f t="shared" si="27"/>
        <v>103.00517601009452</v>
      </c>
      <c r="AA58" s="102">
        <f t="shared" si="27"/>
        <v>101.73112463758287</v>
      </c>
      <c r="AB58" s="102">
        <f t="shared" si="27"/>
        <v>100622.54817000001</v>
      </c>
      <c r="AC58" s="102">
        <f t="shared" si="27"/>
        <v>105532.62633</v>
      </c>
      <c r="AD58" s="102">
        <f t="shared" si="27"/>
        <v>111970.29618</v>
      </c>
      <c r="AE58" s="102">
        <f t="shared" si="27"/>
        <v>130958.9096</v>
      </c>
      <c r="AF58" s="102">
        <f t="shared" si="27"/>
        <v>116300.5928</v>
      </c>
      <c r="AG58" s="102">
        <f t="shared" si="27"/>
        <v>118142.5451</v>
      </c>
      <c r="AH58" s="102">
        <f t="shared" si="27"/>
        <v>126111.06401</v>
      </c>
      <c r="AI58" s="102">
        <f t="shared" si="27"/>
        <v>105834.7301</v>
      </c>
      <c r="AJ58" s="102">
        <f t="shared" si="27"/>
        <v>107388.310337</v>
      </c>
      <c r="AK58" s="102">
        <f t="shared" si="27"/>
        <v>116313.916881</v>
      </c>
      <c r="AL58" s="102">
        <f t="shared" si="27"/>
        <v>114294.8631605</v>
      </c>
      <c r="AM58" s="102">
        <f t="shared" si="27"/>
        <v>119453.30771199999</v>
      </c>
      <c r="AN58" s="102">
        <f t="shared" si="27"/>
        <v>119466.976069</v>
      </c>
      <c r="AO58" s="102">
        <f t="shared" si="27"/>
        <v>121112.206798</v>
      </c>
      <c r="AP58" s="102">
        <f t="shared" si="27"/>
        <v>117645.88073400001</v>
      </c>
      <c r="AQ58" s="102">
        <f t="shared" si="27"/>
        <v>126869.834558</v>
      </c>
      <c r="AR58" s="102">
        <f t="shared" si="27"/>
        <v>132717.461087</v>
      </c>
      <c r="AS58" s="102">
        <f t="shared" si="27"/>
        <v>143721.92654399999</v>
      </c>
      <c r="AT58" s="102">
        <f t="shared" si="27"/>
        <v>160126.04781000002</v>
      </c>
      <c r="AU58" s="102">
        <f t="shared" si="27"/>
        <v>192247.15012000001</v>
      </c>
      <c r="AV58" s="102">
        <f t="shared" si="27"/>
        <v>186556.94008</v>
      </c>
      <c r="AW58" s="102">
        <f t="shared" si="27"/>
        <v>232583.30525</v>
      </c>
      <c r="AX58" s="102">
        <f t="shared" si="27"/>
        <v>244941.45955999999</v>
      </c>
      <c r="AY58" s="102">
        <f t="shared" si="27"/>
        <v>257827.06494000001</v>
      </c>
      <c r="AZ58" s="102">
        <f t="shared" si="27"/>
        <v>248453.23858100001</v>
      </c>
      <c r="BA58" s="102">
        <f t="shared" si="27"/>
        <v>250202.45713599998</v>
      </c>
      <c r="BB58" s="102">
        <f t="shared" si="27"/>
        <v>267246.43174999999</v>
      </c>
      <c r="BC58" s="102">
        <f t="shared" si="27"/>
        <v>267892.23419600003</v>
      </c>
      <c r="BD58" s="102">
        <f t="shared" si="27"/>
        <v>294117.25058700005</v>
      </c>
      <c r="BE58" s="102">
        <f t="shared" si="27"/>
        <v>308993.28410999995</v>
      </c>
      <c r="BF58" s="102">
        <f t="shared" si="27"/>
        <v>337361.22865</v>
      </c>
      <c r="BG58" s="102">
        <f t="shared" si="27"/>
        <v>340461.49125999998</v>
      </c>
      <c r="BH58" s="102">
        <f t="shared" si="27"/>
        <v>380460.63692000002</v>
      </c>
      <c r="BI58" s="102">
        <f t="shared" si="27"/>
        <v>388719.13839499996</v>
      </c>
      <c r="BJ58" s="102">
        <f t="shared" si="27"/>
        <v>365951.857609</v>
      </c>
      <c r="BK58" s="102">
        <f t="shared" si="27"/>
        <v>290150.78174599999</v>
      </c>
      <c r="BL58" s="102">
        <f t="shared" si="27"/>
        <v>1852.7394818715838</v>
      </c>
      <c r="BM58" s="102">
        <f t="shared" si="27"/>
        <v>2609.2569082680138</v>
      </c>
      <c r="BN58" s="102">
        <f t="shared" si="27"/>
        <v>2261.9332476809514</v>
      </c>
      <c r="BO58" s="102">
        <f t="shared" si="27"/>
        <v>2294.480647293281</v>
      </c>
      <c r="BP58" s="102">
        <f t="shared" si="28"/>
        <v>2298.7826265251497</v>
      </c>
      <c r="BQ58" s="102">
        <f t="shared" si="28"/>
        <v>20909.534738327628</v>
      </c>
      <c r="BR58" s="102">
        <f t="shared" si="28"/>
        <v>16605.362485675636</v>
      </c>
      <c r="BS58" s="102">
        <f t="shared" si="28"/>
        <v>7352.93026585384</v>
      </c>
      <c r="BT58" s="102">
        <f t="shared" si="28"/>
        <v>14711.29</v>
      </c>
      <c r="BU58" s="102">
        <f t="shared" si="28"/>
        <v>6660.47</v>
      </c>
      <c r="BV58" s="102">
        <f t="shared" si="28"/>
        <v>7494.7209355516061</v>
      </c>
      <c r="BW58" s="102">
        <f t="shared" si="28"/>
        <v>9284.8692980862143</v>
      </c>
      <c r="BX58" s="102">
        <f t="shared" si="28"/>
        <v>5707.3689657270252</v>
      </c>
      <c r="BY58" s="102">
        <f t="shared" si="28"/>
        <v>6547.793917359646</v>
      </c>
      <c r="BZ58" s="102">
        <f t="shared" si="28"/>
        <v>5928.570962561007</v>
      </c>
      <c r="CA58" s="102">
        <f t="shared" si="28"/>
        <v>6321.0695082374241</v>
      </c>
      <c r="CB58" s="102">
        <f t="shared" si="28"/>
        <v>6216.459366002191</v>
      </c>
      <c r="CC58" s="102">
        <f t="shared" si="28"/>
        <v>5718.6907013816508</v>
      </c>
      <c r="CD58" s="102">
        <f t="shared" si="28"/>
        <v>6778.7029032966147</v>
      </c>
      <c r="CE58" s="102">
        <f t="shared" si="28"/>
        <v>4592.9755925368972</v>
      </c>
      <c r="CF58" s="102">
        <f t="shared" si="28"/>
        <v>4302.9528517300923</v>
      </c>
      <c r="CG58" s="102">
        <f t="shared" si="28"/>
        <v>7559.4007751305862</v>
      </c>
      <c r="CH58" s="102">
        <f t="shared" ref="CH58:CK61" si="33">CH11+CH19</f>
        <v>9852.7236545628857</v>
      </c>
      <c r="CI58" s="102">
        <f t="shared" si="33"/>
        <v>6269.297478888263</v>
      </c>
      <c r="CJ58" s="102">
        <f t="shared" si="33"/>
        <v>7612.4653013744182</v>
      </c>
      <c r="CK58" s="102">
        <f t="shared" si="33"/>
        <v>12639.89340596824</v>
      </c>
      <c r="CL58" s="102">
        <f t="shared" ref="CL58:CM61" si="34">CL11+CL19</f>
        <v>16096.749766896348</v>
      </c>
      <c r="CM58" s="102">
        <f t="shared" si="34"/>
        <v>16187.756000964313</v>
      </c>
      <c r="CN58" s="102">
        <f t="shared" si="29"/>
        <v>17905.025433992527</v>
      </c>
      <c r="CO58" s="102">
        <f t="shared" si="30"/>
        <v>19747.610959433594</v>
      </c>
      <c r="CP58" s="102">
        <f t="shared" si="30"/>
        <v>22654.385248283474</v>
      </c>
      <c r="CQ58" s="102">
        <f t="shared" si="30"/>
        <v>24632.502738260468</v>
      </c>
      <c r="CR58" s="102">
        <f t="shared" si="30"/>
        <v>26421.072378869179</v>
      </c>
      <c r="CS58" s="102">
        <f t="shared" si="30"/>
        <v>34114.617567799825</v>
      </c>
      <c r="CT58" s="102">
        <f t="shared" ref="CT58" si="35">CT11+CT19</f>
        <v>35203.133028256008</v>
      </c>
      <c r="CU58" s="102">
        <f t="shared" si="31"/>
        <v>35609.156293883178</v>
      </c>
      <c r="CV58" s="102">
        <f t="shared" si="32"/>
        <v>43893.422829638075</v>
      </c>
      <c r="CW58" s="519">
        <f t="shared" si="32"/>
        <v>40985.046736994482</v>
      </c>
    </row>
    <row r="59" spans="2:101" x14ac:dyDescent="0.35">
      <c r="B59" s="3"/>
      <c r="C59" s="372" t="s">
        <v>27</v>
      </c>
      <c r="D59" s="102">
        <f t="shared" si="27"/>
        <v>244037.07889882784</v>
      </c>
      <c r="E59" s="102">
        <f t="shared" si="27"/>
        <v>235589.4873146415</v>
      </c>
      <c r="F59" s="102">
        <f t="shared" si="27"/>
        <v>209513.17976204457</v>
      </c>
      <c r="G59" s="102">
        <f t="shared" si="27"/>
        <v>223822.32779751834</v>
      </c>
      <c r="H59" s="102">
        <f t="shared" si="27"/>
        <v>241162.06039033589</v>
      </c>
      <c r="I59" s="102">
        <f t="shared" si="27"/>
        <v>228990.45721117989</v>
      </c>
      <c r="J59" s="102">
        <f t="shared" si="27"/>
        <v>245076.31081494171</v>
      </c>
      <c r="K59" s="102">
        <f t="shared" si="27"/>
        <v>314796.0331591685</v>
      </c>
      <c r="L59" s="102">
        <f t="shared" si="27"/>
        <v>195965.26761432851</v>
      </c>
      <c r="M59" s="102">
        <f t="shared" si="27"/>
        <v>274147.48946532328</v>
      </c>
      <c r="N59" s="102">
        <f t="shared" si="27"/>
        <v>254377.404316172</v>
      </c>
      <c r="O59" s="102">
        <f t="shared" si="27"/>
        <v>337149.6751848117</v>
      </c>
      <c r="P59" s="102">
        <f t="shared" si="27"/>
        <v>259434.94843203368</v>
      </c>
      <c r="Q59" s="102">
        <f t="shared" si="27"/>
        <v>218043.94862173559</v>
      </c>
      <c r="R59" s="102">
        <f t="shared" si="27"/>
        <v>271283.34553271218</v>
      </c>
      <c r="S59" s="102">
        <f t="shared" si="27"/>
        <v>240147.06904771028</v>
      </c>
      <c r="T59" s="102">
        <f t="shared" si="27"/>
        <v>230609.36833499841</v>
      </c>
      <c r="U59" s="102">
        <f t="shared" si="27"/>
        <v>222910.38069452674</v>
      </c>
      <c r="V59" s="102">
        <f t="shared" si="27"/>
        <v>230504.03762531091</v>
      </c>
      <c r="W59" s="102">
        <f t="shared" si="27"/>
        <v>238283.73522031645</v>
      </c>
      <c r="X59" s="102">
        <f t="shared" si="27"/>
        <v>275551.3871159557</v>
      </c>
      <c r="Y59" s="102">
        <f t="shared" si="27"/>
        <v>288344.87602630956</v>
      </c>
      <c r="Z59" s="102">
        <f t="shared" si="27"/>
        <v>257547.93331617545</v>
      </c>
      <c r="AA59" s="102">
        <f t="shared" si="27"/>
        <v>243357.19547599231</v>
      </c>
      <c r="AB59" s="102">
        <f t="shared" si="27"/>
        <v>296107.50513000001</v>
      </c>
      <c r="AC59" s="102">
        <f t="shared" si="27"/>
        <v>294766.71182999999</v>
      </c>
      <c r="AD59" s="102">
        <f t="shared" si="27"/>
        <v>320937.12346999999</v>
      </c>
      <c r="AE59" s="102">
        <f t="shared" si="27"/>
        <v>322280.36330999999</v>
      </c>
      <c r="AF59" s="102">
        <f t="shared" si="27"/>
        <v>311156.90859000001</v>
      </c>
      <c r="AG59" s="102">
        <f t="shared" si="27"/>
        <v>319489.65239</v>
      </c>
      <c r="AH59" s="102">
        <f t="shared" si="27"/>
        <v>322763.79453000001</v>
      </c>
      <c r="AI59" s="102">
        <f t="shared" si="27"/>
        <v>316196.39851999999</v>
      </c>
      <c r="AJ59" s="102">
        <f t="shared" si="27"/>
        <v>292384.96041</v>
      </c>
      <c r="AK59" s="102">
        <f t="shared" si="27"/>
        <v>301498.37595000002</v>
      </c>
      <c r="AL59" s="102">
        <f t="shared" si="27"/>
        <v>290305.40482</v>
      </c>
      <c r="AM59" s="102">
        <f t="shared" si="27"/>
        <v>281688.21602999995</v>
      </c>
      <c r="AN59" s="102">
        <f t="shared" si="27"/>
        <v>298111.77266000002</v>
      </c>
      <c r="AO59" s="102">
        <f t="shared" si="27"/>
        <v>299559.50680999999</v>
      </c>
      <c r="AP59" s="102">
        <f t="shared" si="27"/>
        <v>293769.63445999997</v>
      </c>
      <c r="AQ59" s="102">
        <f t="shared" si="27"/>
        <v>307749.81330000004</v>
      </c>
      <c r="AR59" s="102">
        <f t="shared" si="27"/>
        <v>310506.97581999999</v>
      </c>
      <c r="AS59" s="102">
        <f t="shared" si="27"/>
        <v>311235.08068000001</v>
      </c>
      <c r="AT59" s="102">
        <f t="shared" si="27"/>
        <v>319963.26923999999</v>
      </c>
      <c r="AU59" s="102">
        <f t="shared" si="27"/>
        <v>333671.21608000004</v>
      </c>
      <c r="AV59" s="102">
        <f t="shared" si="27"/>
        <v>316869.07991999999</v>
      </c>
      <c r="AW59" s="102">
        <f t="shared" si="27"/>
        <v>339661.24239000003</v>
      </c>
      <c r="AX59" s="102">
        <f t="shared" si="27"/>
        <v>353963.72355999995</v>
      </c>
      <c r="AY59" s="102">
        <f t="shared" si="27"/>
        <v>369656.47269999998</v>
      </c>
      <c r="AZ59" s="102">
        <f t="shared" si="27"/>
        <v>340783.07683999999</v>
      </c>
      <c r="BA59" s="102">
        <f t="shared" si="27"/>
        <v>362631.53901999997</v>
      </c>
      <c r="BB59" s="102">
        <f t="shared" si="27"/>
        <v>319036.62265000003</v>
      </c>
      <c r="BC59" s="102">
        <f t="shared" si="27"/>
        <v>367070.36288000003</v>
      </c>
      <c r="BD59" s="102">
        <f t="shared" si="27"/>
        <v>370001.22228999995</v>
      </c>
      <c r="BE59" s="102">
        <f t="shared" si="27"/>
        <v>355748.22761</v>
      </c>
      <c r="BF59" s="102">
        <f t="shared" si="27"/>
        <v>359741.85048000002</v>
      </c>
      <c r="BG59" s="102">
        <f t="shared" si="27"/>
        <v>358501.06828000001</v>
      </c>
      <c r="BH59" s="102">
        <f t="shared" si="27"/>
        <v>333485.60109999997</v>
      </c>
      <c r="BI59" s="102">
        <f t="shared" si="27"/>
        <v>380781.02823000005</v>
      </c>
      <c r="BJ59" s="102">
        <f t="shared" si="27"/>
        <v>297397.75206999999</v>
      </c>
      <c r="BK59" s="102">
        <f t="shared" si="27"/>
        <v>319746.01073000004</v>
      </c>
      <c r="BL59" s="102">
        <f t="shared" si="27"/>
        <v>303729.5380202111</v>
      </c>
      <c r="BM59" s="102">
        <f t="shared" si="27"/>
        <v>303288.11002026947</v>
      </c>
      <c r="BN59" s="102">
        <f t="shared" si="27"/>
        <v>290362.12303450966</v>
      </c>
      <c r="BO59" s="102">
        <f t="shared" si="27"/>
        <v>284811.78489789064</v>
      </c>
      <c r="BP59" s="102">
        <f t="shared" si="28"/>
        <v>289276.22125852795</v>
      </c>
      <c r="BQ59" s="102">
        <f t="shared" si="28"/>
        <v>266759.6449762485</v>
      </c>
      <c r="BR59" s="102">
        <f t="shared" si="28"/>
        <v>259260.19944061289</v>
      </c>
      <c r="BS59" s="102">
        <f t="shared" si="28"/>
        <v>256328.17061950313</v>
      </c>
      <c r="BT59" s="102">
        <f t="shared" si="28"/>
        <v>271009.75263581477</v>
      </c>
      <c r="BU59" s="102">
        <f t="shared" si="28"/>
        <v>248634.89999999988</v>
      </c>
      <c r="BV59" s="102">
        <f t="shared" si="28"/>
        <v>247822.61082381458</v>
      </c>
      <c r="BW59" s="102">
        <f t="shared" si="28"/>
        <v>225594.4562322314</v>
      </c>
      <c r="BX59" s="102">
        <f t="shared" si="28"/>
        <v>236096.44046669939</v>
      </c>
      <c r="BY59" s="102">
        <f t="shared" si="28"/>
        <v>223874.94519489806</v>
      </c>
      <c r="BZ59" s="102">
        <f t="shared" si="28"/>
        <v>218219.30899232734</v>
      </c>
      <c r="CA59" s="102">
        <f t="shared" si="28"/>
        <v>216190.34636774144</v>
      </c>
      <c r="CB59" s="102">
        <f t="shared" si="28"/>
        <v>205387.02312874526</v>
      </c>
      <c r="CC59" s="102">
        <f t="shared" si="28"/>
        <v>193801.82403219931</v>
      </c>
      <c r="CD59" s="102">
        <f t="shared" si="28"/>
        <v>195977.50441755482</v>
      </c>
      <c r="CE59" s="102">
        <f t="shared" si="28"/>
        <v>200876.7069449366</v>
      </c>
      <c r="CF59" s="102">
        <f t="shared" si="28"/>
        <v>215580.52</v>
      </c>
      <c r="CG59" s="102">
        <f t="shared" si="28"/>
        <v>191913.59607789858</v>
      </c>
      <c r="CH59" s="102">
        <f t="shared" si="33"/>
        <v>186348.16909560599</v>
      </c>
      <c r="CI59" s="102">
        <f t="shared" si="33"/>
        <v>185323.16434856015</v>
      </c>
      <c r="CJ59" s="102">
        <f t="shared" si="33"/>
        <v>187039.64052721969</v>
      </c>
      <c r="CK59" s="102">
        <f t="shared" si="33"/>
        <v>185854.57722369826</v>
      </c>
      <c r="CL59" s="102">
        <f t="shared" si="34"/>
        <v>172026.2195295878</v>
      </c>
      <c r="CM59" s="102">
        <f t="shared" si="34"/>
        <v>183182.48876887342</v>
      </c>
      <c r="CN59" s="102">
        <f t="shared" si="29"/>
        <v>181161.66035513149</v>
      </c>
      <c r="CO59" s="102">
        <f t="shared" si="30"/>
        <v>181862.2097367424</v>
      </c>
      <c r="CP59" s="102">
        <f t="shared" si="30"/>
        <v>182679.60263555637</v>
      </c>
      <c r="CQ59" s="102">
        <f t="shared" si="30"/>
        <v>187542.1194271837</v>
      </c>
      <c r="CR59" s="102">
        <f t="shared" si="30"/>
        <v>188592.10645673974</v>
      </c>
      <c r="CS59" s="102">
        <f t="shared" si="30"/>
        <v>179033.05116624772</v>
      </c>
      <c r="CT59" s="102">
        <f t="shared" ref="CT59" si="36">CT12+CT20</f>
        <v>178256.39406982542</v>
      </c>
      <c r="CU59" s="102">
        <f t="shared" si="31"/>
        <v>184492.09938179003</v>
      </c>
      <c r="CV59" s="102">
        <f t="shared" si="32"/>
        <v>171803.31080798915</v>
      </c>
      <c r="CW59" s="519">
        <f t="shared" si="32"/>
        <v>173904.28095483381</v>
      </c>
    </row>
    <row r="60" spans="2:101" x14ac:dyDescent="0.35">
      <c r="B60" s="3"/>
      <c r="C60" s="372" t="s">
        <v>28</v>
      </c>
      <c r="D60" s="102">
        <f t="shared" si="27"/>
        <v>15928.048623602674</v>
      </c>
      <c r="E60" s="102">
        <f t="shared" si="27"/>
        <v>16080.903916958794</v>
      </c>
      <c r="F60" s="102">
        <f t="shared" si="27"/>
        <v>13841.504846939895</v>
      </c>
      <c r="G60" s="102">
        <f t="shared" si="27"/>
        <v>19934.14694831656</v>
      </c>
      <c r="H60" s="102">
        <f t="shared" si="27"/>
        <v>23883.236603715624</v>
      </c>
      <c r="I60" s="102">
        <f t="shared" si="27"/>
        <v>25912.57135790453</v>
      </c>
      <c r="J60" s="102">
        <f t="shared" si="27"/>
        <v>40487.484310703636</v>
      </c>
      <c r="K60" s="102">
        <f t="shared" si="27"/>
        <v>46172.538930049021</v>
      </c>
      <c r="L60" s="102">
        <f t="shared" si="27"/>
        <v>59022.501918361937</v>
      </c>
      <c r="M60" s="102">
        <f t="shared" si="27"/>
        <v>70119.49557446425</v>
      </c>
      <c r="N60" s="102">
        <f t="shared" si="27"/>
        <v>79916.872605511569</v>
      </c>
      <c r="O60" s="102">
        <f t="shared" si="27"/>
        <v>46248.801633269359</v>
      </c>
      <c r="P60" s="102">
        <f t="shared" si="27"/>
        <v>79708.468141745034</v>
      </c>
      <c r="Q60" s="102">
        <f t="shared" si="27"/>
        <v>105445.96362251534</v>
      </c>
      <c r="R60" s="102">
        <f t="shared" si="27"/>
        <v>110182.6202796345</v>
      </c>
      <c r="S60" s="102">
        <f t="shared" si="27"/>
        <v>119982.80705210281</v>
      </c>
      <c r="T60" s="102">
        <f t="shared" si="27"/>
        <v>127776.64838423065</v>
      </c>
      <c r="U60" s="102">
        <f t="shared" si="27"/>
        <v>140176.51538040684</v>
      </c>
      <c r="V60" s="102">
        <f t="shared" si="27"/>
        <v>162157.48396814609</v>
      </c>
      <c r="W60" s="102">
        <f t="shared" si="27"/>
        <v>161246.8574946138</v>
      </c>
      <c r="X60" s="102">
        <f t="shared" si="27"/>
        <v>172167.3818392682</v>
      </c>
      <c r="Y60" s="102">
        <f t="shared" si="27"/>
        <v>173642.71218998346</v>
      </c>
      <c r="Z60" s="102">
        <f t="shared" si="27"/>
        <v>189195.59799265733</v>
      </c>
      <c r="AA60" s="102">
        <f t="shared" si="27"/>
        <v>187787.45230290922</v>
      </c>
      <c r="AB60" s="102">
        <f t="shared" si="27"/>
        <v>193751.06596842359</v>
      </c>
      <c r="AC60" s="102">
        <f t="shared" si="27"/>
        <v>192160.94457164165</v>
      </c>
      <c r="AD60" s="102">
        <f t="shared" si="27"/>
        <v>179755.4837498526</v>
      </c>
      <c r="AE60" s="102">
        <f t="shared" si="27"/>
        <v>166337.69440319238</v>
      </c>
      <c r="AF60" s="102">
        <f t="shared" si="27"/>
        <v>165303.54313791043</v>
      </c>
      <c r="AG60" s="102">
        <f t="shared" si="27"/>
        <v>167713.49760431738</v>
      </c>
      <c r="AH60" s="102">
        <f t="shared" si="27"/>
        <v>174133.69591630172</v>
      </c>
      <c r="AI60" s="102">
        <f t="shared" si="27"/>
        <v>170795.63461520721</v>
      </c>
      <c r="AJ60" s="102">
        <f t="shared" si="27"/>
        <v>171576.49674692276</v>
      </c>
      <c r="AK60" s="102">
        <f t="shared" si="27"/>
        <v>164787.17344624232</v>
      </c>
      <c r="AL60" s="102">
        <f t="shared" si="27"/>
        <v>154985.05172308529</v>
      </c>
      <c r="AM60" s="102">
        <f t="shared" si="27"/>
        <v>165401.23179934153</v>
      </c>
      <c r="AN60" s="102">
        <f t="shared" si="27"/>
        <v>177532.42525162364</v>
      </c>
      <c r="AO60" s="102">
        <f t="shared" si="27"/>
        <v>176987.81621682353</v>
      </c>
      <c r="AP60" s="102">
        <f t="shared" si="27"/>
        <v>175054.63527202795</v>
      </c>
      <c r="AQ60" s="102">
        <f t="shared" si="27"/>
        <v>177393.96174127157</v>
      </c>
      <c r="AR60" s="102">
        <f t="shared" si="27"/>
        <v>182118.76169236837</v>
      </c>
      <c r="AS60" s="102">
        <f t="shared" si="27"/>
        <v>198264.72415246564</v>
      </c>
      <c r="AT60" s="102">
        <f t="shared" si="27"/>
        <v>200989.65342293103</v>
      </c>
      <c r="AU60" s="102">
        <f t="shared" si="27"/>
        <v>202893.88193227741</v>
      </c>
      <c r="AV60" s="102">
        <f t="shared" si="27"/>
        <v>201908.3977463019</v>
      </c>
      <c r="AW60" s="102">
        <f t="shared" si="27"/>
        <v>198594.38095960708</v>
      </c>
      <c r="AX60" s="102">
        <f t="shared" si="27"/>
        <v>206423.70996949339</v>
      </c>
      <c r="AY60" s="102">
        <f t="shared" si="27"/>
        <v>211715.35353563886</v>
      </c>
      <c r="AZ60" s="102">
        <f t="shared" si="27"/>
        <v>203234.41069399999</v>
      </c>
      <c r="BA60" s="102">
        <f t="shared" si="27"/>
        <v>218931.46575500001</v>
      </c>
      <c r="BB60" s="102">
        <f t="shared" si="27"/>
        <v>245782.28509999998</v>
      </c>
      <c r="BC60" s="102">
        <f t="shared" si="27"/>
        <v>269108.22434999997</v>
      </c>
      <c r="BD60" s="102">
        <f t="shared" si="27"/>
        <v>275307.55404999998</v>
      </c>
      <c r="BE60" s="102">
        <f t="shared" si="27"/>
        <v>282522.65889999998</v>
      </c>
      <c r="BF60" s="102">
        <f t="shared" si="27"/>
        <v>275253.05488999997</v>
      </c>
      <c r="BG60" s="102">
        <f t="shared" si="27"/>
        <v>300889.88637000002</v>
      </c>
      <c r="BH60" s="102">
        <f t="shared" si="27"/>
        <v>331430.57446000003</v>
      </c>
      <c r="BI60" s="102">
        <f t="shared" si="27"/>
        <v>335110.35067000001</v>
      </c>
      <c r="BJ60" s="102">
        <f t="shared" si="27"/>
        <v>325775.65980000002</v>
      </c>
      <c r="BK60" s="102">
        <f t="shared" si="27"/>
        <v>354505.30446000001</v>
      </c>
      <c r="BL60" s="102">
        <f t="shared" si="27"/>
        <v>321808.69556999998</v>
      </c>
      <c r="BM60" s="102">
        <f t="shared" si="27"/>
        <v>340332.22472</v>
      </c>
      <c r="BN60" s="102">
        <f t="shared" si="27"/>
        <v>338856.08373000001</v>
      </c>
      <c r="BO60" s="102">
        <f t="shared" ref="BO60" si="37">BO13+BO21</f>
        <v>343406.58357000002</v>
      </c>
      <c r="BP60" s="102">
        <f t="shared" si="28"/>
        <v>342937.10423</v>
      </c>
      <c r="BQ60" s="102">
        <f t="shared" si="28"/>
        <v>345280.12751999998</v>
      </c>
      <c r="BR60" s="102">
        <f t="shared" si="28"/>
        <v>342408.36936999997</v>
      </c>
      <c r="BS60" s="102">
        <f t="shared" si="28"/>
        <v>354706.81391999999</v>
      </c>
      <c r="BT60" s="102">
        <f t="shared" si="28"/>
        <v>366234.37244000001</v>
      </c>
      <c r="BU60" s="102">
        <f t="shared" si="28"/>
        <v>359947.41052999999</v>
      </c>
      <c r="BV60" s="102">
        <f t="shared" si="28"/>
        <v>379301.17289000005</v>
      </c>
      <c r="BW60" s="102">
        <f t="shared" si="28"/>
        <v>415498.78068000003</v>
      </c>
      <c r="BX60" s="102">
        <f t="shared" si="28"/>
        <v>386475.36245000002</v>
      </c>
      <c r="BY60" s="102">
        <f t="shared" si="28"/>
        <v>382187.54031000001</v>
      </c>
      <c r="BZ60" s="102">
        <f t="shared" si="28"/>
        <v>394978.38724999997</v>
      </c>
      <c r="CA60" s="102">
        <f t="shared" si="28"/>
        <v>405728.32212000003</v>
      </c>
      <c r="CB60" s="102">
        <f t="shared" si="28"/>
        <v>397357.98547000001</v>
      </c>
      <c r="CC60" s="102">
        <f t="shared" si="28"/>
        <v>376074.70190055808</v>
      </c>
      <c r="CD60" s="102">
        <f t="shared" si="28"/>
        <v>350576.29737543757</v>
      </c>
      <c r="CE60" s="102">
        <f t="shared" si="28"/>
        <v>351390.39267431758</v>
      </c>
      <c r="CF60" s="102">
        <f t="shared" si="28"/>
        <v>339640.80935</v>
      </c>
      <c r="CG60" s="102">
        <f t="shared" si="28"/>
        <v>333927.81912963599</v>
      </c>
      <c r="CH60" s="102">
        <f t="shared" si="33"/>
        <v>332826.51358114061</v>
      </c>
      <c r="CI60" s="102">
        <f t="shared" si="33"/>
        <v>327065.44333134627</v>
      </c>
      <c r="CJ60" s="102">
        <f t="shared" si="33"/>
        <v>341384.65671402414</v>
      </c>
      <c r="CK60" s="102">
        <f t="shared" si="33"/>
        <v>354544.80719545728</v>
      </c>
      <c r="CL60" s="102">
        <f t="shared" si="34"/>
        <v>323072.97401658149</v>
      </c>
      <c r="CM60" s="102">
        <f t="shared" si="34"/>
        <v>345235.26105420938</v>
      </c>
      <c r="CN60" s="102">
        <f t="shared" si="29"/>
        <v>349515.43113151664</v>
      </c>
      <c r="CO60" s="102">
        <f t="shared" si="30"/>
        <v>350140.27156528324</v>
      </c>
      <c r="CP60" s="102">
        <f t="shared" si="30"/>
        <v>356792.29862738535</v>
      </c>
      <c r="CQ60" s="102">
        <f t="shared" si="30"/>
        <v>364178.98239148239</v>
      </c>
      <c r="CR60" s="102">
        <f t="shared" si="30"/>
        <v>379461.61687873071</v>
      </c>
      <c r="CS60" s="102">
        <f t="shared" si="30"/>
        <v>376942.98137163656</v>
      </c>
      <c r="CT60" s="102">
        <f t="shared" ref="CT60" si="38">CT13+CT21</f>
        <v>390487.06745494693</v>
      </c>
      <c r="CU60" s="102">
        <f t="shared" si="31"/>
        <v>380768.50697820936</v>
      </c>
      <c r="CV60" s="102">
        <f t="shared" si="32"/>
        <v>375005.23547163542</v>
      </c>
      <c r="CW60" s="519">
        <f t="shared" si="32"/>
        <v>380470.22729200241</v>
      </c>
    </row>
    <row r="61" spans="2:101" x14ac:dyDescent="0.35">
      <c r="B61" s="3"/>
      <c r="C61" s="372" t="s">
        <v>185</v>
      </c>
      <c r="D61" s="102">
        <f t="shared" ref="D61:BO61" si="39">D14+D22</f>
        <v>35250.78927962391</v>
      </c>
      <c r="E61" s="102">
        <f t="shared" si="39"/>
        <v>32409.119845861755</v>
      </c>
      <c r="F61" s="102">
        <f t="shared" si="39"/>
        <v>35952.686367248942</v>
      </c>
      <c r="G61" s="102">
        <f t="shared" si="39"/>
        <v>34995.772293776419</v>
      </c>
      <c r="H61" s="102">
        <f t="shared" si="39"/>
        <v>37445.815765224921</v>
      </c>
      <c r="I61" s="102">
        <f t="shared" si="39"/>
        <v>36217.818878989507</v>
      </c>
      <c r="J61" s="102">
        <f t="shared" si="39"/>
        <v>33507.034020717067</v>
      </c>
      <c r="K61" s="102">
        <f t="shared" si="39"/>
        <v>34472.280921595986</v>
      </c>
      <c r="L61" s="102">
        <f t="shared" si="39"/>
        <v>24699.724517906339</v>
      </c>
      <c r="M61" s="102">
        <f t="shared" si="39"/>
        <v>24101.960527536325</v>
      </c>
      <c r="N61" s="102">
        <f t="shared" si="39"/>
        <v>25826.307245530174</v>
      </c>
      <c r="O61" s="102">
        <f t="shared" si="39"/>
        <v>23231.084168382004</v>
      </c>
      <c r="P61" s="102">
        <f t="shared" si="39"/>
        <v>25632.582562601194</v>
      </c>
      <c r="Q61" s="102">
        <f t="shared" si="39"/>
        <v>22081.284622705341</v>
      </c>
      <c r="R61" s="102">
        <f t="shared" si="39"/>
        <v>23012.437917911891</v>
      </c>
      <c r="S61" s="102">
        <f t="shared" si="39"/>
        <v>19479.172130430979</v>
      </c>
      <c r="T61" s="102">
        <f t="shared" si="39"/>
        <v>19799.16948365427</v>
      </c>
      <c r="U61" s="102">
        <f t="shared" si="39"/>
        <v>19693.069035627577</v>
      </c>
      <c r="V61" s="102">
        <f t="shared" si="39"/>
        <v>21065.279906902841</v>
      </c>
      <c r="W61" s="102">
        <f t="shared" si="39"/>
        <v>21209.231815319104</v>
      </c>
      <c r="X61" s="102">
        <f t="shared" si="39"/>
        <v>20819.99603187725</v>
      </c>
      <c r="Y61" s="102">
        <f t="shared" si="39"/>
        <v>19667.856720398311</v>
      </c>
      <c r="Z61" s="102">
        <f t="shared" si="39"/>
        <v>19992.458873816067</v>
      </c>
      <c r="AA61" s="102">
        <f t="shared" si="39"/>
        <v>19104.643406740583</v>
      </c>
      <c r="AB61" s="102">
        <f t="shared" si="39"/>
        <v>19814.84851</v>
      </c>
      <c r="AC61" s="102">
        <f t="shared" si="39"/>
        <v>20212.472900000001</v>
      </c>
      <c r="AD61" s="102">
        <f t="shared" si="39"/>
        <v>20659.130300000001</v>
      </c>
      <c r="AE61" s="102">
        <f t="shared" si="39"/>
        <v>19493.366170000001</v>
      </c>
      <c r="AF61" s="102">
        <f t="shared" si="39"/>
        <v>19919.008419999998</v>
      </c>
      <c r="AG61" s="102">
        <f t="shared" si="39"/>
        <v>21020.44918</v>
      </c>
      <c r="AH61" s="102">
        <f t="shared" si="39"/>
        <v>0</v>
      </c>
      <c r="AI61" s="102">
        <f t="shared" si="39"/>
        <v>0</v>
      </c>
      <c r="AJ61" s="102">
        <f t="shared" si="39"/>
        <v>0</v>
      </c>
      <c r="AK61" s="102">
        <f t="shared" si="39"/>
        <v>0</v>
      </c>
      <c r="AL61" s="102">
        <f t="shared" si="39"/>
        <v>0</v>
      </c>
      <c r="AM61" s="102">
        <f t="shared" si="39"/>
        <v>0</v>
      </c>
      <c r="AN61" s="102">
        <f t="shared" si="39"/>
        <v>0</v>
      </c>
      <c r="AO61" s="102">
        <f t="shared" si="39"/>
        <v>0</v>
      </c>
      <c r="AP61" s="102">
        <f t="shared" si="39"/>
        <v>0</v>
      </c>
      <c r="AQ61" s="102">
        <f t="shared" si="39"/>
        <v>0</v>
      </c>
      <c r="AR61" s="102">
        <f t="shared" si="39"/>
        <v>0</v>
      </c>
      <c r="AS61" s="102">
        <f t="shared" si="39"/>
        <v>2566.64</v>
      </c>
      <c r="AT61" s="102">
        <f t="shared" si="39"/>
        <v>7349.59</v>
      </c>
      <c r="AU61" s="102">
        <f t="shared" si="39"/>
        <v>17813.259999999998</v>
      </c>
      <c r="AV61" s="102">
        <f t="shared" si="39"/>
        <v>18453.330000000002</v>
      </c>
      <c r="AW61" s="102">
        <f t="shared" si="39"/>
        <v>19568.64</v>
      </c>
      <c r="AX61" s="102">
        <f t="shared" si="39"/>
        <v>26279.1</v>
      </c>
      <c r="AY61" s="102">
        <f t="shared" si="39"/>
        <v>24893.98</v>
      </c>
      <c r="AZ61" s="102">
        <f t="shared" si="39"/>
        <v>28267.920000000002</v>
      </c>
      <c r="BA61" s="102">
        <f t="shared" si="39"/>
        <v>31230.440000000002</v>
      </c>
      <c r="BB61" s="102">
        <f t="shared" si="39"/>
        <v>31912.82</v>
      </c>
      <c r="BC61" s="102">
        <f t="shared" si="39"/>
        <v>27475.29</v>
      </c>
      <c r="BD61" s="102">
        <f t="shared" si="39"/>
        <v>38030.39</v>
      </c>
      <c r="BE61" s="102">
        <f t="shared" si="39"/>
        <v>41463.9</v>
      </c>
      <c r="BF61" s="102">
        <f t="shared" si="39"/>
        <v>44792.43</v>
      </c>
      <c r="BG61" s="102">
        <f t="shared" si="39"/>
        <v>48649.58</v>
      </c>
      <c r="BH61" s="102">
        <f t="shared" si="39"/>
        <v>55524.4</v>
      </c>
      <c r="BI61" s="102">
        <f t="shared" si="39"/>
        <v>54515.39</v>
      </c>
      <c r="BJ61" s="102" t="e">
        <f t="shared" si="39"/>
        <v>#VALUE!</v>
      </c>
      <c r="BK61" s="102">
        <f t="shared" si="39"/>
        <v>57318.02</v>
      </c>
      <c r="BL61" s="102">
        <f t="shared" si="39"/>
        <v>58199.78</v>
      </c>
      <c r="BM61" s="102">
        <f t="shared" si="39"/>
        <v>62643.1</v>
      </c>
      <c r="BN61" s="102">
        <f t="shared" si="39"/>
        <v>61215.91</v>
      </c>
      <c r="BO61" s="102">
        <f t="shared" si="39"/>
        <v>60159.199999999997</v>
      </c>
      <c r="BP61" s="102">
        <f t="shared" si="28"/>
        <v>60737.63</v>
      </c>
      <c r="BQ61" s="102">
        <f t="shared" si="28"/>
        <v>58927.12</v>
      </c>
      <c r="BR61" s="102">
        <f t="shared" si="28"/>
        <v>58400.77</v>
      </c>
      <c r="BS61" s="102">
        <f t="shared" si="28"/>
        <v>59018.23</v>
      </c>
      <c r="BT61" s="102">
        <f t="shared" si="28"/>
        <v>61314.23</v>
      </c>
      <c r="BU61" s="102">
        <f t="shared" si="28"/>
        <v>61881.53</v>
      </c>
      <c r="BV61" s="102">
        <f t="shared" si="28"/>
        <v>59635.07</v>
      </c>
      <c r="BW61" s="102">
        <f t="shared" si="28"/>
        <v>59117.01</v>
      </c>
      <c r="BX61" s="102">
        <f t="shared" si="28"/>
        <v>59754.84</v>
      </c>
      <c r="BY61" s="102">
        <f t="shared" si="28"/>
        <v>59709</v>
      </c>
      <c r="BZ61" s="102">
        <f t="shared" si="28"/>
        <v>60012.63</v>
      </c>
      <c r="CA61" s="102">
        <f t="shared" si="28"/>
        <v>59453.5</v>
      </c>
      <c r="CB61" s="102">
        <f t="shared" si="28"/>
        <v>59326.12</v>
      </c>
      <c r="CC61" s="102">
        <f t="shared" si="28"/>
        <v>59644.19</v>
      </c>
      <c r="CD61" s="102">
        <f t="shared" si="28"/>
        <v>58819.67</v>
      </c>
      <c r="CE61" s="102">
        <f t="shared" si="28"/>
        <v>57423.75</v>
      </c>
      <c r="CF61" s="102">
        <f t="shared" si="28"/>
        <v>60603.16</v>
      </c>
      <c r="CG61" s="102">
        <f t="shared" si="28"/>
        <v>58520.49</v>
      </c>
      <c r="CH61" s="102">
        <f t="shared" si="33"/>
        <v>98588.680861783709</v>
      </c>
      <c r="CI61" s="102">
        <f t="shared" si="33"/>
        <v>100728.97053237549</v>
      </c>
      <c r="CJ61" s="102">
        <f t="shared" si="33"/>
        <v>101585.54949989574</v>
      </c>
      <c r="CK61" s="102">
        <f t="shared" si="33"/>
        <v>100321.04226441446</v>
      </c>
      <c r="CL61" s="102">
        <f t="shared" si="34"/>
        <v>97533.203702118699</v>
      </c>
      <c r="CM61" s="102">
        <f t="shared" si="34"/>
        <v>94627.663147794636</v>
      </c>
      <c r="CN61" s="102">
        <f t="shared" si="29"/>
        <v>93749.954284994834</v>
      </c>
      <c r="CO61" s="102">
        <f t="shared" si="30"/>
        <v>92259.210763397961</v>
      </c>
      <c r="CP61" s="102">
        <f t="shared" si="30"/>
        <v>154326.7902613449</v>
      </c>
      <c r="CQ61" s="102">
        <f t="shared" si="30"/>
        <v>160629.89590519923</v>
      </c>
      <c r="CR61" s="102">
        <f t="shared" si="30"/>
        <v>161479.50656480223</v>
      </c>
      <c r="CS61" s="102">
        <f t="shared" si="30"/>
        <v>164589.38773201735</v>
      </c>
      <c r="CT61" s="102">
        <f t="shared" ref="CT61" si="40">CT14+CT22</f>
        <v>179218.14235608638</v>
      </c>
      <c r="CU61" s="102">
        <f t="shared" si="31"/>
        <v>164759.97871912186</v>
      </c>
      <c r="CV61" s="102">
        <f t="shared" si="32"/>
        <v>164910.5128182302</v>
      </c>
      <c r="CW61" s="519">
        <f t="shared" si="32"/>
        <v>154636.48775246521</v>
      </c>
    </row>
    <row r="62" spans="2:101" x14ac:dyDescent="0.35">
      <c r="B62" s="3"/>
      <c r="C62" s="372" t="s">
        <v>200</v>
      </c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2"/>
      <c r="AP62" s="102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2"/>
      <c r="BB62" s="102"/>
      <c r="BC62" s="102"/>
      <c r="BD62" s="102"/>
      <c r="BE62" s="102"/>
      <c r="BF62" s="102"/>
      <c r="BG62" s="102"/>
      <c r="BH62" s="102"/>
      <c r="BI62" s="102"/>
      <c r="BJ62" s="102"/>
      <c r="BK62" s="102"/>
      <c r="BL62" s="102"/>
      <c r="BM62" s="102"/>
      <c r="BN62" s="102"/>
      <c r="BO62" s="102"/>
      <c r="BP62" s="102"/>
      <c r="BQ62" s="102"/>
      <c r="BR62" s="102"/>
      <c r="BS62" s="102"/>
      <c r="BT62" s="102"/>
      <c r="BU62" s="102"/>
      <c r="BV62" s="102"/>
      <c r="BW62" s="102"/>
      <c r="BX62" s="102"/>
      <c r="BY62" s="102"/>
      <c r="BZ62" s="102"/>
      <c r="CA62" s="102"/>
      <c r="CB62" s="102"/>
      <c r="CC62" s="102"/>
      <c r="CD62" s="102"/>
      <c r="CE62" s="102"/>
      <c r="CF62" s="102"/>
      <c r="CG62" s="102"/>
      <c r="CH62" s="102"/>
      <c r="CI62" s="102"/>
      <c r="CJ62" s="102"/>
      <c r="CK62" s="102"/>
      <c r="CL62" s="102"/>
      <c r="CM62" s="102"/>
      <c r="CN62" s="102"/>
      <c r="CO62" s="102"/>
      <c r="CP62" s="102"/>
      <c r="CQ62" s="102"/>
      <c r="CR62" s="102"/>
      <c r="CS62" s="102"/>
      <c r="CT62" s="102"/>
      <c r="CU62" s="102"/>
      <c r="CV62" s="102"/>
      <c r="CW62" s="519"/>
    </row>
    <row r="63" spans="2:101" s="10" customFormat="1" x14ac:dyDescent="0.35">
      <c r="B63" s="3"/>
      <c r="C63" s="10" t="s">
        <v>198</v>
      </c>
      <c r="D63" s="100">
        <f t="shared" ref="D63:BO63" si="41">SUM(D57:D61)</f>
        <v>639147</v>
      </c>
      <c r="E63" s="100">
        <f t="shared" si="41"/>
        <v>622382.00000000023</v>
      </c>
      <c r="F63" s="100">
        <f t="shared" si="41"/>
        <v>605883.00000000023</v>
      </c>
      <c r="G63" s="100">
        <f t="shared" si="41"/>
        <v>637639.99999999988</v>
      </c>
      <c r="H63" s="100">
        <f t="shared" si="41"/>
        <v>642497.99999999977</v>
      </c>
      <c r="I63" s="100">
        <f t="shared" si="41"/>
        <v>669885</v>
      </c>
      <c r="J63" s="100">
        <f t="shared" si="41"/>
        <v>746354.00000000023</v>
      </c>
      <c r="K63" s="100">
        <f t="shared" si="41"/>
        <v>753906.00000000023</v>
      </c>
      <c r="L63" s="100">
        <f t="shared" si="41"/>
        <v>735804.26889028715</v>
      </c>
      <c r="M63" s="100">
        <f t="shared" si="41"/>
        <v>755020</v>
      </c>
      <c r="N63" s="100">
        <f t="shared" si="41"/>
        <v>786812.81250000035</v>
      </c>
      <c r="O63" s="100">
        <f t="shared" si="41"/>
        <v>821137.00000000035</v>
      </c>
      <c r="P63" s="100">
        <f t="shared" si="41"/>
        <v>802038.99999999965</v>
      </c>
      <c r="Q63" s="100">
        <f t="shared" si="41"/>
        <v>799565.99999999965</v>
      </c>
      <c r="R63" s="100">
        <f t="shared" si="41"/>
        <v>840978.00000000035</v>
      </c>
      <c r="S63" s="100">
        <f t="shared" si="41"/>
        <v>829964.46153846162</v>
      </c>
      <c r="T63" s="100">
        <f t="shared" si="41"/>
        <v>840841.92307692242</v>
      </c>
      <c r="U63" s="100">
        <f t="shared" si="41"/>
        <v>854072.99999999988</v>
      </c>
      <c r="V63" s="100">
        <f t="shared" si="41"/>
        <v>897330.29411764711</v>
      </c>
      <c r="W63" s="100">
        <f t="shared" si="41"/>
        <v>932348.38842975174</v>
      </c>
      <c r="X63" s="100">
        <f t="shared" si="41"/>
        <v>974395.08258104359</v>
      </c>
      <c r="Y63" s="100">
        <f t="shared" si="41"/>
        <v>989270.00000000023</v>
      </c>
      <c r="Z63" s="100">
        <f t="shared" si="41"/>
        <v>1000407</v>
      </c>
      <c r="AA63" s="100">
        <f t="shared" si="41"/>
        <v>1029425.6897425416</v>
      </c>
      <c r="AB63" s="100">
        <f t="shared" si="41"/>
        <v>1049351.4722484236</v>
      </c>
      <c r="AC63" s="100">
        <f t="shared" si="41"/>
        <v>1047759.0075416416</v>
      </c>
      <c r="AD63" s="100">
        <f t="shared" si="41"/>
        <v>1067780.2594298527</v>
      </c>
      <c r="AE63" s="100">
        <f t="shared" si="41"/>
        <v>1019626.7969161925</v>
      </c>
      <c r="AF63" s="100">
        <f t="shared" si="41"/>
        <v>1018587.5705779104</v>
      </c>
      <c r="AG63" s="100">
        <f t="shared" si="41"/>
        <v>1015254.2207543174</v>
      </c>
      <c r="AH63" s="100">
        <f t="shared" si="41"/>
        <v>1028837.2125273017</v>
      </c>
      <c r="AI63" s="100">
        <f t="shared" si="41"/>
        <v>1022396.9254352072</v>
      </c>
      <c r="AJ63" s="100">
        <f t="shared" si="41"/>
        <v>1008380.3949639228</v>
      </c>
      <c r="AK63" s="100">
        <f t="shared" si="41"/>
        <v>1024398.9472772424</v>
      </c>
      <c r="AL63" s="100">
        <f t="shared" si="41"/>
        <v>1017833.7963235853</v>
      </c>
      <c r="AM63" s="100">
        <f t="shared" si="41"/>
        <v>1034421.2146913414</v>
      </c>
      <c r="AN63" s="100">
        <f t="shared" si="41"/>
        <v>1049467.4576206238</v>
      </c>
      <c r="AO63" s="100">
        <f t="shared" si="41"/>
        <v>1069359.8201248236</v>
      </c>
      <c r="AP63" s="100">
        <f t="shared" si="41"/>
        <v>1064298.8510460281</v>
      </c>
      <c r="AQ63" s="100">
        <f t="shared" si="41"/>
        <v>1088622.8428092718</v>
      </c>
      <c r="AR63" s="100">
        <f t="shared" si="41"/>
        <v>1119584.5194793683</v>
      </c>
      <c r="AS63" s="100">
        <f t="shared" si="41"/>
        <v>1139012.1121564656</v>
      </c>
      <c r="AT63" s="100">
        <f t="shared" si="41"/>
        <v>1197362.7989829311</v>
      </c>
      <c r="AU63" s="100">
        <f t="shared" si="41"/>
        <v>1300644.6591622774</v>
      </c>
      <c r="AV63" s="100">
        <f t="shared" si="41"/>
        <v>1262745.752056302</v>
      </c>
      <c r="AW63" s="100">
        <f t="shared" si="41"/>
        <v>1310313.0455696073</v>
      </c>
      <c r="AX63" s="100">
        <f t="shared" si="41"/>
        <v>1366061.7419494933</v>
      </c>
      <c r="AY63" s="100">
        <f t="shared" si="41"/>
        <v>1420706.004665639</v>
      </c>
      <c r="AZ63" s="100">
        <f t="shared" si="41"/>
        <v>1365402.8835750001</v>
      </c>
      <c r="BA63" s="100">
        <f t="shared" si="41"/>
        <v>1392826.042681</v>
      </c>
      <c r="BB63" s="100">
        <f t="shared" si="41"/>
        <v>1395265.2503500001</v>
      </c>
      <c r="BC63" s="100">
        <f t="shared" si="41"/>
        <v>1474176.7896760001</v>
      </c>
      <c r="BD63" s="100">
        <f t="shared" si="41"/>
        <v>1526574.3094269999</v>
      </c>
      <c r="BE63" s="100">
        <f t="shared" si="41"/>
        <v>1555971.7647499999</v>
      </c>
      <c r="BF63" s="100">
        <f t="shared" si="41"/>
        <v>1593609.7096799999</v>
      </c>
      <c r="BG63" s="100">
        <f t="shared" si="41"/>
        <v>1609980.7944400001</v>
      </c>
      <c r="BH63" s="100">
        <f t="shared" si="41"/>
        <v>1699017.46248</v>
      </c>
      <c r="BI63" s="100">
        <f t="shared" si="41"/>
        <v>1738174.5472949999</v>
      </c>
      <c r="BJ63" s="100" t="e">
        <f t="shared" si="41"/>
        <v>#VALUE!</v>
      </c>
      <c r="BK63" s="100">
        <f t="shared" si="41"/>
        <v>1814355.4169359999</v>
      </c>
      <c r="BL63" s="100">
        <f t="shared" si="41"/>
        <v>1763719.5268511113</v>
      </c>
      <c r="BM63" s="100">
        <f t="shared" si="41"/>
        <v>1783521.0570218477</v>
      </c>
      <c r="BN63" s="100">
        <f t="shared" si="41"/>
        <v>1766730.2400233455</v>
      </c>
      <c r="BO63" s="100">
        <f t="shared" si="41"/>
        <v>1788925.427203885</v>
      </c>
      <c r="BP63" s="100">
        <f t="shared" ref="BP63:CI63" si="42">SUM(BP57:BP61)</f>
        <v>1755475.2630599986</v>
      </c>
      <c r="BQ63" s="100">
        <f t="shared" si="42"/>
        <v>1783854.9222966935</v>
      </c>
      <c r="BR63" s="100">
        <f t="shared" si="42"/>
        <v>1754831.6108313035</v>
      </c>
      <c r="BS63" s="100">
        <f t="shared" si="42"/>
        <v>1768245.66315084</v>
      </c>
      <c r="BT63" s="100">
        <f t="shared" si="42"/>
        <v>1831425.2096647697</v>
      </c>
      <c r="BU63" s="100">
        <f t="shared" si="42"/>
        <v>1797900.8705300004</v>
      </c>
      <c r="BV63" s="100">
        <f t="shared" si="42"/>
        <v>1847512.1890628256</v>
      </c>
      <c r="BW63" s="100">
        <f t="shared" si="42"/>
        <v>1898214.0847113961</v>
      </c>
      <c r="BX63" s="100">
        <f t="shared" si="42"/>
        <v>1840748.5439106298</v>
      </c>
      <c r="BY63" s="100">
        <f t="shared" si="42"/>
        <v>1868458.155816617</v>
      </c>
      <c r="BZ63" s="100">
        <f t="shared" si="42"/>
        <v>1888079.9638627055</v>
      </c>
      <c r="CA63" s="100">
        <f t="shared" si="42"/>
        <v>1909860.9619151982</v>
      </c>
      <c r="CB63" s="100">
        <f t="shared" si="42"/>
        <v>1860328.3299622543</v>
      </c>
      <c r="CC63" s="100">
        <f t="shared" si="42"/>
        <v>1836332.366775156</v>
      </c>
      <c r="CD63" s="100">
        <f t="shared" si="42"/>
        <v>1826633.0105529979</v>
      </c>
      <c r="CE63" s="100">
        <f t="shared" si="42"/>
        <v>1814098.8912423798</v>
      </c>
      <c r="CF63" s="100">
        <f t="shared" si="42"/>
        <v>1796478.3722017293</v>
      </c>
      <c r="CG63" s="100">
        <f t="shared" si="42"/>
        <v>1778822.1557449447</v>
      </c>
      <c r="CH63" s="100">
        <f t="shared" si="42"/>
        <v>1857620.0753730042</v>
      </c>
      <c r="CI63" s="100">
        <f t="shared" si="42"/>
        <v>1810907.8283591922</v>
      </c>
      <c r="CJ63" s="100">
        <f t="shared" ref="CJ63:CS63" si="43">SUM(CJ57:CJ61)</f>
        <v>1832601.3361449686</v>
      </c>
      <c r="CK63" s="100">
        <f t="shared" si="43"/>
        <v>1821804.2592939576</v>
      </c>
      <c r="CL63" s="100">
        <f t="shared" si="43"/>
        <v>1776605.3920497713</v>
      </c>
      <c r="CM63" s="100">
        <f t="shared" si="43"/>
        <v>1794937.0017218734</v>
      </c>
      <c r="CN63" s="100">
        <f t="shared" si="43"/>
        <v>1791578.6640059422</v>
      </c>
      <c r="CO63" s="100">
        <f t="shared" si="43"/>
        <v>1815720.3799569942</v>
      </c>
      <c r="CP63" s="100">
        <f t="shared" si="43"/>
        <v>1913502.795065694</v>
      </c>
      <c r="CQ63" s="100">
        <f t="shared" si="43"/>
        <v>1955410.747157848</v>
      </c>
      <c r="CR63" s="100">
        <f t="shared" si="43"/>
        <v>2018652.8074127617</v>
      </c>
      <c r="CS63" s="100">
        <f t="shared" si="43"/>
        <v>1994057.5295048428</v>
      </c>
      <c r="CT63" s="100">
        <f t="shared" ref="CT63:CU63" si="44">SUM(CT57:CT61)</f>
        <v>2052595.1735487003</v>
      </c>
      <c r="CU63" s="100">
        <f t="shared" si="44"/>
        <v>2017246.8625363703</v>
      </c>
      <c r="CV63" s="100">
        <f>SUM(CV57:CV61)</f>
        <v>1987737.4638376692</v>
      </c>
      <c r="CW63" s="554">
        <f>SUM(CW57:CW61)</f>
        <v>1997379.1996331643</v>
      </c>
    </row>
    <row r="64" spans="2:101" x14ac:dyDescent="0.35">
      <c r="B64" s="3"/>
      <c r="D64" s="44"/>
      <c r="E64" s="44"/>
      <c r="F64" s="85"/>
      <c r="G64" s="85"/>
      <c r="H64" s="85"/>
      <c r="I64" s="85"/>
      <c r="J64" s="114"/>
      <c r="K64" s="85"/>
      <c r="L64" s="85"/>
      <c r="M64" s="114"/>
      <c r="N64" s="114"/>
      <c r="O64" s="114"/>
      <c r="P64" s="114"/>
      <c r="Q64" s="114"/>
      <c r="R64" s="114"/>
      <c r="S64" s="114"/>
      <c r="T64" s="114"/>
      <c r="U64" s="114"/>
      <c r="V64" s="114"/>
      <c r="W64" s="114"/>
      <c r="X64" s="114"/>
      <c r="Y64" s="114"/>
      <c r="Z64" s="114"/>
      <c r="AA64" s="114"/>
      <c r="AB64" s="114"/>
      <c r="AC64" s="114"/>
      <c r="AD64" s="114"/>
      <c r="AE64" s="114"/>
      <c r="AF64" s="114"/>
      <c r="AG64" s="114"/>
      <c r="AH64" s="114"/>
      <c r="AI64" s="114"/>
      <c r="AJ64" s="114"/>
      <c r="AK64" s="114"/>
      <c r="AL64" s="114"/>
      <c r="AM64" s="114"/>
      <c r="AN64" s="114"/>
      <c r="AO64" s="114"/>
      <c r="AP64" s="114"/>
      <c r="AQ64" s="114"/>
      <c r="AR64" s="114"/>
      <c r="AS64" s="114"/>
      <c r="AT64" s="114"/>
      <c r="AU64" s="114"/>
      <c r="AV64" s="114"/>
      <c r="BP64"/>
      <c r="CW64" s="384"/>
    </row>
    <row r="65" spans="2:101" x14ac:dyDescent="0.35">
      <c r="B65" s="327" t="s">
        <v>211</v>
      </c>
      <c r="C65" s="327"/>
      <c r="D65" s="70">
        <v>43101</v>
      </c>
      <c r="E65" s="70">
        <v>43132</v>
      </c>
      <c r="F65" s="70">
        <v>43160</v>
      </c>
      <c r="G65" s="70">
        <v>43191</v>
      </c>
      <c r="H65" s="70">
        <v>43221</v>
      </c>
      <c r="I65" s="70">
        <v>43252</v>
      </c>
      <c r="J65" s="70">
        <v>43282</v>
      </c>
      <c r="K65" s="70">
        <v>43313</v>
      </c>
      <c r="L65" s="70">
        <v>43344</v>
      </c>
      <c r="M65" s="70">
        <v>43374</v>
      </c>
      <c r="N65" s="70">
        <v>43405</v>
      </c>
      <c r="O65" s="70">
        <v>43435</v>
      </c>
      <c r="P65" s="70">
        <v>43466</v>
      </c>
      <c r="Q65" s="70">
        <v>43497</v>
      </c>
      <c r="R65" s="70">
        <v>43525</v>
      </c>
      <c r="S65" s="70">
        <v>43556</v>
      </c>
      <c r="T65" s="70">
        <v>43586</v>
      </c>
      <c r="U65" s="70">
        <v>43617</v>
      </c>
      <c r="V65" s="70">
        <v>43647</v>
      </c>
      <c r="W65" s="70">
        <v>43678</v>
      </c>
      <c r="X65" s="70">
        <v>43709</v>
      </c>
      <c r="Y65" s="70">
        <v>43739</v>
      </c>
      <c r="Z65" s="70">
        <v>43770</v>
      </c>
      <c r="AA65" s="70">
        <v>43800</v>
      </c>
      <c r="AB65" s="70">
        <v>43831</v>
      </c>
      <c r="AC65" s="70">
        <v>43862</v>
      </c>
      <c r="AD65" s="70">
        <v>43891</v>
      </c>
      <c r="AE65" s="70">
        <v>43922</v>
      </c>
      <c r="AF65" s="70">
        <v>43952</v>
      </c>
      <c r="AG65" s="70">
        <v>43983</v>
      </c>
      <c r="AH65" s="70">
        <v>44013</v>
      </c>
      <c r="AI65" s="70">
        <v>44044</v>
      </c>
      <c r="AJ65" s="70">
        <v>44075</v>
      </c>
      <c r="AK65" s="70">
        <v>44105</v>
      </c>
      <c r="AL65" s="70">
        <v>44136</v>
      </c>
      <c r="AM65" s="70">
        <v>44166</v>
      </c>
      <c r="AN65" s="70">
        <v>44197</v>
      </c>
      <c r="AO65" s="70">
        <v>44228</v>
      </c>
      <c r="AP65" s="70">
        <v>44256</v>
      </c>
      <c r="AQ65" s="70">
        <v>44287</v>
      </c>
      <c r="AR65" s="70">
        <v>44317</v>
      </c>
      <c r="AS65" s="70">
        <v>44348</v>
      </c>
      <c r="AT65" s="70">
        <v>44378</v>
      </c>
      <c r="AU65" s="70">
        <v>44409</v>
      </c>
      <c r="AV65" s="70">
        <v>44440</v>
      </c>
      <c r="AW65" s="70">
        <v>44470</v>
      </c>
      <c r="AX65" s="70">
        <v>44501</v>
      </c>
      <c r="AY65" s="70">
        <v>44531</v>
      </c>
      <c r="AZ65" s="70">
        <v>44562</v>
      </c>
      <c r="BA65" s="70">
        <v>44593</v>
      </c>
      <c r="BB65" s="70">
        <v>44621</v>
      </c>
      <c r="BC65" s="70">
        <v>44652</v>
      </c>
      <c r="BD65" s="70">
        <v>44682</v>
      </c>
      <c r="BE65" s="70">
        <v>44713</v>
      </c>
      <c r="BF65" s="70">
        <v>44743</v>
      </c>
      <c r="BG65" s="70">
        <v>44774</v>
      </c>
      <c r="BH65" s="70">
        <v>44805</v>
      </c>
      <c r="BI65" s="70">
        <v>44835</v>
      </c>
      <c r="BJ65" s="70">
        <v>44866</v>
      </c>
      <c r="BK65" s="70">
        <v>44896</v>
      </c>
      <c r="BL65" s="70">
        <v>44927</v>
      </c>
      <c r="BM65" s="70">
        <v>44958</v>
      </c>
      <c r="BN65" s="70">
        <v>44986</v>
      </c>
      <c r="BO65" s="70">
        <v>45017</v>
      </c>
      <c r="BP65" s="69">
        <v>45047</v>
      </c>
      <c r="BQ65" s="69">
        <v>45078</v>
      </c>
      <c r="BR65" s="70">
        <v>45108</v>
      </c>
      <c r="BS65" s="70">
        <v>45139</v>
      </c>
      <c r="BT65" s="70">
        <v>45170</v>
      </c>
      <c r="BU65" s="70">
        <v>45200</v>
      </c>
      <c r="BV65" s="70">
        <v>45231</v>
      </c>
      <c r="BW65" s="70">
        <v>45261</v>
      </c>
      <c r="BX65" s="70">
        <v>45292</v>
      </c>
      <c r="BY65" s="70">
        <v>45323</v>
      </c>
      <c r="BZ65" s="70">
        <v>45352</v>
      </c>
      <c r="CA65" s="70">
        <v>45383</v>
      </c>
      <c r="CB65" s="70">
        <v>45413</v>
      </c>
      <c r="CC65" s="70">
        <v>45444</v>
      </c>
      <c r="CD65" s="70">
        <v>45474</v>
      </c>
      <c r="CE65" s="70">
        <v>45505</v>
      </c>
      <c r="CF65" s="70">
        <v>45536</v>
      </c>
      <c r="CG65" s="69">
        <v>45566</v>
      </c>
      <c r="CH65" s="69">
        <v>45597</v>
      </c>
      <c r="CI65" s="69">
        <v>45627</v>
      </c>
      <c r="CJ65" s="69">
        <v>45658</v>
      </c>
      <c r="CK65" s="70">
        <v>45689</v>
      </c>
      <c r="CL65" s="70">
        <v>45717</v>
      </c>
      <c r="CM65" s="70">
        <v>45748</v>
      </c>
      <c r="CN65" s="70">
        <v>45778</v>
      </c>
      <c r="CO65" s="70">
        <v>45809</v>
      </c>
      <c r="CP65" s="70">
        <v>45839</v>
      </c>
      <c r="CQ65" s="70">
        <v>45870</v>
      </c>
      <c r="CR65" s="70">
        <v>45901</v>
      </c>
      <c r="CS65" s="70">
        <v>45931</v>
      </c>
      <c r="CT65" s="70">
        <v>45962</v>
      </c>
      <c r="CU65" s="70">
        <v>45992</v>
      </c>
      <c r="CV65" s="70">
        <v>46023</v>
      </c>
      <c r="CW65" s="70">
        <v>46054</v>
      </c>
    </row>
    <row r="66" spans="2:101" s="328" customFormat="1" ht="6" customHeight="1" x14ac:dyDescent="0.35">
      <c r="B66" s="3"/>
      <c r="C66" s="3"/>
      <c r="D66" s="227"/>
      <c r="E66" s="227"/>
      <c r="F66" s="227"/>
      <c r="G66" s="329"/>
      <c r="H66" s="329"/>
      <c r="I66" s="227"/>
      <c r="J66" s="227"/>
      <c r="K66" s="227"/>
      <c r="L66" s="227"/>
      <c r="M66" s="227"/>
      <c r="N66" s="227"/>
      <c r="O66" s="227"/>
      <c r="P66" s="227"/>
      <c r="Q66" s="227"/>
      <c r="R66" s="227"/>
      <c r="S66" s="227"/>
      <c r="T66" s="227"/>
      <c r="U66" s="227"/>
      <c r="V66" s="227"/>
      <c r="W66" s="227"/>
      <c r="X66" s="227"/>
      <c r="Y66" s="227"/>
      <c r="Z66" s="227"/>
      <c r="AA66" s="227"/>
      <c r="AB66" s="227"/>
      <c r="AC66" s="227"/>
      <c r="AD66" s="227"/>
      <c r="AE66" s="227"/>
      <c r="AF66" s="227"/>
      <c r="AG66" s="227"/>
      <c r="AH66" s="227"/>
      <c r="AI66" s="227"/>
      <c r="AJ66" s="227"/>
      <c r="AK66" s="227"/>
      <c r="AL66" s="227"/>
      <c r="AM66" s="227"/>
      <c r="AN66" s="227"/>
      <c r="AO66" s="227"/>
      <c r="AP66" s="227"/>
      <c r="AQ66" s="227"/>
      <c r="AR66" s="227"/>
      <c r="AS66" s="227"/>
      <c r="AT66" s="227"/>
      <c r="AU66" s="227"/>
      <c r="AV66" s="227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 s="384"/>
    </row>
    <row r="67" spans="2:101" x14ac:dyDescent="0.35">
      <c r="B67" s="3"/>
      <c r="C67" s="370" t="s">
        <v>25</v>
      </c>
      <c r="D67" s="334"/>
      <c r="E67" s="334"/>
      <c r="F67" s="334"/>
      <c r="G67" s="334">
        <f t="shared" ref="G67:O70" si="45">IFERROR(G57/G46,"")</f>
        <v>0.47393759860351364</v>
      </c>
      <c r="H67" s="334">
        <f t="shared" si="45"/>
        <v>0.44698155003987994</v>
      </c>
      <c r="I67" s="334">
        <f t="shared" si="45"/>
        <v>0.48112279987130313</v>
      </c>
      <c r="J67" s="334">
        <f t="shared" si="45"/>
        <v>0.53460121838548769</v>
      </c>
      <c r="K67" s="334">
        <f t="shared" si="45"/>
        <v>0.42195686409950139</v>
      </c>
      <c r="L67" s="334">
        <f t="shared" si="45"/>
        <v>0.56518661368748579</v>
      </c>
      <c r="M67" s="334">
        <f t="shared" si="45"/>
        <v>0.44449128891871059</v>
      </c>
      <c r="N67" s="334">
        <f t="shared" si="45"/>
        <v>0.48683225010857356</v>
      </c>
      <c r="O67" s="334">
        <f t="shared" si="45"/>
        <v>0.49964957700611684</v>
      </c>
      <c r="P67" s="335">
        <f t="shared" ref="P67:CA70" si="46">P57/P46</f>
        <v>0.51578813370295928</v>
      </c>
      <c r="Q67" s="335">
        <f t="shared" si="46"/>
        <v>0.54519830089891907</v>
      </c>
      <c r="R67" s="335">
        <f t="shared" si="46"/>
        <v>0.53049413936481848</v>
      </c>
      <c r="S67" s="335">
        <f t="shared" si="46"/>
        <v>0.517874908072953</v>
      </c>
      <c r="T67" s="335">
        <f t="shared" si="46"/>
        <v>0.54329726303123982</v>
      </c>
      <c r="U67" s="335">
        <f t="shared" si="46"/>
        <v>0.53514195932787145</v>
      </c>
      <c r="V67" s="335">
        <f t="shared" si="46"/>
        <v>0.53671047921938908</v>
      </c>
      <c r="W67" s="335">
        <f t="shared" si="46"/>
        <v>0.56549363508347528</v>
      </c>
      <c r="X67" s="335">
        <f t="shared" si="46"/>
        <v>0.55140021494375735</v>
      </c>
      <c r="Y67" s="335">
        <f t="shared" si="46"/>
        <v>0.55201289457059555</v>
      </c>
      <c r="Z67" s="335">
        <f t="shared" si="46"/>
        <v>0.5803569633865262</v>
      </c>
      <c r="AA67" s="335">
        <f t="shared" si="46"/>
        <v>0.60711423853919466</v>
      </c>
      <c r="AB67" s="335">
        <f t="shared" si="46"/>
        <v>0.46822698189609019</v>
      </c>
      <c r="AC67" s="335">
        <f t="shared" si="46"/>
        <v>0.44453620250280462</v>
      </c>
      <c r="AD67" s="335">
        <f t="shared" si="46"/>
        <v>0.44644023520260268</v>
      </c>
      <c r="AE67" s="335">
        <f t="shared" si="46"/>
        <v>0.39024534610513406</v>
      </c>
      <c r="AF67" s="335">
        <f t="shared" si="46"/>
        <v>0.40345117374535094</v>
      </c>
      <c r="AG67" s="335">
        <f t="shared" si="46"/>
        <v>0.37975929717396412</v>
      </c>
      <c r="AH67" s="335">
        <f t="shared" si="46"/>
        <v>0.38814552427603255</v>
      </c>
      <c r="AI67" s="335">
        <f t="shared" si="46"/>
        <v>0.41104281821191613</v>
      </c>
      <c r="AJ67" s="335">
        <f t="shared" si="46"/>
        <v>0.41250786019700825</v>
      </c>
      <c r="AK67" s="335">
        <f t="shared" si="46"/>
        <v>0.4223102837167555</v>
      </c>
      <c r="AL67" s="335">
        <f t="shared" si="46"/>
        <v>0.43979173680164541</v>
      </c>
      <c r="AM67" s="335">
        <f t="shared" si="46"/>
        <v>0.44715591268828675</v>
      </c>
      <c r="AN67" s="335">
        <f t="shared" si="46"/>
        <v>0.53888081765004492</v>
      </c>
      <c r="AO67" s="335">
        <f t="shared" si="46"/>
        <v>0.56202233825931658</v>
      </c>
      <c r="AP67" s="335">
        <f t="shared" si="46"/>
        <v>0.56688254749639932</v>
      </c>
      <c r="AQ67" s="335">
        <f t="shared" si="46"/>
        <v>0.5597309599564062</v>
      </c>
      <c r="AR67" s="335">
        <f t="shared" si="46"/>
        <v>0.57946225530552886</v>
      </c>
      <c r="AS67" s="335">
        <f t="shared" si="46"/>
        <v>0.56337905990738291</v>
      </c>
      <c r="AT67" s="335">
        <f t="shared" si="46"/>
        <v>0.59153569084372726</v>
      </c>
      <c r="AU67" s="335">
        <f t="shared" si="46"/>
        <v>0.64320536353198088</v>
      </c>
      <c r="AV67" s="335">
        <f t="shared" si="46"/>
        <v>0.62762072952911963</v>
      </c>
      <c r="AW67" s="335">
        <f t="shared" si="46"/>
        <v>0.59635113226375902</v>
      </c>
      <c r="AX67" s="335">
        <f t="shared" si="46"/>
        <v>0.61289724093246434</v>
      </c>
      <c r="AY67" s="335">
        <f t="shared" si="46"/>
        <v>0.63994556508412459</v>
      </c>
      <c r="AZ67" s="335">
        <f t="shared" si="46"/>
        <v>0.4089119970360004</v>
      </c>
      <c r="BA67" s="335">
        <f t="shared" si="46"/>
        <v>0.39134375929370085</v>
      </c>
      <c r="BB67" s="335">
        <f t="shared" si="46"/>
        <v>0.39211520839514485</v>
      </c>
      <c r="BC67" s="335">
        <f t="shared" si="46"/>
        <v>0.38943313500350946</v>
      </c>
      <c r="BD67" s="335">
        <f t="shared" si="46"/>
        <v>0.39872514674872783</v>
      </c>
      <c r="BE67" s="335">
        <f t="shared" si="46"/>
        <v>0.40749270070271276</v>
      </c>
      <c r="BF67" s="335">
        <f t="shared" si="46"/>
        <v>0.41338196174973102</v>
      </c>
      <c r="BG67" s="335">
        <f t="shared" si="46"/>
        <v>0.40431329562720258</v>
      </c>
      <c r="BH67" s="335">
        <f t="shared" si="46"/>
        <v>0.42125520215967538</v>
      </c>
      <c r="BI67" s="335">
        <f t="shared" si="46"/>
        <v>0.39724806366411691</v>
      </c>
      <c r="BJ67" s="335">
        <f t="shared" si="46"/>
        <v>0.49059312155124968</v>
      </c>
      <c r="BK67" s="335">
        <f t="shared" si="46"/>
        <v>0.53234013716919948</v>
      </c>
      <c r="BL67" s="335">
        <f t="shared" si="46"/>
        <v>0.64674946657282251</v>
      </c>
      <c r="BM67" s="335">
        <f t="shared" si="46"/>
        <v>0.66070812068374019</v>
      </c>
      <c r="BN67" s="335">
        <f t="shared" si="46"/>
        <v>0.6522105164147507</v>
      </c>
      <c r="BO67" s="335">
        <f t="shared" si="46"/>
        <v>0.64986637503710187</v>
      </c>
      <c r="BP67" s="335">
        <f t="shared" si="46"/>
        <v>0.63121399195727335</v>
      </c>
      <c r="BQ67" s="473">
        <f t="shared" si="46"/>
        <v>0.64112893466116816</v>
      </c>
      <c r="BR67" s="472">
        <f t="shared" si="46"/>
        <v>0.61854085162344208</v>
      </c>
      <c r="BS67" s="473">
        <f t="shared" si="46"/>
        <v>0.60272971101488049</v>
      </c>
      <c r="BT67" s="473">
        <f t="shared" si="46"/>
        <v>0.63279705750066062</v>
      </c>
      <c r="BU67" s="473">
        <f t="shared" si="46"/>
        <v>0.6216741622643438</v>
      </c>
      <c r="BV67" s="473">
        <f t="shared" si="46"/>
        <v>0.63399891832783828</v>
      </c>
      <c r="BW67" s="473">
        <f t="shared" si="46"/>
        <v>0.64445419796690251</v>
      </c>
      <c r="BX67" s="473">
        <f t="shared" si="46"/>
        <v>0.60313968366735027</v>
      </c>
      <c r="BY67" s="473">
        <f t="shared" si="46"/>
        <v>0.6332915298591193</v>
      </c>
      <c r="BZ67" s="473">
        <f t="shared" si="46"/>
        <v>0.63999065465279326</v>
      </c>
      <c r="CA67" s="473">
        <f t="shared" si="46"/>
        <v>0.64002281348263357</v>
      </c>
      <c r="CB67" s="473">
        <f t="shared" ref="CB67:CK70" si="47">CB57/CB46</f>
        <v>0.66403036052357833</v>
      </c>
      <c r="CC67" s="473">
        <f t="shared" si="47"/>
        <v>0.55732870435560533</v>
      </c>
      <c r="CD67" s="473">
        <f t="shared" si="47"/>
        <v>0.59880947985671196</v>
      </c>
      <c r="CE67" s="473">
        <f t="shared" si="47"/>
        <v>0.62248991075262261</v>
      </c>
      <c r="CF67" s="473">
        <f t="shared" si="47"/>
        <v>0.61335043354484786</v>
      </c>
      <c r="CG67" s="472">
        <f t="shared" si="47"/>
        <v>0.62806629894763888</v>
      </c>
      <c r="CH67" s="472">
        <f t="shared" si="47"/>
        <v>0.64949025117233183</v>
      </c>
      <c r="CI67" s="472">
        <f t="shared" si="47"/>
        <v>0.64178306049353251</v>
      </c>
      <c r="CJ67" s="472">
        <f t="shared" si="47"/>
        <v>0.63760711406082016</v>
      </c>
      <c r="CK67" s="472">
        <f t="shared" si="47"/>
        <v>0.62197060985556363</v>
      </c>
      <c r="CL67" s="472">
        <f t="shared" ref="CL67:CN70" si="48">CL57/CL46</f>
        <v>0.6327349589164063</v>
      </c>
      <c r="CM67" s="472">
        <f t="shared" si="48"/>
        <v>0.63570137742177479</v>
      </c>
      <c r="CN67" s="472">
        <f t="shared" si="48"/>
        <v>0.63094733395498048</v>
      </c>
      <c r="CO67" s="472">
        <f t="shared" ref="CO67:CS70" si="49">CO57/CO46</f>
        <v>0.63588851891102605</v>
      </c>
      <c r="CP67" s="472">
        <f t="shared" ref="CP67:CU67" si="50">CP57/CP46</f>
        <v>0.63986801107835667</v>
      </c>
      <c r="CQ67" s="472">
        <f t="shared" si="50"/>
        <v>0.65628076742612818</v>
      </c>
      <c r="CR67" s="472">
        <f t="shared" si="50"/>
        <v>0.68063138925273825</v>
      </c>
      <c r="CS67" s="472">
        <f t="shared" si="50"/>
        <v>0.66374622929551941</v>
      </c>
      <c r="CT67" s="472">
        <f t="shared" si="50"/>
        <v>0.68448257756973285</v>
      </c>
      <c r="CU67" s="472">
        <f t="shared" si="50"/>
        <v>0.68227426066890196</v>
      </c>
      <c r="CV67" s="472">
        <f t="shared" ref="CV67:CW70" si="51">CV57/CV46</f>
        <v>0.66113149435985208</v>
      </c>
      <c r="CW67" s="555">
        <f t="shared" si="51"/>
        <v>0.6811399429464523</v>
      </c>
    </row>
    <row r="68" spans="2:101" x14ac:dyDescent="0.35">
      <c r="B68" s="3"/>
      <c r="C68" s="372" t="s">
        <v>26</v>
      </c>
      <c r="D68" s="334"/>
      <c r="E68" s="334"/>
      <c r="F68" s="334"/>
      <c r="G68" s="334">
        <f t="shared" si="45"/>
        <v>1.3259999999999998</v>
      </c>
      <c r="H68" s="334">
        <f t="shared" si="45"/>
        <v>1.868767123287671</v>
      </c>
      <c r="I68" s="334">
        <f t="shared" si="45"/>
        <v>2.1263999999999998</v>
      </c>
      <c r="J68" s="334">
        <f t="shared" si="45"/>
        <v>3.2501351351351349</v>
      </c>
      <c r="K68" s="334">
        <f t="shared" si="45"/>
        <v>2.6760810810810809</v>
      </c>
      <c r="L68" s="334">
        <f t="shared" si="45"/>
        <v>3.1144594594594595</v>
      </c>
      <c r="M68" s="334">
        <f t="shared" si="45"/>
        <v>4.1156756756756758</v>
      </c>
      <c r="N68" s="334">
        <f t="shared" si="45"/>
        <v>7.3514473684210531</v>
      </c>
      <c r="O68" s="334">
        <f t="shared" si="45"/>
        <v>3.3620000000000005</v>
      </c>
      <c r="P68" s="335">
        <f t="shared" si="46"/>
        <v>0</v>
      </c>
      <c r="Q68" s="335">
        <f t="shared" si="46"/>
        <v>0</v>
      </c>
      <c r="R68" s="335">
        <f t="shared" si="46"/>
        <v>0</v>
      </c>
      <c r="S68" s="335">
        <f t="shared" si="46"/>
        <v>0</v>
      </c>
      <c r="T68" s="335">
        <f t="shared" si="46"/>
        <v>0</v>
      </c>
      <c r="U68" s="335">
        <f t="shared" si="46"/>
        <v>1.2733500566640776</v>
      </c>
      <c r="V68" s="335">
        <f t="shared" si="46"/>
        <v>1.2541559593101641</v>
      </c>
      <c r="W68" s="335">
        <f t="shared" si="46"/>
        <v>1.249517894345765</v>
      </c>
      <c r="X68" s="335">
        <f t="shared" si="46"/>
        <v>1.1638896260189855</v>
      </c>
      <c r="Y68" s="335">
        <f t="shared" si="46"/>
        <v>1.0390104256903638</v>
      </c>
      <c r="Z68" s="335">
        <f t="shared" si="46"/>
        <v>0.88038611974439762</v>
      </c>
      <c r="AA68" s="335">
        <f t="shared" si="46"/>
        <v>0.85488340031582244</v>
      </c>
      <c r="AB68" s="335">
        <f t="shared" si="46"/>
        <v>670.81698780000011</v>
      </c>
      <c r="AC68" s="335">
        <f t="shared" si="46"/>
        <v>497.79540721698112</v>
      </c>
      <c r="AD68" s="335">
        <f t="shared" si="46"/>
        <v>511.27989123287671</v>
      </c>
      <c r="AE68" s="335">
        <f t="shared" si="46"/>
        <v>557.27195574468089</v>
      </c>
      <c r="AF68" s="335">
        <f t="shared" si="46"/>
        <v>227.59411506849315</v>
      </c>
      <c r="AG68" s="335">
        <f t="shared" si="46"/>
        <v>218.37808706099815</v>
      </c>
      <c r="AH68" s="335">
        <f t="shared" si="46"/>
        <v>197.35690768388108</v>
      </c>
      <c r="AI68" s="335">
        <f t="shared" si="46"/>
        <v>113.31341552462527</v>
      </c>
      <c r="AJ68" s="335">
        <f t="shared" si="46"/>
        <v>87.165836312500005</v>
      </c>
      <c r="AK68" s="335">
        <f t="shared" si="46"/>
        <v>50.681445264052286</v>
      </c>
      <c r="AL68" s="335">
        <f t="shared" si="46"/>
        <v>122.63397334817596</v>
      </c>
      <c r="AM68" s="335">
        <f t="shared" si="46"/>
        <v>32.215023654800433</v>
      </c>
      <c r="AN68" s="335">
        <f t="shared" si="46"/>
        <v>0.75694891285394761</v>
      </c>
      <c r="AO68" s="335">
        <f t="shared" si="46"/>
        <v>0.76108971782819079</v>
      </c>
      <c r="AP68" s="335">
        <f t="shared" si="46"/>
        <v>0.73166046242062777</v>
      </c>
      <c r="AQ68" s="335">
        <f t="shared" si="46"/>
        <v>0.71406367066464804</v>
      </c>
      <c r="AR68" s="335">
        <f t="shared" si="46"/>
        <v>0.70902518437571793</v>
      </c>
      <c r="AS68" s="335">
        <f t="shared" si="46"/>
        <v>0.6649513810279496</v>
      </c>
      <c r="AT68" s="335">
        <f t="shared" si="46"/>
        <v>0.66774275364675861</v>
      </c>
      <c r="AU68" s="335">
        <f t="shared" si="46"/>
        <v>0.53646524887054603</v>
      </c>
      <c r="AV68" s="335">
        <f t="shared" si="46"/>
        <v>0.56810259901457427</v>
      </c>
      <c r="AW68" s="335">
        <f t="shared" si="46"/>
        <v>0.44594803402563138</v>
      </c>
      <c r="AX68" s="335">
        <f t="shared" si="46"/>
        <v>0.58922650844358915</v>
      </c>
      <c r="AY68" s="335">
        <f t="shared" si="46"/>
        <v>0.57456931867867389</v>
      </c>
      <c r="AZ68" s="335">
        <f t="shared" si="46"/>
        <v>2.3446062828495395</v>
      </c>
      <c r="BA68" s="335">
        <f t="shared" si="46"/>
        <v>2.2300081742633555</v>
      </c>
      <c r="BB68" s="335">
        <f t="shared" si="46"/>
        <v>2.2619440854344934</v>
      </c>
      <c r="BC68" s="335">
        <f t="shared" si="46"/>
        <v>2.1406376088408741</v>
      </c>
      <c r="BD68" s="335">
        <f t="shared" si="46"/>
        <v>1.9965058146229877</v>
      </c>
      <c r="BE68" s="335">
        <f t="shared" si="46"/>
        <v>1.9146463348906952</v>
      </c>
      <c r="BF68" s="335">
        <f t="shared" si="46"/>
        <v>1.8219689065850089</v>
      </c>
      <c r="BG68" s="335">
        <f t="shared" si="46"/>
        <v>1.7189815776027466</v>
      </c>
      <c r="BH68" s="335">
        <f t="shared" si="46"/>
        <v>1.7703748507240442</v>
      </c>
      <c r="BI68" s="335">
        <f t="shared" si="46"/>
        <v>1.7973622956046089</v>
      </c>
      <c r="BJ68" s="335">
        <f t="shared" si="46"/>
        <v>1.4247687662409967</v>
      </c>
      <c r="BK68" s="335">
        <f t="shared" si="46"/>
        <v>1.1538783241110806</v>
      </c>
      <c r="BL68" s="335">
        <f t="shared" si="46"/>
        <v>8.1979623091663001</v>
      </c>
      <c r="BM68" s="335">
        <f t="shared" si="46"/>
        <v>8.3630029111154283</v>
      </c>
      <c r="BN68" s="335">
        <f t="shared" si="46"/>
        <v>7.2036090690476158</v>
      </c>
      <c r="BO68" s="335">
        <f t="shared" si="46"/>
        <v>7.1257162959418663</v>
      </c>
      <c r="BP68" s="335">
        <f t="shared" si="46"/>
        <v>7.029916289067736</v>
      </c>
      <c r="BQ68" s="473">
        <f t="shared" si="46"/>
        <v>79.807384497433688</v>
      </c>
      <c r="BR68" s="472">
        <f t="shared" si="46"/>
        <v>20.399708213360732</v>
      </c>
      <c r="BS68" s="473">
        <f t="shared" si="46"/>
        <v>8.999914646087932</v>
      </c>
      <c r="BT68" s="473">
        <f t="shared" si="46"/>
        <v>18.252220843672458</v>
      </c>
      <c r="BU68" s="473">
        <f t="shared" si="46"/>
        <v>25.039360902255641</v>
      </c>
      <c r="BV68" s="473">
        <f t="shared" si="46"/>
        <v>27.352996115151846</v>
      </c>
      <c r="BW68" s="473">
        <f t="shared" si="46"/>
        <v>36.269020695649274</v>
      </c>
      <c r="BX68" s="473">
        <f t="shared" si="46"/>
        <v>22.207661345241345</v>
      </c>
      <c r="BY68" s="473">
        <f t="shared" si="46"/>
        <v>30.597167838129188</v>
      </c>
      <c r="BZ68" s="473">
        <f t="shared" si="46"/>
        <v>28.366368241918693</v>
      </c>
      <c r="CA68" s="473">
        <f t="shared" si="46"/>
        <v>28.86333108784212</v>
      </c>
      <c r="CB68" s="473">
        <f t="shared" si="47"/>
        <v>21.216584866901677</v>
      </c>
      <c r="CC68" s="473">
        <f t="shared" si="47"/>
        <v>24.23174026009174</v>
      </c>
      <c r="CD68" s="473">
        <f t="shared" si="47"/>
        <v>13.976707017106422</v>
      </c>
      <c r="CE68" s="473">
        <f t="shared" si="47"/>
        <v>8.7652205964444612</v>
      </c>
      <c r="CF68" s="473">
        <f t="shared" si="47"/>
        <v>6.8847245627681479</v>
      </c>
      <c r="CG68" s="472">
        <f t="shared" si="47"/>
        <v>3.4143634937355856</v>
      </c>
      <c r="CH68" s="472">
        <f t="shared" si="47"/>
        <v>4.3985373457870027</v>
      </c>
      <c r="CI68" s="472">
        <f t="shared" si="47"/>
        <v>1.571252500974502</v>
      </c>
      <c r="CJ68" s="472">
        <f t="shared" si="47"/>
        <v>0.10051449529774105</v>
      </c>
      <c r="CK68" s="472">
        <f t="shared" si="47"/>
        <v>0.16641292088694937</v>
      </c>
      <c r="CL68" s="472">
        <f t="shared" si="48"/>
        <v>0.19569088901595444</v>
      </c>
      <c r="CM68" s="472">
        <f t="shared" si="48"/>
        <v>0.18794998143419461</v>
      </c>
      <c r="CN68" s="472">
        <f t="shared" si="48"/>
        <v>0.1937395900581329</v>
      </c>
      <c r="CO68" s="472">
        <f t="shared" si="49"/>
        <v>0.18304824678290718</v>
      </c>
      <c r="CP68" s="472">
        <f t="shared" si="49"/>
        <v>0.18243183482270472</v>
      </c>
      <c r="CQ68" s="472">
        <f t="shared" si="49"/>
        <v>0.16929555146570768</v>
      </c>
      <c r="CR68" s="472">
        <f t="shared" si="49"/>
        <v>0.16825814910091372</v>
      </c>
      <c r="CS68" s="472">
        <f t="shared" si="49"/>
        <v>0.1959022721116786</v>
      </c>
      <c r="CT68" s="472">
        <f t="shared" ref="CT68:CU70" si="52">CT58/CT47</f>
        <v>0.1874401417829509</v>
      </c>
      <c r="CU68" s="472">
        <f t="shared" si="52"/>
        <v>0.16619755758890301</v>
      </c>
      <c r="CV68" s="472">
        <f t="shared" si="51"/>
        <v>0.16790063241709124</v>
      </c>
      <c r="CW68" s="555">
        <f t="shared" si="51"/>
        <v>0.15024505013781575</v>
      </c>
    </row>
    <row r="69" spans="2:101" x14ac:dyDescent="0.35">
      <c r="B69" s="3"/>
      <c r="C69" s="372" t="s">
        <v>27</v>
      </c>
      <c r="D69" s="334"/>
      <c r="E69" s="334"/>
      <c r="F69" s="334"/>
      <c r="G69" s="334">
        <f t="shared" si="45"/>
        <v>1.434151755010818</v>
      </c>
      <c r="H69" s="334">
        <f t="shared" si="45"/>
        <v>1.5458214615203987</v>
      </c>
      <c r="I69" s="334">
        <f t="shared" si="45"/>
        <v>1.3286054121817881</v>
      </c>
      <c r="J69" s="334">
        <f t="shared" si="45"/>
        <v>1.422075995375002</v>
      </c>
      <c r="K69" s="334">
        <f t="shared" si="45"/>
        <v>1.7304567141751284</v>
      </c>
      <c r="L69" s="334">
        <f t="shared" si="45"/>
        <v>1.1198911205143756</v>
      </c>
      <c r="M69" s="334">
        <f t="shared" si="45"/>
        <v>1.4902802799856667</v>
      </c>
      <c r="N69" s="334">
        <f t="shared" si="45"/>
        <v>1.3841107186489139</v>
      </c>
      <c r="O69" s="334">
        <f t="shared" si="45"/>
        <v>1.9655893286429562</v>
      </c>
      <c r="P69" s="335">
        <f t="shared" si="46"/>
        <v>1.4746822438527203</v>
      </c>
      <c r="Q69" s="335">
        <f t="shared" si="46"/>
        <v>1.2597579708218876</v>
      </c>
      <c r="R69" s="335">
        <f t="shared" si="46"/>
        <v>1.549216752513918</v>
      </c>
      <c r="S69" s="335">
        <f t="shared" si="46"/>
        <v>1.3614782781481076</v>
      </c>
      <c r="T69" s="335">
        <f t="shared" si="46"/>
        <v>1.2288941911529523</v>
      </c>
      <c r="U69" s="335">
        <f t="shared" si="46"/>
        <v>1.1799943924795495</v>
      </c>
      <c r="V69" s="335">
        <f t="shared" si="46"/>
        <v>1.2130067707500034</v>
      </c>
      <c r="W69" s="335">
        <f t="shared" si="46"/>
        <v>1.2346627385181816</v>
      </c>
      <c r="X69" s="335">
        <f t="shared" si="46"/>
        <v>1.4328649204190971</v>
      </c>
      <c r="Y69" s="335">
        <f t="shared" si="46"/>
        <v>1.495626768882057</v>
      </c>
      <c r="Z69" s="335">
        <f t="shared" si="46"/>
        <v>1.3469798399415047</v>
      </c>
      <c r="AA69" s="335">
        <f t="shared" si="46"/>
        <v>1.2951076101008079</v>
      </c>
      <c r="AB69" s="335">
        <f t="shared" si="46"/>
        <v>1.5745206640895024</v>
      </c>
      <c r="AC69" s="335">
        <f t="shared" si="46"/>
        <v>1.5552755640621125</v>
      </c>
      <c r="AD69" s="335">
        <f t="shared" si="46"/>
        <v>1.683436790405153</v>
      </c>
      <c r="AE69" s="335">
        <f t="shared" si="46"/>
        <v>1.6747405023488329</v>
      </c>
      <c r="AF69" s="335">
        <f t="shared" si="46"/>
        <v>1.6307843135292084</v>
      </c>
      <c r="AG69" s="335">
        <f t="shared" si="46"/>
        <v>1.6875463622294293</v>
      </c>
      <c r="AH69" s="335">
        <f t="shared" si="46"/>
        <v>1.8048839920482251</v>
      </c>
      <c r="AI69" s="335">
        <f t="shared" si="46"/>
        <v>1.7304116944765198</v>
      </c>
      <c r="AJ69" s="335">
        <f t="shared" si="46"/>
        <v>1.6011530669901264</v>
      </c>
      <c r="AK69" s="335">
        <f t="shared" si="46"/>
        <v>1.6854783986471378</v>
      </c>
      <c r="AL69" s="335">
        <f t="shared" si="46"/>
        <v>1.6283494958548816</v>
      </c>
      <c r="AM69" s="335">
        <f t="shared" si="46"/>
        <v>1.3869434565731165</v>
      </c>
      <c r="AN69" s="335">
        <f t="shared" si="46"/>
        <v>1.2717156719009288</v>
      </c>
      <c r="AO69" s="335">
        <f t="shared" si="46"/>
        <v>1.2875308679973523</v>
      </c>
      <c r="AP69" s="335">
        <f t="shared" si="46"/>
        <v>1.1441899850048101</v>
      </c>
      <c r="AQ69" s="335">
        <f t="shared" si="46"/>
        <v>1.2104268386502997</v>
      </c>
      <c r="AR69" s="335">
        <f t="shared" si="46"/>
        <v>1.2387476993720627</v>
      </c>
      <c r="AS69" s="335">
        <f t="shared" si="46"/>
        <v>1.2165461359079095</v>
      </c>
      <c r="AT69" s="335">
        <f t="shared" si="46"/>
        <v>1.2694940058720838</v>
      </c>
      <c r="AU69" s="335">
        <f t="shared" si="46"/>
        <v>1.3193904897626714</v>
      </c>
      <c r="AV69" s="335">
        <f t="shared" si="46"/>
        <v>1.2607138505854596</v>
      </c>
      <c r="AW69" s="335">
        <f t="shared" si="46"/>
        <v>1.3098807297527642</v>
      </c>
      <c r="AX69" s="335">
        <f t="shared" si="46"/>
        <v>1.3499297261344956</v>
      </c>
      <c r="AY69" s="335">
        <f t="shared" si="46"/>
        <v>1.3818881899506916</v>
      </c>
      <c r="AZ69" s="335">
        <f t="shared" si="46"/>
        <v>1.8679595959130872</v>
      </c>
      <c r="BA69" s="335">
        <f t="shared" si="46"/>
        <v>2.0020954419575321</v>
      </c>
      <c r="BB69" s="335">
        <f t="shared" si="46"/>
        <v>1.7602991759545357</v>
      </c>
      <c r="BC69" s="335">
        <f t="shared" si="46"/>
        <v>2.0262778442770006</v>
      </c>
      <c r="BD69" s="335">
        <f t="shared" si="46"/>
        <v>1.829705528610071</v>
      </c>
      <c r="BE69" s="335">
        <f t="shared" si="46"/>
        <v>1.9304765987084871</v>
      </c>
      <c r="BF69" s="335">
        <f t="shared" si="46"/>
        <v>2.0203292718787385</v>
      </c>
      <c r="BG69" s="335">
        <f t="shared" si="46"/>
        <v>1.9413275081768364</v>
      </c>
      <c r="BH69" s="335">
        <f t="shared" si="46"/>
        <v>1.7344289976803935</v>
      </c>
      <c r="BI69" s="335">
        <f t="shared" si="46"/>
        <v>2.1512444746193613</v>
      </c>
      <c r="BJ69" s="335">
        <f t="shared" si="46"/>
        <v>1.7693084656755131</v>
      </c>
      <c r="BK69" s="335">
        <f t="shared" si="46"/>
        <v>1.8309283923704165</v>
      </c>
      <c r="BL69" s="335">
        <f t="shared" si="46"/>
        <v>1.3402473635402172</v>
      </c>
      <c r="BM69" s="335">
        <f t="shared" si="46"/>
        <v>1.3715314000310652</v>
      </c>
      <c r="BN69" s="335">
        <f t="shared" si="46"/>
        <v>1.3208244540631098</v>
      </c>
      <c r="BO69" s="335">
        <f t="shared" si="46"/>
        <v>1.3510995488514737</v>
      </c>
      <c r="BP69" s="335">
        <f t="shared" si="46"/>
        <v>1.3626593178066022</v>
      </c>
      <c r="BQ69" s="473">
        <f t="shared" si="46"/>
        <v>1.3019461132212837</v>
      </c>
      <c r="BR69" s="472">
        <f t="shared" si="46"/>
        <v>1.3184710885571529</v>
      </c>
      <c r="BS69" s="473">
        <f t="shared" si="46"/>
        <v>1.3303033496268664</v>
      </c>
      <c r="BT69" s="473">
        <f t="shared" si="46"/>
        <v>1.3900716175841055</v>
      </c>
      <c r="BU69" s="473">
        <f t="shared" si="46"/>
        <v>1.3024489517962465</v>
      </c>
      <c r="BV69" s="473">
        <f t="shared" si="46"/>
        <v>1.3226587970337069</v>
      </c>
      <c r="BW69" s="473">
        <f t="shared" si="46"/>
        <v>1.268367927000885</v>
      </c>
      <c r="BX69" s="473">
        <f t="shared" si="46"/>
        <v>1.3206197691352881</v>
      </c>
      <c r="BY69" s="473">
        <f t="shared" si="46"/>
        <v>1.2712077836541409</v>
      </c>
      <c r="BZ69" s="473">
        <f t="shared" si="46"/>
        <v>1.198138212902331</v>
      </c>
      <c r="CA69" s="473">
        <f t="shared" si="46"/>
        <v>1.2424446930400532</v>
      </c>
      <c r="CB69" s="473">
        <f t="shared" si="47"/>
        <v>1.1979482127556607</v>
      </c>
      <c r="CC69" s="473">
        <f t="shared" si="47"/>
        <v>1.1807320959454559</v>
      </c>
      <c r="CD69" s="473">
        <f t="shared" si="47"/>
        <v>1.2229180202525667</v>
      </c>
      <c r="CE69" s="473">
        <f t="shared" si="47"/>
        <v>1.245971101438005</v>
      </c>
      <c r="CF69" s="473">
        <f t="shared" si="47"/>
        <v>1.3662582309286451</v>
      </c>
      <c r="CG69" s="472">
        <f t="shared" si="47"/>
        <v>1.2246572994224838</v>
      </c>
      <c r="CH69" s="472">
        <f t="shared" si="47"/>
        <v>1.1872108018807361</v>
      </c>
      <c r="CI69" s="472">
        <f t="shared" si="47"/>
        <v>1.2041243370903219</v>
      </c>
      <c r="CJ69" s="472">
        <f t="shared" si="47"/>
        <v>1.21859455154292</v>
      </c>
      <c r="CK69" s="472">
        <f t="shared" si="47"/>
        <v>1.1809963539896058</v>
      </c>
      <c r="CL69" s="472">
        <f t="shared" si="48"/>
        <v>1.1835797798986392</v>
      </c>
      <c r="CM69" s="472">
        <f t="shared" si="48"/>
        <v>1.2601207187837393</v>
      </c>
      <c r="CN69" s="472">
        <f t="shared" si="48"/>
        <v>1.2381957635115028</v>
      </c>
      <c r="CO69" s="472">
        <f t="shared" si="49"/>
        <v>1.2119541889864678</v>
      </c>
      <c r="CP69" s="472">
        <f t="shared" si="49"/>
        <v>1.2044067791579181</v>
      </c>
      <c r="CQ69" s="472">
        <f t="shared" si="49"/>
        <v>1.2224895341058843</v>
      </c>
      <c r="CR69" s="472">
        <f t="shared" si="49"/>
        <v>1.2542788024444147</v>
      </c>
      <c r="CS69" s="472">
        <f t="shared" si="49"/>
        <v>1.323846663015652</v>
      </c>
      <c r="CT69" s="472">
        <f t="shared" ref="CT69" si="53">CT59/CT48</f>
        <v>1.2286850203670099</v>
      </c>
      <c r="CU69" s="472">
        <f t="shared" si="52"/>
        <v>1.3028182994265238</v>
      </c>
      <c r="CV69" s="472">
        <f t="shared" si="51"/>
        <v>1.2151280585060094</v>
      </c>
      <c r="CW69" s="555">
        <f t="shared" si="51"/>
        <v>1.2279207834410155</v>
      </c>
    </row>
    <row r="70" spans="2:101" x14ac:dyDescent="0.35">
      <c r="B70" s="3"/>
      <c r="C70" s="372" t="s">
        <v>28</v>
      </c>
      <c r="D70" s="334"/>
      <c r="E70" s="334"/>
      <c r="F70" s="334"/>
      <c r="G70" s="334">
        <f t="shared" si="45"/>
        <v>1.7337055964790886</v>
      </c>
      <c r="H70" s="334">
        <f t="shared" si="45"/>
        <v>1.6915671509112278</v>
      </c>
      <c r="I70" s="334">
        <f t="shared" si="45"/>
        <v>0.98808661040627377</v>
      </c>
      <c r="J70" s="334">
        <f t="shared" si="45"/>
        <v>1.5106706582106502</v>
      </c>
      <c r="K70" s="334">
        <f t="shared" si="45"/>
        <v>1.1871073127663971</v>
      </c>
      <c r="L70" s="334">
        <f t="shared" si="45"/>
        <v>1.2999119462253483</v>
      </c>
      <c r="M70" s="334">
        <f t="shared" si="45"/>
        <v>1.2173312195007768</v>
      </c>
      <c r="N70" s="334">
        <f t="shared" si="45"/>
        <v>1.2424114266138855</v>
      </c>
      <c r="O70" s="334">
        <f t="shared" si="45"/>
        <v>0.67469221032370541</v>
      </c>
      <c r="P70" s="335">
        <f t="shared" si="46"/>
        <v>1.1617278047826187</v>
      </c>
      <c r="Q70" s="335">
        <f t="shared" si="46"/>
        <v>1.4419960837267054</v>
      </c>
      <c r="R70" s="335">
        <f t="shared" si="46"/>
        <v>1.4442603261192097</v>
      </c>
      <c r="S70" s="335">
        <f t="shared" si="46"/>
        <v>1.4126094287778332</v>
      </c>
      <c r="T70" s="335">
        <f t="shared" si="46"/>
        <v>1.424885959121613</v>
      </c>
      <c r="U70" s="335">
        <f t="shared" si="46"/>
        <v>1.4492273495001999</v>
      </c>
      <c r="V70" s="335">
        <f t="shared" si="46"/>
        <v>1.574543233302709</v>
      </c>
      <c r="W70" s="335">
        <f t="shared" si="46"/>
        <v>1.5039018970015929</v>
      </c>
      <c r="X70" s="335">
        <f t="shared" si="46"/>
        <v>1.4300922994564969</v>
      </c>
      <c r="Y70" s="335">
        <f t="shared" si="46"/>
        <v>1.3929975146403923</v>
      </c>
      <c r="Z70" s="335">
        <f t="shared" si="46"/>
        <v>1.4080196323037681</v>
      </c>
      <c r="AA70" s="335">
        <f t="shared" si="46"/>
        <v>1.3362611526407453</v>
      </c>
      <c r="AB70" s="335">
        <f t="shared" si="46"/>
        <v>1.3662337002582507</v>
      </c>
      <c r="AC70" s="335">
        <f t="shared" si="46"/>
        <v>1.3371810820121752</v>
      </c>
      <c r="AD70" s="335">
        <f t="shared" si="46"/>
        <v>1.2360530283224753</v>
      </c>
      <c r="AE70" s="335">
        <f t="shared" si="46"/>
        <v>1.1052191625572576</v>
      </c>
      <c r="AF70" s="335">
        <f t="shared" si="46"/>
        <v>1.0955162543684542</v>
      </c>
      <c r="AG70" s="335">
        <f t="shared" si="46"/>
        <v>1.1173674197640018</v>
      </c>
      <c r="AH70" s="335">
        <f t="shared" si="46"/>
        <v>1.0861226246292037</v>
      </c>
      <c r="AI70" s="335">
        <f t="shared" si="46"/>
        <v>1.0159512867173894</v>
      </c>
      <c r="AJ70" s="335">
        <f t="shared" si="46"/>
        <v>0.96641581143817845</v>
      </c>
      <c r="AK70" s="335">
        <f t="shared" si="46"/>
        <v>0.92365349898122462</v>
      </c>
      <c r="AL70" s="335">
        <f t="shared" si="46"/>
        <v>0.84383263128626262</v>
      </c>
      <c r="AM70" s="335">
        <f t="shared" si="46"/>
        <v>0.888771322020524</v>
      </c>
      <c r="AN70" s="335">
        <f t="shared" si="46"/>
        <v>0.95972292184483787</v>
      </c>
      <c r="AO70" s="335">
        <f t="shared" si="46"/>
        <v>0.94058403244347355</v>
      </c>
      <c r="AP70" s="335">
        <f t="shared" si="46"/>
        <v>0.90973389635403046</v>
      </c>
      <c r="AQ70" s="335">
        <f t="shared" si="46"/>
        <v>0.91026812127027046</v>
      </c>
      <c r="AR70" s="335">
        <f t="shared" si="46"/>
        <v>0.93021197910108366</v>
      </c>
      <c r="AS70" s="335">
        <f t="shared" si="46"/>
        <v>1.0043347778088418</v>
      </c>
      <c r="AT70" s="335">
        <f t="shared" si="46"/>
        <v>0.99004804405167746</v>
      </c>
      <c r="AU70" s="335">
        <f t="shared" si="46"/>
        <v>0.97686969509709964</v>
      </c>
      <c r="AV70" s="335">
        <f t="shared" si="46"/>
        <v>0.96574081410765666</v>
      </c>
      <c r="AW70" s="335">
        <f t="shared" si="46"/>
        <v>0.93333637699024374</v>
      </c>
      <c r="AX70" s="335">
        <f t="shared" si="46"/>
        <v>0.94431604406985203</v>
      </c>
      <c r="AY70" s="335">
        <f t="shared" si="46"/>
        <v>0.96240375994671867</v>
      </c>
      <c r="AZ70" s="335">
        <f t="shared" si="46"/>
        <v>0.9086675908021925</v>
      </c>
      <c r="BA70" s="335">
        <f t="shared" si="46"/>
        <v>0.96977460412836936</v>
      </c>
      <c r="BB70" s="335">
        <f t="shared" si="46"/>
        <v>1.0570826420369015</v>
      </c>
      <c r="BC70" s="335">
        <f t="shared" si="46"/>
        <v>1.1442016741569689</v>
      </c>
      <c r="BD70" s="335">
        <f t="shared" si="46"/>
        <v>1.1519530111886589</v>
      </c>
      <c r="BE70" s="335">
        <f t="shared" si="46"/>
        <v>1.1461783955600813</v>
      </c>
      <c r="BF70" s="335">
        <f t="shared" si="46"/>
        <v>1.0931155528065255</v>
      </c>
      <c r="BG70" s="335">
        <f t="shared" si="46"/>
        <v>1.179525533215207</v>
      </c>
      <c r="BH70" s="335">
        <f t="shared" si="46"/>
        <v>1.2564611342742655</v>
      </c>
      <c r="BI70" s="335">
        <f t="shared" si="46"/>
        <v>1.2355027418022815</v>
      </c>
      <c r="BJ70" s="335">
        <f t="shared" si="46"/>
        <v>1.1517449277719247</v>
      </c>
      <c r="BK70" s="335">
        <f t="shared" si="46"/>
        <v>1.2118099433927436</v>
      </c>
      <c r="BL70" s="335">
        <f t="shared" si="46"/>
        <v>1.0978061376211885</v>
      </c>
      <c r="BM70" s="335">
        <f t="shared" si="46"/>
        <v>1.1582741705833706</v>
      </c>
      <c r="BN70" s="335">
        <f t="shared" si="46"/>
        <v>1.1504469083631252</v>
      </c>
      <c r="BO70" s="335">
        <f t="shared" si="46"/>
        <v>1.1324692684929609</v>
      </c>
      <c r="BP70" s="335">
        <f>BP60/BP49</f>
        <v>1.1124425161706792</v>
      </c>
      <c r="BQ70" s="473">
        <f t="shared" si="46"/>
        <v>1.1209010820742895</v>
      </c>
      <c r="BR70" s="472">
        <f t="shared" si="46"/>
        <v>1.1235971601316519</v>
      </c>
      <c r="BS70" s="473">
        <f t="shared" si="46"/>
        <v>1.1229661119588685</v>
      </c>
      <c r="BT70" s="473">
        <f t="shared" si="46"/>
        <v>1.1280481622117773</v>
      </c>
      <c r="BU70" s="473">
        <f t="shared" si="46"/>
        <v>1.085552236353218</v>
      </c>
      <c r="BV70" s="473">
        <f t="shared" si="46"/>
        <v>1.1200852032565942</v>
      </c>
      <c r="BW70" s="473">
        <f t="shared" si="46"/>
        <v>1.2061902873963632</v>
      </c>
      <c r="BX70" s="473">
        <f t="shared" si="46"/>
        <v>1.1015464316456129</v>
      </c>
      <c r="BY70" s="473">
        <f t="shared" si="46"/>
        <v>1.0703074932648524</v>
      </c>
      <c r="BZ70" s="473">
        <f t="shared" si="46"/>
        <v>1.0864396312229578</v>
      </c>
      <c r="CA70" s="473">
        <f t="shared" si="46"/>
        <v>1.0829963087271612</v>
      </c>
      <c r="CB70" s="473">
        <f t="shared" si="47"/>
        <v>1.0603168624484329</v>
      </c>
      <c r="CC70" s="473">
        <f t="shared" si="47"/>
        <v>1.0063114822500456</v>
      </c>
      <c r="CD70" s="473">
        <f t="shared" si="47"/>
        <v>0.93514692982572856</v>
      </c>
      <c r="CE70" s="473">
        <f t="shared" si="47"/>
        <v>0.9207330238137249</v>
      </c>
      <c r="CF70" s="473">
        <f t="shared" si="47"/>
        <v>0.87526590957703143</v>
      </c>
      <c r="CG70" s="472">
        <f t="shared" si="47"/>
        <v>0.84436296018154189</v>
      </c>
      <c r="CH70" s="472">
        <f t="shared" si="47"/>
        <v>0.83108975349249781</v>
      </c>
      <c r="CI70" s="472">
        <f t="shared" si="47"/>
        <v>0.81184672653275847</v>
      </c>
      <c r="CJ70" s="472">
        <f t="shared" si="47"/>
        <v>0.8408012765632098</v>
      </c>
      <c r="CK70" s="472">
        <f t="shared" si="47"/>
        <v>0.86771695002498139</v>
      </c>
      <c r="CL70" s="472">
        <f t="shared" si="48"/>
        <v>0.77679885458047071</v>
      </c>
      <c r="CM70" s="472">
        <f t="shared" si="48"/>
        <v>0.82056055069440892</v>
      </c>
      <c r="CN70" s="472">
        <f t="shared" si="48"/>
        <v>0.82235055087176279</v>
      </c>
      <c r="CO70" s="472">
        <f t="shared" si="49"/>
        <v>0.82196796915634907</v>
      </c>
      <c r="CP70" s="472">
        <f t="shared" si="49"/>
        <v>0.82563288771193244</v>
      </c>
      <c r="CQ70" s="472">
        <f t="shared" si="49"/>
        <v>0.8472253800555134</v>
      </c>
      <c r="CR70" s="472">
        <f t="shared" si="49"/>
        <v>0.8611015428296247</v>
      </c>
      <c r="CS70" s="472">
        <f t="shared" si="49"/>
        <v>0.84581980947469693</v>
      </c>
      <c r="CT70" s="472">
        <f t="shared" ref="CT70" si="54">CT60/CT49</f>
        <v>0.86487381384319451</v>
      </c>
      <c r="CU70" s="472">
        <f t="shared" si="52"/>
        <v>0.83357999894526191</v>
      </c>
      <c r="CV70" s="472">
        <f t="shared" si="51"/>
        <v>0.83111204668265792</v>
      </c>
      <c r="CW70" s="555">
        <f t="shared" si="51"/>
        <v>0.85075652213929442</v>
      </c>
    </row>
    <row r="71" spans="2:101" x14ac:dyDescent="0.35">
      <c r="B71" s="3"/>
      <c r="C71" s="372" t="s">
        <v>185</v>
      </c>
      <c r="D71" s="102"/>
      <c r="E71" s="102"/>
      <c r="F71" s="102"/>
      <c r="G71" s="102">
        <f t="shared" ref="G71:BR72" si="55">IFERROR(G61/G50,0)</f>
        <v>0</v>
      </c>
      <c r="H71" s="102">
        <f t="shared" si="55"/>
        <v>0</v>
      </c>
      <c r="I71" s="102">
        <f t="shared" si="55"/>
        <v>0</v>
      </c>
      <c r="J71" s="102">
        <f t="shared" si="55"/>
        <v>0</v>
      </c>
      <c r="K71" s="102">
        <f t="shared" si="55"/>
        <v>0</v>
      </c>
      <c r="L71" s="102">
        <f t="shared" si="55"/>
        <v>0</v>
      </c>
      <c r="M71" s="102">
        <f t="shared" si="55"/>
        <v>0</v>
      </c>
      <c r="N71" s="102">
        <f t="shared" si="55"/>
        <v>0</v>
      </c>
      <c r="O71" s="102">
        <f t="shared" si="55"/>
        <v>0</v>
      </c>
      <c r="P71" s="102">
        <f t="shared" si="55"/>
        <v>0</v>
      </c>
      <c r="Q71" s="102">
        <f t="shared" si="55"/>
        <v>0</v>
      </c>
      <c r="R71" s="102">
        <f t="shared" si="55"/>
        <v>0</v>
      </c>
      <c r="S71" s="102">
        <f t="shared" si="55"/>
        <v>0</v>
      </c>
      <c r="T71" s="102">
        <f t="shared" si="55"/>
        <v>0</v>
      </c>
      <c r="U71" s="102">
        <f t="shared" si="55"/>
        <v>0</v>
      </c>
      <c r="V71" s="102">
        <f t="shared" si="55"/>
        <v>0</v>
      </c>
      <c r="W71" s="102">
        <f t="shared" si="55"/>
        <v>0</v>
      </c>
      <c r="X71" s="102">
        <f t="shared" si="55"/>
        <v>0</v>
      </c>
      <c r="Y71" s="102">
        <f t="shared" si="55"/>
        <v>0</v>
      </c>
      <c r="Z71" s="102">
        <f t="shared" si="55"/>
        <v>0</v>
      </c>
      <c r="AA71" s="102">
        <f t="shared" si="55"/>
        <v>0</v>
      </c>
      <c r="AB71" s="102">
        <f t="shared" si="55"/>
        <v>0</v>
      </c>
      <c r="AC71" s="102">
        <f t="shared" si="55"/>
        <v>0</v>
      </c>
      <c r="AD71" s="102">
        <f t="shared" si="55"/>
        <v>0</v>
      </c>
      <c r="AE71" s="102">
        <f t="shared" si="55"/>
        <v>0</v>
      </c>
      <c r="AF71" s="102">
        <f t="shared" si="55"/>
        <v>0</v>
      </c>
      <c r="AG71" s="102">
        <f t="shared" si="55"/>
        <v>0</v>
      </c>
      <c r="AH71" s="102">
        <f t="shared" si="55"/>
        <v>0</v>
      </c>
      <c r="AI71" s="102">
        <f t="shared" si="55"/>
        <v>0</v>
      </c>
      <c r="AJ71" s="102">
        <f t="shared" si="55"/>
        <v>0</v>
      </c>
      <c r="AK71" s="102">
        <f t="shared" si="55"/>
        <v>0</v>
      </c>
      <c r="AL71" s="102">
        <f t="shared" si="55"/>
        <v>0</v>
      </c>
      <c r="AM71" s="102">
        <f t="shared" si="55"/>
        <v>0</v>
      </c>
      <c r="AN71" s="102">
        <f t="shared" si="55"/>
        <v>0</v>
      </c>
      <c r="AO71" s="102">
        <f t="shared" si="55"/>
        <v>0</v>
      </c>
      <c r="AP71" s="102">
        <f t="shared" si="55"/>
        <v>0</v>
      </c>
      <c r="AQ71" s="102">
        <f t="shared" si="55"/>
        <v>0</v>
      </c>
      <c r="AR71" s="102">
        <f t="shared" si="55"/>
        <v>0</v>
      </c>
      <c r="AS71" s="102">
        <f t="shared" si="55"/>
        <v>0</v>
      </c>
      <c r="AT71" s="102">
        <f t="shared" si="55"/>
        <v>0</v>
      </c>
      <c r="AU71" s="102">
        <f t="shared" si="55"/>
        <v>0</v>
      </c>
      <c r="AV71" s="102">
        <f t="shared" si="55"/>
        <v>0</v>
      </c>
      <c r="AW71" s="102">
        <f t="shared" si="55"/>
        <v>0</v>
      </c>
      <c r="AX71" s="102">
        <f t="shared" si="55"/>
        <v>0</v>
      </c>
      <c r="AY71" s="102">
        <f t="shared" si="55"/>
        <v>0</v>
      </c>
      <c r="AZ71" s="102">
        <f t="shared" si="55"/>
        <v>0</v>
      </c>
      <c r="BA71" s="102">
        <f t="shared" si="55"/>
        <v>0</v>
      </c>
      <c r="BB71" s="102">
        <f t="shared" si="55"/>
        <v>0</v>
      </c>
      <c r="BC71" s="102">
        <f t="shared" si="55"/>
        <v>0</v>
      </c>
      <c r="BD71" s="102">
        <f t="shared" si="55"/>
        <v>0</v>
      </c>
      <c r="BE71" s="102">
        <f t="shared" si="55"/>
        <v>0</v>
      </c>
      <c r="BF71" s="102">
        <f t="shared" si="55"/>
        <v>0</v>
      </c>
      <c r="BG71" s="102">
        <f t="shared" si="55"/>
        <v>0</v>
      </c>
      <c r="BH71" s="102">
        <f t="shared" si="55"/>
        <v>0</v>
      </c>
      <c r="BI71" s="102">
        <f t="shared" si="55"/>
        <v>0</v>
      </c>
      <c r="BJ71" s="102">
        <f t="shared" si="55"/>
        <v>0</v>
      </c>
      <c r="BK71" s="102">
        <f t="shared" si="55"/>
        <v>0</v>
      </c>
      <c r="BL71" s="102">
        <f t="shared" si="55"/>
        <v>0</v>
      </c>
      <c r="BM71" s="102">
        <f t="shared" si="55"/>
        <v>0</v>
      </c>
      <c r="BN71" s="102">
        <f t="shared" si="55"/>
        <v>0</v>
      </c>
      <c r="BO71" s="102">
        <f t="shared" si="55"/>
        <v>0</v>
      </c>
      <c r="BP71" s="102">
        <f t="shared" si="55"/>
        <v>0</v>
      </c>
      <c r="BQ71" s="102">
        <f t="shared" si="55"/>
        <v>0</v>
      </c>
      <c r="BR71" s="102">
        <f t="shared" si="55"/>
        <v>0</v>
      </c>
      <c r="BS71" s="102">
        <f t="shared" ref="BQ71:CK72" si="56">IFERROR(BS61/BS50,0)</f>
        <v>0</v>
      </c>
      <c r="BT71" s="102">
        <f t="shared" si="56"/>
        <v>0</v>
      </c>
      <c r="BU71" s="102">
        <f t="shared" si="56"/>
        <v>0</v>
      </c>
      <c r="BV71" s="102">
        <f t="shared" si="56"/>
        <v>0</v>
      </c>
      <c r="BW71" s="102">
        <f t="shared" si="56"/>
        <v>0</v>
      </c>
      <c r="BX71" s="102">
        <f t="shared" si="56"/>
        <v>0</v>
      </c>
      <c r="BY71" s="102">
        <f t="shared" si="56"/>
        <v>0</v>
      </c>
      <c r="BZ71" s="102">
        <f t="shared" si="56"/>
        <v>0</v>
      </c>
      <c r="CA71" s="102">
        <f t="shared" si="56"/>
        <v>0</v>
      </c>
      <c r="CB71" s="102">
        <f t="shared" si="56"/>
        <v>0</v>
      </c>
      <c r="CC71" s="102">
        <f t="shared" si="56"/>
        <v>0</v>
      </c>
      <c r="CD71" s="102">
        <f t="shared" si="56"/>
        <v>0</v>
      </c>
      <c r="CE71" s="102">
        <f t="shared" si="56"/>
        <v>0</v>
      </c>
      <c r="CF71" s="102">
        <f t="shared" si="56"/>
        <v>0</v>
      </c>
      <c r="CG71" s="102">
        <f t="shared" si="56"/>
        <v>0</v>
      </c>
      <c r="CH71" s="102">
        <f t="shared" si="56"/>
        <v>0</v>
      </c>
      <c r="CI71" s="102">
        <f t="shared" si="56"/>
        <v>0</v>
      </c>
      <c r="CJ71" s="102">
        <f t="shared" si="56"/>
        <v>0</v>
      </c>
      <c r="CK71" s="102">
        <f t="shared" si="56"/>
        <v>0</v>
      </c>
      <c r="CL71" s="102">
        <f>IFERROR(CL61/CL50,0)</f>
        <v>0</v>
      </c>
      <c r="CM71" s="102">
        <f>IFERROR(CM61/CM50,0)</f>
        <v>0</v>
      </c>
      <c r="CN71" s="102">
        <f t="shared" ref="CN71:CN72" si="57">IFERROR(CN61/CN50,0)</f>
        <v>0</v>
      </c>
      <c r="CO71" s="102">
        <f>IFERROR(CO61/CO50,0)</f>
        <v>0</v>
      </c>
      <c r="CP71" s="102">
        <f t="shared" ref="CP71:CS72" si="58">IFERROR(CP61/CP50,0)</f>
        <v>0</v>
      </c>
      <c r="CQ71" s="102">
        <f t="shared" si="58"/>
        <v>0</v>
      </c>
      <c r="CR71" s="102">
        <f t="shared" si="58"/>
        <v>0</v>
      </c>
      <c r="CS71" s="102">
        <f t="shared" si="58"/>
        <v>0</v>
      </c>
      <c r="CT71" s="102">
        <f t="shared" ref="CT71:CU72" si="59">IFERROR(CT61/CT50,0)</f>
        <v>0</v>
      </c>
      <c r="CU71" s="102">
        <f t="shared" si="59"/>
        <v>0</v>
      </c>
      <c r="CV71" s="102">
        <f>IFERROR(CV61/CV50,0)</f>
        <v>0</v>
      </c>
      <c r="CW71" s="519">
        <f>IFERROR(CW61/CW50,0)</f>
        <v>0</v>
      </c>
    </row>
    <row r="72" spans="2:101" x14ac:dyDescent="0.35">
      <c r="B72" s="3"/>
      <c r="C72" s="372" t="s">
        <v>200</v>
      </c>
      <c r="D72" s="102"/>
      <c r="E72" s="102"/>
      <c r="F72" s="102"/>
      <c r="G72" s="102">
        <f t="shared" si="55"/>
        <v>0</v>
      </c>
      <c r="H72" s="102">
        <f t="shared" si="55"/>
        <v>0</v>
      </c>
      <c r="I72" s="102">
        <f t="shared" si="55"/>
        <v>0</v>
      </c>
      <c r="J72" s="102">
        <f t="shared" si="55"/>
        <v>0</v>
      </c>
      <c r="K72" s="102">
        <f t="shared" si="55"/>
        <v>0</v>
      </c>
      <c r="L72" s="102">
        <f t="shared" si="55"/>
        <v>0</v>
      </c>
      <c r="M72" s="102">
        <f t="shared" si="55"/>
        <v>0</v>
      </c>
      <c r="N72" s="102">
        <f t="shared" si="55"/>
        <v>0</v>
      </c>
      <c r="O72" s="102">
        <f t="shared" si="55"/>
        <v>0</v>
      </c>
      <c r="P72" s="102">
        <f t="shared" si="55"/>
        <v>0</v>
      </c>
      <c r="Q72" s="102">
        <f t="shared" si="55"/>
        <v>0</v>
      </c>
      <c r="R72" s="102">
        <f t="shared" si="55"/>
        <v>0</v>
      </c>
      <c r="S72" s="102">
        <f t="shared" si="55"/>
        <v>0</v>
      </c>
      <c r="T72" s="102">
        <f t="shared" si="55"/>
        <v>0</v>
      </c>
      <c r="U72" s="102">
        <f t="shared" si="55"/>
        <v>0</v>
      </c>
      <c r="V72" s="102">
        <f t="shared" si="55"/>
        <v>0</v>
      </c>
      <c r="W72" s="102">
        <f t="shared" si="55"/>
        <v>0</v>
      </c>
      <c r="X72" s="102">
        <f t="shared" si="55"/>
        <v>0</v>
      </c>
      <c r="Y72" s="102">
        <f t="shared" si="55"/>
        <v>0</v>
      </c>
      <c r="Z72" s="102">
        <f t="shared" si="55"/>
        <v>0</v>
      </c>
      <c r="AA72" s="102">
        <f t="shared" si="55"/>
        <v>0</v>
      </c>
      <c r="AB72" s="102">
        <f t="shared" si="55"/>
        <v>0</v>
      </c>
      <c r="AC72" s="102">
        <f t="shared" si="55"/>
        <v>0</v>
      </c>
      <c r="AD72" s="102">
        <f t="shared" si="55"/>
        <v>0</v>
      </c>
      <c r="AE72" s="102">
        <f t="shared" si="55"/>
        <v>0</v>
      </c>
      <c r="AF72" s="102">
        <f t="shared" si="55"/>
        <v>0</v>
      </c>
      <c r="AG72" s="102">
        <f t="shared" si="55"/>
        <v>0</v>
      </c>
      <c r="AH72" s="102">
        <f t="shared" si="55"/>
        <v>0</v>
      </c>
      <c r="AI72" s="102">
        <f t="shared" si="55"/>
        <v>0</v>
      </c>
      <c r="AJ72" s="102">
        <f t="shared" si="55"/>
        <v>0</v>
      </c>
      <c r="AK72" s="102">
        <f t="shared" si="55"/>
        <v>0</v>
      </c>
      <c r="AL72" s="102">
        <f t="shared" si="55"/>
        <v>0</v>
      </c>
      <c r="AM72" s="102">
        <f t="shared" si="55"/>
        <v>0</v>
      </c>
      <c r="AN72" s="102">
        <f t="shared" si="55"/>
        <v>0</v>
      </c>
      <c r="AO72" s="102">
        <f t="shared" si="55"/>
        <v>0</v>
      </c>
      <c r="AP72" s="102">
        <f t="shared" si="55"/>
        <v>0</v>
      </c>
      <c r="AQ72" s="102">
        <f t="shared" si="55"/>
        <v>0</v>
      </c>
      <c r="AR72" s="102">
        <f t="shared" si="55"/>
        <v>0</v>
      </c>
      <c r="AS72" s="102">
        <f t="shared" si="55"/>
        <v>0</v>
      </c>
      <c r="AT72" s="102">
        <f t="shared" si="55"/>
        <v>0</v>
      </c>
      <c r="AU72" s="102">
        <f t="shared" si="55"/>
        <v>0</v>
      </c>
      <c r="AV72" s="102">
        <f t="shared" si="55"/>
        <v>0</v>
      </c>
      <c r="AW72" s="102">
        <f t="shared" si="55"/>
        <v>0</v>
      </c>
      <c r="AX72" s="102">
        <f t="shared" si="55"/>
        <v>0</v>
      </c>
      <c r="AY72" s="102">
        <f t="shared" si="55"/>
        <v>0</v>
      </c>
      <c r="AZ72" s="102">
        <f t="shared" si="55"/>
        <v>0</v>
      </c>
      <c r="BA72" s="102">
        <f t="shared" si="55"/>
        <v>0</v>
      </c>
      <c r="BB72" s="102">
        <f t="shared" si="55"/>
        <v>0</v>
      </c>
      <c r="BC72" s="102">
        <f t="shared" si="55"/>
        <v>0</v>
      </c>
      <c r="BD72" s="102">
        <f t="shared" si="55"/>
        <v>0</v>
      </c>
      <c r="BE72" s="102">
        <f t="shared" si="55"/>
        <v>0</v>
      </c>
      <c r="BF72" s="102">
        <f t="shared" si="55"/>
        <v>0</v>
      </c>
      <c r="BG72" s="102">
        <f t="shared" si="55"/>
        <v>0</v>
      </c>
      <c r="BH72" s="102">
        <f t="shared" si="55"/>
        <v>0</v>
      </c>
      <c r="BI72" s="102">
        <f t="shared" si="55"/>
        <v>0</v>
      </c>
      <c r="BJ72" s="102">
        <f t="shared" si="55"/>
        <v>0</v>
      </c>
      <c r="BK72" s="102">
        <f t="shared" si="55"/>
        <v>0</v>
      </c>
      <c r="BL72" s="102">
        <f t="shared" si="55"/>
        <v>0</v>
      </c>
      <c r="BM72" s="102">
        <f t="shared" si="55"/>
        <v>0</v>
      </c>
      <c r="BN72" s="102">
        <f t="shared" si="55"/>
        <v>0</v>
      </c>
      <c r="BO72" s="102">
        <f t="shared" si="55"/>
        <v>0</v>
      </c>
      <c r="BP72" s="102">
        <f t="shared" si="55"/>
        <v>0</v>
      </c>
      <c r="BQ72" s="102">
        <f t="shared" si="56"/>
        <v>0</v>
      </c>
      <c r="BR72" s="102">
        <f t="shared" si="56"/>
        <v>0</v>
      </c>
      <c r="BS72" s="102">
        <f t="shared" si="56"/>
        <v>0</v>
      </c>
      <c r="BT72" s="102">
        <f t="shared" si="56"/>
        <v>0</v>
      </c>
      <c r="BU72" s="102">
        <f t="shared" si="56"/>
        <v>0</v>
      </c>
      <c r="BV72" s="102">
        <f t="shared" si="56"/>
        <v>0</v>
      </c>
      <c r="BW72" s="102">
        <f t="shared" si="56"/>
        <v>0</v>
      </c>
      <c r="BX72" s="102">
        <f t="shared" si="56"/>
        <v>0</v>
      </c>
      <c r="BY72" s="102">
        <f t="shared" si="56"/>
        <v>0</v>
      </c>
      <c r="BZ72" s="102">
        <f t="shared" si="56"/>
        <v>0</v>
      </c>
      <c r="CA72" s="102">
        <f t="shared" si="56"/>
        <v>0</v>
      </c>
      <c r="CB72" s="102">
        <f t="shared" si="56"/>
        <v>0</v>
      </c>
      <c r="CC72" s="102">
        <f t="shared" si="56"/>
        <v>0</v>
      </c>
      <c r="CD72" s="102">
        <f t="shared" si="56"/>
        <v>0</v>
      </c>
      <c r="CE72" s="102">
        <f t="shared" si="56"/>
        <v>0</v>
      </c>
      <c r="CF72" s="102">
        <f t="shared" si="56"/>
        <v>0</v>
      </c>
      <c r="CG72" s="102">
        <f t="shared" si="56"/>
        <v>0</v>
      </c>
      <c r="CH72" s="102">
        <f t="shared" si="56"/>
        <v>0</v>
      </c>
      <c r="CI72" s="102">
        <f t="shared" si="56"/>
        <v>0</v>
      </c>
      <c r="CJ72" s="102">
        <f t="shared" si="56"/>
        <v>0</v>
      </c>
      <c r="CK72" s="102">
        <f t="shared" si="56"/>
        <v>0</v>
      </c>
      <c r="CL72" s="102">
        <f>IFERROR(CL62/CL51,0)</f>
        <v>0</v>
      </c>
      <c r="CM72" s="102">
        <f>IFERROR(CM62/CM51,0)</f>
        <v>0</v>
      </c>
      <c r="CN72" s="102">
        <f t="shared" si="57"/>
        <v>0</v>
      </c>
      <c r="CO72" s="102">
        <f>IFERROR(CO62/CO51,0)</f>
        <v>0</v>
      </c>
      <c r="CP72" s="102">
        <f t="shared" si="58"/>
        <v>0</v>
      </c>
      <c r="CQ72" s="102">
        <f t="shared" si="58"/>
        <v>0</v>
      </c>
      <c r="CR72" s="102">
        <f t="shared" si="58"/>
        <v>0</v>
      </c>
      <c r="CS72" s="102">
        <f t="shared" si="58"/>
        <v>0</v>
      </c>
      <c r="CT72" s="102">
        <f t="shared" ref="CT72" si="60">IFERROR(CT62/CT51,0)</f>
        <v>0</v>
      </c>
      <c r="CU72" s="102">
        <f t="shared" si="59"/>
        <v>0</v>
      </c>
      <c r="CV72" s="102">
        <f>IFERROR(CV62/CV51,0)</f>
        <v>0</v>
      </c>
      <c r="CW72" s="519">
        <f>IFERROR(CW62/CW51,0)</f>
        <v>0</v>
      </c>
    </row>
    <row r="73" spans="2:101" s="10" customFormat="1" x14ac:dyDescent="0.35">
      <c r="B73" s="3"/>
      <c r="C73" s="10" t="s">
        <v>198</v>
      </c>
      <c r="D73" s="336" t="str">
        <f t="shared" ref="D73:O73" si="61">IFERROR(D63/D52,"")</f>
        <v/>
      </c>
      <c r="E73" s="336" t="str">
        <f t="shared" si="61"/>
        <v/>
      </c>
      <c r="F73" s="336" t="str">
        <f t="shared" si="61"/>
        <v/>
      </c>
      <c r="G73" s="336">
        <f t="shared" si="61"/>
        <v>0.68957536890941229</v>
      </c>
      <c r="H73" s="336">
        <f t="shared" si="61"/>
        <v>0.69043563669109953</v>
      </c>
      <c r="I73" s="336">
        <f t="shared" si="61"/>
        <v>0.67969090062329218</v>
      </c>
      <c r="J73" s="336">
        <f t="shared" si="61"/>
        <v>0.74783621137093748</v>
      </c>
      <c r="K73" s="336">
        <f t="shared" si="61"/>
        <v>0.70462126557907201</v>
      </c>
      <c r="L73" s="336">
        <f t="shared" si="61"/>
        <v>0.71640613984179102</v>
      </c>
      <c r="M73" s="336">
        <f t="shared" si="61"/>
        <v>0.67969608037305773</v>
      </c>
      <c r="N73" s="336">
        <f t="shared" si="61"/>
        <v>0.7003210605579161</v>
      </c>
      <c r="O73" s="336">
        <f t="shared" si="61"/>
        <v>0.76798333726146017</v>
      </c>
      <c r="P73" s="337">
        <f t="shared" ref="P73:CA73" si="62">P63/P52</f>
        <v>0.73421312566426089</v>
      </c>
      <c r="Q73" s="337">
        <f t="shared" si="62"/>
        <v>0.7410202158095357</v>
      </c>
      <c r="R73" s="337">
        <f t="shared" si="62"/>
        <v>0.78281194149886846</v>
      </c>
      <c r="S73" s="337">
        <f t="shared" si="62"/>
        <v>0.73380840904272948</v>
      </c>
      <c r="T73" s="337">
        <f t="shared" si="62"/>
        <v>0.744781495367423</v>
      </c>
      <c r="U73" s="337">
        <f t="shared" si="62"/>
        <v>0.73235237372503104</v>
      </c>
      <c r="V73" s="337">
        <f t="shared" si="62"/>
        <v>0.7515643821915885</v>
      </c>
      <c r="W73" s="337">
        <f t="shared" si="62"/>
        <v>0.77384934038204223</v>
      </c>
      <c r="X73" s="337">
        <f t="shared" si="62"/>
        <v>0.79219241216737235</v>
      </c>
      <c r="Y73" s="337">
        <f t="shared" si="62"/>
        <v>0.79978042358199009</v>
      </c>
      <c r="Z73" s="337">
        <f t="shared" si="62"/>
        <v>0.80349458263390816</v>
      </c>
      <c r="AA73" s="337">
        <f t="shared" si="62"/>
        <v>0.80275184774339226</v>
      </c>
      <c r="AB73" s="337">
        <f t="shared" si="62"/>
        <v>0.82774442406109183</v>
      </c>
      <c r="AC73" s="337">
        <f t="shared" si="62"/>
        <v>0.79848299635771547</v>
      </c>
      <c r="AD73" s="337">
        <f t="shared" si="62"/>
        <v>0.81544117300292462</v>
      </c>
      <c r="AE73" s="337">
        <f t="shared" si="62"/>
        <v>0.77341404692213112</v>
      </c>
      <c r="AF73" s="337">
        <f t="shared" si="62"/>
        <v>0.75546492990723335</v>
      </c>
      <c r="AG73" s="337">
        <f t="shared" si="62"/>
        <v>0.74432218751640067</v>
      </c>
      <c r="AH73" s="337">
        <f t="shared" si="62"/>
        <v>0.74265454208161086</v>
      </c>
      <c r="AI73" s="337">
        <f t="shared" si="62"/>
        <v>0.73192983749534291</v>
      </c>
      <c r="AJ73" s="337">
        <f t="shared" si="62"/>
        <v>0.70971320593620257</v>
      </c>
      <c r="AK73" s="337">
        <f t="shared" si="62"/>
        <v>0.72872990532849957</v>
      </c>
      <c r="AL73" s="337">
        <f t="shared" si="62"/>
        <v>0.72451473170681358</v>
      </c>
      <c r="AM73" s="337">
        <f t="shared" si="62"/>
        <v>0.7187214015970389</v>
      </c>
      <c r="AN73" s="337">
        <f t="shared" si="62"/>
        <v>0.73886646668705358</v>
      </c>
      <c r="AO73" s="337">
        <f t="shared" si="62"/>
        <v>0.75346772355617408</v>
      </c>
      <c r="AP73" s="337">
        <f t="shared" si="62"/>
        <v>0.73254825686366598</v>
      </c>
      <c r="AQ73" s="337">
        <f t="shared" si="62"/>
        <v>0.73640184185163482</v>
      </c>
      <c r="AR73" s="337">
        <f t="shared" si="62"/>
        <v>0.7531388075536698</v>
      </c>
      <c r="AS73" s="337">
        <f t="shared" si="62"/>
        <v>0.74586267508201165</v>
      </c>
      <c r="AT73" s="337">
        <f t="shared" si="62"/>
        <v>0.76990277150649533</v>
      </c>
      <c r="AU73" s="337">
        <f t="shared" si="62"/>
        <v>0.77405686805317475</v>
      </c>
      <c r="AV73" s="337">
        <f t="shared" si="62"/>
        <v>0.76644780492998732</v>
      </c>
      <c r="AW73" s="337">
        <f t="shared" si="62"/>
        <v>0.70241312157131797</v>
      </c>
      <c r="AX73" s="337">
        <f t="shared" si="62"/>
        <v>0.77243348067872308</v>
      </c>
      <c r="AY73" s="337">
        <f t="shared" si="62"/>
        <v>0.78665891731209248</v>
      </c>
      <c r="AZ73" s="337">
        <f t="shared" si="62"/>
        <v>0.74043701828854969</v>
      </c>
      <c r="BA73" s="337">
        <f t="shared" si="62"/>
        <v>0.74365242623867223</v>
      </c>
      <c r="BB73" s="337">
        <f t="shared" si="62"/>
        <v>0.73947782669298956</v>
      </c>
      <c r="BC73" s="337">
        <f t="shared" si="62"/>
        <v>0.76189571946373946</v>
      </c>
      <c r="BD73" s="337">
        <f t="shared" si="62"/>
        <v>0.77660160085943453</v>
      </c>
      <c r="BE73" s="337">
        <f t="shared" si="62"/>
        <v>0.78418525893954649</v>
      </c>
      <c r="BF73" s="337">
        <f t="shared" si="62"/>
        <v>0.7930260855423904</v>
      </c>
      <c r="BG73" s="337">
        <f t="shared" si="62"/>
        <v>0.7944465032291429</v>
      </c>
      <c r="BH73" s="337">
        <f t="shared" si="62"/>
        <v>0.81261518904229091</v>
      </c>
      <c r="BI73" s="337">
        <f t="shared" si="62"/>
        <v>0.81905875534184258</v>
      </c>
      <c r="BJ73" s="337" t="e">
        <f t="shared" si="62"/>
        <v>#VALUE!</v>
      </c>
      <c r="BK73" s="337">
        <f t="shared" si="62"/>
        <v>0.82186820021933327</v>
      </c>
      <c r="BL73" s="337">
        <f t="shared" si="62"/>
        <v>0.80646275408353219</v>
      </c>
      <c r="BM73" s="337">
        <f t="shared" si="62"/>
        <v>0.8327284114250052</v>
      </c>
      <c r="BN73" s="337">
        <f t="shared" si="62"/>
        <v>0.81738158303072583</v>
      </c>
      <c r="BO73" s="337">
        <f t="shared" si="62"/>
        <v>0.81155174672536567</v>
      </c>
      <c r="BP73" s="337">
        <f t="shared" si="62"/>
        <v>0.79774386542455233</v>
      </c>
      <c r="BQ73" s="336">
        <f t="shared" si="62"/>
        <v>0.80484158910338754</v>
      </c>
      <c r="BR73" s="337">
        <f t="shared" si="62"/>
        <v>0.78157201945579713</v>
      </c>
      <c r="BS73" s="336">
        <f t="shared" si="62"/>
        <v>0.76243809313079214</v>
      </c>
      <c r="BT73" s="336">
        <f t="shared" si="62"/>
        <v>0.80064614308643212</v>
      </c>
      <c r="BU73" s="336">
        <f t="shared" si="62"/>
        <v>0.77309783818660305</v>
      </c>
      <c r="BV73" s="336">
        <f t="shared" si="62"/>
        <v>0.78775090140401038</v>
      </c>
      <c r="BW73" s="336">
        <f t="shared" si="62"/>
        <v>0.80190665165749353</v>
      </c>
      <c r="BX73" s="336">
        <f t="shared" si="62"/>
        <v>0.75407384293074098</v>
      </c>
      <c r="BY73" s="336">
        <f t="shared" si="62"/>
        <v>0.77139748309332856</v>
      </c>
      <c r="BZ73" s="336">
        <f t="shared" si="62"/>
        <v>0.77542657492106648</v>
      </c>
      <c r="CA73" s="336">
        <f t="shared" si="62"/>
        <v>0.77686299488054689</v>
      </c>
      <c r="CB73" s="336">
        <f t="shared" ref="CB73:CI73" si="63">CB63/CB52</f>
        <v>0.79444988075202094</v>
      </c>
      <c r="CC73" s="336">
        <f t="shared" si="63"/>
        <v>0.68184589610310053</v>
      </c>
      <c r="CD73" s="336">
        <f t="shared" si="63"/>
        <v>0.71247455835956652</v>
      </c>
      <c r="CE73" s="336">
        <f t="shared" si="63"/>
        <v>0.73420568101853134</v>
      </c>
      <c r="CF73" s="336">
        <f t="shared" si="63"/>
        <v>0.72898167042560191</v>
      </c>
      <c r="CG73" s="337">
        <f t="shared" si="63"/>
        <v>0.72778138507696255</v>
      </c>
      <c r="CH73" s="337">
        <f t="shared" si="63"/>
        <v>0.75713930111002048</v>
      </c>
      <c r="CI73" s="337">
        <f t="shared" si="63"/>
        <v>0.74913182675814682</v>
      </c>
      <c r="CJ73" s="337">
        <f t="shared" ref="CJ73:CS73" si="64">CJ63/CJ52</f>
        <v>0.73029229848034627</v>
      </c>
      <c r="CK73" s="337">
        <f t="shared" si="64"/>
        <v>0.72278417626638991</v>
      </c>
      <c r="CL73" s="337">
        <f t="shared" si="64"/>
        <v>0.71370767402136503</v>
      </c>
      <c r="CM73" s="337">
        <f t="shared" si="64"/>
        <v>0.72662865734628068</v>
      </c>
      <c r="CN73" s="337">
        <f t="shared" si="64"/>
        <v>0.72089599796795611</v>
      </c>
      <c r="CO73" s="337">
        <f t="shared" si="64"/>
        <v>0.71865517167341997</v>
      </c>
      <c r="CP73" s="337">
        <f t="shared" si="64"/>
        <v>0.4105691733626487</v>
      </c>
      <c r="CQ73" s="337">
        <f t="shared" si="64"/>
        <v>0.41757074995496263</v>
      </c>
      <c r="CR73" s="337">
        <f t="shared" si="64"/>
        <v>0.42914915155923622</v>
      </c>
      <c r="CS73" s="337">
        <f t="shared" si="64"/>
        <v>0.42191774692792711</v>
      </c>
      <c r="CT73" s="337">
        <f t="shared" ref="CT73:CU73" si="65">CT63/CT52</f>
        <v>0.43248476281943399</v>
      </c>
      <c r="CU73" s="337">
        <f t="shared" si="65"/>
        <v>0.42899289654633233</v>
      </c>
      <c r="CV73" s="337">
        <f>CV63/CV52</f>
        <v>0.41638735503337387</v>
      </c>
      <c r="CW73" s="556">
        <f>CW63/CW52</f>
        <v>0.41970865091979315</v>
      </c>
    </row>
    <row r="74" spans="2:101" x14ac:dyDescent="0.35">
      <c r="BP74"/>
      <c r="CW74" s="384"/>
    </row>
    <row r="75" spans="2:101" x14ac:dyDescent="0.35">
      <c r="B75" s="327" t="s">
        <v>212</v>
      </c>
      <c r="C75" s="327"/>
      <c r="D75" s="70">
        <v>43101</v>
      </c>
      <c r="E75" s="70">
        <v>43132</v>
      </c>
      <c r="F75" s="70">
        <v>43160</v>
      </c>
      <c r="G75" s="70">
        <v>43191</v>
      </c>
      <c r="H75" s="70">
        <v>43221</v>
      </c>
      <c r="I75" s="70">
        <v>43252</v>
      </c>
      <c r="J75" s="70">
        <v>43282</v>
      </c>
      <c r="K75" s="70">
        <v>43313</v>
      </c>
      <c r="L75" s="70">
        <v>43344</v>
      </c>
      <c r="M75" s="70">
        <v>43374</v>
      </c>
      <c r="N75" s="70">
        <v>43405</v>
      </c>
      <c r="O75" s="70">
        <v>43435</v>
      </c>
      <c r="P75" s="70">
        <v>43466</v>
      </c>
      <c r="Q75" s="70">
        <v>43497</v>
      </c>
      <c r="R75" s="70">
        <v>43525</v>
      </c>
      <c r="S75" s="70">
        <v>43556</v>
      </c>
      <c r="T75" s="70">
        <v>43586</v>
      </c>
      <c r="U75" s="70">
        <v>43617</v>
      </c>
      <c r="V75" s="70">
        <v>43647</v>
      </c>
      <c r="W75" s="70">
        <v>43678</v>
      </c>
      <c r="X75" s="70">
        <v>43709</v>
      </c>
      <c r="Y75" s="70">
        <v>43739</v>
      </c>
      <c r="Z75" s="70">
        <v>43770</v>
      </c>
      <c r="AA75" s="70">
        <v>43800</v>
      </c>
      <c r="AB75" s="70">
        <v>43831</v>
      </c>
      <c r="AC75" s="70">
        <v>43862</v>
      </c>
      <c r="AD75" s="70">
        <v>43891</v>
      </c>
      <c r="AE75" s="70">
        <v>43922</v>
      </c>
      <c r="AF75" s="70">
        <v>43952</v>
      </c>
      <c r="AG75" s="70">
        <v>43983</v>
      </c>
      <c r="AH75" s="70">
        <v>44013</v>
      </c>
      <c r="AI75" s="70">
        <v>44044</v>
      </c>
      <c r="AJ75" s="70">
        <v>44075</v>
      </c>
      <c r="AK75" s="70">
        <v>44105</v>
      </c>
      <c r="AL75" s="70">
        <v>44136</v>
      </c>
      <c r="AM75" s="70">
        <v>44166</v>
      </c>
      <c r="AN75" s="70">
        <v>44197</v>
      </c>
      <c r="AO75" s="70">
        <v>44228</v>
      </c>
      <c r="AP75" s="70">
        <v>44256</v>
      </c>
      <c r="AQ75" s="70">
        <v>44287</v>
      </c>
      <c r="AR75" s="70">
        <v>44317</v>
      </c>
      <c r="AS75" s="70">
        <v>44348</v>
      </c>
      <c r="AT75" s="70">
        <v>44378</v>
      </c>
      <c r="AU75" s="70">
        <v>44409</v>
      </c>
      <c r="AV75" s="70">
        <v>44440</v>
      </c>
      <c r="AW75" s="70">
        <v>44470</v>
      </c>
      <c r="AX75" s="70">
        <v>44501</v>
      </c>
      <c r="AY75" s="70">
        <v>44531</v>
      </c>
      <c r="AZ75" s="70">
        <v>44562</v>
      </c>
      <c r="BA75" s="70">
        <v>44593</v>
      </c>
      <c r="BB75" s="70">
        <v>44621</v>
      </c>
      <c r="BC75" s="70">
        <v>44652</v>
      </c>
      <c r="BD75" s="70">
        <v>44682</v>
      </c>
      <c r="BE75" s="70">
        <v>44713</v>
      </c>
      <c r="BF75" s="70">
        <v>44743</v>
      </c>
      <c r="BG75" s="70">
        <v>44774</v>
      </c>
      <c r="BH75" s="70">
        <v>44805</v>
      </c>
      <c r="BI75" s="70">
        <v>44835</v>
      </c>
      <c r="BJ75" s="70">
        <v>44866</v>
      </c>
      <c r="BK75" s="70">
        <v>44896</v>
      </c>
      <c r="BL75" s="70">
        <v>44927</v>
      </c>
      <c r="BM75" s="70">
        <v>44958</v>
      </c>
      <c r="BN75" s="70">
        <v>44986</v>
      </c>
      <c r="BO75" s="70">
        <v>45017</v>
      </c>
      <c r="BP75" s="69">
        <v>45047</v>
      </c>
      <c r="BQ75" s="69">
        <v>45078</v>
      </c>
      <c r="BR75" s="70">
        <v>45108</v>
      </c>
      <c r="BS75" s="70">
        <v>45139</v>
      </c>
      <c r="BT75" s="70">
        <v>45170</v>
      </c>
      <c r="BU75" s="70">
        <v>45200</v>
      </c>
      <c r="BV75" s="70">
        <v>45231</v>
      </c>
      <c r="BW75" s="70">
        <v>45261</v>
      </c>
      <c r="BX75" s="70">
        <v>45292</v>
      </c>
      <c r="BY75" s="70">
        <v>45323</v>
      </c>
      <c r="BZ75" s="70">
        <v>45352</v>
      </c>
      <c r="CA75" s="70">
        <v>45383</v>
      </c>
      <c r="CB75" s="70">
        <v>45413</v>
      </c>
      <c r="CC75" s="70">
        <v>45444</v>
      </c>
      <c r="CD75" s="70">
        <v>45474</v>
      </c>
      <c r="CE75" s="70">
        <v>45505</v>
      </c>
      <c r="CF75" s="70">
        <v>45536</v>
      </c>
      <c r="CG75" s="69">
        <v>45566</v>
      </c>
      <c r="CH75" s="69">
        <v>45597</v>
      </c>
      <c r="CI75" s="69">
        <v>45627</v>
      </c>
      <c r="CJ75" s="69">
        <v>45658</v>
      </c>
      <c r="CK75" s="70">
        <v>45689</v>
      </c>
      <c r="CL75" s="70">
        <v>45717</v>
      </c>
      <c r="CM75" s="70">
        <v>45748</v>
      </c>
      <c r="CN75" s="70">
        <v>45778</v>
      </c>
      <c r="CO75" s="70">
        <v>45809</v>
      </c>
      <c r="CP75" s="70">
        <v>45839</v>
      </c>
      <c r="CQ75" s="70">
        <v>45870</v>
      </c>
      <c r="CR75" s="70">
        <v>45901</v>
      </c>
      <c r="CS75" s="70">
        <v>45931</v>
      </c>
      <c r="CT75" s="70">
        <v>45962</v>
      </c>
      <c r="CU75" s="70">
        <v>45992</v>
      </c>
      <c r="CV75" s="70">
        <v>46023</v>
      </c>
      <c r="CW75" s="70">
        <v>46054</v>
      </c>
    </row>
    <row r="76" spans="2:101" s="328" customFormat="1" ht="6" customHeight="1" x14ac:dyDescent="0.35">
      <c r="B76" s="3"/>
      <c r="C76" s="3"/>
      <c r="D76" s="227"/>
      <c r="E76" s="227"/>
      <c r="F76" s="227"/>
      <c r="G76" s="329"/>
      <c r="H76" s="329"/>
      <c r="I76" s="227"/>
      <c r="J76" s="227"/>
      <c r="K76" s="227"/>
      <c r="L76" s="227"/>
      <c r="M76" s="227"/>
      <c r="N76" s="227"/>
      <c r="O76" s="227"/>
      <c r="P76" s="227"/>
      <c r="Q76" s="227"/>
      <c r="R76" s="227"/>
      <c r="S76" s="227"/>
      <c r="T76" s="227"/>
      <c r="U76" s="227"/>
      <c r="V76" s="227"/>
      <c r="W76" s="227"/>
      <c r="X76" s="227"/>
      <c r="Y76" s="227"/>
      <c r="Z76" s="227"/>
      <c r="AA76" s="227"/>
      <c r="AB76" s="227"/>
      <c r="AC76" s="227"/>
      <c r="AD76" s="227"/>
      <c r="AE76" s="227"/>
      <c r="AF76" s="227"/>
      <c r="AG76" s="227"/>
      <c r="AH76" s="227"/>
      <c r="AI76" s="227"/>
      <c r="AJ76" s="227"/>
      <c r="AK76" s="227"/>
      <c r="AL76" s="227"/>
      <c r="AM76" s="227"/>
      <c r="AN76" s="227"/>
      <c r="AO76" s="227"/>
      <c r="AP76" s="227"/>
      <c r="AQ76" s="227"/>
      <c r="AR76" s="227"/>
      <c r="AS76" s="227"/>
      <c r="AT76" s="227"/>
      <c r="AU76" s="227"/>
      <c r="AV76" s="227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 s="384"/>
    </row>
    <row r="77" spans="2:101" x14ac:dyDescent="0.35">
      <c r="C77" s="370" t="s">
        <v>25</v>
      </c>
      <c r="D77" s="335"/>
      <c r="E77" s="335"/>
      <c r="F77" s="335"/>
      <c r="G77" s="335">
        <f t="shared" ref="G77:BR80" si="66">G10/G46</f>
        <v>0.42021798604370514</v>
      </c>
      <c r="H77" s="335">
        <f t="shared" si="66"/>
        <v>0.4041656303829978</v>
      </c>
      <c r="I77" s="335">
        <f t="shared" si="66"/>
        <v>0.41531275743818924</v>
      </c>
      <c r="J77" s="335">
        <f t="shared" si="66"/>
        <v>0.39747286547431221</v>
      </c>
      <c r="K77" s="335">
        <f t="shared" si="66"/>
        <v>0.39648610361561498</v>
      </c>
      <c r="L77" s="335">
        <f t="shared" si="66"/>
        <v>0.43039574798385022</v>
      </c>
      <c r="M77" s="335">
        <f t="shared" si="66"/>
        <v>0.39361777237195211</v>
      </c>
      <c r="N77" s="335">
        <f t="shared" si="66"/>
        <v>0.40047486007075755</v>
      </c>
      <c r="O77" s="335">
        <f t="shared" si="66"/>
        <v>0.45003751492188282</v>
      </c>
      <c r="P77" s="335">
        <f t="shared" si="66"/>
        <v>0.45949158456795475</v>
      </c>
      <c r="Q77" s="335">
        <f t="shared" si="66"/>
        <v>0.48800415692628174</v>
      </c>
      <c r="R77" s="335">
        <f t="shared" si="66"/>
        <v>0.49109371933619972</v>
      </c>
      <c r="S77" s="335">
        <f t="shared" si="66"/>
        <v>0.4808391047301524</v>
      </c>
      <c r="T77" s="335">
        <f t="shared" si="66"/>
        <v>0.496278850352942</v>
      </c>
      <c r="U77" s="335">
        <f t="shared" si="66"/>
        <v>0.49742173777295751</v>
      </c>
      <c r="V77" s="335">
        <f t="shared" si="66"/>
        <v>0.4959482364559531</v>
      </c>
      <c r="W77" s="335">
        <f t="shared" si="66"/>
        <v>0.52327348606291091</v>
      </c>
      <c r="X77" s="335">
        <f t="shared" si="66"/>
        <v>0.50498992208914306</v>
      </c>
      <c r="Y77" s="335">
        <f t="shared" si="66"/>
        <v>0.51097048634810438</v>
      </c>
      <c r="Z77" s="335">
        <f t="shared" si="66"/>
        <v>0.5182932970230415</v>
      </c>
      <c r="AA77" s="335">
        <f t="shared" si="66"/>
        <v>0.48537826597987582</v>
      </c>
      <c r="AB77" s="335">
        <f t="shared" si="66"/>
        <v>0.38993687807801658</v>
      </c>
      <c r="AC77" s="335">
        <f t="shared" si="66"/>
        <v>0.37534496751953017</v>
      </c>
      <c r="AD77" s="335">
        <f t="shared" si="66"/>
        <v>0.39291593374580364</v>
      </c>
      <c r="AE77" s="335">
        <f t="shared" si="66"/>
        <v>0.38605387839501143</v>
      </c>
      <c r="AF77" s="335">
        <f t="shared" si="66"/>
        <v>0.36503603446031424</v>
      </c>
      <c r="AG77" s="335">
        <f t="shared" si="66"/>
        <v>0.36893991350890154</v>
      </c>
      <c r="AH77" s="335">
        <f t="shared" si="66"/>
        <v>0.37933283442908</v>
      </c>
      <c r="AI77" s="335">
        <f t="shared" si="66"/>
        <v>0.39108229895682028</v>
      </c>
      <c r="AJ77" s="335">
        <f t="shared" si="66"/>
        <v>0.38778212899547687</v>
      </c>
      <c r="AK77" s="335">
        <f t="shared" si="66"/>
        <v>0.40969557118536654</v>
      </c>
      <c r="AL77" s="335">
        <f t="shared" si="66"/>
        <v>0.41039895553314071</v>
      </c>
      <c r="AM77" s="335">
        <f t="shared" si="66"/>
        <v>0.41722887179443069</v>
      </c>
      <c r="AN77" s="335">
        <f t="shared" si="66"/>
        <v>0.5243988973466106</v>
      </c>
      <c r="AO77" s="335">
        <f t="shared" si="66"/>
        <v>0.53696910987964841</v>
      </c>
      <c r="AP77" s="335">
        <f t="shared" si="66"/>
        <v>0.54150527959226769</v>
      </c>
      <c r="AQ77" s="335">
        <f t="shared" si="66"/>
        <v>0.50866805508416357</v>
      </c>
      <c r="AR77" s="335">
        <f t="shared" si="66"/>
        <v>0.51854743584182073</v>
      </c>
      <c r="AS77" s="335">
        <f t="shared" si="66"/>
        <v>0.51379526514356599</v>
      </c>
      <c r="AT77" s="335">
        <f t="shared" si="66"/>
        <v>0.54097471700832556</v>
      </c>
      <c r="AU77" s="335">
        <f t="shared" si="66"/>
        <v>0.58868709001429165</v>
      </c>
      <c r="AV77" s="335">
        <f t="shared" si="66"/>
        <v>0.53912791394754123</v>
      </c>
      <c r="AW77" s="335">
        <f t="shared" si="66"/>
        <v>0.53860734757877571</v>
      </c>
      <c r="AX77" s="335">
        <f t="shared" si="66"/>
        <v>0.55565058141401724</v>
      </c>
      <c r="AY77" s="335">
        <f t="shared" si="66"/>
        <v>0.5619695302960972</v>
      </c>
      <c r="AZ77" s="335">
        <f t="shared" si="66"/>
        <v>0.37196291614613991</v>
      </c>
      <c r="BA77" s="335">
        <f t="shared" si="66"/>
        <v>0.36366029275988754</v>
      </c>
      <c r="BB77" s="335">
        <f t="shared" si="66"/>
        <v>0.37259856870412111</v>
      </c>
      <c r="BC77" s="335">
        <f t="shared" si="66"/>
        <v>0.36505403944061443</v>
      </c>
      <c r="BD77" s="335">
        <f t="shared" si="66"/>
        <v>0.37666645277609961</v>
      </c>
      <c r="BE77" s="335">
        <f t="shared" si="66"/>
        <v>0.38015166483002572</v>
      </c>
      <c r="BF77" s="335">
        <f t="shared" si="66"/>
        <v>0.37918496873431334</v>
      </c>
      <c r="BG77" s="335">
        <f t="shared" si="66"/>
        <v>0.36864650117158076</v>
      </c>
      <c r="BH77" s="335">
        <f t="shared" si="66"/>
        <v>0.394895639870042</v>
      </c>
      <c r="BI77" s="335">
        <f t="shared" si="66"/>
        <v>0.39875383665488973</v>
      </c>
      <c r="BJ77" s="335">
        <f t="shared" si="66"/>
        <v>0.4328664178156621</v>
      </c>
      <c r="BK77" s="335">
        <f t="shared" si="66"/>
        <v>0.4592822324784212</v>
      </c>
      <c r="BL77" s="335">
        <f t="shared" si="66"/>
        <v>0.6098785177274384</v>
      </c>
      <c r="BM77" s="335">
        <f t="shared" si="66"/>
        <v>0.62076810981912056</v>
      </c>
      <c r="BN77" s="335">
        <f t="shared" si="66"/>
        <v>0.62240696653657623</v>
      </c>
      <c r="BO77" s="335">
        <f t="shared" si="66"/>
        <v>0.60396188123575367</v>
      </c>
      <c r="BP77" s="335">
        <f t="shared" si="66"/>
        <v>0.5950760124405936</v>
      </c>
      <c r="BQ77" s="473">
        <f t="shared" si="66"/>
        <v>0.60542927938503688</v>
      </c>
      <c r="BR77" s="472">
        <f t="shared" si="66"/>
        <v>0.56787908542340759</v>
      </c>
      <c r="BS77" s="473">
        <f t="shared" ref="BS77:CL80" si="67">BS10/BS46</f>
        <v>0.56198215630782111</v>
      </c>
      <c r="BT77" s="473">
        <f t="shared" si="67"/>
        <v>0.58225568382033721</v>
      </c>
      <c r="BU77" s="473">
        <f t="shared" si="67"/>
        <v>0.58044562566977831</v>
      </c>
      <c r="BV77" s="473">
        <f t="shared" si="67"/>
        <v>0.58539178341959874</v>
      </c>
      <c r="BW77" s="473">
        <f t="shared" si="67"/>
        <v>0.57853981477726391</v>
      </c>
      <c r="BX77" s="473">
        <f t="shared" si="67"/>
        <v>0.56670595375273713</v>
      </c>
      <c r="BY77" s="473">
        <f t="shared" si="67"/>
        <v>0.58415374934304087</v>
      </c>
      <c r="BZ77" s="473">
        <f t="shared" si="67"/>
        <v>0.5878070940730451</v>
      </c>
      <c r="CA77" s="473">
        <f t="shared" si="67"/>
        <v>0.5753514553484691</v>
      </c>
      <c r="CB77" s="473">
        <f t="shared" si="67"/>
        <v>0.61747044039454868</v>
      </c>
      <c r="CC77" s="473">
        <f t="shared" si="67"/>
        <v>0.52824360832038986</v>
      </c>
      <c r="CD77" s="473">
        <f t="shared" si="67"/>
        <v>0.56192313496235147</v>
      </c>
      <c r="CE77" s="473">
        <f t="shared" si="67"/>
        <v>0.57856894474621057</v>
      </c>
      <c r="CF77" s="473">
        <f t="shared" si="67"/>
        <v>0.56607980645362188</v>
      </c>
      <c r="CG77" s="472">
        <f t="shared" si="67"/>
        <v>0.57033901082928029</v>
      </c>
      <c r="CH77" s="472">
        <f t="shared" si="67"/>
        <v>0.57514311090394032</v>
      </c>
      <c r="CI77" s="472">
        <f t="shared" si="67"/>
        <v>0.58041660224712943</v>
      </c>
      <c r="CJ77" s="472">
        <f t="shared" si="67"/>
        <v>0.57476250659573958</v>
      </c>
      <c r="CK77" s="472">
        <f t="shared" si="67"/>
        <v>0.57243826496472239</v>
      </c>
      <c r="CL77" s="472">
        <f t="shared" si="67"/>
        <v>0.58298532027933203</v>
      </c>
      <c r="CM77" s="472">
        <f t="shared" ref="CM77:CN80" si="68">CM10/CM46</f>
        <v>0.58105416727631165</v>
      </c>
      <c r="CN77" s="472">
        <f t="shared" si="68"/>
        <v>0.57742069209581826</v>
      </c>
      <c r="CO77" s="472">
        <f t="shared" ref="CO77:CS80" si="69">CO10/CO46</f>
        <v>0.57483445100774988</v>
      </c>
      <c r="CP77" s="472">
        <f t="shared" si="69"/>
        <v>0.57211359936419681</v>
      </c>
      <c r="CQ77" s="472">
        <f t="shared" si="69"/>
        <v>0.58351399269766646</v>
      </c>
      <c r="CR77" s="472">
        <f t="shared" si="69"/>
        <v>0.60150724530736854</v>
      </c>
      <c r="CS77" s="472">
        <f t="shared" si="69"/>
        <v>0.59282603706594006</v>
      </c>
      <c r="CT77" s="472">
        <f t="shared" ref="CT77:CU80" si="70">CT10/CT46</f>
        <v>0.60947764178984354</v>
      </c>
      <c r="CU77" s="472">
        <f t="shared" si="70"/>
        <v>0.61152533757331506</v>
      </c>
      <c r="CV77" s="472">
        <f t="shared" ref="CV77:CW80" si="71">CV10/CV46</f>
        <v>0.59027271787966551</v>
      </c>
      <c r="CW77" s="555">
        <f t="shared" si="71"/>
        <v>0.60221040158556383</v>
      </c>
    </row>
    <row r="78" spans="2:101" x14ac:dyDescent="0.35">
      <c r="C78" s="372" t="s">
        <v>26</v>
      </c>
      <c r="D78" s="335"/>
      <c r="E78" s="335"/>
      <c r="F78" s="335"/>
      <c r="G78" s="335">
        <f t="shared" si="66"/>
        <v>0</v>
      </c>
      <c r="H78" s="335">
        <f t="shared" si="66"/>
        <v>0</v>
      </c>
      <c r="I78" s="335">
        <f t="shared" si="66"/>
        <v>0</v>
      </c>
      <c r="J78" s="335">
        <f t="shared" si="66"/>
        <v>0</v>
      </c>
      <c r="K78" s="335">
        <f t="shared" si="66"/>
        <v>0</v>
      </c>
      <c r="L78" s="335">
        <f t="shared" si="66"/>
        <v>0</v>
      </c>
      <c r="M78" s="335">
        <f t="shared" si="66"/>
        <v>0</v>
      </c>
      <c r="N78" s="335">
        <f t="shared" si="66"/>
        <v>0</v>
      </c>
      <c r="O78" s="335">
        <f t="shared" si="66"/>
        <v>0</v>
      </c>
      <c r="P78" s="335">
        <f t="shared" si="66"/>
        <v>0</v>
      </c>
      <c r="Q78" s="335">
        <f t="shared" si="66"/>
        <v>0</v>
      </c>
      <c r="R78" s="335">
        <f t="shared" si="66"/>
        <v>0</v>
      </c>
      <c r="S78" s="335">
        <f t="shared" si="66"/>
        <v>0</v>
      </c>
      <c r="T78" s="335">
        <f t="shared" si="66"/>
        <v>0</v>
      </c>
      <c r="U78" s="335">
        <f t="shared" si="66"/>
        <v>1.2733500566640776</v>
      </c>
      <c r="V78" s="335">
        <f t="shared" si="66"/>
        <v>1.2541559593101641</v>
      </c>
      <c r="W78" s="335">
        <f t="shared" si="66"/>
        <v>1.249517894345765</v>
      </c>
      <c r="X78" s="335">
        <f t="shared" si="66"/>
        <v>1.1638896260189855</v>
      </c>
      <c r="Y78" s="335">
        <f t="shared" si="66"/>
        <v>1.0390104256903638</v>
      </c>
      <c r="Z78" s="335">
        <f t="shared" si="66"/>
        <v>0.88038611974439762</v>
      </c>
      <c r="AA78" s="335">
        <f t="shared" si="66"/>
        <v>0.85488340031582244</v>
      </c>
      <c r="AB78" s="335">
        <f t="shared" si="66"/>
        <v>575.54965446666665</v>
      </c>
      <c r="AC78" s="335">
        <f t="shared" si="66"/>
        <v>440.44182231132072</v>
      </c>
      <c r="AD78" s="335">
        <f t="shared" si="66"/>
        <v>453.74304191780823</v>
      </c>
      <c r="AE78" s="335">
        <f t="shared" si="66"/>
        <v>426.54238127659573</v>
      </c>
      <c r="AF78" s="335">
        <f t="shared" si="66"/>
        <v>199.07732446183954</v>
      </c>
      <c r="AG78" s="335">
        <f t="shared" si="66"/>
        <v>185.19023123844732</v>
      </c>
      <c r="AH78" s="335">
        <f t="shared" si="66"/>
        <v>165.51174600938967</v>
      </c>
      <c r="AI78" s="335">
        <f t="shared" si="66"/>
        <v>112.16517141327623</v>
      </c>
      <c r="AJ78" s="335">
        <f t="shared" si="66"/>
        <v>85.110978977272723</v>
      </c>
      <c r="AK78" s="335">
        <f t="shared" si="66"/>
        <v>49.064361176470584</v>
      </c>
      <c r="AL78" s="335">
        <f t="shared" si="66"/>
        <v>123.13285493562232</v>
      </c>
      <c r="AM78" s="335">
        <f t="shared" si="66"/>
        <v>30.983326132686084</v>
      </c>
      <c r="AN78" s="335">
        <f t="shared" si="66"/>
        <v>0.71469479366648292</v>
      </c>
      <c r="AO78" s="335">
        <f t="shared" si="66"/>
        <v>0.72214432350908064</v>
      </c>
      <c r="AP78" s="335">
        <f t="shared" si="66"/>
        <v>0.71266171288551117</v>
      </c>
      <c r="AQ78" s="335">
        <f t="shared" si="66"/>
        <v>0.6958646479769014</v>
      </c>
      <c r="AR78" s="335">
        <f t="shared" si="66"/>
        <v>0.67775081604632903</v>
      </c>
      <c r="AS78" s="335">
        <f t="shared" si="66"/>
        <v>0.62807243995761985</v>
      </c>
      <c r="AT78" s="335">
        <f t="shared" si="66"/>
        <v>0.62051117171666625</v>
      </c>
      <c r="AU78" s="335">
        <f t="shared" si="66"/>
        <v>0.49529494529229068</v>
      </c>
      <c r="AV78" s="335">
        <f t="shared" si="66"/>
        <v>0.52862788943499417</v>
      </c>
      <c r="AW78" s="335">
        <f t="shared" si="66"/>
        <v>0.41792352074976802</v>
      </c>
      <c r="AX78" s="335">
        <f t="shared" si="66"/>
        <v>0.56404078133269187</v>
      </c>
      <c r="AY78" s="335">
        <f t="shared" si="66"/>
        <v>0.55085008702318317</v>
      </c>
      <c r="AZ78" s="335">
        <f t="shared" si="66"/>
        <v>2.2906902225200061</v>
      </c>
      <c r="BA78" s="335">
        <f t="shared" si="66"/>
        <v>2.1974267767696394</v>
      </c>
      <c r="BB78" s="335">
        <f t="shared" si="66"/>
        <v>2.1555864780912239</v>
      </c>
      <c r="BC78" s="335">
        <f t="shared" si="66"/>
        <v>2.1198813138254518</v>
      </c>
      <c r="BD78" s="335">
        <f t="shared" si="66"/>
        <v>1.9468049967416983</v>
      </c>
      <c r="BE78" s="335">
        <f t="shared" si="66"/>
        <v>1.8362145733158179</v>
      </c>
      <c r="BF78" s="335">
        <f t="shared" si="66"/>
        <v>1.7529933356016052</v>
      </c>
      <c r="BG78" s="335">
        <f t="shared" si="66"/>
        <v>1.6524541856003232</v>
      </c>
      <c r="BH78" s="335">
        <f t="shared" si="66"/>
        <v>1.6619614423184306</v>
      </c>
      <c r="BI78" s="335">
        <f t="shared" si="66"/>
        <v>1.7631449036398608</v>
      </c>
      <c r="BJ78" s="335">
        <f t="shared" si="66"/>
        <v>1.3956745458438777</v>
      </c>
      <c r="BK78" s="335">
        <f t="shared" si="66"/>
        <v>1.1288279888808026</v>
      </c>
      <c r="BL78" s="335">
        <f t="shared" si="66"/>
        <v>6.9077853180158577</v>
      </c>
      <c r="BM78" s="335">
        <f t="shared" si="66"/>
        <v>6.3615989936417758</v>
      </c>
      <c r="BN78" s="335">
        <f t="shared" si="66"/>
        <v>6.39683784309271</v>
      </c>
      <c r="BO78" s="335">
        <f t="shared" si="66"/>
        <v>6.1612131903518046</v>
      </c>
      <c r="BP78" s="335">
        <f t="shared" si="66"/>
        <v>6.1322337193299061</v>
      </c>
      <c r="BQ78" s="473">
        <f t="shared" si="66"/>
        <v>65.546888314227587</v>
      </c>
      <c r="BR78" s="472">
        <f t="shared" si="66"/>
        <v>20.056873820684192</v>
      </c>
      <c r="BS78" s="473">
        <f t="shared" si="67"/>
        <v>8.5776380243009065</v>
      </c>
      <c r="BT78" s="473">
        <f t="shared" si="67"/>
        <v>17.853945409429283</v>
      </c>
      <c r="BU78" s="473">
        <f t="shared" si="67"/>
        <v>23.872218045112778</v>
      </c>
      <c r="BV78" s="473">
        <f t="shared" si="67"/>
        <v>22.72166652275531</v>
      </c>
      <c r="BW78" s="473">
        <f t="shared" si="67"/>
        <v>35.530531081355683</v>
      </c>
      <c r="BX78" s="473">
        <f t="shared" si="67"/>
        <v>21.308867872558835</v>
      </c>
      <c r="BY78" s="473">
        <f t="shared" si="67"/>
        <v>24.675406597485559</v>
      </c>
      <c r="BZ78" s="473">
        <f t="shared" si="67"/>
        <v>25.769897074227185</v>
      </c>
      <c r="CA78" s="473">
        <f t="shared" si="67"/>
        <v>27.107661177281276</v>
      </c>
      <c r="CB78" s="473">
        <f t="shared" si="67"/>
        <v>19.499113675912181</v>
      </c>
      <c r="CC78" s="473">
        <f t="shared" si="67"/>
        <v>23.199452124498517</v>
      </c>
      <c r="CD78" s="473">
        <f t="shared" si="67"/>
        <v>12.441964749065185</v>
      </c>
      <c r="CE78" s="473">
        <f t="shared" si="67"/>
        <v>8.5660602911009498</v>
      </c>
      <c r="CF78" s="473">
        <f t="shared" si="67"/>
        <v>6.4383629881374524</v>
      </c>
      <c r="CG78" s="472">
        <f t="shared" si="67"/>
        <v>3.403689063980841</v>
      </c>
      <c r="CH78" s="472">
        <f t="shared" si="67"/>
        <v>4.0126418645260635</v>
      </c>
      <c r="CI78" s="472">
        <f t="shared" si="67"/>
        <v>1.4628663820118575</v>
      </c>
      <c r="CJ78" s="472">
        <f t="shared" si="67"/>
        <v>9.151492873361762E-2</v>
      </c>
      <c r="CK78" s="472">
        <f t="shared" si="67"/>
        <v>0.13935851657034717</v>
      </c>
      <c r="CL78" s="472">
        <f t="shared" si="67"/>
        <v>0.18679248314633071</v>
      </c>
      <c r="CM78" s="472">
        <f t="shared" ref="CM78" si="72">CM11/CM47</f>
        <v>0.17659662935519529</v>
      </c>
      <c r="CN78" s="472">
        <f t="shared" si="68"/>
        <v>0.18882919950585006</v>
      </c>
      <c r="CO78" s="472">
        <f t="shared" si="69"/>
        <v>0.1797022155128056</v>
      </c>
      <c r="CP78" s="472">
        <f t="shared" si="69"/>
        <v>0.1750103029222195</v>
      </c>
      <c r="CQ78" s="472">
        <f t="shared" si="69"/>
        <v>0.16659070032720352</v>
      </c>
      <c r="CR78" s="472">
        <f t="shared" si="69"/>
        <v>0.16442820767218022</v>
      </c>
      <c r="CS78" s="472">
        <f t="shared" si="69"/>
        <v>0.1834494342972483</v>
      </c>
      <c r="CT78" s="472">
        <f t="shared" ref="CT78" si="73">CT11/CT47</f>
        <v>0.18145898194505089</v>
      </c>
      <c r="CU78" s="472">
        <f t="shared" si="70"/>
        <v>0.16039097729977381</v>
      </c>
      <c r="CV78" s="472">
        <f t="shared" si="71"/>
        <v>0.15744519915753291</v>
      </c>
      <c r="CW78" s="555">
        <f t="shared" si="71"/>
        <v>0.14836730123591732</v>
      </c>
    </row>
    <row r="79" spans="2:101" x14ac:dyDescent="0.35">
      <c r="C79" s="372" t="s">
        <v>27</v>
      </c>
      <c r="D79" s="335"/>
      <c r="E79" s="335"/>
      <c r="F79" s="335"/>
      <c r="G79" s="335">
        <f t="shared" si="66"/>
        <v>1.1525859688562581</v>
      </c>
      <c r="H79" s="335">
        <f t="shared" si="66"/>
        <v>1.1767413369411452</v>
      </c>
      <c r="I79" s="335">
        <f t="shared" si="66"/>
        <v>1.0757896061078598</v>
      </c>
      <c r="J79" s="335">
        <f t="shared" si="66"/>
        <v>1.1013359925496604</v>
      </c>
      <c r="K79" s="335">
        <f t="shared" si="66"/>
        <v>1.0307519376120966</v>
      </c>
      <c r="L79" s="335">
        <f t="shared" si="66"/>
        <v>1.0864676143340926</v>
      </c>
      <c r="M79" s="335">
        <f t="shared" si="66"/>
        <v>1.0138509683198818</v>
      </c>
      <c r="N79" s="335">
        <f t="shared" si="66"/>
        <v>1.0089961594767627</v>
      </c>
      <c r="O79" s="335">
        <f t="shared" si="66"/>
        <v>1.0867139650436413</v>
      </c>
      <c r="P79" s="335">
        <f t="shared" si="66"/>
        <v>1.0907749852637052</v>
      </c>
      <c r="Q79" s="335">
        <f t="shared" si="66"/>
        <v>1.1108483264207731</v>
      </c>
      <c r="R79" s="335">
        <f t="shared" si="66"/>
        <v>1.1032074043686444</v>
      </c>
      <c r="S79" s="335">
        <f t="shared" si="66"/>
        <v>1.0967130801023193</v>
      </c>
      <c r="T79" s="335">
        <f t="shared" si="66"/>
        <v>1.0508715514313283</v>
      </c>
      <c r="U79" s="335">
        <f t="shared" si="66"/>
        <v>1.0503622703010675</v>
      </c>
      <c r="V79" s="335">
        <f t="shared" si="66"/>
        <v>1.0705222709501607</v>
      </c>
      <c r="W79" s="335">
        <f t="shared" si="66"/>
        <v>1.0771186996143964</v>
      </c>
      <c r="X79" s="335">
        <f t="shared" si="66"/>
        <v>1.0808031990163909</v>
      </c>
      <c r="Y79" s="335">
        <f t="shared" si="66"/>
        <v>1.0950070430061436</v>
      </c>
      <c r="Z79" s="335">
        <f t="shared" si="66"/>
        <v>1.0752487406414704</v>
      </c>
      <c r="AA79" s="335">
        <f t="shared" si="66"/>
        <v>1.1235904599457662</v>
      </c>
      <c r="AB79" s="335">
        <f t="shared" si="66"/>
        <v>1.3250176574746626</v>
      </c>
      <c r="AC79" s="335">
        <f t="shared" si="66"/>
        <v>1.3476597682652076</v>
      </c>
      <c r="AD79" s="335">
        <f t="shared" si="66"/>
        <v>1.4093159737521244</v>
      </c>
      <c r="AE79" s="335">
        <f t="shared" si="66"/>
        <v>1.4007173912365669</v>
      </c>
      <c r="AF79" s="335">
        <f t="shared" si="66"/>
        <v>1.381402528275385</v>
      </c>
      <c r="AG79" s="335">
        <f t="shared" si="66"/>
        <v>1.3894497591405119</v>
      </c>
      <c r="AH79" s="335">
        <f t="shared" si="66"/>
        <v>1.5207250027959827</v>
      </c>
      <c r="AI79" s="335">
        <f t="shared" si="66"/>
        <v>1.4300506602673904</v>
      </c>
      <c r="AJ79" s="335">
        <f t="shared" si="66"/>
        <v>1.4876918875849494</v>
      </c>
      <c r="AK79" s="335">
        <f t="shared" si="66"/>
        <v>1.4541219661225404</v>
      </c>
      <c r="AL79" s="335">
        <f t="shared" si="66"/>
        <v>1.5087477670207872</v>
      </c>
      <c r="AM79" s="335">
        <f t="shared" si="66"/>
        <v>1.3063141378631216</v>
      </c>
      <c r="AN79" s="335">
        <f t="shared" si="66"/>
        <v>1.1074475575576856</v>
      </c>
      <c r="AO79" s="335">
        <f t="shared" si="66"/>
        <v>1.1196848097239773</v>
      </c>
      <c r="AP79" s="335">
        <f t="shared" si="66"/>
        <v>0.99088031228943441</v>
      </c>
      <c r="AQ79" s="335">
        <f t="shared" si="66"/>
        <v>1.057322228209354</v>
      </c>
      <c r="AR79" s="335">
        <f t="shared" si="66"/>
        <v>1.0954781702052965</v>
      </c>
      <c r="AS79" s="335">
        <f t="shared" si="66"/>
        <v>1.0815891492563565</v>
      </c>
      <c r="AT79" s="335">
        <f t="shared" si="66"/>
        <v>1.1278253166164101</v>
      </c>
      <c r="AU79" s="335">
        <f t="shared" si="66"/>
        <v>1.1561860279638432</v>
      </c>
      <c r="AV79" s="335">
        <f t="shared" si="66"/>
        <v>1.1122384780039867</v>
      </c>
      <c r="AW79" s="335">
        <f t="shared" si="66"/>
        <v>1.1576823552777209</v>
      </c>
      <c r="AX79" s="335">
        <f t="shared" si="66"/>
        <v>1.1606114694766387</v>
      </c>
      <c r="AY79" s="335">
        <f t="shared" si="66"/>
        <v>1.147990566390406</v>
      </c>
      <c r="AZ79" s="335">
        <f t="shared" si="66"/>
        <v>1.6789892510250168</v>
      </c>
      <c r="BA79" s="335">
        <f t="shared" si="66"/>
        <v>1.7200696432317832</v>
      </c>
      <c r="BB79" s="335">
        <f t="shared" si="66"/>
        <v>1.7501395972191569</v>
      </c>
      <c r="BC79" s="335">
        <f t="shared" si="66"/>
        <v>1.7696860743562144</v>
      </c>
      <c r="BD79" s="335">
        <f t="shared" si="66"/>
        <v>1.5730056374524648</v>
      </c>
      <c r="BE79" s="335">
        <f t="shared" si="66"/>
        <v>1.7437008942912957</v>
      </c>
      <c r="BF79" s="335">
        <f t="shared" si="66"/>
        <v>1.7861603832394517</v>
      </c>
      <c r="BG79" s="335">
        <f t="shared" si="66"/>
        <v>1.6710042454567113</v>
      </c>
      <c r="BH79" s="335">
        <f t="shared" si="66"/>
        <v>1.5597741467905175</v>
      </c>
      <c r="BI79" s="335">
        <f t="shared" si="66"/>
        <v>1.6945367560238414</v>
      </c>
      <c r="BJ79" s="335">
        <f t="shared" si="66"/>
        <v>1.6837939471821139</v>
      </c>
      <c r="BK79" s="335">
        <f t="shared" si="66"/>
        <v>1.5690952266428457</v>
      </c>
      <c r="BL79" s="335">
        <f t="shared" si="66"/>
        <v>1.1834242587479593</v>
      </c>
      <c r="BM79" s="335">
        <f t="shared" si="66"/>
        <v>1.2057538850126315</v>
      </c>
      <c r="BN79" s="335">
        <f t="shared" si="66"/>
        <v>1.1800694133515752</v>
      </c>
      <c r="BO79" s="335">
        <f t="shared" si="66"/>
        <v>1.1983638468142943</v>
      </c>
      <c r="BP79" s="335">
        <f t="shared" si="66"/>
        <v>1.2573721662842641</v>
      </c>
      <c r="BQ79" s="473">
        <f t="shared" si="66"/>
        <v>1.180778165011406</v>
      </c>
      <c r="BR79" s="472">
        <f t="shared" si="66"/>
        <v>1.1958635625052756</v>
      </c>
      <c r="BS79" s="473">
        <f t="shared" si="67"/>
        <v>1.1987093002214351</v>
      </c>
      <c r="BT79" s="473">
        <f t="shared" si="67"/>
        <v>1.1536405877884022</v>
      </c>
      <c r="BU79" s="473">
        <f t="shared" si="67"/>
        <v>1.1669086632651979</v>
      </c>
      <c r="BV79" s="473">
        <f t="shared" si="67"/>
        <v>1.1436408123155004</v>
      </c>
      <c r="BW79" s="473">
        <f t="shared" si="67"/>
        <v>1.1255270466519371</v>
      </c>
      <c r="BX79" s="473">
        <f t="shared" si="67"/>
        <v>1.1672377402429235</v>
      </c>
      <c r="BY79" s="473">
        <f t="shared" si="67"/>
        <v>1.1654194000276115</v>
      </c>
      <c r="BZ79" s="473">
        <f t="shared" si="67"/>
        <v>1.0525445233230779</v>
      </c>
      <c r="CA79" s="473">
        <f t="shared" si="67"/>
        <v>1.1058968952858139</v>
      </c>
      <c r="CB79" s="473">
        <f t="shared" si="67"/>
        <v>1.111123127231775</v>
      </c>
      <c r="CC79" s="473">
        <f t="shared" si="67"/>
        <v>1.0853845740956658</v>
      </c>
      <c r="CD79" s="473">
        <f t="shared" si="67"/>
        <v>1.0901572021795169</v>
      </c>
      <c r="CE79" s="473">
        <f t="shared" si="67"/>
        <v>1.0913646359975613</v>
      </c>
      <c r="CF79" s="473">
        <f t="shared" si="67"/>
        <v>1.0881695175202328</v>
      </c>
      <c r="CG79" s="472">
        <f t="shared" si="67"/>
        <v>1.082944568285914</v>
      </c>
      <c r="CH79" s="472">
        <f t="shared" si="67"/>
        <v>1.0904930053450754</v>
      </c>
      <c r="CI79" s="472">
        <f t="shared" si="67"/>
        <v>1.0986445575755552</v>
      </c>
      <c r="CJ79" s="472">
        <f t="shared" si="67"/>
        <v>1.1004003469103789</v>
      </c>
      <c r="CK79" s="472">
        <f t="shared" si="67"/>
        <v>1.0777267297878541</v>
      </c>
      <c r="CL79" s="472">
        <f t="shared" si="67"/>
        <v>1.0692350181300394</v>
      </c>
      <c r="CM79" s="472">
        <f t="shared" ref="CM79" si="74">CM12/CM48</f>
        <v>1.1292693702965328</v>
      </c>
      <c r="CN79" s="472">
        <f t="shared" si="68"/>
        <v>1.1266073180473279</v>
      </c>
      <c r="CO79" s="472">
        <f t="shared" si="69"/>
        <v>1.0998236228286997</v>
      </c>
      <c r="CP79" s="472">
        <f t="shared" si="69"/>
        <v>1.0949968246524839</v>
      </c>
      <c r="CQ79" s="472">
        <f t="shared" si="69"/>
        <v>1.0949347464604999</v>
      </c>
      <c r="CR79" s="472">
        <f t="shared" si="69"/>
        <v>1.0932231079917965</v>
      </c>
      <c r="CS79" s="472">
        <f t="shared" si="69"/>
        <v>1.1335980523026365</v>
      </c>
      <c r="CT79" s="472">
        <f t="shared" ref="CT79" si="75">CT12/CT48</f>
        <v>1.0624502872510122</v>
      </c>
      <c r="CU79" s="472">
        <f t="shared" si="70"/>
        <v>1.1087989247592505</v>
      </c>
      <c r="CV79" s="472">
        <f t="shared" si="71"/>
        <v>1.0826250386889706</v>
      </c>
      <c r="CW79" s="555">
        <f t="shared" si="71"/>
        <v>1.0788432228045772</v>
      </c>
    </row>
    <row r="80" spans="2:101" x14ac:dyDescent="0.35">
      <c r="C80" s="372" t="s">
        <v>28</v>
      </c>
      <c r="D80" s="335"/>
      <c r="E80" s="335"/>
      <c r="F80" s="335"/>
      <c r="G80" s="335">
        <f t="shared" si="66"/>
        <v>1.7337055964790886</v>
      </c>
      <c r="H80" s="335">
        <f t="shared" si="66"/>
        <v>1.6915671509112278</v>
      </c>
      <c r="I80" s="335">
        <f t="shared" si="66"/>
        <v>0.98808661040627377</v>
      </c>
      <c r="J80" s="335">
        <f t="shared" si="66"/>
        <v>1.5106706582106502</v>
      </c>
      <c r="K80" s="335">
        <f t="shared" si="66"/>
        <v>1.1871073127663971</v>
      </c>
      <c r="L80" s="335">
        <f t="shared" si="66"/>
        <v>1.2999119462253483</v>
      </c>
      <c r="M80" s="335">
        <f t="shared" si="66"/>
        <v>1.2173312195007768</v>
      </c>
      <c r="N80" s="335">
        <f t="shared" si="66"/>
        <v>1.2424114266138855</v>
      </c>
      <c r="O80" s="335">
        <f t="shared" si="66"/>
        <v>0.67469221032370541</v>
      </c>
      <c r="P80" s="335">
        <f t="shared" si="66"/>
        <v>1.1617278047826187</v>
      </c>
      <c r="Q80" s="335">
        <f t="shared" si="66"/>
        <v>1.4419960837267054</v>
      </c>
      <c r="R80" s="335">
        <f t="shared" si="66"/>
        <v>1.4442603261192097</v>
      </c>
      <c r="S80" s="335">
        <f t="shared" si="66"/>
        <v>1.4126094287778332</v>
      </c>
      <c r="T80" s="335">
        <f t="shared" si="66"/>
        <v>1.424885959121613</v>
      </c>
      <c r="U80" s="335">
        <f t="shared" si="66"/>
        <v>1.4492273495001999</v>
      </c>
      <c r="V80" s="335">
        <f t="shared" si="66"/>
        <v>1.574543233302709</v>
      </c>
      <c r="W80" s="335">
        <f t="shared" si="66"/>
        <v>1.5039018970015929</v>
      </c>
      <c r="X80" s="335">
        <f t="shared" si="66"/>
        <v>1.4300922994564969</v>
      </c>
      <c r="Y80" s="335">
        <f t="shared" si="66"/>
        <v>1.3929975146403923</v>
      </c>
      <c r="Z80" s="335">
        <f t="shared" si="66"/>
        <v>1.4080196323037681</v>
      </c>
      <c r="AA80" s="335">
        <f t="shared" si="66"/>
        <v>1.3362611526407453</v>
      </c>
      <c r="AB80" s="335">
        <f t="shared" si="66"/>
        <v>1.3662337002582507</v>
      </c>
      <c r="AC80" s="335">
        <f t="shared" si="66"/>
        <v>1.3371810820121752</v>
      </c>
      <c r="AD80" s="335">
        <f t="shared" si="66"/>
        <v>1.2360530283224753</v>
      </c>
      <c r="AE80" s="335">
        <f t="shared" si="66"/>
        <v>1.1052191625572576</v>
      </c>
      <c r="AF80" s="335">
        <f t="shared" si="66"/>
        <v>1.0955162543684542</v>
      </c>
      <c r="AG80" s="335">
        <f t="shared" si="66"/>
        <v>1.1173674197640018</v>
      </c>
      <c r="AH80" s="335">
        <f t="shared" si="66"/>
        <v>1.0235101329622833</v>
      </c>
      <c r="AI80" s="335">
        <f t="shared" si="66"/>
        <v>0.96410090895826039</v>
      </c>
      <c r="AJ80" s="335">
        <f t="shared" si="66"/>
        <v>0.93633657425562744</v>
      </c>
      <c r="AK80" s="335">
        <f t="shared" si="66"/>
        <v>0.89490521864317407</v>
      </c>
      <c r="AL80" s="335">
        <f t="shared" si="66"/>
        <v>0.84277886133679336</v>
      </c>
      <c r="AM80" s="335">
        <f t="shared" si="66"/>
        <v>0.8876856434858611</v>
      </c>
      <c r="AN80" s="335">
        <f t="shared" si="66"/>
        <v>0.94577346077151181</v>
      </c>
      <c r="AO80" s="335">
        <f t="shared" si="66"/>
        <v>0.91718899465086678</v>
      </c>
      <c r="AP80" s="335">
        <f t="shared" si="66"/>
        <v>0.88223475786717953</v>
      </c>
      <c r="AQ80" s="335">
        <f t="shared" si="66"/>
        <v>0.88927599838020355</v>
      </c>
      <c r="AR80" s="335">
        <f t="shared" si="66"/>
        <v>0.91870203235399817</v>
      </c>
      <c r="AS80" s="335">
        <f t="shared" si="66"/>
        <v>0.98380116999786038</v>
      </c>
      <c r="AT80" s="335">
        <f t="shared" si="66"/>
        <v>0.97434317352585698</v>
      </c>
      <c r="AU80" s="335">
        <f t="shared" si="66"/>
        <v>0.95124894601007626</v>
      </c>
      <c r="AV80" s="335">
        <f t="shared" si="66"/>
        <v>0.94853236458951617</v>
      </c>
      <c r="AW80" s="335">
        <f t="shared" si="66"/>
        <v>0.90160273666980673</v>
      </c>
      <c r="AX80" s="335">
        <f t="shared" si="66"/>
        <v>0.91075198503468424</v>
      </c>
      <c r="AY80" s="335">
        <f t="shared" si="66"/>
        <v>0.93530613946861341</v>
      </c>
      <c r="AZ80" s="335">
        <f t="shared" si="66"/>
        <v>0.88477683692357212</v>
      </c>
      <c r="BA80" s="335">
        <f t="shared" si="66"/>
        <v>0.94039585745609178</v>
      </c>
      <c r="BB80" s="335">
        <f t="shared" si="66"/>
        <v>0.99887883703926705</v>
      </c>
      <c r="BC80" s="335">
        <f t="shared" si="66"/>
        <v>1.076770048428312</v>
      </c>
      <c r="BD80" s="335">
        <f t="shared" si="66"/>
        <v>1.0780604664591282</v>
      </c>
      <c r="BE80" s="335">
        <f t="shared" si="66"/>
        <v>1.074818037169714</v>
      </c>
      <c r="BF80" s="335">
        <f t="shared" si="66"/>
        <v>1.0249797002454271</v>
      </c>
      <c r="BG80" s="335">
        <f t="shared" si="66"/>
        <v>1.0668240138929179</v>
      </c>
      <c r="BH80" s="335">
        <f t="shared" si="66"/>
        <v>1.1049631266088158</v>
      </c>
      <c r="BI80" s="335">
        <f t="shared" si="66"/>
        <v>1.0916097509899203</v>
      </c>
      <c r="BJ80" s="335">
        <f t="shared" si="66"/>
        <v>1.0424873602635989</v>
      </c>
      <c r="BK80" s="335">
        <f t="shared" si="66"/>
        <v>1.0094695753088445</v>
      </c>
      <c r="BL80" s="335">
        <f t="shared" si="66"/>
        <v>1.0163274798900177</v>
      </c>
      <c r="BM80" s="335">
        <f t="shared" si="66"/>
        <v>1.0450199355403009</v>
      </c>
      <c r="BN80" s="335">
        <f t="shared" si="66"/>
        <v>1.0315314259717596</v>
      </c>
      <c r="BO80" s="335">
        <f t="shared" si="66"/>
        <v>1.0392772527758816</v>
      </c>
      <c r="BP80" s="335">
        <f t="shared" si="66"/>
        <v>1.0445411834926073</v>
      </c>
      <c r="BQ80" s="473">
        <f t="shared" si="66"/>
        <v>1.0503449597127628</v>
      </c>
      <c r="BR80" s="472">
        <f t="shared" ref="BR80" si="76">BR13/BR49</f>
        <v>1.0488491272974276</v>
      </c>
      <c r="BS80" s="473">
        <f t="shared" si="67"/>
        <v>1.0451451989134632</v>
      </c>
      <c r="BT80" s="473">
        <f t="shared" si="67"/>
        <v>1.0549168144100634</v>
      </c>
      <c r="BU80" s="473">
        <f t="shared" si="67"/>
        <v>1.0373616020266603</v>
      </c>
      <c r="BV80" s="473">
        <f t="shared" si="67"/>
        <v>1.052260841729763</v>
      </c>
      <c r="BW80" s="473">
        <f t="shared" si="67"/>
        <v>1.0289473251817274</v>
      </c>
      <c r="BX80" s="473">
        <f t="shared" si="67"/>
        <v>1.0235218413672018</v>
      </c>
      <c r="BY80" s="473">
        <f t="shared" si="67"/>
        <v>1.0129120605351152</v>
      </c>
      <c r="BZ80" s="473">
        <f t="shared" si="67"/>
        <v>1.0060869961188601</v>
      </c>
      <c r="CA80" s="473">
        <f t="shared" si="67"/>
        <v>0.98779543155337868</v>
      </c>
      <c r="CB80" s="473">
        <f t="shared" si="67"/>
        <v>0.98347915886154647</v>
      </c>
      <c r="CC80" s="473">
        <f t="shared" si="67"/>
        <v>0.93748341072156927</v>
      </c>
      <c r="CD80" s="473">
        <f t="shared" si="67"/>
        <v>0.89426160347199568</v>
      </c>
      <c r="CE80" s="473">
        <f t="shared" si="67"/>
        <v>0.87164685863499825</v>
      </c>
      <c r="CF80" s="473">
        <f t="shared" si="67"/>
        <v>0.83647382120022773</v>
      </c>
      <c r="CG80" s="472">
        <f t="shared" si="67"/>
        <v>0.84041641162167402</v>
      </c>
      <c r="CH80" s="472">
        <f t="shared" si="67"/>
        <v>0.8212070767610663</v>
      </c>
      <c r="CI80" s="472">
        <f t="shared" si="67"/>
        <v>0.78273467202960367</v>
      </c>
      <c r="CJ80" s="472">
        <f t="shared" si="67"/>
        <v>0.8073436617172095</v>
      </c>
      <c r="CK80" s="472">
        <f t="shared" si="67"/>
        <v>0.83318729407555703</v>
      </c>
      <c r="CL80" s="472">
        <f t="shared" si="67"/>
        <v>0.74272654834869722</v>
      </c>
      <c r="CM80" s="472">
        <f t="shared" ref="CM80" si="77">CM13/CM49</f>
        <v>0.78590719690100208</v>
      </c>
      <c r="CN80" s="472">
        <f t="shared" si="68"/>
        <v>0.78775090582206075</v>
      </c>
      <c r="CO80" s="472">
        <f t="shared" si="69"/>
        <v>0.78986205778573415</v>
      </c>
      <c r="CP80" s="472">
        <f t="shared" si="69"/>
        <v>0.79149650738870747</v>
      </c>
      <c r="CQ80" s="472">
        <f t="shared" si="69"/>
        <v>0.80685046694622153</v>
      </c>
      <c r="CR80" s="472">
        <f t="shared" si="69"/>
        <v>0.81003760636736033</v>
      </c>
      <c r="CS80" s="472">
        <f t="shared" si="69"/>
        <v>0.81580704299920359</v>
      </c>
      <c r="CT80" s="472">
        <f t="shared" ref="CT80" si="78">CT13/CT49</f>
        <v>0.83512032286216298</v>
      </c>
      <c r="CU80" s="472">
        <f t="shared" si="70"/>
        <v>0.8018416628697107</v>
      </c>
      <c r="CV80" s="472">
        <f t="shared" si="71"/>
        <v>0.81115286085261418</v>
      </c>
      <c r="CW80" s="555">
        <f t="shared" si="71"/>
        <v>0.82762239446084174</v>
      </c>
    </row>
    <row r="81" spans="3:101" x14ac:dyDescent="0.35">
      <c r="C81" s="372" t="s">
        <v>185</v>
      </c>
      <c r="D81" s="102"/>
      <c r="E81" s="102"/>
      <c r="F81" s="102"/>
      <c r="G81" s="102">
        <f t="shared" ref="G81:BR81" si="79">IFERROR(G14/G50,0)</f>
        <v>0</v>
      </c>
      <c r="H81" s="102">
        <f t="shared" si="79"/>
        <v>0</v>
      </c>
      <c r="I81" s="102">
        <f t="shared" si="79"/>
        <v>0</v>
      </c>
      <c r="J81" s="102">
        <f t="shared" si="79"/>
        <v>0</v>
      </c>
      <c r="K81" s="102">
        <f t="shared" si="79"/>
        <v>0</v>
      </c>
      <c r="L81" s="102">
        <f t="shared" si="79"/>
        <v>0</v>
      </c>
      <c r="M81" s="102">
        <f t="shared" si="79"/>
        <v>0</v>
      </c>
      <c r="N81" s="102">
        <f t="shared" si="79"/>
        <v>0</v>
      </c>
      <c r="O81" s="102">
        <f t="shared" si="79"/>
        <v>0</v>
      </c>
      <c r="P81" s="102">
        <f t="shared" si="79"/>
        <v>0</v>
      </c>
      <c r="Q81" s="102">
        <f t="shared" si="79"/>
        <v>0</v>
      </c>
      <c r="R81" s="102">
        <f t="shared" si="79"/>
        <v>0</v>
      </c>
      <c r="S81" s="102">
        <f t="shared" si="79"/>
        <v>0</v>
      </c>
      <c r="T81" s="102">
        <f t="shared" si="79"/>
        <v>0</v>
      </c>
      <c r="U81" s="102">
        <f t="shared" si="79"/>
        <v>0</v>
      </c>
      <c r="V81" s="102">
        <f t="shared" si="79"/>
        <v>0</v>
      </c>
      <c r="W81" s="102">
        <f t="shared" si="79"/>
        <v>0</v>
      </c>
      <c r="X81" s="102">
        <f t="shared" si="79"/>
        <v>0</v>
      </c>
      <c r="Y81" s="102">
        <f t="shared" si="79"/>
        <v>0</v>
      </c>
      <c r="Z81" s="102">
        <f t="shared" si="79"/>
        <v>0</v>
      </c>
      <c r="AA81" s="102">
        <f t="shared" si="79"/>
        <v>0</v>
      </c>
      <c r="AB81" s="102">
        <f t="shared" si="79"/>
        <v>0</v>
      </c>
      <c r="AC81" s="102">
        <f t="shared" si="79"/>
        <v>0</v>
      </c>
      <c r="AD81" s="102">
        <f t="shared" si="79"/>
        <v>0</v>
      </c>
      <c r="AE81" s="102">
        <f t="shared" si="79"/>
        <v>0</v>
      </c>
      <c r="AF81" s="102">
        <f t="shared" si="79"/>
        <v>0</v>
      </c>
      <c r="AG81" s="102">
        <f t="shared" si="79"/>
        <v>0</v>
      </c>
      <c r="AH81" s="102">
        <f t="shared" si="79"/>
        <v>0</v>
      </c>
      <c r="AI81" s="102">
        <f t="shared" si="79"/>
        <v>0</v>
      </c>
      <c r="AJ81" s="102">
        <f t="shared" si="79"/>
        <v>0</v>
      </c>
      <c r="AK81" s="102">
        <f t="shared" si="79"/>
        <v>0</v>
      </c>
      <c r="AL81" s="102">
        <f t="shared" si="79"/>
        <v>0</v>
      </c>
      <c r="AM81" s="102">
        <f t="shared" si="79"/>
        <v>0</v>
      </c>
      <c r="AN81" s="102">
        <f t="shared" si="79"/>
        <v>0</v>
      </c>
      <c r="AO81" s="102">
        <f t="shared" si="79"/>
        <v>0</v>
      </c>
      <c r="AP81" s="102">
        <f t="shared" si="79"/>
        <v>0</v>
      </c>
      <c r="AQ81" s="102">
        <f t="shared" si="79"/>
        <v>0</v>
      </c>
      <c r="AR81" s="102">
        <f t="shared" si="79"/>
        <v>0</v>
      </c>
      <c r="AS81" s="102">
        <f t="shared" si="79"/>
        <v>0</v>
      </c>
      <c r="AT81" s="102">
        <f t="shared" si="79"/>
        <v>0</v>
      </c>
      <c r="AU81" s="102">
        <f t="shared" si="79"/>
        <v>0</v>
      </c>
      <c r="AV81" s="102">
        <f t="shared" si="79"/>
        <v>0</v>
      </c>
      <c r="AW81" s="102">
        <f t="shared" si="79"/>
        <v>0</v>
      </c>
      <c r="AX81" s="102">
        <f t="shared" si="79"/>
        <v>0</v>
      </c>
      <c r="AY81" s="102">
        <f t="shared" si="79"/>
        <v>0</v>
      </c>
      <c r="AZ81" s="102">
        <f t="shared" si="79"/>
        <v>0</v>
      </c>
      <c r="BA81" s="102">
        <f t="shared" si="79"/>
        <v>0</v>
      </c>
      <c r="BB81" s="102">
        <f t="shared" si="79"/>
        <v>0</v>
      </c>
      <c r="BC81" s="102">
        <f t="shared" si="79"/>
        <v>0</v>
      </c>
      <c r="BD81" s="102">
        <f t="shared" si="79"/>
        <v>0</v>
      </c>
      <c r="BE81" s="102">
        <f t="shared" si="79"/>
        <v>0</v>
      </c>
      <c r="BF81" s="102">
        <f t="shared" si="79"/>
        <v>0</v>
      </c>
      <c r="BG81" s="102">
        <f t="shared" si="79"/>
        <v>0</v>
      </c>
      <c r="BH81" s="102">
        <f t="shared" si="79"/>
        <v>0</v>
      </c>
      <c r="BI81" s="102">
        <f t="shared" si="79"/>
        <v>0</v>
      </c>
      <c r="BJ81" s="102">
        <f t="shared" si="79"/>
        <v>0</v>
      </c>
      <c r="BK81" s="102">
        <f t="shared" si="79"/>
        <v>0</v>
      </c>
      <c r="BL81" s="102">
        <f t="shared" si="79"/>
        <v>0</v>
      </c>
      <c r="BM81" s="102">
        <f t="shared" si="79"/>
        <v>0</v>
      </c>
      <c r="BN81" s="102">
        <f t="shared" si="79"/>
        <v>0</v>
      </c>
      <c r="BO81" s="102">
        <f t="shared" si="79"/>
        <v>0</v>
      </c>
      <c r="BP81" s="102">
        <f t="shared" si="79"/>
        <v>0</v>
      </c>
      <c r="BQ81" s="102">
        <f t="shared" si="79"/>
        <v>0</v>
      </c>
      <c r="BR81" s="102">
        <f t="shared" si="79"/>
        <v>0</v>
      </c>
      <c r="BS81" s="102">
        <f t="shared" ref="BS81:CI81" si="80">IFERROR(BS14/BS50,0)</f>
        <v>0</v>
      </c>
      <c r="BT81" s="102">
        <f t="shared" si="80"/>
        <v>0</v>
      </c>
      <c r="BU81" s="102">
        <f t="shared" si="80"/>
        <v>0</v>
      </c>
      <c r="BV81" s="102">
        <f t="shared" si="80"/>
        <v>0</v>
      </c>
      <c r="BW81" s="102">
        <f t="shared" si="80"/>
        <v>0</v>
      </c>
      <c r="BX81" s="102">
        <f t="shared" si="80"/>
        <v>0</v>
      </c>
      <c r="BY81" s="102">
        <f t="shared" si="80"/>
        <v>0</v>
      </c>
      <c r="BZ81" s="102">
        <f t="shared" si="80"/>
        <v>0</v>
      </c>
      <c r="CA81" s="102">
        <f t="shared" si="80"/>
        <v>0</v>
      </c>
      <c r="CB81" s="102">
        <f t="shared" si="80"/>
        <v>0</v>
      </c>
      <c r="CC81" s="102">
        <f t="shared" si="80"/>
        <v>0</v>
      </c>
      <c r="CD81" s="102">
        <f t="shared" si="80"/>
        <v>0</v>
      </c>
      <c r="CE81" s="102">
        <f t="shared" si="80"/>
        <v>0</v>
      </c>
      <c r="CF81" s="102">
        <f t="shared" si="80"/>
        <v>0</v>
      </c>
      <c r="CG81" s="102">
        <f t="shared" si="80"/>
        <v>0</v>
      </c>
      <c r="CH81" s="102">
        <f t="shared" si="80"/>
        <v>0</v>
      </c>
      <c r="CI81" s="102">
        <f t="shared" si="80"/>
        <v>0</v>
      </c>
      <c r="CJ81" s="102">
        <f t="shared" ref="CJ81:CS81" si="81">IFERROR(CJ14/CJ50,0)</f>
        <v>0</v>
      </c>
      <c r="CK81" s="102">
        <f t="shared" si="81"/>
        <v>0</v>
      </c>
      <c r="CL81" s="102">
        <f t="shared" si="81"/>
        <v>0</v>
      </c>
      <c r="CM81" s="102">
        <f t="shared" si="81"/>
        <v>0</v>
      </c>
      <c r="CN81" s="102">
        <f t="shared" si="81"/>
        <v>0</v>
      </c>
      <c r="CO81" s="102">
        <f t="shared" si="81"/>
        <v>0</v>
      </c>
      <c r="CP81" s="102">
        <f t="shared" si="81"/>
        <v>0</v>
      </c>
      <c r="CQ81" s="102">
        <f t="shared" si="81"/>
        <v>0</v>
      </c>
      <c r="CR81" s="102">
        <f t="shared" si="81"/>
        <v>0</v>
      </c>
      <c r="CS81" s="102">
        <f t="shared" si="81"/>
        <v>0</v>
      </c>
      <c r="CT81" s="102">
        <f t="shared" ref="CT81:CU81" si="82">IFERROR(CT14/CT50,0)</f>
        <v>0</v>
      </c>
      <c r="CU81" s="102">
        <f t="shared" si="82"/>
        <v>0</v>
      </c>
      <c r="CV81" s="102">
        <f>IFERROR(CV14/CV50,0)</f>
        <v>0</v>
      </c>
      <c r="CW81" s="519">
        <f>IFERROR(CW14/CW50,0)</f>
        <v>0</v>
      </c>
    </row>
    <row r="82" spans="3:101" x14ac:dyDescent="0.35">
      <c r="C82" s="372" t="s">
        <v>200</v>
      </c>
      <c r="D82" s="102"/>
      <c r="E82" s="102"/>
      <c r="F82" s="102"/>
      <c r="G82" s="102">
        <f>IFERROR(#REF!/G51,0)</f>
        <v>0</v>
      </c>
      <c r="H82" s="102">
        <f>IFERROR(#REF!/H51,0)</f>
        <v>0</v>
      </c>
      <c r="I82" s="102">
        <f>IFERROR(#REF!/I51,0)</f>
        <v>0</v>
      </c>
      <c r="J82" s="102">
        <f>IFERROR(#REF!/J51,0)</f>
        <v>0</v>
      </c>
      <c r="K82" s="102">
        <f>IFERROR(#REF!/K51,0)</f>
        <v>0</v>
      </c>
      <c r="L82" s="102">
        <f>IFERROR(#REF!/L51,0)</f>
        <v>0</v>
      </c>
      <c r="M82" s="102">
        <f>IFERROR(#REF!/M51,0)</f>
        <v>0</v>
      </c>
      <c r="N82" s="102">
        <f>IFERROR(#REF!/N51,0)</f>
        <v>0</v>
      </c>
      <c r="O82" s="102">
        <f>IFERROR(#REF!/O51,0)</f>
        <v>0</v>
      </c>
      <c r="P82" s="102">
        <f>IFERROR(#REF!/P51,0)</f>
        <v>0</v>
      </c>
      <c r="Q82" s="102">
        <f>IFERROR(#REF!/Q51,0)</f>
        <v>0</v>
      </c>
      <c r="R82" s="102">
        <f>IFERROR(#REF!/R51,0)</f>
        <v>0</v>
      </c>
      <c r="S82" s="102">
        <f>IFERROR(#REF!/S51,0)</f>
        <v>0</v>
      </c>
      <c r="T82" s="102">
        <f>IFERROR(#REF!/T51,0)</f>
        <v>0</v>
      </c>
      <c r="U82" s="102">
        <f>IFERROR(#REF!/U51,0)</f>
        <v>0</v>
      </c>
      <c r="V82" s="102">
        <f>IFERROR(#REF!/V51,0)</f>
        <v>0</v>
      </c>
      <c r="W82" s="102">
        <f>IFERROR(#REF!/W51,0)</f>
        <v>0</v>
      </c>
      <c r="X82" s="102">
        <f>IFERROR(#REF!/X51,0)</f>
        <v>0</v>
      </c>
      <c r="Y82" s="102">
        <f>IFERROR(#REF!/Y51,0)</f>
        <v>0</v>
      </c>
      <c r="Z82" s="102">
        <f>IFERROR(#REF!/Z51,0)</f>
        <v>0</v>
      </c>
      <c r="AA82" s="102">
        <f>IFERROR(#REF!/AA51,0)</f>
        <v>0</v>
      </c>
      <c r="AB82" s="102">
        <f>IFERROR(#REF!/AB51,0)</f>
        <v>0</v>
      </c>
      <c r="AC82" s="102">
        <f>IFERROR(#REF!/AC51,0)</f>
        <v>0</v>
      </c>
      <c r="AD82" s="102">
        <f>IFERROR(#REF!/AD51,0)</f>
        <v>0</v>
      </c>
      <c r="AE82" s="102">
        <f>IFERROR(#REF!/AE51,0)</f>
        <v>0</v>
      </c>
      <c r="AF82" s="102">
        <f>IFERROR(#REF!/AF51,0)</f>
        <v>0</v>
      </c>
      <c r="AG82" s="102">
        <f>IFERROR(#REF!/AG51,0)</f>
        <v>0</v>
      </c>
      <c r="AH82" s="102">
        <f>IFERROR(#REF!/AH51,0)</f>
        <v>0</v>
      </c>
      <c r="AI82" s="102">
        <f>IFERROR(#REF!/AI51,0)</f>
        <v>0</v>
      </c>
      <c r="AJ82" s="102">
        <f>IFERROR(#REF!/AJ51,0)</f>
        <v>0</v>
      </c>
      <c r="AK82" s="102">
        <f>IFERROR(#REF!/AK51,0)</f>
        <v>0</v>
      </c>
      <c r="AL82" s="102">
        <f>IFERROR(#REF!/AL51,0)</f>
        <v>0</v>
      </c>
      <c r="AM82" s="102">
        <f>IFERROR(#REF!/AM51,0)</f>
        <v>0</v>
      </c>
      <c r="AN82" s="102">
        <f>IFERROR(#REF!/AN51,0)</f>
        <v>0</v>
      </c>
      <c r="AO82" s="102">
        <f>IFERROR(#REF!/AO51,0)</f>
        <v>0</v>
      </c>
      <c r="AP82" s="102">
        <f>IFERROR(#REF!/AP51,0)</f>
        <v>0</v>
      </c>
      <c r="AQ82" s="102">
        <f>IFERROR(#REF!/AQ51,0)</f>
        <v>0</v>
      </c>
      <c r="AR82" s="102">
        <f>IFERROR(#REF!/AR51,0)</f>
        <v>0</v>
      </c>
      <c r="AS82" s="102">
        <f>IFERROR(#REF!/AS51,0)</f>
        <v>0</v>
      </c>
      <c r="AT82" s="102">
        <f>IFERROR(#REF!/AT51,0)</f>
        <v>0</v>
      </c>
      <c r="AU82" s="102">
        <f>IFERROR(#REF!/AU51,0)</f>
        <v>0</v>
      </c>
      <c r="AV82" s="102">
        <f>IFERROR(#REF!/AV51,0)</f>
        <v>0</v>
      </c>
      <c r="AW82" s="102">
        <f>IFERROR(#REF!/AW51,0)</f>
        <v>0</v>
      </c>
      <c r="AX82" s="102">
        <f>IFERROR(#REF!/AX51,0)</f>
        <v>0</v>
      </c>
      <c r="AY82" s="102">
        <f>IFERROR(#REF!/AY51,0)</f>
        <v>0</v>
      </c>
      <c r="AZ82" s="102">
        <f>IFERROR(#REF!/AZ51,0)</f>
        <v>0</v>
      </c>
      <c r="BA82" s="102">
        <f>IFERROR(#REF!/BA51,0)</f>
        <v>0</v>
      </c>
      <c r="BB82" s="102">
        <f>IFERROR(#REF!/BB51,0)</f>
        <v>0</v>
      </c>
      <c r="BC82" s="102">
        <f>IFERROR(#REF!/BC51,0)</f>
        <v>0</v>
      </c>
      <c r="BD82" s="102">
        <f>IFERROR(#REF!/BD51,0)</f>
        <v>0</v>
      </c>
      <c r="BE82" s="102">
        <f>IFERROR(#REF!/BE51,0)</f>
        <v>0</v>
      </c>
      <c r="BF82" s="102">
        <f>IFERROR(#REF!/BF51,0)</f>
        <v>0</v>
      </c>
      <c r="BG82" s="102">
        <f>IFERROR(#REF!/BG51,0)</f>
        <v>0</v>
      </c>
      <c r="BH82" s="102">
        <f>IFERROR(#REF!/BH51,0)</f>
        <v>0</v>
      </c>
      <c r="BI82" s="102">
        <f>IFERROR(#REF!/BI51,0)</f>
        <v>0</v>
      </c>
      <c r="BJ82" s="102">
        <f>IFERROR(#REF!/BJ51,0)</f>
        <v>0</v>
      </c>
      <c r="BK82" s="102">
        <f>IFERROR(#REF!/BK51,0)</f>
        <v>0</v>
      </c>
      <c r="BL82" s="102">
        <f>IFERROR(#REF!/BL51,0)</f>
        <v>0</v>
      </c>
      <c r="BM82" s="102">
        <f>IFERROR(#REF!/BM51,0)</f>
        <v>0</v>
      </c>
      <c r="BN82" s="102">
        <f>IFERROR(#REF!/BN51,0)</f>
        <v>0</v>
      </c>
      <c r="BO82" s="102">
        <f>IFERROR(#REF!/BO51,0)</f>
        <v>0</v>
      </c>
      <c r="BP82" s="102">
        <f>IFERROR(#REF!/BP51,0)</f>
        <v>0</v>
      </c>
      <c r="BQ82" s="102">
        <f>IFERROR(#REF!/BQ51,0)</f>
        <v>0</v>
      </c>
      <c r="BR82" s="102">
        <f>IFERROR(#REF!/BR51,0)</f>
        <v>0</v>
      </c>
      <c r="BS82" s="102">
        <f>IFERROR(#REF!/BS51,0)</f>
        <v>0</v>
      </c>
      <c r="BT82" s="102">
        <f>IFERROR(#REF!/BT51,0)</f>
        <v>0</v>
      </c>
      <c r="BU82" s="102">
        <f>IFERROR(#REF!/BU51,0)</f>
        <v>0</v>
      </c>
      <c r="BV82" s="102">
        <f>IFERROR(#REF!/BV51,0)</f>
        <v>0</v>
      </c>
      <c r="BW82" s="102">
        <f>IFERROR(#REF!/BW51,0)</f>
        <v>0</v>
      </c>
      <c r="BX82" s="102">
        <f>IFERROR(#REF!/BX51,0)</f>
        <v>0</v>
      </c>
      <c r="BY82" s="102">
        <f>IFERROR(#REF!/BY51,0)</f>
        <v>0</v>
      </c>
      <c r="BZ82" s="102">
        <f>IFERROR(#REF!/BZ51,0)</f>
        <v>0</v>
      </c>
      <c r="CA82" s="102">
        <f>IFERROR(#REF!/CA51,0)</f>
        <v>0</v>
      </c>
      <c r="CB82" s="102">
        <f>IFERROR(#REF!/CB51,0)</f>
        <v>0</v>
      </c>
      <c r="CC82" s="102">
        <f>IFERROR(#REF!/CC51,0)</f>
        <v>0</v>
      </c>
      <c r="CD82" s="102">
        <f>IFERROR(#REF!/CD51,0)</f>
        <v>0</v>
      </c>
      <c r="CE82" s="102">
        <f>IFERROR(#REF!/CE51,0)</f>
        <v>0</v>
      </c>
      <c r="CF82" s="102">
        <f>IFERROR(#REF!/CF51,0)</f>
        <v>0</v>
      </c>
      <c r="CG82" s="102">
        <f>IFERROR(#REF!/CG51,0)</f>
        <v>0</v>
      </c>
      <c r="CH82" s="102">
        <f>IFERROR(#REF!/CH51,0)</f>
        <v>0</v>
      </c>
      <c r="CI82" s="102">
        <f>IFERROR(#REF!/CI51,0)</f>
        <v>0</v>
      </c>
      <c r="CJ82" s="102">
        <f>IFERROR(#REF!/CJ51,0)</f>
        <v>0</v>
      </c>
      <c r="CK82" s="102">
        <f>IFERROR(#REF!/CK51,0)</f>
        <v>0</v>
      </c>
      <c r="CL82" s="102">
        <f>IFERROR(#REF!/CL51,0)</f>
        <v>0</v>
      </c>
      <c r="CM82" s="102">
        <f>IFERROR(#REF!/CM51,0)</f>
        <v>0</v>
      </c>
      <c r="CN82" s="102">
        <f>IFERROR(#REF!/CN51,0)</f>
        <v>0</v>
      </c>
      <c r="CO82" s="102">
        <f>IFERROR(#REF!/CO51,0)</f>
        <v>0</v>
      </c>
      <c r="CP82" s="102">
        <f>IFERROR(#REF!/CP51,0)</f>
        <v>0</v>
      </c>
      <c r="CQ82" s="102">
        <f>IFERROR(#REF!/CQ51,0)</f>
        <v>0</v>
      </c>
      <c r="CR82" s="102">
        <f>IFERROR(#REF!/CR51,0)</f>
        <v>0</v>
      </c>
      <c r="CS82" s="102">
        <f>IFERROR(#REF!/CS51,0)</f>
        <v>0</v>
      </c>
      <c r="CT82" s="102">
        <f>IFERROR(#REF!/CT51,0)</f>
        <v>0</v>
      </c>
      <c r="CU82" s="102">
        <f>IFERROR(#REF!/CU51,0)</f>
        <v>0</v>
      </c>
      <c r="CV82" s="102">
        <f>IFERROR(#REF!/CV51,0)</f>
        <v>0</v>
      </c>
      <c r="CW82" s="519">
        <f>IFERROR(#REF!/CW51,0)</f>
        <v>0</v>
      </c>
    </row>
    <row r="83" spans="3:101" x14ac:dyDescent="0.35">
      <c r="C83" s="10" t="s">
        <v>198</v>
      </c>
      <c r="D83" s="336"/>
      <c r="E83" s="336"/>
      <c r="F83" s="336"/>
      <c r="G83" s="336">
        <f t="shared" ref="G83:BR83" si="83">G15/G52</f>
        <v>0.59797211765086145</v>
      </c>
      <c r="H83" s="336">
        <f t="shared" si="83"/>
        <v>0.59342821826952219</v>
      </c>
      <c r="I83" s="336">
        <f t="shared" si="83"/>
        <v>0.58277218610748327</v>
      </c>
      <c r="J83" s="336">
        <f t="shared" si="83"/>
        <v>0.58245359207702152</v>
      </c>
      <c r="K83" s="336">
        <f t="shared" si="83"/>
        <v>0.56525797700286207</v>
      </c>
      <c r="L83" s="336">
        <f t="shared" si="83"/>
        <v>0.60462966600447987</v>
      </c>
      <c r="M83" s="336">
        <f t="shared" si="83"/>
        <v>0.56071576224199537</v>
      </c>
      <c r="N83" s="336">
        <f t="shared" si="83"/>
        <v>0.57118119316690263</v>
      </c>
      <c r="O83" s="336">
        <f t="shared" si="83"/>
        <v>0.58827135069175551</v>
      </c>
      <c r="P83" s="337">
        <f t="shared" si="83"/>
        <v>0.62869566150614797</v>
      </c>
      <c r="Q83" s="337">
        <f t="shared" si="83"/>
        <v>0.67299443053687547</v>
      </c>
      <c r="R83" s="337">
        <f t="shared" si="83"/>
        <v>0.67993600288148748</v>
      </c>
      <c r="S83" s="337">
        <f t="shared" si="83"/>
        <v>0.66404208984868407</v>
      </c>
      <c r="T83" s="337">
        <f t="shared" si="83"/>
        <v>0.67972568365020214</v>
      </c>
      <c r="U83" s="337">
        <f t="shared" si="83"/>
        <v>0.68287501136340867</v>
      </c>
      <c r="V83" s="337">
        <f t="shared" si="83"/>
        <v>0.69813118278046915</v>
      </c>
      <c r="W83" s="337">
        <f t="shared" si="83"/>
        <v>0.71691626220194216</v>
      </c>
      <c r="X83" s="337">
        <f t="shared" si="83"/>
        <v>0.70254005190467306</v>
      </c>
      <c r="Y83" s="337">
        <f t="shared" si="83"/>
        <v>0.7068324586150494</v>
      </c>
      <c r="Z83" s="337">
        <f t="shared" si="83"/>
        <v>0.71593636933814331</v>
      </c>
      <c r="AA83" s="337">
        <f t="shared" si="83"/>
        <v>0.68707352472567751</v>
      </c>
      <c r="AB83" s="337">
        <f t="shared" si="83"/>
        <v>0.72155048263555499</v>
      </c>
      <c r="AC83" s="337">
        <f t="shared" si="83"/>
        <v>0.7076208504216408</v>
      </c>
      <c r="AD83" s="337">
        <f t="shared" si="83"/>
        <v>0.72613059806965508</v>
      </c>
      <c r="AE83" s="337">
        <f t="shared" si="83"/>
        <v>0.70701204834063902</v>
      </c>
      <c r="AF83" s="337">
        <f t="shared" si="83"/>
        <v>0.68070098997215955</v>
      </c>
      <c r="AG83" s="337">
        <f t="shared" si="83"/>
        <v>0.68166057219464293</v>
      </c>
      <c r="AH83" s="337">
        <f t="shared" si="83"/>
        <v>0.67738788350400758</v>
      </c>
      <c r="AI83" s="337">
        <f t="shared" si="83"/>
        <v>0.6706963018721066</v>
      </c>
      <c r="AJ83" s="337">
        <f t="shared" si="83"/>
        <v>0.67115366112721642</v>
      </c>
      <c r="AK83" s="337">
        <f t="shared" si="83"/>
        <v>0.68361316997464494</v>
      </c>
      <c r="AL83" s="337">
        <f t="shared" si="83"/>
        <v>0.68772947594050771</v>
      </c>
      <c r="AM83" s="337">
        <f t="shared" si="83"/>
        <v>0.6822726458049978</v>
      </c>
      <c r="AN83" s="337">
        <f t="shared" si="83"/>
        <v>0.69664740860201113</v>
      </c>
      <c r="AO83" s="337">
        <f t="shared" si="83"/>
        <v>0.70366826829273632</v>
      </c>
      <c r="AP83" s="337">
        <f t="shared" si="83"/>
        <v>0.6849878959319804</v>
      </c>
      <c r="AQ83" s="337">
        <f t="shared" si="83"/>
        <v>0.67570303563694434</v>
      </c>
      <c r="AR83" s="337">
        <f t="shared" si="83"/>
        <v>0.68857635179004495</v>
      </c>
      <c r="AS83" s="337">
        <f t="shared" si="83"/>
        <v>0.68752987911277796</v>
      </c>
      <c r="AT83" s="337">
        <f t="shared" si="83"/>
        <v>0.70964006795716217</v>
      </c>
      <c r="AU83" s="337">
        <f t="shared" si="83"/>
        <v>0.70959915746285396</v>
      </c>
      <c r="AV83" s="337">
        <f t="shared" si="83"/>
        <v>0.68762053566406589</v>
      </c>
      <c r="AW83" s="337">
        <f t="shared" si="83"/>
        <v>0.64281546433947656</v>
      </c>
      <c r="AX83" s="337">
        <f t="shared" si="83"/>
        <v>0.7047716032265362</v>
      </c>
      <c r="AY83" s="337">
        <f t="shared" si="83"/>
        <v>0.70526653011391172</v>
      </c>
      <c r="AZ83" s="337">
        <f t="shared" si="83"/>
        <v>0.68848093831512158</v>
      </c>
      <c r="BA83" s="337">
        <f t="shared" si="83"/>
        <v>0.6902395712545909</v>
      </c>
      <c r="BB83" s="337">
        <f t="shared" si="83"/>
        <v>0.71065483767705007</v>
      </c>
      <c r="BC83" s="337">
        <f t="shared" si="83"/>
        <v>0.71324816706979244</v>
      </c>
      <c r="BD83" s="337">
        <f t="shared" si="83"/>
        <v>0.72203105186876393</v>
      </c>
      <c r="BE83" s="337">
        <f t="shared" si="83"/>
        <v>0.73241297522564641</v>
      </c>
      <c r="BF83" s="337">
        <f t="shared" si="83"/>
        <v>0.73365260349434935</v>
      </c>
      <c r="BG83" s="337">
        <f t="shared" si="83"/>
        <v>0.72468378648576093</v>
      </c>
      <c r="BH83" s="337">
        <f t="shared" si="83"/>
        <v>0.74839638789325824</v>
      </c>
      <c r="BI83" s="337">
        <f t="shared" si="83"/>
        <v>0.76012185329011317</v>
      </c>
      <c r="BJ83" s="337">
        <f t="shared" si="83"/>
        <v>0.75514239493150725</v>
      </c>
      <c r="BK83" s="337">
        <f t="shared" si="83"/>
        <v>0.72221322445788383</v>
      </c>
      <c r="BL83" s="337">
        <f t="shared" si="83"/>
        <v>0.75105335397612816</v>
      </c>
      <c r="BM83" s="337">
        <f t="shared" si="83"/>
        <v>0.76945255448021854</v>
      </c>
      <c r="BN83" s="337">
        <f t="shared" si="83"/>
        <v>0.76403728491241918</v>
      </c>
      <c r="BO83" s="337">
        <f t="shared" si="83"/>
        <v>0.74879170756606006</v>
      </c>
      <c r="BP83" s="337">
        <f t="shared" si="83"/>
        <v>0.75035729785478844</v>
      </c>
      <c r="BQ83" s="336">
        <f t="shared" si="83"/>
        <v>0.75471502717326355</v>
      </c>
      <c r="BR83" s="337">
        <f t="shared" si="83"/>
        <v>0.72123424347210663</v>
      </c>
      <c r="BS83" s="336">
        <f t="shared" ref="BS83:CI83" si="84">BS15/BS52</f>
        <v>0.70895916494643951</v>
      </c>
      <c r="BT83" s="336">
        <f t="shared" si="84"/>
        <v>0.73093236352383051</v>
      </c>
      <c r="BU83" s="336">
        <f t="shared" si="84"/>
        <v>0.7230061748037051</v>
      </c>
      <c r="BV83" s="336">
        <f t="shared" si="84"/>
        <v>0.72541503226010406</v>
      </c>
      <c r="BW83" s="336">
        <f t="shared" si="84"/>
        <v>0.71393849601518011</v>
      </c>
      <c r="BX83" s="336">
        <f t="shared" si="84"/>
        <v>0.70300663941225428</v>
      </c>
      <c r="BY83" s="336">
        <f t="shared" si="84"/>
        <v>0.71640452567485191</v>
      </c>
      <c r="BZ83" s="336">
        <f t="shared" si="84"/>
        <v>0.71183155080397242</v>
      </c>
      <c r="CA83" s="336">
        <f t="shared" si="84"/>
        <v>0.70230135200413035</v>
      </c>
      <c r="CB83" s="336">
        <f t="shared" si="84"/>
        <v>0.73988719684978532</v>
      </c>
      <c r="CC83" s="336">
        <f t="shared" si="84"/>
        <v>0.64311960385556566</v>
      </c>
      <c r="CD83" s="336">
        <f t="shared" si="84"/>
        <v>0.66872730727142837</v>
      </c>
      <c r="CE83" s="336">
        <f t="shared" si="84"/>
        <v>0.68223178820018426</v>
      </c>
      <c r="CF83" s="336">
        <f t="shared" si="84"/>
        <v>0.66816600346581978</v>
      </c>
      <c r="CG83" s="337">
        <f t="shared" si="84"/>
        <v>0.67341398353109483</v>
      </c>
      <c r="CH83" s="337">
        <f t="shared" si="84"/>
        <v>0.69159880306503463</v>
      </c>
      <c r="CI83" s="337">
        <f t="shared" si="84"/>
        <v>0.69025456748967884</v>
      </c>
      <c r="CJ83" s="337">
        <f t="shared" ref="CJ83:CS83" si="85">CJ15/CJ52</f>
        <v>0.67044212241373558</v>
      </c>
      <c r="CK83" s="337">
        <f t="shared" si="85"/>
        <v>0.67300610845297193</v>
      </c>
      <c r="CL83" s="337">
        <f t="shared" si="85"/>
        <v>0.66415568231958855</v>
      </c>
      <c r="CM83" s="337">
        <f t="shared" si="85"/>
        <v>0.67241182450143877</v>
      </c>
      <c r="CN83" s="337">
        <f t="shared" si="85"/>
        <v>0.66899589339274401</v>
      </c>
      <c r="CO83" s="337">
        <f t="shared" si="85"/>
        <v>0.66191233339127431</v>
      </c>
      <c r="CP83" s="337">
        <f t="shared" si="85"/>
        <v>0.37644882659294743</v>
      </c>
      <c r="CQ83" s="337">
        <f t="shared" si="85"/>
        <v>0.38075258438280934</v>
      </c>
      <c r="CR83" s="337">
        <f t="shared" si="85"/>
        <v>0.3878829447806309</v>
      </c>
      <c r="CS83" s="337">
        <f t="shared" si="85"/>
        <v>0.3851654220700248</v>
      </c>
      <c r="CT83" s="337">
        <f t="shared" ref="CT83:CU83" si="86">CT15/CT52</f>
        <v>0.39502688699816735</v>
      </c>
      <c r="CU83" s="337">
        <f t="shared" si="86"/>
        <v>0.39220138089177081</v>
      </c>
      <c r="CV83" s="337">
        <f>CV15/CV52</f>
        <v>0.38234088471415428</v>
      </c>
      <c r="CW83" s="556">
        <f>CW15/CW52</f>
        <v>0.3826173471440199</v>
      </c>
    </row>
    <row r="84" spans="3:101" x14ac:dyDescent="0.35"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BP84"/>
    </row>
    <row r="85" spans="3:101" x14ac:dyDescent="0.35"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102"/>
      <c r="AA85" s="102"/>
      <c r="AB85" s="102"/>
      <c r="AC85" s="102"/>
      <c r="AD85" s="102"/>
      <c r="AE85" s="102"/>
      <c r="BP85"/>
      <c r="BR85" s="308">
        <f t="shared" ref="BR85:BW85" si="87">BR52-BR49</f>
        <v>1940516</v>
      </c>
      <c r="BS85" s="308">
        <f t="shared" si="87"/>
        <v>2003333</v>
      </c>
      <c r="BT85" s="308">
        <f t="shared" si="87"/>
        <v>1962772</v>
      </c>
      <c r="BU85" s="308">
        <f t="shared" si="87"/>
        <v>1994000</v>
      </c>
      <c r="BV85" s="308">
        <f t="shared" si="87"/>
        <v>2006664</v>
      </c>
      <c r="BW85" s="308">
        <f t="shared" si="87"/>
        <v>2022654</v>
      </c>
      <c r="BX85" s="308">
        <f t="shared" ref="BX85:CN85" si="88">BX52-BX53</f>
        <v>2211721</v>
      </c>
      <c r="BY85" s="308">
        <f t="shared" si="88"/>
        <v>2194981</v>
      </c>
      <c r="BZ85" s="308">
        <f t="shared" si="88"/>
        <v>2221387</v>
      </c>
      <c r="CA85" s="308">
        <f t="shared" si="88"/>
        <v>2244393</v>
      </c>
      <c r="CB85" s="308">
        <f t="shared" si="88"/>
        <v>2128304</v>
      </c>
      <c r="CC85" s="308">
        <f t="shared" si="88"/>
        <v>2481647</v>
      </c>
      <c r="CD85" s="308">
        <f t="shared" si="88"/>
        <v>2352209</v>
      </c>
      <c r="CE85" s="308">
        <f t="shared" si="88"/>
        <v>2259856</v>
      </c>
      <c r="CF85" s="308">
        <f t="shared" si="88"/>
        <v>2288887</v>
      </c>
      <c r="CG85" s="308">
        <f t="shared" si="88"/>
        <v>2278064</v>
      </c>
      <c r="CH85" s="308">
        <f t="shared" si="88"/>
        <v>2295707</v>
      </c>
      <c r="CI85" s="308">
        <f t="shared" si="88"/>
        <v>2289359</v>
      </c>
      <c r="CJ85" s="308">
        <f t="shared" si="88"/>
        <v>2384346</v>
      </c>
      <c r="CK85" s="308">
        <f t="shared" si="88"/>
        <v>2399180</v>
      </c>
      <c r="CL85" s="308">
        <f t="shared" si="88"/>
        <v>2383814</v>
      </c>
      <c r="CM85" s="308">
        <f t="shared" si="88"/>
        <v>2376744</v>
      </c>
      <c r="CN85" s="308">
        <f t="shared" si="88"/>
        <v>2392672</v>
      </c>
      <c r="CO85" s="308">
        <f t="shared" ref="CO85:CU85" si="89">CO52-CO53</f>
        <v>2435631</v>
      </c>
      <c r="CP85" s="308">
        <f t="shared" si="89"/>
        <v>4569002</v>
      </c>
      <c r="CQ85" s="308">
        <f t="shared" si="89"/>
        <v>4587965</v>
      </c>
      <c r="CR85" s="308">
        <f t="shared" si="89"/>
        <v>4608610</v>
      </c>
      <c r="CS85" s="308">
        <f t="shared" si="89"/>
        <v>4630646</v>
      </c>
      <c r="CT85" s="308">
        <f t="shared" si="89"/>
        <v>4650607</v>
      </c>
      <c r="CU85" s="308">
        <f t="shared" si="89"/>
        <v>4630749</v>
      </c>
      <c r="CV85" s="308">
        <f>CV52-CV53</f>
        <v>4701011</v>
      </c>
      <c r="CW85" s="308">
        <f>CW52-CW53</f>
        <v>4686645</v>
      </c>
    </row>
    <row r="86" spans="3:101" x14ac:dyDescent="0.35">
      <c r="C86"/>
      <c r="D86" s="334"/>
      <c r="E86" s="334"/>
      <c r="F86" s="334"/>
      <c r="G86" s="334"/>
      <c r="H86" s="334"/>
      <c r="I86" s="334"/>
      <c r="J86" s="334"/>
      <c r="K86" s="334"/>
      <c r="L86" s="334"/>
      <c r="M86" s="334"/>
      <c r="N86" s="334"/>
      <c r="O86" s="334"/>
      <c r="P86" s="334"/>
      <c r="Q86" s="334"/>
      <c r="R86" s="334"/>
      <c r="S86" s="334"/>
      <c r="T86" s="334"/>
      <c r="U86" s="334"/>
      <c r="V86" s="334"/>
      <c r="W86" s="334"/>
      <c r="X86" s="334"/>
      <c r="Y86" s="334"/>
      <c r="Z86" s="334"/>
      <c r="AA86" s="334"/>
      <c r="AB86" s="334"/>
      <c r="AC86" s="334"/>
      <c r="AD86" s="334"/>
      <c r="AE86" s="334"/>
      <c r="AZ86" s="308"/>
      <c r="BA86" s="308"/>
      <c r="BB86" s="308"/>
      <c r="BC86" s="308"/>
      <c r="BD86" s="308"/>
      <c r="BE86" s="308"/>
      <c r="BF86" s="308"/>
      <c r="BG86" s="308"/>
      <c r="BH86" s="308"/>
      <c r="BI86" s="308"/>
      <c r="BJ86" s="308"/>
      <c r="BK86" s="308"/>
      <c r="BL86" s="308"/>
      <c r="BM86" s="308"/>
      <c r="BN86" s="308"/>
      <c r="BO86" s="308"/>
      <c r="BP86" s="308"/>
      <c r="BQ86" s="308"/>
      <c r="BR86" s="308"/>
      <c r="BS86" s="308"/>
      <c r="BT86" s="308"/>
      <c r="BU86" s="308"/>
      <c r="BV86" s="308"/>
      <c r="BW86" s="308"/>
      <c r="BX86" s="308"/>
      <c r="BY86" s="308"/>
      <c r="BZ86" s="308"/>
      <c r="CA86" s="308"/>
      <c r="CB86" s="308"/>
      <c r="CC86" s="308"/>
      <c r="CD86" s="308"/>
      <c r="CE86" s="308"/>
      <c r="CF86" s="308"/>
    </row>
    <row r="87" spans="3:101" x14ac:dyDescent="0.35">
      <c r="BP87"/>
      <c r="BW87" t="s">
        <v>213</v>
      </c>
      <c r="BX87" s="612">
        <v>1054435</v>
      </c>
      <c r="BY87" s="612">
        <v>1068711</v>
      </c>
      <c r="BZ87" s="612">
        <v>1104984</v>
      </c>
      <c r="CA87" s="612"/>
      <c r="CB87" s="612"/>
      <c r="CC87" s="612"/>
      <c r="CD87" s="612">
        <v>1060846</v>
      </c>
      <c r="CE87" s="612">
        <v>1060847</v>
      </c>
      <c r="CF87" s="612"/>
      <c r="CG87" s="612"/>
      <c r="CH87" s="612"/>
      <c r="CI87" s="612"/>
      <c r="CJ87" s="612"/>
      <c r="CK87" s="612"/>
    </row>
    <row r="88" spans="3:101" x14ac:dyDescent="0.35">
      <c r="F88" s="330"/>
      <c r="I88" s="330"/>
      <c r="L88" s="330"/>
      <c r="O88" s="330"/>
      <c r="R88" s="330"/>
      <c r="U88" s="330"/>
      <c r="X88" s="330"/>
      <c r="Z88" s="92"/>
      <c r="BP88"/>
      <c r="BW88" t="s">
        <v>214</v>
      </c>
      <c r="BX88" s="425">
        <f t="shared" ref="BX88:CL88" si="90">BX87/BX52</f>
        <v>0.4319557145385306</v>
      </c>
      <c r="BY88" s="425">
        <f t="shared" si="90"/>
        <v>0.44121992937746396</v>
      </c>
      <c r="BZ88" s="425">
        <f t="shared" si="90"/>
        <v>0.45381232514624881</v>
      </c>
      <c r="CA88" s="425">
        <f t="shared" si="90"/>
        <v>0</v>
      </c>
      <c r="CB88" s="425">
        <f t="shared" si="90"/>
        <v>0</v>
      </c>
      <c r="CC88" s="425">
        <f t="shared" si="90"/>
        <v>0</v>
      </c>
      <c r="CD88" s="425">
        <f t="shared" si="90"/>
        <v>0.41378086401093384</v>
      </c>
      <c r="CE88" s="425">
        <f t="shared" si="90"/>
        <v>0.42934809003606883</v>
      </c>
      <c r="CF88" s="425">
        <f t="shared" si="90"/>
        <v>0</v>
      </c>
      <c r="CG88" s="425">
        <f t="shared" si="90"/>
        <v>0</v>
      </c>
      <c r="CH88" s="425">
        <f t="shared" si="90"/>
        <v>0</v>
      </c>
      <c r="CI88" s="425">
        <f t="shared" si="90"/>
        <v>0</v>
      </c>
      <c r="CJ88" s="425">
        <f t="shared" si="90"/>
        <v>0</v>
      </c>
      <c r="CK88" s="425">
        <f t="shared" si="90"/>
        <v>0</v>
      </c>
      <c r="CL88" s="425">
        <f t="shared" si="90"/>
        <v>0</v>
      </c>
      <c r="CM88" s="425">
        <f t="shared" ref="CM88:CN88" si="91">CM87/CM52</f>
        <v>0</v>
      </c>
      <c r="CN88" s="425">
        <f t="shared" si="91"/>
        <v>0</v>
      </c>
      <c r="CO88" s="425">
        <f t="shared" ref="CO88:CU88" si="92">CO87/CO52</f>
        <v>0</v>
      </c>
      <c r="CP88" s="425">
        <f t="shared" si="92"/>
        <v>0</v>
      </c>
      <c r="CQ88" s="425">
        <f t="shared" si="92"/>
        <v>0</v>
      </c>
      <c r="CR88" s="425">
        <f t="shared" si="92"/>
        <v>0</v>
      </c>
      <c r="CS88" s="737">
        <f t="shared" si="92"/>
        <v>0</v>
      </c>
      <c r="CT88" s="425">
        <f t="shared" si="92"/>
        <v>0</v>
      </c>
      <c r="CU88" s="737">
        <f t="shared" si="92"/>
        <v>0</v>
      </c>
      <c r="CV88" s="425">
        <f>CV87/CV52</f>
        <v>0</v>
      </c>
      <c r="CW88" s="425">
        <f>CW87/CW52</f>
        <v>0</v>
      </c>
    </row>
    <row r="89" spans="3:101" x14ac:dyDescent="0.35">
      <c r="F89" s="304"/>
      <c r="I89" s="304"/>
      <c r="L89" s="304"/>
      <c r="O89" s="304"/>
      <c r="R89" s="304"/>
      <c r="U89" s="304"/>
      <c r="X89" s="304"/>
      <c r="Z89" s="102"/>
      <c r="BP89"/>
      <c r="BW89" t="s">
        <v>215</v>
      </c>
      <c r="BX89" s="613">
        <f t="shared" ref="BX89:CL89" si="93">1-BX88</f>
        <v>0.56804428546146934</v>
      </c>
      <c r="BY89" s="613">
        <f t="shared" si="93"/>
        <v>0.5587800706225361</v>
      </c>
      <c r="BZ89" s="613">
        <f t="shared" si="93"/>
        <v>0.54618767485375119</v>
      </c>
      <c r="CA89" s="613">
        <f t="shared" si="93"/>
        <v>1</v>
      </c>
      <c r="CB89" s="613">
        <f t="shared" si="93"/>
        <v>1</v>
      </c>
      <c r="CC89" s="613">
        <f t="shared" si="93"/>
        <v>1</v>
      </c>
      <c r="CD89" s="613">
        <f t="shared" si="93"/>
        <v>0.58621913598906616</v>
      </c>
      <c r="CE89" s="613">
        <f t="shared" si="93"/>
        <v>0.57065190996393111</v>
      </c>
      <c r="CF89" s="613">
        <f t="shared" si="93"/>
        <v>1</v>
      </c>
      <c r="CG89" s="613">
        <f t="shared" si="93"/>
        <v>1</v>
      </c>
      <c r="CH89" s="613">
        <f t="shared" si="93"/>
        <v>1</v>
      </c>
      <c r="CI89" s="613">
        <f t="shared" si="93"/>
        <v>1</v>
      </c>
      <c r="CJ89" s="613">
        <f t="shared" si="93"/>
        <v>1</v>
      </c>
      <c r="CK89" s="613">
        <f t="shared" si="93"/>
        <v>1</v>
      </c>
      <c r="CL89" s="613">
        <f t="shared" si="93"/>
        <v>1</v>
      </c>
      <c r="CM89" s="613">
        <f t="shared" ref="CM89:CN89" si="94">1-CM88</f>
        <v>1</v>
      </c>
      <c r="CN89" s="613">
        <f t="shared" si="94"/>
        <v>1</v>
      </c>
      <c r="CO89" s="613">
        <f t="shared" ref="CO89:CU89" si="95">1-CO88</f>
        <v>1</v>
      </c>
      <c r="CP89" s="613">
        <f t="shared" si="95"/>
        <v>1</v>
      </c>
      <c r="CQ89" s="613">
        <f t="shared" si="95"/>
        <v>1</v>
      </c>
      <c r="CR89" s="613">
        <f t="shared" si="95"/>
        <v>1</v>
      </c>
      <c r="CS89" s="613">
        <f t="shared" si="95"/>
        <v>1</v>
      </c>
      <c r="CT89" s="613">
        <f t="shared" si="95"/>
        <v>1</v>
      </c>
      <c r="CU89" s="613">
        <f t="shared" si="95"/>
        <v>1</v>
      </c>
      <c r="CV89" s="613">
        <f>1-CV88</f>
        <v>1</v>
      </c>
      <c r="CW89" s="613">
        <f>1-CW88</f>
        <v>1</v>
      </c>
    </row>
    <row r="90" spans="3:101" x14ac:dyDescent="0.35">
      <c r="F90" s="304"/>
      <c r="I90" s="304"/>
      <c r="L90" s="304"/>
      <c r="O90" s="304"/>
      <c r="R90" s="304"/>
      <c r="U90" s="304"/>
      <c r="X90" s="304"/>
      <c r="Z90" s="334"/>
      <c r="BP90"/>
    </row>
    <row r="91" spans="3:101" x14ac:dyDescent="0.35">
      <c r="BP91"/>
    </row>
    <row r="92" spans="3:101" x14ac:dyDescent="0.35">
      <c r="F92" s="330"/>
      <c r="I92" s="330"/>
      <c r="L92" s="330"/>
      <c r="O92" s="330"/>
      <c r="R92" s="330"/>
      <c r="U92" s="330"/>
      <c r="X92" s="330"/>
      <c r="BP92"/>
    </row>
    <row r="93" spans="3:101" x14ac:dyDescent="0.35">
      <c r="BP93"/>
    </row>
    <row r="94" spans="3:101" x14ac:dyDescent="0.35">
      <c r="BP94"/>
    </row>
    <row r="95" spans="3:101" x14ac:dyDescent="0.35">
      <c r="BP95"/>
      <c r="BW95" s="612"/>
    </row>
    <row r="96" spans="3:101" x14ac:dyDescent="0.35"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BP96"/>
      <c r="BW96" s="612"/>
    </row>
    <row r="97" spans="6:68" x14ac:dyDescent="0.35">
      <c r="BP97"/>
    </row>
    <row r="98" spans="6:68" x14ac:dyDescent="0.35">
      <c r="F98" s="330"/>
      <c r="I98" s="330"/>
      <c r="L98" s="330"/>
      <c r="O98" s="330"/>
      <c r="R98" s="330"/>
      <c r="U98" s="330"/>
      <c r="X98" s="330"/>
      <c r="BP98"/>
    </row>
    <row r="99" spans="6:68" x14ac:dyDescent="0.35">
      <c r="BP99"/>
    </row>
    <row r="100" spans="6:68" x14ac:dyDescent="0.35">
      <c r="BP100"/>
    </row>
    <row r="101" spans="6:68" x14ac:dyDescent="0.35">
      <c r="BP101"/>
    </row>
    <row r="102" spans="6:68" x14ac:dyDescent="0.35">
      <c r="BP102"/>
    </row>
    <row r="103" spans="6:68" x14ac:dyDescent="0.35">
      <c r="BP103"/>
    </row>
    <row r="104" spans="6:68" x14ac:dyDescent="0.35">
      <c r="BP104"/>
    </row>
    <row r="105" spans="6:68" x14ac:dyDescent="0.35">
      <c r="BP105"/>
    </row>
    <row r="106" spans="6:68" x14ac:dyDescent="0.35">
      <c r="BP106"/>
    </row>
    <row r="107" spans="6:68" x14ac:dyDescent="0.35">
      <c r="BP107"/>
    </row>
    <row r="108" spans="6:68" x14ac:dyDescent="0.35">
      <c r="BP108"/>
    </row>
    <row r="109" spans="6:68" x14ac:dyDescent="0.35">
      <c r="BP109"/>
    </row>
    <row r="110" spans="6:68" x14ac:dyDescent="0.35">
      <c r="BP110"/>
    </row>
    <row r="111" spans="6:68" x14ac:dyDescent="0.35">
      <c r="BP111"/>
    </row>
    <row r="112" spans="6:68" x14ac:dyDescent="0.35">
      <c r="BP112"/>
    </row>
    <row r="113" spans="68:68" x14ac:dyDescent="0.35">
      <c r="BP113"/>
    </row>
    <row r="114" spans="68:68" x14ac:dyDescent="0.35">
      <c r="BP114"/>
    </row>
    <row r="115" spans="68:68" x14ac:dyDescent="0.35">
      <c r="BP115"/>
    </row>
    <row r="116" spans="68:68" x14ac:dyDescent="0.35">
      <c r="BP116"/>
    </row>
    <row r="117" spans="68:68" x14ac:dyDescent="0.35">
      <c r="BP117"/>
    </row>
    <row r="118" spans="68:68" x14ac:dyDescent="0.35">
      <c r="BP118"/>
    </row>
    <row r="119" spans="68:68" x14ac:dyDescent="0.35">
      <c r="BP119"/>
    </row>
    <row r="120" spans="68:68" x14ac:dyDescent="0.35">
      <c r="BP120"/>
    </row>
    <row r="121" spans="68:68" x14ac:dyDescent="0.35">
      <c r="BP121"/>
    </row>
    <row r="122" spans="68:68" x14ac:dyDescent="0.35">
      <c r="BP122"/>
    </row>
    <row r="123" spans="68:68" x14ac:dyDescent="0.35">
      <c r="BP123"/>
    </row>
    <row r="124" spans="68:68" x14ac:dyDescent="0.35">
      <c r="BP124"/>
    </row>
    <row r="125" spans="68:68" x14ac:dyDescent="0.35">
      <c r="BP125"/>
    </row>
    <row r="126" spans="68:68" x14ac:dyDescent="0.35">
      <c r="BP126"/>
    </row>
    <row r="127" spans="68:68" x14ac:dyDescent="0.35">
      <c r="BP127"/>
    </row>
    <row r="128" spans="68:68" x14ac:dyDescent="0.35">
      <c r="BP128"/>
    </row>
    <row r="129" spans="68:68" x14ac:dyDescent="0.35">
      <c r="BP129"/>
    </row>
    <row r="130" spans="68:68" x14ac:dyDescent="0.35">
      <c r="BP130"/>
    </row>
    <row r="131" spans="68:68" x14ac:dyDescent="0.35">
      <c r="BP131"/>
    </row>
    <row r="132" spans="68:68" x14ac:dyDescent="0.35">
      <c r="BP132"/>
    </row>
    <row r="133" spans="68:68" x14ac:dyDescent="0.35">
      <c r="BP133"/>
    </row>
    <row r="134" spans="68:68" x14ac:dyDescent="0.35">
      <c r="BP134"/>
    </row>
    <row r="135" spans="68:68" x14ac:dyDescent="0.35">
      <c r="BP135"/>
    </row>
    <row r="136" spans="68:68" x14ac:dyDescent="0.35">
      <c r="BP136"/>
    </row>
    <row r="137" spans="68:68" x14ac:dyDescent="0.35">
      <c r="BP137"/>
    </row>
    <row r="138" spans="68:68" x14ac:dyDescent="0.35">
      <c r="BP138"/>
    </row>
    <row r="139" spans="68:68" x14ac:dyDescent="0.35">
      <c r="BP139"/>
    </row>
    <row r="140" spans="68:68" x14ac:dyDescent="0.35">
      <c r="BP140"/>
    </row>
    <row r="141" spans="68:68" x14ac:dyDescent="0.35">
      <c r="BP141"/>
    </row>
    <row r="142" spans="68:68" x14ac:dyDescent="0.35">
      <c r="BP142"/>
    </row>
    <row r="143" spans="68:68" x14ac:dyDescent="0.35">
      <c r="BP143"/>
    </row>
    <row r="144" spans="68:68" x14ac:dyDescent="0.35">
      <c r="BP144"/>
    </row>
    <row r="145" spans="68:68" x14ac:dyDescent="0.35">
      <c r="BP145"/>
    </row>
    <row r="146" spans="68:68" x14ac:dyDescent="0.35">
      <c r="BP146"/>
    </row>
    <row r="147" spans="68:68" x14ac:dyDescent="0.35">
      <c r="BP147"/>
    </row>
    <row r="148" spans="68:68" x14ac:dyDescent="0.35">
      <c r="BP148"/>
    </row>
    <row r="149" spans="68:68" x14ac:dyDescent="0.35">
      <c r="BP149"/>
    </row>
    <row r="150" spans="68:68" x14ac:dyDescent="0.35">
      <c r="BP150"/>
    </row>
    <row r="151" spans="68:68" x14ac:dyDescent="0.35">
      <c r="BP151"/>
    </row>
    <row r="152" spans="68:68" x14ac:dyDescent="0.35">
      <c r="BP152"/>
    </row>
    <row r="153" spans="68:68" x14ac:dyDescent="0.35">
      <c r="BP153"/>
    </row>
    <row r="154" spans="68:68" x14ac:dyDescent="0.35">
      <c r="BP154"/>
    </row>
    <row r="155" spans="68:68" x14ac:dyDescent="0.35">
      <c r="BP155"/>
    </row>
    <row r="156" spans="68:68" x14ac:dyDescent="0.35">
      <c r="BP156"/>
    </row>
    <row r="157" spans="68:68" x14ac:dyDescent="0.35">
      <c r="BP157"/>
    </row>
    <row r="158" spans="68:68" x14ac:dyDescent="0.35">
      <c r="BP158"/>
    </row>
    <row r="159" spans="68:68" x14ac:dyDescent="0.35">
      <c r="BP159"/>
    </row>
    <row r="160" spans="68:68" x14ac:dyDescent="0.35">
      <c r="BP160"/>
    </row>
    <row r="161" spans="68:68" x14ac:dyDescent="0.35">
      <c r="BP161"/>
    </row>
    <row r="162" spans="68:68" x14ac:dyDescent="0.35">
      <c r="BP162"/>
    </row>
    <row r="163" spans="68:68" x14ac:dyDescent="0.35">
      <c r="BP163"/>
    </row>
    <row r="164" spans="68:68" x14ac:dyDescent="0.35">
      <c r="BP164"/>
    </row>
    <row r="165" spans="68:68" x14ac:dyDescent="0.35">
      <c r="BP165"/>
    </row>
    <row r="166" spans="68:68" x14ac:dyDescent="0.35">
      <c r="BP166"/>
    </row>
    <row r="167" spans="68:68" x14ac:dyDescent="0.35">
      <c r="BP167"/>
    </row>
    <row r="168" spans="68:68" x14ac:dyDescent="0.35">
      <c r="BP168"/>
    </row>
    <row r="169" spans="68:68" x14ac:dyDescent="0.35">
      <c r="BP169"/>
    </row>
    <row r="170" spans="68:68" x14ac:dyDescent="0.35">
      <c r="BP170"/>
    </row>
    <row r="171" spans="68:68" x14ac:dyDescent="0.35">
      <c r="BP171"/>
    </row>
    <row r="172" spans="68:68" x14ac:dyDescent="0.35">
      <c r="BP172"/>
    </row>
    <row r="173" spans="68:68" x14ac:dyDescent="0.35">
      <c r="BP173"/>
    </row>
    <row r="174" spans="68:68" x14ac:dyDescent="0.35">
      <c r="BP174"/>
    </row>
    <row r="175" spans="68:68" x14ac:dyDescent="0.35">
      <c r="BP175"/>
    </row>
    <row r="176" spans="68:68" x14ac:dyDescent="0.35">
      <c r="BP176"/>
    </row>
    <row r="177" spans="68:68" x14ac:dyDescent="0.35">
      <c r="BP177"/>
    </row>
    <row r="178" spans="68:68" x14ac:dyDescent="0.35">
      <c r="BP178"/>
    </row>
    <row r="179" spans="68:68" x14ac:dyDescent="0.35">
      <c r="BP179"/>
    </row>
    <row r="180" spans="68:68" x14ac:dyDescent="0.35">
      <c r="BP180"/>
    </row>
    <row r="181" spans="68:68" x14ac:dyDescent="0.35">
      <c r="BP181"/>
    </row>
    <row r="182" spans="68:68" x14ac:dyDescent="0.35">
      <c r="BP182"/>
    </row>
    <row r="183" spans="68:68" x14ac:dyDescent="0.35">
      <c r="BP183"/>
    </row>
    <row r="184" spans="68:68" x14ac:dyDescent="0.35">
      <c r="BP184"/>
    </row>
    <row r="185" spans="68:68" x14ac:dyDescent="0.35">
      <c r="BP185"/>
    </row>
    <row r="186" spans="68:68" x14ac:dyDescent="0.35">
      <c r="BP186"/>
    </row>
    <row r="187" spans="68:68" x14ac:dyDescent="0.35">
      <c r="BP187"/>
    </row>
    <row r="188" spans="68:68" x14ac:dyDescent="0.35">
      <c r="BP188"/>
    </row>
    <row r="189" spans="68:68" x14ac:dyDescent="0.35">
      <c r="BP189"/>
    </row>
    <row r="190" spans="68:68" x14ac:dyDescent="0.35">
      <c r="BP190"/>
    </row>
    <row r="191" spans="68:68" x14ac:dyDescent="0.35">
      <c r="BP191"/>
    </row>
    <row r="192" spans="68:68" x14ac:dyDescent="0.35">
      <c r="BP192"/>
    </row>
    <row r="193" spans="47:68" x14ac:dyDescent="0.35">
      <c r="BP193"/>
    </row>
    <row r="194" spans="47:68" x14ac:dyDescent="0.35">
      <c r="BP194"/>
    </row>
    <row r="195" spans="47:68" x14ac:dyDescent="0.35">
      <c r="BP195"/>
    </row>
    <row r="196" spans="47:68" x14ac:dyDescent="0.35">
      <c r="BP196"/>
    </row>
    <row r="197" spans="47:68" x14ac:dyDescent="0.35">
      <c r="BP197"/>
    </row>
    <row r="198" spans="47:68" x14ac:dyDescent="0.35">
      <c r="BP198"/>
    </row>
    <row r="199" spans="47:68" x14ac:dyDescent="0.35">
      <c r="BP199"/>
    </row>
    <row r="200" spans="47:68" x14ac:dyDescent="0.35">
      <c r="BP200"/>
    </row>
    <row r="201" spans="47:68" x14ac:dyDescent="0.35">
      <c r="BP201"/>
    </row>
    <row r="202" spans="47:68" x14ac:dyDescent="0.35">
      <c r="BP202"/>
    </row>
    <row r="203" spans="47:68" x14ac:dyDescent="0.35">
      <c r="BP203"/>
    </row>
    <row r="204" spans="47:68" x14ac:dyDescent="0.35">
      <c r="BP204"/>
    </row>
    <row r="205" spans="47:68" x14ac:dyDescent="0.35">
      <c r="BP205"/>
    </row>
    <row r="206" spans="47:68" x14ac:dyDescent="0.35">
      <c r="BP206"/>
    </row>
    <row r="207" spans="47:68" x14ac:dyDescent="0.35">
      <c r="BP207"/>
    </row>
    <row r="208" spans="47:68" x14ac:dyDescent="0.35">
      <c r="AU208">
        <f>COUNTIFS(AU5:AU200,"&gt;=1000",AU5:AU200,"&lt;=4999")</f>
        <v>0</v>
      </c>
      <c r="BP208"/>
    </row>
    <row r="209" spans="68:68" x14ac:dyDescent="0.35">
      <c r="BP209"/>
    </row>
    <row r="210" spans="68:68" x14ac:dyDescent="0.35">
      <c r="BP210"/>
    </row>
    <row r="211" spans="68:68" x14ac:dyDescent="0.35">
      <c r="BP211"/>
    </row>
    <row r="212" spans="68:68" x14ac:dyDescent="0.35">
      <c r="BP212"/>
    </row>
    <row r="213" spans="68:68" x14ac:dyDescent="0.35">
      <c r="BP213"/>
    </row>
    <row r="214" spans="68:68" x14ac:dyDescent="0.35">
      <c r="BP214"/>
    </row>
    <row r="215" spans="68:68" x14ac:dyDescent="0.35">
      <c r="BP215"/>
    </row>
    <row r="216" spans="68:68" x14ac:dyDescent="0.35">
      <c r="BP216"/>
    </row>
    <row r="217" spans="68:68" x14ac:dyDescent="0.35">
      <c r="BP217"/>
    </row>
    <row r="218" spans="68:68" x14ac:dyDescent="0.35">
      <c r="BP218"/>
    </row>
    <row r="219" spans="68:68" x14ac:dyDescent="0.35">
      <c r="BP219"/>
    </row>
    <row r="220" spans="68:68" x14ac:dyDescent="0.35">
      <c r="BP220"/>
    </row>
    <row r="221" spans="68:68" x14ac:dyDescent="0.35">
      <c r="BP221"/>
    </row>
    <row r="222" spans="68:68" x14ac:dyDescent="0.35">
      <c r="BP222"/>
    </row>
    <row r="223" spans="68:68" x14ac:dyDescent="0.35">
      <c r="BP223"/>
    </row>
    <row r="224" spans="68:68" x14ac:dyDescent="0.35">
      <c r="BP224"/>
    </row>
    <row r="225" spans="68:68" x14ac:dyDescent="0.35">
      <c r="BP225"/>
    </row>
    <row r="226" spans="68:68" x14ac:dyDescent="0.35">
      <c r="BP226"/>
    </row>
    <row r="227" spans="68:68" x14ac:dyDescent="0.35">
      <c r="BP227"/>
    </row>
    <row r="228" spans="68:68" x14ac:dyDescent="0.35">
      <c r="BP228"/>
    </row>
    <row r="229" spans="68:68" x14ac:dyDescent="0.35">
      <c r="BP229"/>
    </row>
    <row r="230" spans="68:68" x14ac:dyDescent="0.35">
      <c r="BP230"/>
    </row>
    <row r="231" spans="68:68" x14ac:dyDescent="0.35">
      <c r="BP231"/>
    </row>
    <row r="232" spans="68:68" x14ac:dyDescent="0.35">
      <c r="BP232"/>
    </row>
    <row r="233" spans="68:68" x14ac:dyDescent="0.35">
      <c r="BP233"/>
    </row>
    <row r="234" spans="68:68" x14ac:dyDescent="0.35">
      <c r="BP234"/>
    </row>
    <row r="235" spans="68:68" x14ac:dyDescent="0.35">
      <c r="BP235"/>
    </row>
    <row r="236" spans="68:68" x14ac:dyDescent="0.35">
      <c r="BP236"/>
    </row>
    <row r="237" spans="68:68" x14ac:dyDescent="0.35">
      <c r="BP237"/>
    </row>
    <row r="238" spans="68:68" x14ac:dyDescent="0.35">
      <c r="BP238"/>
    </row>
    <row r="239" spans="68:68" x14ac:dyDescent="0.35">
      <c r="BP239"/>
    </row>
    <row r="240" spans="68:68" x14ac:dyDescent="0.35">
      <c r="BP240"/>
    </row>
    <row r="241" spans="55:74" x14ac:dyDescent="0.35">
      <c r="BP241"/>
    </row>
    <row r="242" spans="55:74" x14ac:dyDescent="0.35">
      <c r="BP242"/>
    </row>
    <row r="243" spans="55:74" x14ac:dyDescent="0.35">
      <c r="BP243"/>
    </row>
    <row r="244" spans="55:74" x14ac:dyDescent="0.35">
      <c r="BP244"/>
    </row>
    <row r="245" spans="55:74" x14ac:dyDescent="0.35">
      <c r="BP245"/>
    </row>
    <row r="246" spans="55:74" x14ac:dyDescent="0.35">
      <c r="BP246"/>
    </row>
    <row r="247" spans="55:74" x14ac:dyDescent="0.35">
      <c r="BP247"/>
    </row>
    <row r="248" spans="55:74" x14ac:dyDescent="0.35">
      <c r="BP248"/>
    </row>
    <row r="249" spans="55:74" x14ac:dyDescent="0.35">
      <c r="BP249"/>
    </row>
    <row r="250" spans="55:74" x14ac:dyDescent="0.35">
      <c r="BP250"/>
    </row>
    <row r="253" spans="55:74" x14ac:dyDescent="0.35">
      <c r="BC253" s="443"/>
      <c r="BD253" s="443"/>
      <c r="BE253" s="443"/>
      <c r="BF253" s="443"/>
      <c r="BG253" s="443"/>
      <c r="BH253" s="443"/>
      <c r="BI253" s="443"/>
      <c r="BJ253" s="443"/>
      <c r="BK253" s="443"/>
      <c r="BL253" s="443"/>
      <c r="BM253" s="443"/>
      <c r="BN253" s="443"/>
      <c r="BR253" s="443"/>
      <c r="BS253" s="443"/>
      <c r="BT253" s="443"/>
    </row>
    <row r="256" spans="55:74" x14ac:dyDescent="0.35">
      <c r="BC256">
        <v>1137</v>
      </c>
      <c r="BD256">
        <v>1146</v>
      </c>
      <c r="BE256">
        <v>1139</v>
      </c>
      <c r="BF256">
        <v>1134</v>
      </c>
      <c r="BG256">
        <v>1134</v>
      </c>
      <c r="BH256">
        <v>1122</v>
      </c>
      <c r="BI256">
        <v>1125</v>
      </c>
      <c r="BJ256">
        <v>1129</v>
      </c>
      <c r="BK256">
        <v>1125</v>
      </c>
      <c r="BL256">
        <v>1155</v>
      </c>
      <c r="BM256">
        <v>1160</v>
      </c>
      <c r="BN256">
        <v>1133</v>
      </c>
      <c r="BO256">
        <v>1076</v>
      </c>
      <c r="BP256" s="384">
        <v>1076</v>
      </c>
      <c r="BQ256">
        <v>1058</v>
      </c>
      <c r="BR256">
        <v>1059</v>
      </c>
      <c r="BS256">
        <v>1051</v>
      </c>
      <c r="BT256" s="444"/>
      <c r="BV256" t="s">
        <v>216</v>
      </c>
    </row>
  </sheetData>
  <pageMargins left="0.70866141732283472" right="0.70866141732283472" top="0.74803149606299213" bottom="0.74803149606299213" header="0.31496062992125984" footer="0.31496062992125984"/>
  <pageSetup paperSize="9" scale="46" fitToHeight="0" orientation="landscape" r:id="rId1"/>
  <headerFooter>
    <oddHeader>&amp;A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1AAA7-CA8C-44B5-A364-C549D58FA316}">
  <sheetPr codeName="Sheet5"/>
  <dimension ref="A1:FD129"/>
  <sheetViews>
    <sheetView showGridLines="0" zoomScaleNormal="100" workbookViewId="0">
      <pane xSplit="5" ySplit="2" topLeftCell="AG28" activePane="bottomRight" state="frozen"/>
      <selection pane="topRight" activeCell="EM69" sqref="EM69"/>
      <selection pane="bottomLeft" activeCell="EM69" sqref="EM69"/>
      <selection pane="bottomRight" activeCell="CS59" sqref="CS59"/>
    </sheetView>
  </sheetViews>
  <sheetFormatPr defaultColWidth="9" defaultRowHeight="14.5" outlineLevelRow="1" outlineLevelCol="1" x14ac:dyDescent="0.35"/>
  <cols>
    <col min="1" max="1" width="9" style="113" hidden="1" customWidth="1"/>
    <col min="2" max="2" width="6.54296875" style="113" customWidth="1"/>
    <col min="3" max="4" width="2.54296875" style="113" customWidth="1"/>
    <col min="5" max="5" width="26.453125" style="113" bestFit="1" customWidth="1"/>
    <col min="6" max="8" width="10.54296875" style="113" customWidth="1"/>
    <col min="9" max="9" width="8.453125" style="113" customWidth="1"/>
    <col min="10" max="10" width="11" style="113" customWidth="1"/>
    <col min="11" max="14" width="9" style="113" customWidth="1"/>
    <col min="15" max="15" width="2.453125" style="113" customWidth="1"/>
    <col min="16" max="19" width="9" style="113" customWidth="1"/>
    <col min="20" max="20" width="2.453125" style="113" customWidth="1"/>
    <col min="21" max="24" width="9" style="113" customWidth="1"/>
    <col min="25" max="25" width="1.81640625" style="113" customWidth="1"/>
    <col min="26" max="29" width="9" style="113" customWidth="1"/>
    <col min="30" max="30" width="1.453125" style="113" customWidth="1"/>
    <col min="31" max="34" width="9" style="113" customWidth="1"/>
    <col min="35" max="35" width="2.453125" style="113" customWidth="1"/>
    <col min="36" max="46" width="9.453125" style="113" hidden="1" customWidth="1" outlineLevel="1"/>
    <col min="47" max="47" width="9.453125" style="113" customWidth="1" collapsed="1"/>
    <col min="48" max="56" width="9.453125" style="113" hidden="1" customWidth="1" outlineLevel="1"/>
    <col min="57" max="58" width="9" style="113" hidden="1" customWidth="1" outlineLevel="1"/>
    <col min="59" max="59" width="9" style="113" customWidth="1" collapsed="1"/>
    <col min="60" max="61" width="9" style="113" hidden="1" customWidth="1" outlineLevel="1"/>
    <col min="62" max="62" width="10" style="113" hidden="1" customWidth="1" outlineLevel="1"/>
    <col min="63" max="65" width="9" style="113" hidden="1" customWidth="1" outlineLevel="1"/>
    <col min="66" max="66" width="9.453125" style="113" hidden="1" customWidth="1" outlineLevel="1"/>
    <col min="67" max="67" width="9" style="113" hidden="1" customWidth="1" outlineLevel="1"/>
    <col min="68" max="68" width="10.453125" style="113" hidden="1" customWidth="1" outlineLevel="1"/>
    <col min="69" max="70" width="8" style="113" hidden="1" customWidth="1" outlineLevel="1"/>
    <col min="71" max="71" width="9.453125" style="113" bestFit="1" customWidth="1" collapsed="1"/>
    <col min="72" max="72" width="9.453125" style="113" hidden="1" customWidth="1" outlineLevel="1"/>
    <col min="73" max="76" width="10.26953125" style="113" hidden="1" customWidth="1" outlineLevel="1"/>
    <col min="77" max="78" width="10.81640625" style="113" hidden="1" customWidth="1" outlineLevel="1"/>
    <col min="79" max="82" width="11.26953125" style="113" hidden="1" customWidth="1" outlineLevel="1"/>
    <col min="83" max="83" width="11.26953125" style="113" customWidth="1" collapsed="1"/>
    <col min="84" max="84" width="11.26953125" style="113" hidden="1" customWidth="1" outlineLevel="1"/>
    <col min="85" max="85" width="10.54296875" style="113" hidden="1" customWidth="1" outlineLevel="1"/>
    <col min="86" max="94" width="11.26953125" style="113" hidden="1" customWidth="1" outlineLevel="1"/>
    <col min="95" max="95" width="11.26953125" style="113" customWidth="1" collapsed="1"/>
    <col min="96" max="97" width="11.26953125" style="113" customWidth="1"/>
    <col min="98" max="98" width="7.453125" customWidth="1"/>
    <col min="99" max="109" width="8" style="113" hidden="1" customWidth="1" outlineLevel="1"/>
    <col min="110" max="110" width="11.453125" style="113" bestFit="1" customWidth="1" collapsed="1"/>
    <col min="111" max="111" width="11.453125" style="113" hidden="1" customWidth="1" outlineLevel="1"/>
    <col min="112" max="112" width="9" style="113" hidden="1" customWidth="1" outlineLevel="1"/>
    <col min="113" max="113" width="10.54296875" style="113" hidden="1" customWidth="1" outlineLevel="1"/>
    <col min="114" max="121" width="9" style="113" hidden="1" customWidth="1" outlineLevel="1"/>
    <col min="122" max="122" width="9" style="113" collapsed="1"/>
    <col min="123" max="128" width="10.26953125" style="113" hidden="1" customWidth="1" outlineLevel="1"/>
    <col min="129" max="133" width="10.54296875" style="113" hidden="1" customWidth="1" outlineLevel="1"/>
    <col min="134" max="134" width="10.54296875" style="113" customWidth="1" collapsed="1"/>
    <col min="135" max="135" width="9.54296875" style="113" hidden="1" customWidth="1" outlineLevel="1"/>
    <col min="136" max="145" width="0" style="113" hidden="1" customWidth="1" outlineLevel="1"/>
    <col min="146" max="146" width="9" style="113" collapsed="1"/>
    <col min="147" max="158" width="11.08984375" style="113" bestFit="1" customWidth="1"/>
    <col min="159" max="16384" width="9" style="113"/>
  </cols>
  <sheetData>
    <row r="1" spans="2:158" s="65" customFormat="1" ht="15.5" x14ac:dyDescent="0.35">
      <c r="B1" s="64" t="s">
        <v>35</v>
      </c>
      <c r="F1" s="67" t="s">
        <v>41</v>
      </c>
      <c r="G1" s="67" t="s">
        <v>42</v>
      </c>
      <c r="H1" s="67" t="s">
        <v>43</v>
      </c>
      <c r="I1" s="67" t="s">
        <v>44</v>
      </c>
      <c r="J1" s="67" t="s">
        <v>45</v>
      </c>
      <c r="K1" s="68" t="s">
        <v>62</v>
      </c>
      <c r="L1" s="68" t="s">
        <v>63</v>
      </c>
      <c r="M1" s="68" t="s">
        <v>64</v>
      </c>
      <c r="N1" s="68" t="s">
        <v>65</v>
      </c>
      <c r="O1" s="68"/>
      <c r="P1" s="68" t="s">
        <v>66</v>
      </c>
      <c r="Q1" s="68" t="s">
        <v>67</v>
      </c>
      <c r="R1" s="68" t="s">
        <v>68</v>
      </c>
      <c r="S1" s="68" t="s">
        <v>69</v>
      </c>
      <c r="T1" s="67"/>
      <c r="U1" s="68" t="s">
        <v>70</v>
      </c>
      <c r="V1" s="68" t="s">
        <v>71</v>
      </c>
      <c r="W1" s="68" t="s">
        <v>72</v>
      </c>
      <c r="X1" s="68" t="s">
        <v>73</v>
      </c>
      <c r="Y1" s="68"/>
      <c r="Z1" s="68" t="s">
        <v>74</v>
      </c>
      <c r="AA1" s="68" t="s">
        <v>75</v>
      </c>
      <c r="AB1" s="68" t="s">
        <v>76</v>
      </c>
      <c r="AC1" s="68" t="s">
        <v>77</v>
      </c>
      <c r="AD1" s="68"/>
      <c r="AE1" s="68" t="s">
        <v>78</v>
      </c>
      <c r="AF1" s="68" t="s">
        <v>79</v>
      </c>
      <c r="AG1" s="68" t="s">
        <v>80</v>
      </c>
      <c r="AH1" s="68" t="s">
        <v>81</v>
      </c>
      <c r="AI1" s="67"/>
      <c r="AJ1" s="69">
        <v>44197</v>
      </c>
      <c r="AK1" s="69">
        <v>44228</v>
      </c>
      <c r="AL1" s="69">
        <v>44256</v>
      </c>
      <c r="AM1" s="69">
        <v>44287</v>
      </c>
      <c r="AN1" s="69">
        <v>44317</v>
      </c>
      <c r="AO1" s="69">
        <v>44348</v>
      </c>
      <c r="AP1" s="69">
        <v>44378</v>
      </c>
      <c r="AQ1" s="69">
        <v>44409</v>
      </c>
      <c r="AR1" s="69">
        <v>44440</v>
      </c>
      <c r="AS1" s="69">
        <v>44470</v>
      </c>
      <c r="AT1" s="69">
        <v>44501</v>
      </c>
      <c r="AU1" s="69">
        <v>44531</v>
      </c>
      <c r="AV1" s="69">
        <v>44562</v>
      </c>
      <c r="AW1" s="69">
        <v>44593</v>
      </c>
      <c r="AX1" s="69">
        <v>44621</v>
      </c>
      <c r="AY1" s="69">
        <v>44652</v>
      </c>
      <c r="AZ1" s="69">
        <v>44682</v>
      </c>
      <c r="BA1" s="69">
        <v>44713</v>
      </c>
      <c r="BB1" s="69">
        <v>44743</v>
      </c>
      <c r="BC1" s="69">
        <v>44774</v>
      </c>
      <c r="BD1" s="69">
        <v>44805</v>
      </c>
      <c r="BE1" s="69">
        <v>44835</v>
      </c>
      <c r="BF1" s="69">
        <v>44866</v>
      </c>
      <c r="BG1" s="69">
        <v>44896</v>
      </c>
      <c r="BH1" s="69">
        <v>44927</v>
      </c>
      <c r="BI1" s="69">
        <v>44958</v>
      </c>
      <c r="BJ1" s="69">
        <v>44986</v>
      </c>
      <c r="BK1" s="69">
        <v>45017</v>
      </c>
      <c r="BL1" s="69">
        <v>45047</v>
      </c>
      <c r="BM1" s="69">
        <v>45078</v>
      </c>
      <c r="BN1" s="69">
        <v>45108</v>
      </c>
      <c r="BO1" s="69">
        <v>45139</v>
      </c>
      <c r="BP1" s="69">
        <v>45170</v>
      </c>
      <c r="BQ1" s="69">
        <v>45200</v>
      </c>
      <c r="BR1" s="69">
        <v>45231</v>
      </c>
      <c r="BS1" s="69">
        <v>45261</v>
      </c>
      <c r="BT1" s="69">
        <v>45292</v>
      </c>
      <c r="BU1" s="69">
        <v>45323</v>
      </c>
      <c r="BV1" s="69">
        <v>45352</v>
      </c>
      <c r="BW1" s="69">
        <v>45383</v>
      </c>
      <c r="BX1" s="69">
        <v>45413</v>
      </c>
      <c r="BY1" s="69">
        <v>45444</v>
      </c>
      <c r="BZ1" s="69">
        <v>45474</v>
      </c>
      <c r="CA1" s="69">
        <v>45505</v>
      </c>
      <c r="CB1" s="69">
        <v>45536</v>
      </c>
      <c r="CC1" s="69">
        <v>45566</v>
      </c>
      <c r="CD1" s="69">
        <v>45597</v>
      </c>
      <c r="CE1" s="69">
        <v>45627</v>
      </c>
      <c r="CF1" s="69">
        <v>45658</v>
      </c>
      <c r="CG1" s="69">
        <v>45689</v>
      </c>
      <c r="CH1" s="69">
        <v>45717</v>
      </c>
      <c r="CI1" s="69">
        <v>45748</v>
      </c>
      <c r="CJ1" s="69">
        <v>45778</v>
      </c>
      <c r="CK1" s="69">
        <v>45809</v>
      </c>
      <c r="CL1" s="69">
        <v>45839</v>
      </c>
      <c r="CM1" s="69">
        <v>45870</v>
      </c>
      <c r="CN1" s="69">
        <v>45901</v>
      </c>
      <c r="CO1" s="69">
        <v>45931</v>
      </c>
      <c r="CP1" s="69">
        <v>45962</v>
      </c>
      <c r="CQ1" s="69">
        <v>45992</v>
      </c>
      <c r="CR1" s="69">
        <v>46023</v>
      </c>
      <c r="CS1" s="69">
        <v>46054</v>
      </c>
      <c r="CT1" s="227"/>
      <c r="CU1" s="69">
        <v>44562</v>
      </c>
      <c r="CV1" s="69">
        <v>44593</v>
      </c>
      <c r="CW1" s="69">
        <v>44621</v>
      </c>
      <c r="CX1" s="69">
        <v>44652</v>
      </c>
      <c r="CY1" s="69">
        <v>44682</v>
      </c>
      <c r="CZ1" s="69">
        <v>44713</v>
      </c>
      <c r="DA1" s="69">
        <v>44743</v>
      </c>
      <c r="DB1" s="69">
        <v>44774</v>
      </c>
      <c r="DC1" s="69">
        <v>44805</v>
      </c>
      <c r="DD1" s="69">
        <v>44835</v>
      </c>
      <c r="DE1" s="69">
        <v>44866</v>
      </c>
      <c r="DF1" s="69">
        <v>44896</v>
      </c>
      <c r="DG1" s="69">
        <v>44927</v>
      </c>
      <c r="DH1" s="69">
        <v>44958</v>
      </c>
      <c r="DI1" s="69">
        <v>44986</v>
      </c>
      <c r="DJ1" s="69">
        <v>45017</v>
      </c>
      <c r="DK1" s="69">
        <v>45047</v>
      </c>
      <c r="DL1" s="69">
        <v>45078</v>
      </c>
      <c r="DM1" s="69">
        <v>45108</v>
      </c>
      <c r="DN1" s="69">
        <v>45139</v>
      </c>
      <c r="DO1" s="69">
        <v>45170</v>
      </c>
      <c r="DP1" s="69">
        <v>45200</v>
      </c>
      <c r="DQ1" s="69">
        <v>45231</v>
      </c>
      <c r="DR1" s="69">
        <v>45261</v>
      </c>
      <c r="DS1" s="69">
        <v>45292</v>
      </c>
      <c r="DT1" s="69">
        <v>45323</v>
      </c>
      <c r="DU1" s="69">
        <v>45352</v>
      </c>
      <c r="DV1" s="69">
        <v>45383</v>
      </c>
      <c r="DW1" s="69">
        <v>45413</v>
      </c>
      <c r="DX1" s="69">
        <v>45444</v>
      </c>
      <c r="DY1" s="69">
        <v>45474</v>
      </c>
      <c r="DZ1" s="69">
        <v>45505</v>
      </c>
      <c r="EA1" s="69">
        <v>45536</v>
      </c>
      <c r="EB1" s="69">
        <v>45566</v>
      </c>
      <c r="EC1" s="69">
        <v>45597</v>
      </c>
      <c r="ED1" s="69">
        <v>45627</v>
      </c>
      <c r="EE1" s="69">
        <v>45658</v>
      </c>
      <c r="EF1" s="69">
        <v>45689</v>
      </c>
      <c r="EG1" s="69">
        <v>45717</v>
      </c>
      <c r="EH1" s="69">
        <v>45748</v>
      </c>
      <c r="EI1" s="69">
        <v>45778</v>
      </c>
      <c r="EJ1" s="69">
        <v>45809</v>
      </c>
      <c r="EK1" s="69">
        <v>45839</v>
      </c>
      <c r="EL1" s="69">
        <v>45870</v>
      </c>
      <c r="EM1" s="69">
        <v>45901</v>
      </c>
      <c r="EN1" s="69">
        <v>45931</v>
      </c>
      <c r="EO1" s="69">
        <v>45962</v>
      </c>
      <c r="EP1" s="69">
        <v>45992</v>
      </c>
      <c r="EQ1" s="69">
        <v>46023</v>
      </c>
      <c r="ER1" s="69">
        <v>46054</v>
      </c>
      <c r="ES1" s="69">
        <v>46082</v>
      </c>
      <c r="ET1" s="69">
        <v>46113</v>
      </c>
      <c r="EU1" s="69">
        <v>46143</v>
      </c>
      <c r="EV1" s="69">
        <v>46174</v>
      </c>
      <c r="EW1" s="69">
        <v>46204</v>
      </c>
      <c r="EX1" s="69">
        <v>46235</v>
      </c>
      <c r="EY1" s="69">
        <v>46266</v>
      </c>
      <c r="EZ1" s="69">
        <v>46296</v>
      </c>
      <c r="FA1" s="69">
        <v>46327</v>
      </c>
      <c r="FB1" s="69">
        <v>46357</v>
      </c>
    </row>
    <row r="2" spans="2:158" s="66" customFormat="1" x14ac:dyDescent="0.35">
      <c r="F2" s="66" t="s">
        <v>82</v>
      </c>
      <c r="G2" s="66" t="s">
        <v>82</v>
      </c>
      <c r="H2" s="66" t="s">
        <v>82</v>
      </c>
      <c r="I2" s="66" t="s">
        <v>82</v>
      </c>
      <c r="J2" s="66" t="s">
        <v>84</v>
      </c>
      <c r="K2" s="66" t="s">
        <v>82</v>
      </c>
      <c r="L2" s="66" t="s">
        <v>82</v>
      </c>
      <c r="M2" s="66" t="s">
        <v>82</v>
      </c>
      <c r="N2" s="66" t="s">
        <v>82</v>
      </c>
      <c r="P2" s="66" t="s">
        <v>82</v>
      </c>
      <c r="Q2" s="66" t="s">
        <v>82</v>
      </c>
      <c r="R2" s="66" t="s">
        <v>82</v>
      </c>
      <c r="S2" s="66" t="s">
        <v>82</v>
      </c>
      <c r="U2" s="66" t="s">
        <v>82</v>
      </c>
      <c r="V2" s="66" t="s">
        <v>82</v>
      </c>
      <c r="W2" s="66" t="s">
        <v>82</v>
      </c>
      <c r="X2" s="66" t="s">
        <v>82</v>
      </c>
      <c r="Z2" s="66" t="s">
        <v>82</v>
      </c>
      <c r="AA2" s="66" t="s">
        <v>82</v>
      </c>
      <c r="AB2" s="66" t="s">
        <v>82</v>
      </c>
      <c r="AC2" s="66" t="s">
        <v>82</v>
      </c>
      <c r="AE2" s="66" t="s">
        <v>82</v>
      </c>
      <c r="AF2" s="66" t="s">
        <v>82</v>
      </c>
      <c r="AG2" s="66" t="s">
        <v>82</v>
      </c>
      <c r="AH2" s="66" t="s">
        <v>82</v>
      </c>
      <c r="AJ2" s="66" t="s">
        <v>82</v>
      </c>
      <c r="AK2" s="66" t="s">
        <v>82</v>
      </c>
      <c r="AL2" s="66" t="s">
        <v>82</v>
      </c>
      <c r="AM2" s="66" t="s">
        <v>82</v>
      </c>
      <c r="AN2" s="66" t="s">
        <v>82</v>
      </c>
      <c r="AO2" s="66" t="s">
        <v>82</v>
      </c>
      <c r="AP2" s="66" t="s">
        <v>82</v>
      </c>
      <c r="AQ2" s="66" t="s">
        <v>82</v>
      </c>
      <c r="AR2" s="66" t="s">
        <v>82</v>
      </c>
      <c r="AS2" s="66" t="s">
        <v>82</v>
      </c>
      <c r="AT2" s="66" t="s">
        <v>82</v>
      </c>
      <c r="AU2" s="66" t="s">
        <v>82</v>
      </c>
      <c r="AV2" s="66" t="s">
        <v>82</v>
      </c>
      <c r="AW2" s="66" t="s">
        <v>82</v>
      </c>
      <c r="AX2" s="66" t="s">
        <v>82</v>
      </c>
      <c r="AY2" s="66" t="s">
        <v>82</v>
      </c>
      <c r="AZ2" s="66" t="s">
        <v>82</v>
      </c>
      <c r="BA2" s="66" t="s">
        <v>82</v>
      </c>
      <c r="BB2" s="66" t="s">
        <v>82</v>
      </c>
      <c r="BC2" s="66" t="s">
        <v>82</v>
      </c>
      <c r="BD2" s="66" t="s">
        <v>82</v>
      </c>
      <c r="BE2" s="66" t="s">
        <v>82</v>
      </c>
      <c r="BF2" s="66" t="s">
        <v>82</v>
      </c>
      <c r="BG2" s="66" t="s">
        <v>82</v>
      </c>
      <c r="BH2" s="66" t="s">
        <v>82</v>
      </c>
      <c r="BI2" s="66" t="s">
        <v>82</v>
      </c>
      <c r="BJ2" s="66" t="s">
        <v>82</v>
      </c>
      <c r="BK2" s="66" t="s">
        <v>82</v>
      </c>
      <c r="BL2" s="66" t="s">
        <v>82</v>
      </c>
      <c r="BM2" s="66" t="s">
        <v>82</v>
      </c>
      <c r="BN2" s="66" t="s">
        <v>82</v>
      </c>
      <c r="BO2" s="66" t="s">
        <v>82</v>
      </c>
      <c r="BP2" s="66" t="s">
        <v>82</v>
      </c>
      <c r="BQ2" s="66" t="s">
        <v>82</v>
      </c>
      <c r="BR2" s="66" t="s">
        <v>82</v>
      </c>
      <c r="BS2" s="66" t="s">
        <v>82</v>
      </c>
      <c r="BT2" s="66" t="s">
        <v>82</v>
      </c>
      <c r="BU2" s="66" t="s">
        <v>82</v>
      </c>
      <c r="BV2" s="66" t="s">
        <v>82</v>
      </c>
      <c r="BW2" s="66" t="s">
        <v>82</v>
      </c>
      <c r="BX2" s="66" t="s">
        <v>82</v>
      </c>
      <c r="BY2" s="66" t="s">
        <v>82</v>
      </c>
      <c r="BZ2" s="66" t="s">
        <v>82</v>
      </c>
      <c r="CA2" s="66" t="s">
        <v>82</v>
      </c>
      <c r="CB2" s="66" t="s">
        <v>82</v>
      </c>
      <c r="CC2" s="66" t="s">
        <v>82</v>
      </c>
      <c r="CD2" s="66" t="s">
        <v>82</v>
      </c>
      <c r="CE2" s="66" t="s">
        <v>82</v>
      </c>
      <c r="CF2" s="66" t="s">
        <v>82</v>
      </c>
      <c r="CG2" s="66" t="s">
        <v>82</v>
      </c>
      <c r="CH2" s="66" t="s">
        <v>82</v>
      </c>
      <c r="CI2" s="66" t="s">
        <v>82</v>
      </c>
      <c r="CJ2" s="66" t="s">
        <v>82</v>
      </c>
      <c r="CK2" s="66" t="s">
        <v>82</v>
      </c>
      <c r="CL2" s="66" t="s">
        <v>82</v>
      </c>
      <c r="CM2" s="66" t="s">
        <v>82</v>
      </c>
      <c r="CN2" s="66" t="s">
        <v>82</v>
      </c>
      <c r="CO2" s="66" t="s">
        <v>82</v>
      </c>
      <c r="CP2" s="66" t="s">
        <v>82</v>
      </c>
      <c r="CQ2" s="66" t="s">
        <v>82</v>
      </c>
      <c r="CR2" s="66" t="s">
        <v>82</v>
      </c>
      <c r="CS2" s="66" t="s">
        <v>82</v>
      </c>
      <c r="CT2" s="2"/>
      <c r="CU2" s="66" t="s">
        <v>83</v>
      </c>
      <c r="CV2" s="66" t="s">
        <v>83</v>
      </c>
      <c r="CW2" s="66" t="s">
        <v>83</v>
      </c>
      <c r="CX2" s="66" t="s">
        <v>83</v>
      </c>
      <c r="CY2" s="66" t="s">
        <v>83</v>
      </c>
      <c r="CZ2" s="66" t="s">
        <v>83</v>
      </c>
      <c r="DA2" s="66" t="s">
        <v>83</v>
      </c>
      <c r="DB2" s="66" t="s">
        <v>83</v>
      </c>
      <c r="DC2" s="66" t="s">
        <v>83</v>
      </c>
      <c r="DD2" s="66" t="s">
        <v>83</v>
      </c>
      <c r="DE2" s="66" t="s">
        <v>83</v>
      </c>
      <c r="DF2" s="66" t="s">
        <v>83</v>
      </c>
      <c r="DG2" s="66" t="s">
        <v>83</v>
      </c>
      <c r="DH2" s="66" t="s">
        <v>83</v>
      </c>
      <c r="DI2" s="66" t="s">
        <v>83</v>
      </c>
      <c r="DJ2" s="66" t="s">
        <v>83</v>
      </c>
      <c r="DK2" s="66" t="s">
        <v>83</v>
      </c>
      <c r="DL2" s="66" t="s">
        <v>83</v>
      </c>
      <c r="DM2" s="66" t="s">
        <v>83</v>
      </c>
      <c r="DN2" s="66" t="s">
        <v>83</v>
      </c>
      <c r="DO2" s="66" t="s">
        <v>83</v>
      </c>
      <c r="DP2" s="66" t="s">
        <v>83</v>
      </c>
      <c r="DQ2" s="66" t="s">
        <v>83</v>
      </c>
      <c r="DR2" s="66" t="s">
        <v>83</v>
      </c>
      <c r="DS2" s="66" t="s">
        <v>83</v>
      </c>
      <c r="DT2" s="66" t="s">
        <v>83</v>
      </c>
      <c r="DU2" s="66" t="s">
        <v>83</v>
      </c>
      <c r="DV2" s="66" t="s">
        <v>83</v>
      </c>
      <c r="DW2" s="66" t="s">
        <v>83</v>
      </c>
      <c r="DX2" s="66" t="s">
        <v>83</v>
      </c>
      <c r="DY2" s="66" t="s">
        <v>83</v>
      </c>
      <c r="DZ2" s="66" t="s">
        <v>83</v>
      </c>
      <c r="EA2" s="66" t="s">
        <v>83</v>
      </c>
      <c r="EB2" s="66" t="s">
        <v>83</v>
      </c>
      <c r="EC2" s="66" t="s">
        <v>83</v>
      </c>
      <c r="ED2" s="66" t="s">
        <v>83</v>
      </c>
      <c r="EE2" s="66" t="s">
        <v>83</v>
      </c>
      <c r="EF2" s="66" t="s">
        <v>83</v>
      </c>
      <c r="EG2" s="66" t="s">
        <v>83</v>
      </c>
      <c r="EH2" s="66" t="s">
        <v>83</v>
      </c>
      <c r="EI2" s="66" t="s">
        <v>83</v>
      </c>
      <c r="EJ2" s="66" t="s">
        <v>83</v>
      </c>
      <c r="EK2" s="66" t="s">
        <v>83</v>
      </c>
      <c r="EL2" s="66" t="s">
        <v>83</v>
      </c>
      <c r="EM2" s="66" t="s">
        <v>83</v>
      </c>
      <c r="EN2" s="66" t="s">
        <v>83</v>
      </c>
      <c r="EO2" s="66" t="s">
        <v>83</v>
      </c>
      <c r="EP2" s="66" t="s">
        <v>83</v>
      </c>
      <c r="EQ2" s="66" t="s">
        <v>83</v>
      </c>
      <c r="ER2" s="66" t="s">
        <v>83</v>
      </c>
      <c r="ES2" s="66" t="s">
        <v>83</v>
      </c>
      <c r="ET2" s="66" t="s">
        <v>83</v>
      </c>
      <c r="EU2" s="66" t="s">
        <v>83</v>
      </c>
      <c r="EV2" s="66" t="s">
        <v>83</v>
      </c>
      <c r="EW2" s="66" t="s">
        <v>83</v>
      </c>
      <c r="EX2" s="66" t="s">
        <v>83</v>
      </c>
      <c r="EY2" s="66" t="s">
        <v>83</v>
      </c>
      <c r="EZ2" s="66" t="s">
        <v>83</v>
      </c>
      <c r="FA2" s="66" t="s">
        <v>83</v>
      </c>
      <c r="FB2" s="66" t="s">
        <v>83</v>
      </c>
    </row>
    <row r="3" spans="2:158" x14ac:dyDescent="0.35">
      <c r="B3" s="395" t="s">
        <v>86</v>
      </c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 s="487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 s="384"/>
      <c r="CU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L3"/>
      <c r="EM3"/>
      <c r="EN3"/>
      <c r="EO3"/>
      <c r="EP3"/>
      <c r="EQ3" s="79"/>
      <c r="ER3"/>
      <c r="ES3"/>
      <c r="ET3"/>
      <c r="EU3"/>
      <c r="EV3"/>
      <c r="EW3"/>
      <c r="EX3"/>
      <c r="EY3"/>
      <c r="EZ3"/>
      <c r="FA3"/>
      <c r="FB3"/>
    </row>
    <row r="4" spans="2:158" x14ac:dyDescent="0.35">
      <c r="B4" s="396"/>
      <c r="C4" s="396"/>
      <c r="D4" s="396"/>
      <c r="E4" s="397"/>
      <c r="I4" s="386"/>
      <c r="J4" s="386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 s="487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 s="384"/>
      <c r="CU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L4"/>
      <c r="EM4"/>
      <c r="EN4"/>
      <c r="EO4"/>
      <c r="EP4"/>
      <c r="EQ4"/>
      <c r="ER4" s="384"/>
      <c r="ES4"/>
      <c r="ET4"/>
      <c r="EU4"/>
      <c r="EV4"/>
      <c r="EW4"/>
      <c r="EX4"/>
      <c r="EY4"/>
      <c r="EZ4"/>
      <c r="FA4"/>
      <c r="FB4"/>
    </row>
    <row r="5" spans="2:158" x14ac:dyDescent="0.35">
      <c r="D5" s="395" t="s">
        <v>87</v>
      </c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 s="487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 s="384"/>
      <c r="CU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L5"/>
      <c r="EM5"/>
      <c r="EN5"/>
      <c r="EO5"/>
      <c r="EP5"/>
      <c r="EQ5"/>
      <c r="ER5" s="384"/>
      <c r="ES5"/>
      <c r="ET5"/>
      <c r="EU5"/>
      <c r="EV5"/>
      <c r="EW5"/>
      <c r="EX5"/>
      <c r="EY5"/>
      <c r="EZ5"/>
      <c r="FA5"/>
      <c r="FB5"/>
    </row>
    <row r="6" spans="2:158" x14ac:dyDescent="0.35">
      <c r="B6" s="398"/>
      <c r="C6" s="398"/>
      <c r="D6" s="398"/>
      <c r="E6" s="398" t="s">
        <v>9</v>
      </c>
      <c r="F6" s="387">
        <f t="shared" ref="F6:F20" si="0">SUM(K6:N6)</f>
        <v>15236723.76</v>
      </c>
      <c r="G6" s="387">
        <f t="shared" ref="G6:H20" si="1">SUM(P6:S6)</f>
        <v>19841984.944874819</v>
      </c>
      <c r="H6" s="387">
        <f>SUM(U6:X6)</f>
        <v>22122280.318223529</v>
      </c>
      <c r="I6" s="387">
        <f>SUM(Z6:AC6)</f>
        <v>22910027.454443976</v>
      </c>
      <c r="J6" s="388"/>
      <c r="K6" s="385">
        <f>SUM(AJ6:AL6)</f>
        <v>3285464.2399999993</v>
      </c>
      <c r="L6" s="385">
        <f>SUM(AM6:AO6)</f>
        <v>3598475.3800000004</v>
      </c>
      <c r="M6" s="385">
        <f>SUM(AP6:AR6)</f>
        <v>4039992.23</v>
      </c>
      <c r="N6" s="385">
        <f>SUM(AS6:AU6)</f>
        <v>4312791.91</v>
      </c>
      <c r="O6" s="385"/>
      <c r="P6" s="385">
        <f>SUM(AV6:AX6)</f>
        <v>4324050.0011940422</v>
      </c>
      <c r="Q6" s="385">
        <f>SUM(AY6:BA6)</f>
        <v>4836172.7147999993</v>
      </c>
      <c r="R6" s="385">
        <f>SUM(BB6:BD6)</f>
        <v>5140234.2402095115</v>
      </c>
      <c r="S6" s="385">
        <f>SUM(BE6:BG6)</f>
        <v>5541527.9886712655</v>
      </c>
      <c r="T6" s="385"/>
      <c r="U6" s="385">
        <f>SUM(BH6:BJ6)</f>
        <v>5429734.5</v>
      </c>
      <c r="V6" s="385">
        <f>SUM(BK6:BM6)</f>
        <v>5446302.1900000004</v>
      </c>
      <c r="W6" s="385">
        <f>SUM(BN6:BP6)</f>
        <v>5584122.4276637929</v>
      </c>
      <c r="X6" s="385">
        <f>SUM(BQ6:BS6)</f>
        <v>5662121.2005597344</v>
      </c>
      <c r="Y6" s="385"/>
      <c r="Z6" s="385">
        <f>SUM(BT6:BV6)</f>
        <v>5807553.6716170739</v>
      </c>
      <c r="AA6" s="385">
        <f>SUM(BW6:BY6)</f>
        <v>5777611.705714738</v>
      </c>
      <c r="AB6" s="385">
        <f>SUM(BZ6:CB6)</f>
        <v>5659968.1782125477</v>
      </c>
      <c r="AC6" s="385">
        <f>SUM(CC6:CE6)</f>
        <v>5664893.8988996129</v>
      </c>
      <c r="AD6" s="385"/>
      <c r="AE6" s="385">
        <f>SUM(CF6:CH6)</f>
        <v>5620968.5935169663</v>
      </c>
      <c r="AF6" s="385">
        <f>SUM(CI6:CK6)</f>
        <v>5626790.9689731393</v>
      </c>
      <c r="AG6" s="385">
        <f>SUM(CL6:CN6)</f>
        <v>6040664.9576508962</v>
      </c>
      <c r="AH6" s="385">
        <f>SUM(CO6:CQ6)</f>
        <v>6320618.9268484488</v>
      </c>
      <c r="AI6" s="393"/>
      <c r="AJ6" s="388">
        <v>1082826.51</v>
      </c>
      <c r="AK6" s="388">
        <v>1089809.2199999997</v>
      </c>
      <c r="AL6" s="388">
        <v>1112828.51</v>
      </c>
      <c r="AM6" s="388">
        <v>1193927.07</v>
      </c>
      <c r="AN6" s="388">
        <v>1174221.9100000001</v>
      </c>
      <c r="AO6" s="388">
        <v>1230326.3999999999</v>
      </c>
      <c r="AP6" s="388">
        <v>1272166.24</v>
      </c>
      <c r="AQ6" s="388">
        <v>1385697.3499999999</v>
      </c>
      <c r="AR6" s="388">
        <v>1382128.6400000001</v>
      </c>
      <c r="AS6" s="388">
        <v>1438639.47</v>
      </c>
      <c r="AT6" s="388">
        <v>1453159.4899999998</v>
      </c>
      <c r="AU6" s="388">
        <v>1420992.9500000002</v>
      </c>
      <c r="AV6" s="12">
        <v>1430084.24</v>
      </c>
      <c r="AW6" s="12">
        <v>1435938.09</v>
      </c>
      <c r="AX6" s="12">
        <v>1458027.6711940421</v>
      </c>
      <c r="AY6" s="12">
        <v>1574819.9047999999</v>
      </c>
      <c r="AZ6" s="12">
        <f>'Financial statements'!DR7</f>
        <v>1608150.46</v>
      </c>
      <c r="BA6" s="12">
        <f>'Financial statements'!DS7</f>
        <v>1653202.3499999999</v>
      </c>
      <c r="BB6" s="12">
        <f>'Financial statements'!DT7</f>
        <v>1686256.8938278228</v>
      </c>
      <c r="BC6" s="12">
        <f>'Financial statements'!DU7</f>
        <v>1670379.1563816885</v>
      </c>
      <c r="BD6" s="12">
        <f>'Financial statements'!DV7</f>
        <v>1783598.1900000002</v>
      </c>
      <c r="BE6" s="12">
        <f>'Financial statements'!DW7</f>
        <v>1782606.8386712656</v>
      </c>
      <c r="BF6" s="12">
        <f>'Financial statements'!DX7</f>
        <v>1898032.18</v>
      </c>
      <c r="BG6" s="12">
        <f>'Financial statements'!DY7</f>
        <v>1860888.9700000002</v>
      </c>
      <c r="BH6" s="12">
        <f>'Financial statements'!DZ7</f>
        <v>1779915.22</v>
      </c>
      <c r="BI6" s="12">
        <f>'Financial statements'!EA7</f>
        <v>1806109.9800000002</v>
      </c>
      <c r="BJ6" s="12">
        <f>'Financial statements'!EB7</f>
        <v>1843709.2999999998</v>
      </c>
      <c r="BK6" s="12">
        <f>'Financial statements'!EC7</f>
        <v>1827965.68</v>
      </c>
      <c r="BL6" s="12">
        <f>'Financial statements'!ED7</f>
        <v>1776744.8400000003</v>
      </c>
      <c r="BM6" s="12">
        <f>'Financial statements'!EE7</f>
        <v>1841591.6700000002</v>
      </c>
      <c r="BN6" s="12">
        <f>'Financial statements'!EF7</f>
        <v>1851580.9428821199</v>
      </c>
      <c r="BO6" s="12">
        <f>'Financial statements'!EG7</f>
        <v>1841623.0926650804</v>
      </c>
      <c r="BP6" s="12">
        <f>'Financial statements'!EH7</f>
        <v>1890918.3921165923</v>
      </c>
      <c r="BQ6" s="12">
        <f>'Financial statements'!EI7</f>
        <v>1845701.8326682157</v>
      </c>
      <c r="BR6" s="12">
        <f>'Financial statements'!EJ7</f>
        <v>1884822.5057636816</v>
      </c>
      <c r="BS6" s="12">
        <f>'Financial statements'!EK7</f>
        <v>1931596.8621278368</v>
      </c>
      <c r="BT6" s="511">
        <f>'Financial statements'!EL7</f>
        <v>1868668.531807421</v>
      </c>
      <c r="BU6" s="12">
        <f>'Financial statements'!EM7</f>
        <v>1942526.0756145197</v>
      </c>
      <c r="BV6" s="12">
        <f>'Financial statements'!EN7</f>
        <v>1996359.0641951333</v>
      </c>
      <c r="BW6" s="12">
        <f>'Financial statements'!EO7</f>
        <v>1955878.3053217193</v>
      </c>
      <c r="BX6" s="12">
        <f>'Financial statements'!EP7</f>
        <v>1925178.5336592188</v>
      </c>
      <c r="BY6" s="12">
        <f>'Financial statements'!EQ7</f>
        <v>1896554.8667337995</v>
      </c>
      <c r="BZ6" s="12">
        <f>'Financial statements'!ER7</f>
        <v>1892327.6024919562</v>
      </c>
      <c r="CA6" s="12">
        <f>'Financial statements'!ES7</f>
        <v>1897669.6669848838</v>
      </c>
      <c r="CB6" s="12">
        <f>'Financial statements'!ET7</f>
        <v>1869970.9087357074</v>
      </c>
      <c r="CC6" s="12">
        <f>'Financial statements'!EU7</f>
        <v>1903531.7264247811</v>
      </c>
      <c r="CD6" s="12">
        <f>'Financial statements'!EV7</f>
        <v>1909338.7024748311</v>
      </c>
      <c r="CE6" s="12">
        <f>'Financial statements'!EW7</f>
        <v>1852023.4700000002</v>
      </c>
      <c r="CF6" s="12">
        <f>'Financial statements'!EX7</f>
        <v>1881547.8484484642</v>
      </c>
      <c r="CG6" s="12">
        <f>'Financial statements'!EY7</f>
        <v>1913349.2975073569</v>
      </c>
      <c r="CH6" s="12">
        <f>'Financial statements'!EZ7</f>
        <v>1826071.4475611453</v>
      </c>
      <c r="CI6" s="12">
        <f>'Financial statements'!FA7</f>
        <v>1890987.3429472924</v>
      </c>
      <c r="CJ6" s="12">
        <f>'Financial statements'!FB7</f>
        <v>1835211.2758455961</v>
      </c>
      <c r="CK6" s="12">
        <f>'Financial statements'!FC7</f>
        <v>1900592.3501802501</v>
      </c>
      <c r="CL6" s="12">
        <f>'Financial statements'!FD7</f>
        <v>1937479.9832092782</v>
      </c>
      <c r="CM6" s="12">
        <f>'Financial statements'!FE7</f>
        <v>1996687.4710665098</v>
      </c>
      <c r="CN6" s="12">
        <f>'Financial statements'!FF7</f>
        <v>2106497.5033751084</v>
      </c>
      <c r="CO6" s="12">
        <f>'Financial statements'!FG7</f>
        <v>2081008.8146467723</v>
      </c>
      <c r="CP6" s="12">
        <f>'Financial statements'!FH7</f>
        <v>2102511.7807019693</v>
      </c>
      <c r="CQ6" s="12">
        <f>'Financial statements'!FI7</f>
        <v>2137098.331499707</v>
      </c>
      <c r="CR6" s="12">
        <f>'Financial statements'!FJ7</f>
        <v>2066378.5423958695</v>
      </c>
      <c r="CS6" s="741">
        <f>'Financial statements'!FK7</f>
        <v>2031706.1526797554</v>
      </c>
      <c r="CT6" s="12"/>
      <c r="CU6" s="290">
        <v>1483333.3333333333</v>
      </c>
      <c r="CV6" s="388">
        <v>1483333.3333333333</v>
      </c>
      <c r="CW6" s="388">
        <v>1483333.3333333333</v>
      </c>
      <c r="CX6" s="388">
        <v>1616666.6666666667</v>
      </c>
      <c r="CY6" s="388">
        <v>1616666.6666666667</v>
      </c>
      <c r="CZ6" s="388">
        <v>1616666.6666666667</v>
      </c>
      <c r="DA6" s="388">
        <v>1783333.3333333333</v>
      </c>
      <c r="DB6" s="388">
        <v>1783333.3333333333</v>
      </c>
      <c r="DC6" s="388">
        <v>1783333.3333333333</v>
      </c>
      <c r="DD6" s="388">
        <v>1950000</v>
      </c>
      <c r="DE6" s="388">
        <v>1950000</v>
      </c>
      <c r="DF6" s="388">
        <v>1950000</v>
      </c>
      <c r="DG6" s="290">
        <v>1787075.611949092</v>
      </c>
      <c r="DH6" s="388">
        <v>1787075.611949092</v>
      </c>
      <c r="DI6" s="388">
        <v>1787075.611949092</v>
      </c>
      <c r="DJ6" s="388">
        <v>1887222.9358112083</v>
      </c>
      <c r="DK6" s="388">
        <v>1887222.9358112083</v>
      </c>
      <c r="DL6" s="388">
        <v>1887222.9358112083</v>
      </c>
      <c r="DM6" s="388">
        <v>2014811.3470757029</v>
      </c>
      <c r="DN6" s="388">
        <v>2014811.3470757029</v>
      </c>
      <c r="DO6" s="388">
        <v>2014811.3470757029</v>
      </c>
      <c r="DP6" s="388">
        <v>2335486.1742330291</v>
      </c>
      <c r="DQ6" s="388">
        <v>2335486.1742330291</v>
      </c>
      <c r="DR6" s="388">
        <v>2335486.1742330291</v>
      </c>
      <c r="DS6" s="12">
        <v>1909214.3389480643</v>
      </c>
      <c r="DT6" s="12">
        <v>1909214.3389480643</v>
      </c>
      <c r="DU6" s="12">
        <v>1909214.3389480643</v>
      </c>
      <c r="DV6" s="12">
        <v>2011895.4136054963</v>
      </c>
      <c r="DW6" s="12">
        <v>2011895.4136054963</v>
      </c>
      <c r="DX6" s="12">
        <v>2011895.4136054963</v>
      </c>
      <c r="DY6" s="12">
        <v>2135993.4578442988</v>
      </c>
      <c r="DZ6" s="12">
        <v>2135993.4578442988</v>
      </c>
      <c r="EA6" s="12">
        <v>2135993.4578442988</v>
      </c>
      <c r="EB6" s="12">
        <v>2270225.9994509197</v>
      </c>
      <c r="EC6" s="12">
        <v>2270225.9994509197</v>
      </c>
      <c r="ED6" s="12">
        <v>2270225.9994509197</v>
      </c>
      <c r="EE6" s="12">
        <f>'Financial plan'!EM8</f>
        <v>1887513.7681246798</v>
      </c>
      <c r="EF6" s="12">
        <f>'Financial plan'!EN8</f>
        <v>1887513.7681246798</v>
      </c>
      <c r="EG6" s="12">
        <f>'Financial plan'!EO8</f>
        <v>1887513.7681246798</v>
      </c>
      <c r="EH6" s="12">
        <f>'Financial plan'!EP8</f>
        <v>1935747.3656236613</v>
      </c>
      <c r="EI6" s="12">
        <f>'Financial plan'!EQ8</f>
        <v>1935747.3656236613</v>
      </c>
      <c r="EJ6" s="12">
        <f>'Financial plan'!ER8</f>
        <v>1935747.3656236613</v>
      </c>
      <c r="EK6" s="12">
        <f>'Financial plan'!ES8</f>
        <v>2019474.016481552</v>
      </c>
      <c r="EL6" s="12">
        <f>'Financial plan'!ET8</f>
        <v>2019474.016481552</v>
      </c>
      <c r="EM6" s="12">
        <f>'Financial plan'!EU8</f>
        <v>2019474.016481552</v>
      </c>
      <c r="EN6" s="12">
        <f>'Financial plan'!EV8</f>
        <v>2202358.6573035051</v>
      </c>
      <c r="EO6" s="12">
        <f>'Financial plan'!EW8</f>
        <v>2202358.6573035051</v>
      </c>
      <c r="EP6" s="12">
        <v>2202358.6573035051</v>
      </c>
      <c r="EQ6" s="12">
        <f>'Financial plan'!EY8</f>
        <v>2134808.7034660517</v>
      </c>
      <c r="ER6" s="451">
        <f>'Financial plan'!EZ8</f>
        <v>2134808.7034660517</v>
      </c>
      <c r="ES6" s="12">
        <f>'Financial plan'!FA8</f>
        <v>2134808.7034660517</v>
      </c>
      <c r="ET6" s="12">
        <f>'Financial plan'!FB8</f>
        <v>2235750.6519414592</v>
      </c>
      <c r="EU6" s="12">
        <f>'Financial plan'!FC8</f>
        <v>2235750.6519414592</v>
      </c>
      <c r="EV6" s="12">
        <f>'Financial plan'!FD8</f>
        <v>2235750.6519414592</v>
      </c>
      <c r="EW6" s="12">
        <f>'Financial plan'!FE8</f>
        <v>2329381.4376526764</v>
      </c>
      <c r="EX6" s="12">
        <f>'Financial plan'!FF8</f>
        <v>2329381.4376526764</v>
      </c>
      <c r="EY6" s="12">
        <f>'Financial plan'!FG8</f>
        <v>2329381.4376526764</v>
      </c>
      <c r="EZ6" s="12">
        <f>'Financial plan'!FH8</f>
        <v>2412885.2291848077</v>
      </c>
      <c r="FA6" s="12">
        <f>'Financial plan'!FI8</f>
        <v>2412885.2291848077</v>
      </c>
      <c r="FB6" s="12">
        <f>'Financial plan'!FJ8</f>
        <v>2412885.2291848077</v>
      </c>
    </row>
    <row r="7" spans="2:158" outlineLevel="1" x14ac:dyDescent="0.35">
      <c r="B7" s="399"/>
      <c r="C7" s="399"/>
      <c r="D7" s="399"/>
      <c r="E7" s="400" t="s">
        <v>88</v>
      </c>
      <c r="F7" s="387">
        <f t="shared" si="0"/>
        <v>12173772.860099217</v>
      </c>
      <c r="G7" s="387">
        <f t="shared" si="1"/>
        <v>16191408.816057732</v>
      </c>
      <c r="H7" s="387">
        <f t="shared" si="1"/>
        <v>12596706.302369593</v>
      </c>
      <c r="I7" s="387">
        <f t="shared" ref="I7:I20" si="2">SUM(Z7:AC7)</f>
        <v>0</v>
      </c>
      <c r="J7" s="389"/>
      <c r="K7" s="385">
        <f t="shared" ref="K7:K13" si="3">SUM(AJ7:AL7)</f>
        <v>2759829.1891038902</v>
      </c>
      <c r="L7" s="385">
        <f t="shared" ref="L7:L13" si="4">SUM(AM7:AO7)</f>
        <v>2838697.8571906686</v>
      </c>
      <c r="M7" s="385">
        <f t="shared" ref="M7:M13" si="5">SUM(AP7:AR7)</f>
        <v>3145685.7996605486</v>
      </c>
      <c r="N7" s="385">
        <f t="shared" ref="N7:N13" si="6">SUM(AS7:AU7)</f>
        <v>3429560.0141441091</v>
      </c>
      <c r="O7" s="385"/>
      <c r="P7" s="385">
        <f t="shared" ref="P7:P13" si="7">SUM(AV7:AX7)</f>
        <v>3594702.5136881401</v>
      </c>
      <c r="Q7" s="385">
        <f t="shared" ref="Q7:Q13" si="8">SUM(AY7:BA7)</f>
        <v>3936052.9816034874</v>
      </c>
      <c r="R7" s="385">
        <f t="shared" ref="R7:R13" si="9">SUM(BB7:BD7)</f>
        <v>4180409.1569953938</v>
      </c>
      <c r="S7" s="385">
        <f t="shared" ref="S7:S13" si="10">SUM(BE7:BG7)</f>
        <v>4480244.163770711</v>
      </c>
      <c r="T7" s="393"/>
      <c r="U7" s="385">
        <f t="shared" ref="U7:U12" si="11">SUM(BH7:BJ7)</f>
        <v>4616510.076934698</v>
      </c>
      <c r="V7" s="385">
        <f t="shared" ref="V7:V13" si="12">SUM(BK7:BM7)</f>
        <v>4642098.6562371273</v>
      </c>
      <c r="W7" s="385">
        <f t="shared" ref="W7:W13" si="13">SUM(BN7:BP7)</f>
        <v>4575717.3312600395</v>
      </c>
      <c r="X7" s="385">
        <f t="shared" ref="X7:X13" si="14">SUM(BQ7:BS7)</f>
        <v>4710851.4632339068</v>
      </c>
      <c r="Y7" s="385"/>
      <c r="Z7" s="385">
        <f t="shared" ref="Z7:Z11" si="15">SUM(DS7:DU7)</f>
        <v>0</v>
      </c>
      <c r="AA7" s="385">
        <f t="shared" ref="AA7:AA11" si="16">SUM(DV7:DX7)</f>
        <v>0</v>
      </c>
      <c r="AB7" s="385">
        <f t="shared" ref="AB7:AB11" si="17">SUM(DY7:EA7)</f>
        <v>0</v>
      </c>
      <c r="AC7" s="385">
        <f t="shared" ref="AC7:AC11" si="18">SUM(EB7:ED7)</f>
        <v>0</v>
      </c>
      <c r="AD7" s="385"/>
      <c r="AE7" s="385"/>
      <c r="AF7" s="385"/>
      <c r="AG7" s="385"/>
      <c r="AH7" s="385"/>
      <c r="AI7" s="393"/>
      <c r="AJ7" s="420">
        <v>914883.47522849869</v>
      </c>
      <c r="AK7" s="420">
        <v>923861.35695877776</v>
      </c>
      <c r="AL7" s="420">
        <v>921084.35691661376</v>
      </c>
      <c r="AM7" s="420">
        <v>921218.85957075167</v>
      </c>
      <c r="AN7" s="389">
        <v>945230.3082455683</v>
      </c>
      <c r="AO7" s="389">
        <v>972248.68937434861</v>
      </c>
      <c r="AP7" s="389">
        <v>1019061.1437139102</v>
      </c>
      <c r="AQ7" s="389">
        <v>1078991.3152529136</v>
      </c>
      <c r="AR7" s="389">
        <v>1047633.340693725</v>
      </c>
      <c r="AS7" s="389">
        <v>1111496.4123666901</v>
      </c>
      <c r="AT7" s="389">
        <v>1143557.7002377661</v>
      </c>
      <c r="AU7" s="389">
        <v>1174505.9015396531</v>
      </c>
      <c r="AV7" s="16">
        <v>1167208.1696881403</v>
      </c>
      <c r="AW7" s="16">
        <v>1190776.17</v>
      </c>
      <c r="AX7" s="16">
        <v>1236718.1740000001</v>
      </c>
      <c r="AY7" s="16">
        <v>1274583.443541466</v>
      </c>
      <c r="AZ7" s="16">
        <f>'Financial statements'!DR8</f>
        <v>1313786.3674456174</v>
      </c>
      <c r="BA7" s="16">
        <f>'Financial statements'!DS8</f>
        <v>1347683.1706164044</v>
      </c>
      <c r="BB7" s="16">
        <f>'Financial statements'!DT8</f>
        <v>1367994.9411431025</v>
      </c>
      <c r="BC7" s="16">
        <f>'Financial statements'!DU8</f>
        <v>1364861.2558522914</v>
      </c>
      <c r="BD7" s="16">
        <f>'Financial statements'!DV8</f>
        <v>1447552.96</v>
      </c>
      <c r="BE7" s="16">
        <f>'Financial statements'!DW8</f>
        <v>1499541.8486712654</v>
      </c>
      <c r="BF7" s="16">
        <f>'Financial statements'!DX8</f>
        <v>1491842.8236081437</v>
      </c>
      <c r="BG7" s="16">
        <f>'Financial statements'!DY8</f>
        <v>1488859.4914913021</v>
      </c>
      <c r="BH7" s="16">
        <f>'Financial statements'!DZ8</f>
        <v>1534812.5131249819</v>
      </c>
      <c r="BI7" s="16">
        <f>'Financial statements'!EA8</f>
        <v>1539169.6578298134</v>
      </c>
      <c r="BJ7" s="16">
        <f>'Financial statements'!EB8</f>
        <v>1542527.9059799025</v>
      </c>
      <c r="BK7" s="16">
        <f>'Financial statements'!EC8</f>
        <v>1542706.8666215476</v>
      </c>
      <c r="BL7" s="16">
        <f>'Financial statements'!ED8</f>
        <v>1544033.79561978</v>
      </c>
      <c r="BM7" s="16">
        <f>'Financial statements'!EE8</f>
        <v>1555357.9939957999</v>
      </c>
      <c r="BN7" s="16">
        <f>'Financial statements'!EF8</f>
        <v>1499181.37347097</v>
      </c>
      <c r="BO7" s="16">
        <f>'Financial statements'!EG8</f>
        <v>1524805.8639507317</v>
      </c>
      <c r="BP7" s="16">
        <f>'Financial statements'!EH8</f>
        <v>1551730.0938383376</v>
      </c>
      <c r="BQ7" s="16">
        <f>'Financial statements'!EI8</f>
        <v>1559962.4391562294</v>
      </c>
      <c r="BR7" s="16">
        <f>'Financial statements'!EJ8</f>
        <v>1579492.6264852053</v>
      </c>
      <c r="BS7" s="16">
        <f>'Financial statements'!EK8</f>
        <v>1571396.3975924717</v>
      </c>
      <c r="BT7" s="16">
        <f>'Financial statements'!EL8</f>
        <v>1598122.4875944543</v>
      </c>
      <c r="BU7" s="16">
        <f>'Financial statements'!EM8</f>
        <v>1615036.3826381839</v>
      </c>
      <c r="BV7" s="16">
        <f>'Financial statements'!EN8</f>
        <v>1612797.0988051204</v>
      </c>
      <c r="BW7" s="16">
        <f>'Financial statements'!EO8</f>
        <v>1606008.6526354821</v>
      </c>
      <c r="BX7" s="16">
        <f>'Financial statements'!EP8</f>
        <v>1613232.1886565164</v>
      </c>
      <c r="BY7" s="16">
        <f>'Financial statements'!EQ8</f>
        <v>1611453.8234876485</v>
      </c>
      <c r="BZ7" s="16">
        <f>'Financial statements'!ER8</f>
        <v>1589514.0549034253</v>
      </c>
      <c r="CA7" s="16">
        <f>'Financial statements'!ES8</f>
        <v>1561702.3845012807</v>
      </c>
      <c r="CB7" s="16">
        <f>'Financial statements'!ET8</f>
        <v>1512046.9590106441</v>
      </c>
      <c r="CC7" s="16">
        <f>'Financial statements'!EU8</f>
        <v>1516975.1363306693</v>
      </c>
      <c r="CD7" s="16">
        <f>'Financial statements'!EV8</f>
        <v>1564706.7881204956</v>
      </c>
      <c r="CE7" s="16">
        <f>'Financial statements'!EW8</f>
        <v>1540634.0805269233</v>
      </c>
      <c r="CF7" s="16">
        <f>'Financial statements'!EX8</f>
        <v>1554387.2866039472</v>
      </c>
      <c r="CG7" s="16">
        <f>'Financial statements'!EY8</f>
        <v>1575260.939769106</v>
      </c>
      <c r="CH7" s="16">
        <f>'Financial statements'!EZ8</f>
        <v>1551778.6338515207</v>
      </c>
      <c r="CI7" s="16">
        <f>'Financial statements'!FA8</f>
        <v>1533379.3387727914</v>
      </c>
      <c r="CJ7" s="16">
        <f>'Financial statements'!FB8</f>
        <v>1537217.6304969019</v>
      </c>
      <c r="CK7" s="16">
        <f>'Financial statements'!FC8</f>
        <v>1547402.8847026564</v>
      </c>
      <c r="CL7" s="16">
        <f>'Financial statements'!FD8</f>
        <v>1628511.7522758511</v>
      </c>
      <c r="CM7" s="16">
        <f>'Financial statements'!FE8</f>
        <v>1649959.952327596</v>
      </c>
      <c r="CN7" s="16">
        <f>'Financial statements'!FF8</f>
        <v>1690302.5929063775</v>
      </c>
      <c r="CO7" s="16">
        <f>'Financial statements'!FG8</f>
        <v>1676516.9992551594</v>
      </c>
      <c r="CP7" s="16">
        <f>'Financial statements'!FH8</f>
        <v>1729604.5492858773</v>
      </c>
      <c r="CQ7" s="16">
        <f>'Financial statements'!FI8</f>
        <v>1706954.3661032431</v>
      </c>
      <c r="CR7" s="16">
        <f>'Financial statements'!FJ8</f>
        <v>1689488.0886848955</v>
      </c>
      <c r="CS7" s="742">
        <f>'Financial statements'!FK8</f>
        <v>1672630.6094498134</v>
      </c>
      <c r="CT7" s="16"/>
      <c r="CU7"/>
      <c r="CV7" s="385"/>
      <c r="CW7" s="385"/>
      <c r="CX7" s="385"/>
      <c r="CY7" s="385"/>
      <c r="CZ7" s="385"/>
      <c r="DA7" s="385"/>
      <c r="DB7" s="385"/>
      <c r="DC7" s="385"/>
      <c r="DD7" s="385"/>
      <c r="DE7" s="385"/>
      <c r="DF7" s="385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L7"/>
      <c r="EM7"/>
      <c r="EN7"/>
      <c r="EO7"/>
      <c r="EP7"/>
      <c r="EQ7"/>
      <c r="ER7" s="384"/>
      <c r="ES7"/>
      <c r="ET7"/>
      <c r="EU7"/>
      <c r="EV7"/>
      <c r="EW7"/>
      <c r="EX7"/>
      <c r="EY7"/>
      <c r="EZ7"/>
      <c r="FA7"/>
      <c r="FB7"/>
    </row>
    <row r="8" spans="2:158" outlineLevel="1" x14ac:dyDescent="0.35">
      <c r="B8" s="399"/>
      <c r="C8" s="399"/>
      <c r="D8" s="399"/>
      <c r="E8" s="400" t="s">
        <v>89</v>
      </c>
      <c r="F8" s="387">
        <f t="shared" si="0"/>
        <v>1030143.8584263118</v>
      </c>
      <c r="G8" s="387">
        <f t="shared" si="1"/>
        <v>1284246.9932224671</v>
      </c>
      <c r="H8" s="387">
        <f t="shared" si="1"/>
        <v>975688.64804499224</v>
      </c>
      <c r="I8" s="387">
        <f t="shared" si="2"/>
        <v>0</v>
      </c>
      <c r="J8" s="389"/>
      <c r="K8" s="385">
        <f t="shared" si="3"/>
        <v>223553.00167041394</v>
      </c>
      <c r="L8" s="385">
        <f t="shared" si="4"/>
        <v>233734.31585800881</v>
      </c>
      <c r="M8" s="385">
        <f t="shared" si="5"/>
        <v>283167.74635813467</v>
      </c>
      <c r="N8" s="385">
        <f t="shared" si="6"/>
        <v>289688.79453975428</v>
      </c>
      <c r="O8" s="385"/>
      <c r="P8" s="385">
        <f t="shared" si="7"/>
        <v>308558.3451774749</v>
      </c>
      <c r="Q8" s="385">
        <f t="shared" si="8"/>
        <v>316546.77699971094</v>
      </c>
      <c r="R8" s="385">
        <f t="shared" si="9"/>
        <v>327239.9987120931</v>
      </c>
      <c r="S8" s="385">
        <f t="shared" si="10"/>
        <v>331901.87233318825</v>
      </c>
      <c r="T8" s="393"/>
      <c r="U8" s="385">
        <f t="shared" si="11"/>
        <v>325457.31398589903</v>
      </c>
      <c r="V8" s="385">
        <f t="shared" si="12"/>
        <v>325603.28759655607</v>
      </c>
      <c r="W8" s="385">
        <f t="shared" si="13"/>
        <v>339970.17149564537</v>
      </c>
      <c r="X8" s="385">
        <f t="shared" si="14"/>
        <v>347013.56205834297</v>
      </c>
      <c r="Y8" s="385"/>
      <c r="Z8" s="385">
        <f t="shared" si="15"/>
        <v>0</v>
      </c>
      <c r="AA8" s="385">
        <f t="shared" si="16"/>
        <v>0</v>
      </c>
      <c r="AB8" s="385">
        <f t="shared" si="17"/>
        <v>0</v>
      </c>
      <c r="AC8" s="385">
        <f t="shared" si="18"/>
        <v>0</v>
      </c>
      <c r="AD8" s="385"/>
      <c r="AE8" s="385"/>
      <c r="AF8" s="385"/>
      <c r="AG8" s="385"/>
      <c r="AH8" s="385"/>
      <c r="AI8" s="393"/>
      <c r="AJ8" s="389">
        <v>74617.0877645828</v>
      </c>
      <c r="AK8" s="389">
        <v>74820.536483956705</v>
      </c>
      <c r="AL8" s="389">
        <v>74115.377421874422</v>
      </c>
      <c r="AM8" s="389">
        <v>77672.938011343009</v>
      </c>
      <c r="AN8" s="389">
        <v>78378.376118737157</v>
      </c>
      <c r="AO8" s="389">
        <v>77683.001727928655</v>
      </c>
      <c r="AP8" s="389">
        <v>84580.315293951659</v>
      </c>
      <c r="AQ8" s="389">
        <v>113345.31063528973</v>
      </c>
      <c r="AR8" s="389">
        <v>85242.120428893308</v>
      </c>
      <c r="AS8" s="389">
        <v>87640.481508064637</v>
      </c>
      <c r="AT8" s="389">
        <v>102842.86118561801</v>
      </c>
      <c r="AU8" s="389">
        <v>99205.45184607165</v>
      </c>
      <c r="AV8" s="16">
        <v>102385.10467747493</v>
      </c>
      <c r="AW8" s="16">
        <v>102010.1</v>
      </c>
      <c r="AX8" s="16">
        <v>104163.14049999999</v>
      </c>
      <c r="AY8" s="16">
        <v>105466.17</v>
      </c>
      <c r="AZ8" s="16">
        <f>'Financial statements'!DR9</f>
        <v>105518.00699971098</v>
      </c>
      <c r="BA8" s="16">
        <f>'Financial statements'!DS9</f>
        <v>105562.6</v>
      </c>
      <c r="BB8" s="16">
        <f>'Financial statements'!DT9</f>
        <v>106301.97520153744</v>
      </c>
      <c r="BC8" s="16">
        <f>'Financial statements'!DU9</f>
        <v>103742.32351055565</v>
      </c>
      <c r="BD8" s="16">
        <f>'Financial statements'!DV9</f>
        <v>117195.7</v>
      </c>
      <c r="BE8" s="16">
        <f>'Financial statements'!DW9</f>
        <v>113559.1</v>
      </c>
      <c r="BF8" s="16">
        <f>'Financial statements'!DX9</f>
        <v>112845.07233318822</v>
      </c>
      <c r="BG8" s="16">
        <f>'Financial statements'!DY9</f>
        <v>105497.7</v>
      </c>
      <c r="BH8" s="16">
        <f>'Financial statements'!DZ9</f>
        <v>107727.62507520604</v>
      </c>
      <c r="BI8" s="16">
        <f>'Financial statements'!EA9</f>
        <v>108828.44142920518</v>
      </c>
      <c r="BJ8" s="16">
        <f>'Financial statements'!EB9</f>
        <v>108901.24748148782</v>
      </c>
      <c r="BK8" s="16">
        <f>'Financial statements'!EC9</f>
        <v>107874.91964201692</v>
      </c>
      <c r="BL8" s="16">
        <f>'Financial statements'!ED9</f>
        <v>107164.94820068414</v>
      </c>
      <c r="BM8" s="16">
        <f>'Financial statements'!EE9</f>
        <v>110563.41975385501</v>
      </c>
      <c r="BN8" s="16">
        <f>'Financial statements'!EF9</f>
        <v>114057.54068631399</v>
      </c>
      <c r="BO8" s="16">
        <f>'Financial statements'!EG9</f>
        <v>112571.73080933138</v>
      </c>
      <c r="BP8" s="16">
        <f>'Financial statements'!EH9</f>
        <v>113340.9</v>
      </c>
      <c r="BQ8" s="16">
        <f>'Financial statements'!EI9</f>
        <v>116453.03468917952</v>
      </c>
      <c r="BR8" s="16">
        <f>'Financial statements'!EJ9</f>
        <v>116873.70992759999</v>
      </c>
      <c r="BS8" s="16">
        <f>'Financial statements'!EK9</f>
        <v>113686.8174415635</v>
      </c>
      <c r="BT8" s="16">
        <f>'Financial statements'!EL9</f>
        <v>110115.54453927799</v>
      </c>
      <c r="BU8" s="16">
        <f>'Financial statements'!EM9</f>
        <v>112345.62600831345</v>
      </c>
      <c r="BV8" s="16">
        <f>'Financial statements'!EN9</f>
        <v>112965.49121524993</v>
      </c>
      <c r="BW8" s="16">
        <f>'Financial statements'!EO9</f>
        <v>112636.16974632518</v>
      </c>
      <c r="BX8" s="16">
        <f>'Financial statements'!EP9</f>
        <v>111453.70170147915</v>
      </c>
      <c r="BY8" s="16">
        <f>'Financial statements'!EQ9</f>
        <v>115252.67795640022</v>
      </c>
      <c r="BZ8" s="16">
        <f>'Financial statements'!ER9</f>
        <v>117996.57449079856</v>
      </c>
      <c r="CA8" s="16">
        <f>'Financial statements'!ES9</f>
        <v>119977.74920095626</v>
      </c>
      <c r="CB8" s="16">
        <f>'Financial statements'!ET9</f>
        <v>130555.40631861177</v>
      </c>
      <c r="CC8" s="16">
        <f>'Financial statements'!EU9</f>
        <v>121134.64005862045</v>
      </c>
      <c r="CD8" s="16">
        <f>'Financial statements'!EV9</f>
        <v>124189.01102260282</v>
      </c>
      <c r="CE8" s="16">
        <f>'Financial statements'!EW9</f>
        <v>123947.27680664198</v>
      </c>
      <c r="CF8" s="16">
        <f>'Financial statements'!EX9</f>
        <v>127027.11393816609</v>
      </c>
      <c r="CG8" s="16">
        <f>'Financial statements'!EY9</f>
        <v>120080.4537903841</v>
      </c>
      <c r="CH8" s="16">
        <f>'Financial statements'!EZ9</f>
        <v>126358.01712718097</v>
      </c>
      <c r="CI8" s="16">
        <f>'Financial statements'!FA9</f>
        <v>126480.71361473892</v>
      </c>
      <c r="CJ8" s="16">
        <f>'Financial statements'!FB9</f>
        <v>124680.07368743647</v>
      </c>
      <c r="CK8" s="16">
        <f>'Financial statements'!FC9</f>
        <v>124955.29109968057</v>
      </c>
      <c r="CL8" s="16">
        <f>'Financial statements'!FD9</f>
        <v>126338.73764428863</v>
      </c>
      <c r="CM8" s="16">
        <f>'Financial statements'!FE9</f>
        <v>133037.75796646747</v>
      </c>
      <c r="CN8" s="16">
        <f>'Financial statements'!FF9</f>
        <v>134240.14341686032</v>
      </c>
      <c r="CO8" s="16">
        <f>'Financial statements'!FG9</f>
        <v>142709.24732183357</v>
      </c>
      <c r="CP8" s="16">
        <f>'Financial statements'!FH9</f>
        <v>145014.64665229945</v>
      </c>
      <c r="CQ8" s="16">
        <f>'Financial statements'!FI9</f>
        <v>137096.55131281776</v>
      </c>
      <c r="CR8" s="16">
        <f>'Financial statements'!FJ9</f>
        <v>135720.34337482139</v>
      </c>
      <c r="CS8" s="742">
        <f>'Financial statements'!FK9</f>
        <v>148231.8137051122</v>
      </c>
      <c r="CT8" s="16"/>
      <c r="CU8"/>
      <c r="CV8" s="385"/>
      <c r="CW8" s="385"/>
      <c r="CX8" s="385"/>
      <c r="CY8" s="385"/>
      <c r="CZ8" s="385"/>
      <c r="DA8" s="385"/>
      <c r="DB8" s="385"/>
      <c r="DC8" s="385"/>
      <c r="DD8" s="385"/>
      <c r="DE8" s="385"/>
      <c r="DF8" s="385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L8"/>
      <c r="EM8"/>
      <c r="EN8"/>
      <c r="EO8"/>
      <c r="EP8"/>
      <c r="EQ8"/>
      <c r="ER8" s="384"/>
      <c r="ES8"/>
      <c r="ET8"/>
      <c r="EU8"/>
      <c r="EV8"/>
      <c r="EW8"/>
      <c r="EX8"/>
      <c r="EY8"/>
      <c r="EZ8"/>
      <c r="FA8"/>
      <c r="FB8"/>
    </row>
    <row r="9" spans="2:158" outlineLevel="1" x14ac:dyDescent="0.35">
      <c r="B9" s="399"/>
      <c r="C9" s="399"/>
      <c r="D9" s="399"/>
      <c r="E9" s="400" t="s">
        <v>90</v>
      </c>
      <c r="F9" s="387">
        <f t="shared" si="0"/>
        <v>1184301.7613542613</v>
      </c>
      <c r="G9" s="387">
        <f t="shared" si="1"/>
        <v>1428728.8452997301</v>
      </c>
      <c r="H9" s="387">
        <f t="shared" si="1"/>
        <v>1178495.5327933652</v>
      </c>
      <c r="I9" s="387">
        <f t="shared" si="2"/>
        <v>0</v>
      </c>
      <c r="J9" s="389"/>
      <c r="K9" s="385">
        <f t="shared" si="3"/>
        <v>199782.80519782368</v>
      </c>
      <c r="L9" s="385">
        <f t="shared" si="4"/>
        <v>274787.30824100063</v>
      </c>
      <c r="M9" s="385">
        <f t="shared" si="5"/>
        <v>331899.66425761103</v>
      </c>
      <c r="N9" s="385">
        <f t="shared" si="6"/>
        <v>377831.98365782591</v>
      </c>
      <c r="O9" s="385"/>
      <c r="P9" s="385">
        <f t="shared" si="7"/>
        <v>250233.31250636489</v>
      </c>
      <c r="Q9" s="385">
        <f t="shared" si="8"/>
        <v>304123.10045449773</v>
      </c>
      <c r="R9" s="385">
        <f t="shared" si="9"/>
        <v>394740.80259945185</v>
      </c>
      <c r="S9" s="385">
        <f t="shared" si="10"/>
        <v>479631.6297394156</v>
      </c>
      <c r="T9" s="393"/>
      <c r="U9" s="385">
        <f t="shared" si="11"/>
        <v>372003.41206011816</v>
      </c>
      <c r="V9" s="385">
        <f t="shared" si="12"/>
        <v>353720.92341677315</v>
      </c>
      <c r="W9" s="385">
        <f t="shared" si="13"/>
        <v>418521.95546424645</v>
      </c>
      <c r="X9" s="385">
        <f t="shared" si="14"/>
        <v>470861.41156228032</v>
      </c>
      <c r="Y9" s="385"/>
      <c r="Z9" s="385">
        <f t="shared" si="15"/>
        <v>0</v>
      </c>
      <c r="AA9" s="385">
        <f t="shared" si="16"/>
        <v>0</v>
      </c>
      <c r="AB9" s="385">
        <f t="shared" si="17"/>
        <v>0</v>
      </c>
      <c r="AC9" s="385">
        <f t="shared" si="18"/>
        <v>0</v>
      </c>
      <c r="AD9" s="385"/>
      <c r="AE9" s="385"/>
      <c r="AF9" s="385"/>
      <c r="AG9" s="385"/>
      <c r="AH9" s="385"/>
      <c r="AI9" s="393"/>
      <c r="AJ9" s="389">
        <v>59966.894723109785</v>
      </c>
      <c r="AK9" s="389">
        <v>70716.793781103319</v>
      </c>
      <c r="AL9" s="389">
        <v>69099.116693610587</v>
      </c>
      <c r="AM9" s="389">
        <v>89731.045271592608</v>
      </c>
      <c r="AN9" s="389">
        <v>95975.835076008836</v>
      </c>
      <c r="AO9" s="389">
        <v>89080.427893399232</v>
      </c>
      <c r="AP9" s="389">
        <v>93721.340022046264</v>
      </c>
      <c r="AQ9" s="389">
        <v>108308.03337431613</v>
      </c>
      <c r="AR9" s="389">
        <v>129870.29086124864</v>
      </c>
      <c r="AS9" s="389">
        <v>111176.15166755686</v>
      </c>
      <c r="AT9" s="389">
        <v>119661.18062464573</v>
      </c>
      <c r="AU9" s="389">
        <v>146994.65136562334</v>
      </c>
      <c r="AV9" s="16">
        <v>95809.609269065288</v>
      </c>
      <c r="AW9" s="16">
        <v>100039.76698242722</v>
      </c>
      <c r="AX9" s="16">
        <v>54383.93625487238</v>
      </c>
      <c r="AY9" s="16">
        <v>94127.176177092304</v>
      </c>
      <c r="AZ9" s="16">
        <f>'Financial statements'!DR10</f>
        <v>107269.92842441663</v>
      </c>
      <c r="BA9" s="16">
        <f>'Financial statements'!DS10</f>
        <v>102725.99585298882</v>
      </c>
      <c r="BB9" s="16">
        <f>'Financial statements'!DT10</f>
        <v>119312.79337269477</v>
      </c>
      <c r="BC9" s="16">
        <f>'Financial statements'!DU10</f>
        <v>141159.212794244</v>
      </c>
      <c r="BD9" s="16">
        <f>'Financial statements'!DV10</f>
        <v>134268.7964325131</v>
      </c>
      <c r="BE9" s="16">
        <f>'Financial statements'!DW10</f>
        <v>125073.60000000001</v>
      </c>
      <c r="BF9" s="16">
        <f>'Financial statements'!DX10</f>
        <v>134559.80530381785</v>
      </c>
      <c r="BG9" s="16">
        <f>'Financial statements'!DY10</f>
        <v>219998.22443559777</v>
      </c>
      <c r="BH9" s="16">
        <f>'Financial statements'!DZ10</f>
        <v>121179.36066456191</v>
      </c>
      <c r="BI9" s="16">
        <f>'Financial statements'!EA10</f>
        <v>135522.96488533981</v>
      </c>
      <c r="BJ9" s="16">
        <f>'Financial statements'!EB10</f>
        <v>115301.08651021647</v>
      </c>
      <c r="BK9" s="16">
        <f>'Financial statements'!EC10</f>
        <v>138343.64884233981</v>
      </c>
      <c r="BL9" s="16">
        <f>'Financial statements'!ED10</f>
        <v>104276.51126984632</v>
      </c>
      <c r="BM9" s="16">
        <f>'Financial statements'!EE10</f>
        <v>111100.763304587</v>
      </c>
      <c r="BN9" s="16">
        <f>'Financial statements'!EF10</f>
        <v>135028.19628601999</v>
      </c>
      <c r="BO9" s="16">
        <f>'Financial statements'!EG10</f>
        <v>124028.09128596245</v>
      </c>
      <c r="BP9" s="16">
        <f>'Financial statements'!EH10</f>
        <v>159465.667892264</v>
      </c>
      <c r="BQ9" s="16">
        <f>'Financial statements'!EI10</f>
        <v>116480.37428563327</v>
      </c>
      <c r="BR9" s="16">
        <f>'Financial statements'!EJ10</f>
        <v>146149.99376146897</v>
      </c>
      <c r="BS9" s="16">
        <f>'Financial statements'!EK10</f>
        <v>208231.04351517808</v>
      </c>
      <c r="BT9" s="16">
        <f>'Financial statements'!EL10</f>
        <v>124658.72063117792</v>
      </c>
      <c r="BU9" s="16">
        <f>'Financial statements'!EM10</f>
        <v>133202.45744969559</v>
      </c>
      <c r="BV9" s="16">
        <f>'Financial statements'!EN10</f>
        <v>154869.23946014841</v>
      </c>
      <c r="BW9" s="16">
        <f>'Financial statements'!EO10</f>
        <v>183304.35523873646</v>
      </c>
      <c r="BX9" s="16">
        <f>'Financial statements'!EP10</f>
        <v>127767.03690258754</v>
      </c>
      <c r="BY9" s="16">
        <f>'Financial statements'!EQ10</f>
        <v>102699.55730810127</v>
      </c>
      <c r="BZ9" s="16">
        <f>'Financial statements'!ER10</f>
        <v>112158.6343256954</v>
      </c>
      <c r="CA9" s="16">
        <f>'Financial statements'!ES10</f>
        <v>128419.13916514401</v>
      </c>
      <c r="CB9" s="16">
        <f>'Financial statements'!ET10</f>
        <v>149872.11772718746</v>
      </c>
      <c r="CC9" s="16">
        <f>'Financial statements'!EU10</f>
        <v>132883.22620376505</v>
      </c>
      <c r="CD9" s="16">
        <f>'Financial statements'!EV10</f>
        <v>160801.77614372675</v>
      </c>
      <c r="CE9" s="16">
        <f>'Financial statements'!EW10</f>
        <v>142326.47167455673</v>
      </c>
      <c r="CF9" s="16">
        <f>'Financial statements'!EX10</f>
        <v>150188.55633998799</v>
      </c>
      <c r="CG9" s="16">
        <f>'Financial statements'!EY10</f>
        <v>125467.55136169966</v>
      </c>
      <c r="CH9" s="16">
        <f>'Financial statements'!EZ10</f>
        <v>123347.69845163127</v>
      </c>
      <c r="CI9" s="16">
        <f>'Financial statements'!FA10</f>
        <v>133927.92606242743</v>
      </c>
      <c r="CJ9" s="16">
        <f>'Financial statements'!FB10</f>
        <v>129671.19964522397</v>
      </c>
      <c r="CK9" s="16">
        <f>'Financial statements'!FC10</f>
        <v>143273.6376405734</v>
      </c>
      <c r="CL9" s="16">
        <f>'Financial statements'!FD10</f>
        <v>159021.78260808112</v>
      </c>
      <c r="CM9" s="16">
        <f>'Financial statements'!FE10</f>
        <v>172412.61800228059</v>
      </c>
      <c r="CN9" s="16">
        <f>'Financial statements'!FF10</f>
        <v>194111.17041907529</v>
      </c>
      <c r="CO9" s="16">
        <f>'Financial statements'!FG10</f>
        <v>173698.10413318657</v>
      </c>
      <c r="CP9" s="16">
        <f>'Financial statements'!FH10</f>
        <v>177777.09238580795</v>
      </c>
      <c r="CQ9" s="16">
        <f>'Financial statements'!FI10</f>
        <v>173004.22863725622</v>
      </c>
      <c r="CR9" s="16">
        <f>'Financial statements'!FJ10</f>
        <v>162529.93631246904</v>
      </c>
      <c r="CS9" s="742">
        <f>'Financial statements'!FK10</f>
        <v>176515.79721643784</v>
      </c>
      <c r="CT9" s="16"/>
      <c r="CU9"/>
      <c r="CV9" s="385"/>
      <c r="CW9" s="385"/>
      <c r="CX9" s="385"/>
      <c r="CY9" s="385"/>
      <c r="CZ9" s="385"/>
      <c r="DA9" s="385"/>
      <c r="DB9" s="385"/>
      <c r="DC9" s="385"/>
      <c r="DD9" s="385"/>
      <c r="DE9" s="385"/>
      <c r="DF9" s="385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L9"/>
      <c r="EM9"/>
      <c r="EN9"/>
      <c r="EO9"/>
      <c r="EP9"/>
      <c r="EQ9"/>
      <c r="ER9" s="384"/>
      <c r="ES9"/>
      <c r="ET9"/>
      <c r="EU9"/>
      <c r="EV9"/>
      <c r="EW9"/>
      <c r="EX9"/>
      <c r="EY9"/>
      <c r="EZ9"/>
      <c r="FA9"/>
      <c r="FB9"/>
    </row>
    <row r="10" spans="2:158" outlineLevel="1" x14ac:dyDescent="0.35">
      <c r="B10" s="399"/>
      <c r="C10" s="399"/>
      <c r="D10" s="399"/>
      <c r="E10" s="400" t="s">
        <v>91</v>
      </c>
      <c r="F10" s="387">
        <f t="shared" si="0"/>
        <v>848756.00938588358</v>
      </c>
      <c r="G10" s="387">
        <f t="shared" si="1"/>
        <v>937577.31232442043</v>
      </c>
      <c r="H10" s="387">
        <f t="shared" si="1"/>
        <v>767043.27421357611</v>
      </c>
      <c r="I10" s="387">
        <f t="shared" si="2"/>
        <v>0</v>
      </c>
      <c r="J10" s="389"/>
      <c r="K10" s="385">
        <f t="shared" si="3"/>
        <v>102257.79005407123</v>
      </c>
      <c r="L10" s="385">
        <f t="shared" si="4"/>
        <v>251548.00310393883</v>
      </c>
      <c r="M10" s="385">
        <f t="shared" si="5"/>
        <v>279239.1710329522</v>
      </c>
      <c r="N10" s="385">
        <f t="shared" si="6"/>
        <v>215711.04519492137</v>
      </c>
      <c r="O10" s="385"/>
      <c r="P10" s="385">
        <f t="shared" si="7"/>
        <v>170534.0381108443</v>
      </c>
      <c r="Q10" s="385">
        <f t="shared" si="8"/>
        <v>279448.86066086148</v>
      </c>
      <c r="R10" s="385">
        <f t="shared" si="9"/>
        <v>237844.27833508549</v>
      </c>
      <c r="S10" s="385">
        <f t="shared" si="10"/>
        <v>249750.13521762917</v>
      </c>
      <c r="T10" s="393"/>
      <c r="U10" s="385">
        <f t="shared" si="11"/>
        <v>115763.70356336934</v>
      </c>
      <c r="V10" s="385">
        <f t="shared" si="12"/>
        <v>118022.65806235909</v>
      </c>
      <c r="W10" s="385">
        <f t="shared" si="13"/>
        <v>229393.17670815683</v>
      </c>
      <c r="X10" s="385">
        <f t="shared" si="14"/>
        <v>118556.52761236159</v>
      </c>
      <c r="Y10" s="385"/>
      <c r="Z10" s="385">
        <f t="shared" si="15"/>
        <v>0</v>
      </c>
      <c r="AA10" s="385">
        <f t="shared" si="16"/>
        <v>0</v>
      </c>
      <c r="AB10" s="385">
        <f t="shared" si="17"/>
        <v>0</v>
      </c>
      <c r="AC10" s="385">
        <f t="shared" si="18"/>
        <v>0</v>
      </c>
      <c r="AD10" s="385"/>
      <c r="AE10" s="385"/>
      <c r="AF10" s="385"/>
      <c r="AG10" s="385"/>
      <c r="AH10" s="385"/>
      <c r="AI10" s="393"/>
      <c r="AJ10" s="389">
        <v>33359.073719412278</v>
      </c>
      <c r="AK10" s="389">
        <v>20369.051554579437</v>
      </c>
      <c r="AL10" s="389">
        <v>48529.664780079525</v>
      </c>
      <c r="AM10" s="389">
        <v>105305.01160469846</v>
      </c>
      <c r="AN10" s="389">
        <v>54637.384542411717</v>
      </c>
      <c r="AO10" s="389">
        <v>91605.606956828633</v>
      </c>
      <c r="AP10" s="389">
        <v>74803.470166848856</v>
      </c>
      <c r="AQ10" s="389">
        <v>85052.697558585976</v>
      </c>
      <c r="AR10" s="389">
        <v>119383.00330751739</v>
      </c>
      <c r="AS10" s="389">
        <v>128326.36352085641</v>
      </c>
      <c r="AT10" s="389">
        <v>87097.779619003602</v>
      </c>
      <c r="AU10" s="389">
        <v>286.90205506135408</v>
      </c>
      <c r="AV10" s="16">
        <v>64659.562985365512</v>
      </c>
      <c r="AW10" s="16">
        <v>43112.054295352173</v>
      </c>
      <c r="AX10" s="16">
        <v>62762.420830126619</v>
      </c>
      <c r="AY10" s="16">
        <v>100642.12</v>
      </c>
      <c r="AZ10" s="16">
        <f>'Financial statements'!DR11</f>
        <v>81576.157130254811</v>
      </c>
      <c r="BA10" s="16">
        <f>'Financial statements'!DS11</f>
        <v>97230.583530606687</v>
      </c>
      <c r="BB10" s="16">
        <f>'Financial statements'!DT11</f>
        <v>92647.184110487957</v>
      </c>
      <c r="BC10" s="16">
        <f>'Financial statements'!DU11</f>
        <v>60616.364224597535</v>
      </c>
      <c r="BD10" s="16">
        <f>'Financial statements'!DV11</f>
        <v>84580.73</v>
      </c>
      <c r="BE10" s="16">
        <f>'Financial statements'!DW11</f>
        <v>44432.29</v>
      </c>
      <c r="BF10" s="16">
        <f>'Financial statements'!DX11</f>
        <v>158784.29875485005</v>
      </c>
      <c r="BG10" s="16">
        <f>'Financial statements'!DY11</f>
        <v>46533.546462779108</v>
      </c>
      <c r="BH10" s="16">
        <f>'Financial statements'!DZ11</f>
        <v>16195.721135250158</v>
      </c>
      <c r="BI10" s="16">
        <f>'Financial statements'!EA11</f>
        <v>22588.915855641721</v>
      </c>
      <c r="BJ10" s="16">
        <f>'Financial statements'!EB11</f>
        <v>76979.066572477474</v>
      </c>
      <c r="BK10" s="16">
        <f>'Financial statements'!EC11</f>
        <v>39040.244894095587</v>
      </c>
      <c r="BL10" s="16">
        <f>'Financial statements'!ED11</f>
        <v>21269.584909686895</v>
      </c>
      <c r="BM10" s="16">
        <f>'Financial statements'!EE11</f>
        <v>57712.828258576599</v>
      </c>
      <c r="BN10" s="16">
        <f>'Financial statements'!EF11</f>
        <v>96567.481808538199</v>
      </c>
      <c r="BO10" s="16">
        <f>'Financial statements'!EG11</f>
        <v>73396.967663876421</v>
      </c>
      <c r="BP10" s="16">
        <f>'Financial statements'!EH11</f>
        <v>59428.727235742204</v>
      </c>
      <c r="BQ10" s="16">
        <f>'Financial statements'!EI11</f>
        <v>47781.627684941443</v>
      </c>
      <c r="BR10" s="16">
        <f>'Financial statements'!EJ11</f>
        <v>37356.637680229702</v>
      </c>
      <c r="BS10" s="16">
        <f>'Financial statements'!EK11</f>
        <v>33418.26224719044</v>
      </c>
      <c r="BT10" s="16">
        <f>'Financial statements'!EL11</f>
        <v>27919.987930176056</v>
      </c>
      <c r="BU10" s="16">
        <f>'Financial statements'!EM11</f>
        <v>74067.918954697816</v>
      </c>
      <c r="BV10" s="16">
        <f>'Financial statements'!EN11</f>
        <v>107874.39027304619</v>
      </c>
      <c r="BW10" s="16">
        <f>'Financial statements'!EO11</f>
        <v>46017.344924422447</v>
      </c>
      <c r="BX10" s="16">
        <f>'Financial statements'!EP11</f>
        <v>64850.202178373998</v>
      </c>
      <c r="BY10" s="16">
        <f>'Financial statements'!EQ11</f>
        <v>60213.863250983391</v>
      </c>
      <c r="BZ10" s="16">
        <f>'Financial statements'!ER11</f>
        <v>65770.980538572665</v>
      </c>
      <c r="CA10" s="16">
        <f>'Financial statements'!ES11</f>
        <v>83570.394117502859</v>
      </c>
      <c r="CB10" s="16">
        <f>'Financial statements'!ET11</f>
        <v>73496.425679264183</v>
      </c>
      <c r="CC10" s="16">
        <f>'Financial statements'!EU11</f>
        <v>124709.56999300391</v>
      </c>
      <c r="CD10" s="16">
        <f>'Financial statements'!EV11</f>
        <v>51718.627101827646</v>
      </c>
      <c r="CE10" s="16">
        <f>'Financial statements'!EW11</f>
        <v>41115.647714602041</v>
      </c>
      <c r="CF10" s="16">
        <f>'Financial statements'!EX11</f>
        <v>48944.891566363018</v>
      </c>
      <c r="CG10" s="16">
        <f>'Financial statements'!EY11</f>
        <v>91540.352586167093</v>
      </c>
      <c r="CH10" s="16">
        <f>'Financial statements'!EZ11</f>
        <v>28468.330044112085</v>
      </c>
      <c r="CI10" s="16">
        <f>'Financial statements'!FA11</f>
        <v>95899.364497334493</v>
      </c>
      <c r="CJ10" s="16">
        <f>'Financial statements'!FB11</f>
        <v>43342.372016033602</v>
      </c>
      <c r="CK10" s="16">
        <f>'Financial statements'!FC11</f>
        <v>84960.536737339789</v>
      </c>
      <c r="CL10" s="16">
        <f>'Financial statements'!FD11</f>
        <v>23607.710681057386</v>
      </c>
      <c r="CM10" s="16">
        <f>'Financial statements'!FE11</f>
        <v>41277.142770165694</v>
      </c>
      <c r="CN10" s="16">
        <f>'Financial statements'!FF11</f>
        <v>87843.596632795103</v>
      </c>
      <c r="CO10" s="16">
        <f>'Financial statements'!FG11</f>
        <v>86884.4639365927</v>
      </c>
      <c r="CP10" s="16">
        <f>'Financial statements'!FH11</f>
        <v>50115.492377984403</v>
      </c>
      <c r="CQ10" s="16">
        <f>'Financial statements'!FI11</f>
        <v>120043.18544639015</v>
      </c>
      <c r="CR10" s="16">
        <f>'Financial statements'!FJ11</f>
        <v>78640.17402368359</v>
      </c>
      <c r="CS10" s="742">
        <f>'Financial statements'!FK11</f>
        <v>34327.932308392199</v>
      </c>
      <c r="CT10" s="16"/>
      <c r="CU10"/>
      <c r="CV10" s="385"/>
      <c r="CW10" s="385"/>
      <c r="CX10" s="385"/>
      <c r="CY10" s="385"/>
      <c r="CZ10" s="385"/>
      <c r="DA10" s="385"/>
      <c r="DB10" s="385"/>
      <c r="DC10" s="385"/>
      <c r="DD10" s="385"/>
      <c r="DE10" s="385"/>
      <c r="DF10" s="385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L10"/>
      <c r="EM10"/>
      <c r="EN10"/>
      <c r="EO10"/>
      <c r="EP10"/>
      <c r="EQ10"/>
      <c r="ER10" s="384"/>
      <c r="ES10"/>
      <c r="ET10"/>
      <c r="EU10"/>
      <c r="EV10"/>
      <c r="EW10"/>
      <c r="EX10"/>
      <c r="EY10"/>
      <c r="EZ10"/>
      <c r="FA10"/>
      <c r="FB10"/>
    </row>
    <row r="11" spans="2:158" outlineLevel="1" x14ac:dyDescent="0.35">
      <c r="E11" s="400" t="str">
        <f>'Financial statements'!E12</f>
        <v>Launchpad</v>
      </c>
      <c r="F11" s="387">
        <f t="shared" si="0"/>
        <v>0</v>
      </c>
      <c r="G11" s="387">
        <f t="shared" si="1"/>
        <v>0</v>
      </c>
      <c r="H11" s="387">
        <f t="shared" si="1"/>
        <v>0</v>
      </c>
      <c r="I11" s="387">
        <f t="shared" si="2"/>
        <v>0</v>
      </c>
      <c r="J11" s="385"/>
      <c r="K11" s="385">
        <f t="shared" si="3"/>
        <v>0</v>
      </c>
      <c r="L11" s="385">
        <f t="shared" si="4"/>
        <v>0</v>
      </c>
      <c r="M11" s="385">
        <f t="shared" si="5"/>
        <v>0</v>
      </c>
      <c r="N11" s="385">
        <f t="shared" si="6"/>
        <v>0</v>
      </c>
      <c r="O11" s="385"/>
      <c r="P11" s="385">
        <f t="shared" si="7"/>
        <v>0</v>
      </c>
      <c r="Q11" s="385">
        <f t="shared" si="8"/>
        <v>0</v>
      </c>
      <c r="R11" s="385">
        <f t="shared" si="9"/>
        <v>0</v>
      </c>
      <c r="S11" s="385">
        <f t="shared" si="10"/>
        <v>0</v>
      </c>
      <c r="T11" s="393"/>
      <c r="U11" s="385">
        <f t="shared" si="11"/>
        <v>0</v>
      </c>
      <c r="V11" s="385">
        <f t="shared" si="12"/>
        <v>6856.67182062352</v>
      </c>
      <c r="W11" s="385">
        <f t="shared" si="13"/>
        <v>20519.792735698502</v>
      </c>
      <c r="X11" s="385">
        <f t="shared" si="14"/>
        <v>14838.236092842897</v>
      </c>
      <c r="Y11" s="385"/>
      <c r="Z11" s="385">
        <f t="shared" si="15"/>
        <v>0</v>
      </c>
      <c r="AA11" s="385">
        <f t="shared" si="16"/>
        <v>0</v>
      </c>
      <c r="AB11" s="385">
        <f t="shared" si="17"/>
        <v>0</v>
      </c>
      <c r="AC11" s="385">
        <f t="shared" si="18"/>
        <v>0</v>
      </c>
      <c r="AD11" s="385"/>
      <c r="AE11" s="385"/>
      <c r="AF11" s="385"/>
      <c r="AG11" s="385"/>
      <c r="AH11" s="385"/>
      <c r="AI11" s="393"/>
      <c r="AJ11" s="389"/>
      <c r="AK11" s="389"/>
      <c r="AL11" s="389"/>
      <c r="AM11" s="389"/>
      <c r="AN11" s="389"/>
      <c r="AO11" s="389"/>
      <c r="AP11" s="389"/>
      <c r="AQ11" s="389"/>
      <c r="AR11" s="389"/>
      <c r="AS11" s="385"/>
      <c r="AT11" s="385"/>
      <c r="AU11" s="385"/>
      <c r="AV11" s="20"/>
      <c r="AW11" s="20"/>
      <c r="AX11" s="54"/>
      <c r="AY11" s="54"/>
      <c r="AZ11" s="54">
        <f>'Financial statements'!DR12</f>
        <v>0</v>
      </c>
      <c r="BA11" s="54">
        <f>'Financial statements'!DS12</f>
        <v>0</v>
      </c>
      <c r="BB11" s="54">
        <f>'Financial statements'!DT12</f>
        <v>0</v>
      </c>
      <c r="BC11" s="54">
        <f>'Financial statements'!DU12</f>
        <v>0</v>
      </c>
      <c r="BD11" s="54">
        <f>'Financial statements'!DV12</f>
        <v>0</v>
      </c>
      <c r="BE11" s="54">
        <f>'Financial statements'!DW12</f>
        <v>0</v>
      </c>
      <c r="BF11" s="54">
        <f>'Financial statements'!DX12</f>
        <v>0</v>
      </c>
      <c r="BG11" s="54">
        <f>'Financial statements'!DY12</f>
        <v>0</v>
      </c>
      <c r="BH11" s="54">
        <f>'Financial statements'!DZ12</f>
        <v>0</v>
      </c>
      <c r="BI11" s="54">
        <f>'Financial statements'!EA12</f>
        <v>0</v>
      </c>
      <c r="BJ11" s="54">
        <f>'Financial statements'!EB12</f>
        <v>0</v>
      </c>
      <c r="BK11" s="54">
        <f>'Financial statements'!EC12</f>
        <v>0</v>
      </c>
      <c r="BL11" s="54">
        <f>'Financial statements'!ED12</f>
        <v>0</v>
      </c>
      <c r="BM11" s="16">
        <f>'Financial statements'!EE12</f>
        <v>6856.67182062352</v>
      </c>
      <c r="BN11" s="16">
        <f>'Financial statements'!EF12</f>
        <v>6746.3506302712804</v>
      </c>
      <c r="BO11" s="16">
        <f>'Financial statements'!EG12</f>
        <v>6820.4389551784734</v>
      </c>
      <c r="BP11" s="16">
        <f>'Financial statements'!EH12</f>
        <v>6953.0031502487454</v>
      </c>
      <c r="BQ11" s="16">
        <f>'Financial statements'!EI12</f>
        <v>5024.3568522320184</v>
      </c>
      <c r="BR11" s="16">
        <f>'Financial statements'!EJ12</f>
        <v>4949.5379091779141</v>
      </c>
      <c r="BS11" s="16">
        <f>'Financial statements'!EK12</f>
        <v>4864.3413314329646</v>
      </c>
      <c r="BT11" s="16">
        <f>'Financial statements'!EL12</f>
        <v>7851.791112334653</v>
      </c>
      <c r="BU11" s="16">
        <f>'Financial statements'!EM12</f>
        <v>7873.6905636289575</v>
      </c>
      <c r="BV11" s="16">
        <f>'Financial statements'!EN12</f>
        <v>7852.8444415683589</v>
      </c>
      <c r="BW11" s="16">
        <f>'Financial statements'!EO12</f>
        <v>7911.7827767531689</v>
      </c>
      <c r="BX11" s="16">
        <f>'Financial statements'!EP12</f>
        <v>7875.404220261893</v>
      </c>
      <c r="BY11" s="16">
        <f>'Financial statements'!EQ12</f>
        <v>6934.9447306659849</v>
      </c>
      <c r="BZ11" s="16">
        <f>'Financial statements'!ER12</f>
        <v>6887.3582334642033</v>
      </c>
      <c r="CA11" s="16">
        <f>'Financial statements'!ES12</f>
        <v>4000</v>
      </c>
      <c r="CB11" s="16">
        <f>'Financial statements'!ET12</f>
        <v>4000</v>
      </c>
      <c r="CC11" s="16">
        <f>'Financial statements'!EU12</f>
        <v>7829.1538387224446</v>
      </c>
      <c r="CD11" s="16">
        <f>'Financial statements'!EV12</f>
        <v>7922.5000861783701</v>
      </c>
      <c r="CE11" s="16">
        <f>'Financial statements'!EW12</f>
        <v>4000</v>
      </c>
      <c r="CF11" s="16">
        <f>'Financial statements'!EX12</f>
        <v>1000</v>
      </c>
      <c r="CG11" s="16">
        <f>'Financial statements'!EY12</f>
        <v>1000</v>
      </c>
      <c r="CH11" s="16">
        <f>'Financial statements'!EZ12</f>
        <v>1000</v>
      </c>
      <c r="CI11" s="16">
        <f>'Financial statements'!FA12</f>
        <v>1300</v>
      </c>
      <c r="CJ11" s="16">
        <f>'Financial statements'!FB12</f>
        <v>300</v>
      </c>
      <c r="CK11" s="16">
        <f>'Financial statements'!FC12</f>
        <v>0</v>
      </c>
      <c r="CL11" s="16">
        <f>'Financial statements'!FD12</f>
        <v>0</v>
      </c>
      <c r="CM11" s="16">
        <f>'Financial statements'!FE12</f>
        <v>0</v>
      </c>
      <c r="CN11" s="16">
        <f>'Financial statements'!FF12</f>
        <v>0</v>
      </c>
      <c r="CO11" s="16">
        <f>'Financial statements'!FG12</f>
        <v>1200</v>
      </c>
      <c r="CP11" s="16">
        <f>'Financial statements'!FH12</f>
        <v>0</v>
      </c>
      <c r="CQ11" s="16">
        <f>'Financial statements'!FI12</f>
        <v>0</v>
      </c>
      <c r="CR11" s="16">
        <f>'Financial statements'!FJ12</f>
        <v>0</v>
      </c>
      <c r="CS11" s="742">
        <f>'Financial statements'!FK12</f>
        <v>0</v>
      </c>
      <c r="CT11" s="16"/>
      <c r="CU11"/>
      <c r="CV11" s="385"/>
      <c r="CW11" s="385"/>
      <c r="CX11" s="385"/>
      <c r="CY11" s="385"/>
      <c r="CZ11" s="385"/>
      <c r="DA11" s="385"/>
      <c r="DB11" s="385"/>
      <c r="DC11" s="385"/>
      <c r="DD11" s="385"/>
      <c r="DE11" s="385"/>
      <c r="DF11" s="385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L11"/>
      <c r="EM11"/>
      <c r="EN11"/>
      <c r="EO11"/>
      <c r="EP11"/>
      <c r="EQ11"/>
      <c r="ER11" s="384"/>
      <c r="ES11"/>
      <c r="ET11"/>
      <c r="EU11"/>
      <c r="EV11"/>
      <c r="EW11"/>
      <c r="EX11"/>
      <c r="EY11"/>
      <c r="EZ11"/>
      <c r="FA11"/>
      <c r="FB11"/>
    </row>
    <row r="12" spans="2:158" x14ac:dyDescent="0.35">
      <c r="E12" s="398" t="s">
        <v>10</v>
      </c>
      <c r="F12" s="387">
        <f t="shared" si="0"/>
        <v>1112186.55</v>
      </c>
      <c r="G12" s="387">
        <f t="shared" si="1"/>
        <v>1417113.5100478316</v>
      </c>
      <c r="H12" s="387">
        <f>SUM(U12:X12)</f>
        <v>1100085.5993730188</v>
      </c>
      <c r="I12" s="387">
        <f t="shared" si="2"/>
        <v>762730.39223295159</v>
      </c>
      <c r="J12" s="388"/>
      <c r="K12" s="385">
        <f t="shared" si="3"/>
        <v>232662.11</v>
      </c>
      <c r="L12" s="385">
        <f t="shared" si="4"/>
        <v>309222.63</v>
      </c>
      <c r="M12" s="385">
        <f t="shared" si="5"/>
        <v>413104.04</v>
      </c>
      <c r="N12" s="385">
        <f t="shared" si="6"/>
        <v>157197.77000000002</v>
      </c>
      <c r="O12" s="385"/>
      <c r="P12" s="385">
        <f t="shared" si="7"/>
        <v>241145.51970494757</v>
      </c>
      <c r="Q12" s="385">
        <f t="shared" si="8"/>
        <v>313656.01</v>
      </c>
      <c r="R12" s="385">
        <f t="shared" si="9"/>
        <v>478260.90034288395</v>
      </c>
      <c r="S12" s="385">
        <f t="shared" si="10"/>
        <v>384051.08</v>
      </c>
      <c r="T12" s="393"/>
      <c r="U12" s="385">
        <f t="shared" si="11"/>
        <v>208481.71</v>
      </c>
      <c r="V12" s="385">
        <f t="shared" si="12"/>
        <v>285083.34000000003</v>
      </c>
      <c r="W12" s="385">
        <f t="shared" si="13"/>
        <v>226270.68940136509</v>
      </c>
      <c r="X12" s="385">
        <f t="shared" si="14"/>
        <v>380249.85997165367</v>
      </c>
      <c r="Y12" s="385"/>
      <c r="Z12" s="385">
        <f t="shared" ref="Z12:Z13" si="19">SUM(BT12:BV12)</f>
        <v>241769.57199314778</v>
      </c>
      <c r="AA12" s="385">
        <f t="shared" ref="AA12:AA13" si="20">SUM(BW12:BY12)</f>
        <v>270294.93932399573</v>
      </c>
      <c r="AB12" s="385">
        <f t="shared" ref="AB12:AB13" si="21">SUM(BZ12:CB12)</f>
        <v>111667.39394497257</v>
      </c>
      <c r="AC12" s="385">
        <f t="shared" ref="AC12:AC13" si="22">SUM(CC12:CE12)</f>
        <v>138998.48697083545</v>
      </c>
      <c r="AD12" s="385"/>
      <c r="AE12" s="385">
        <f t="shared" ref="AE12:AE13" si="23">SUM(CF12:CH12)</f>
        <v>185596.4903573895</v>
      </c>
      <c r="AF12" s="385">
        <f t="shared" ref="AF12:AF13" si="24">SUM(CI12:CK12)</f>
        <v>241618.8522300327</v>
      </c>
      <c r="AG12" s="385">
        <f t="shared" ref="AG12:AG13" si="25">SUM(CL12:CN12)</f>
        <v>579986.69903463032</v>
      </c>
      <c r="AH12" s="385">
        <f t="shared" ref="AH12:AH13" si="26">SUM(CO12:CQ12)</f>
        <v>147449.46277119976</v>
      </c>
      <c r="AI12" s="393"/>
      <c r="AJ12" s="388">
        <v>183477.43</v>
      </c>
      <c r="AK12" s="388">
        <f>35596.47-0.09</f>
        <v>35596.380000000005</v>
      </c>
      <c r="AL12" s="388">
        <v>13588.3</v>
      </c>
      <c r="AM12" s="388">
        <v>12172.140000000001</v>
      </c>
      <c r="AN12" s="388">
        <v>27121.33</v>
      </c>
      <c r="AO12" s="388">
        <v>269929.16000000003</v>
      </c>
      <c r="AP12" s="388">
        <v>244135.2</v>
      </c>
      <c r="AQ12" s="388">
        <v>128273.84999999999</v>
      </c>
      <c r="AR12" s="388">
        <v>40694.989999999991</v>
      </c>
      <c r="AS12" s="388">
        <v>27195.899999999998</v>
      </c>
      <c r="AT12" s="388">
        <v>24129.559999999998</v>
      </c>
      <c r="AU12" s="388">
        <v>105872.31000000001</v>
      </c>
      <c r="AV12" s="12">
        <v>35574.360000000008</v>
      </c>
      <c r="AW12" s="12">
        <v>14132.3</v>
      </c>
      <c r="AX12" s="12">
        <v>191438.85970494756</v>
      </c>
      <c r="AY12" s="12">
        <v>138850.63</v>
      </c>
      <c r="AZ12" s="12">
        <f>'Financial statements'!DR13</f>
        <v>162944.53</v>
      </c>
      <c r="BA12" s="12">
        <f>'Financial statements'!DS13</f>
        <v>11860.850000000002</v>
      </c>
      <c r="BB12" s="12">
        <f>'Financial statements'!DT13</f>
        <v>25840.52</v>
      </c>
      <c r="BC12" s="12">
        <f>'Financial statements'!DU13</f>
        <v>147417.40034288398</v>
      </c>
      <c r="BD12" s="12">
        <f>'Financial statements'!DV13</f>
        <v>305002.98</v>
      </c>
      <c r="BE12" s="12">
        <f>'Financial statements'!DW13</f>
        <v>14502.12</v>
      </c>
      <c r="BF12" s="12">
        <f>'Financial statements'!DX13</f>
        <v>50499</v>
      </c>
      <c r="BG12" s="12">
        <f>'Financial statements'!DY13</f>
        <v>319049.96000000002</v>
      </c>
      <c r="BH12" s="12">
        <f>'Financial statements'!DZ13</f>
        <v>23688.560000000001</v>
      </c>
      <c r="BI12" s="12">
        <f>'Financial statements'!EA13</f>
        <v>5833.56</v>
      </c>
      <c r="BJ12" s="12">
        <f>'Financial statements'!EB13</f>
        <v>178959.59</v>
      </c>
      <c r="BK12" s="12">
        <f>'Financial statements'!EC13</f>
        <v>63193.340000000004</v>
      </c>
      <c r="BL12" s="12">
        <f>'Financial statements'!ED13</f>
        <v>64965.840000000004</v>
      </c>
      <c r="BM12" s="12">
        <f>'Financial statements'!EE13</f>
        <v>156924.16</v>
      </c>
      <c r="BN12" s="12">
        <f>'Financial statements'!EF13</f>
        <v>132446.08632946899</v>
      </c>
      <c r="BO12" s="12">
        <f>'Financial statements'!EG13</f>
        <v>81073.888383301295</v>
      </c>
      <c r="BP12" s="12">
        <f>'Financial statements'!EH13</f>
        <v>12750.71468859481</v>
      </c>
      <c r="BQ12" s="12">
        <f>'Financial statements'!EI13</f>
        <v>152529.23079883761</v>
      </c>
      <c r="BR12" s="12">
        <f>'Financial statements'!EJ13</f>
        <v>126874.81</v>
      </c>
      <c r="BS12" s="12">
        <f>'Financial statements'!EK13</f>
        <v>100845.81917281603</v>
      </c>
      <c r="BT12" s="511">
        <f>'Financial statements'!EL13</f>
        <v>18673.03346852729</v>
      </c>
      <c r="BU12" s="12">
        <f>'Financial statements'!EM13</f>
        <v>44687.518270776447</v>
      </c>
      <c r="BV12" s="12">
        <f>'Financial statements'!EN13</f>
        <v>178409.02025384404</v>
      </c>
      <c r="BW12" s="12">
        <f>'Financial statements'!EO13</f>
        <v>16172.263638094284</v>
      </c>
      <c r="BX12" s="12">
        <f>'Financial statements'!EP13</f>
        <v>116334.87117723575</v>
      </c>
      <c r="BY12" s="12">
        <f>'Financial statements'!EQ13</f>
        <v>137787.80450866566</v>
      </c>
      <c r="BZ12" s="12">
        <f>'Financial statements'!ER13</f>
        <v>26635.97989926493</v>
      </c>
      <c r="CA12" s="12">
        <f>'Financial statements'!ES13</f>
        <v>66614.784243940914</v>
      </c>
      <c r="CB12" s="12">
        <f>'Financial statements'!ET13</f>
        <v>18416.629801766729</v>
      </c>
      <c r="CC12" s="12">
        <f>'Financial statements'!EU13</f>
        <v>33514.746511020858</v>
      </c>
      <c r="CD12" s="12">
        <f>'Financial statements'!EV13</f>
        <v>98079.36045981459</v>
      </c>
      <c r="CE12" s="12">
        <f>'Financial statements'!EW13</f>
        <v>7404.38</v>
      </c>
      <c r="CF12" s="12">
        <f>'Financial statements'!EX13</f>
        <v>5699.8504705578835</v>
      </c>
      <c r="CG12" s="12">
        <f>'Financial statements'!EY13</f>
        <v>171809.87969621865</v>
      </c>
      <c r="CH12" s="12">
        <f>'Financial statements'!EZ13</f>
        <v>8086.7601906129703</v>
      </c>
      <c r="CI12" s="12">
        <f>'Financial statements'!FA13</f>
        <v>54512.492339246404</v>
      </c>
      <c r="CJ12" s="12">
        <f>'Financial statements'!FB13</f>
        <v>176384.01737645015</v>
      </c>
      <c r="CK12" s="12">
        <f>'Financial statements'!FC13</f>
        <v>10722.342514336144</v>
      </c>
      <c r="CL12" s="12">
        <f>'Financial statements'!FD13</f>
        <v>194362.89863010039</v>
      </c>
      <c r="CM12" s="12">
        <f>'Financial statements'!FE13</f>
        <v>140511.82507441723</v>
      </c>
      <c r="CN12" s="12">
        <f>'Financial statements'!FF13</f>
        <v>245111.97533011273</v>
      </c>
      <c r="CO12" s="12">
        <f>'Financial statements'!FG13</f>
        <v>22686.994839101455</v>
      </c>
      <c r="CP12" s="12">
        <f>'Financial statements'!FH13</f>
        <v>5096.3656600826353</v>
      </c>
      <c r="CQ12" s="12">
        <f>'Financial statements'!FI13</f>
        <v>119666.10227201568</v>
      </c>
      <c r="CR12" s="12">
        <f>'Financial statements'!FJ13</f>
        <v>35492.031354356201</v>
      </c>
      <c r="CS12" s="741">
        <f>'Financial statements'!FK13</f>
        <v>5967.9227934148321</v>
      </c>
      <c r="CT12" s="12"/>
      <c r="CU12" s="106">
        <v>108333.33333333333</v>
      </c>
      <c r="CV12" s="385">
        <v>108333.33333333333</v>
      </c>
      <c r="CW12" s="385">
        <v>108333.33333333333</v>
      </c>
      <c r="CX12" s="385">
        <v>108333.33333333333</v>
      </c>
      <c r="CY12" s="385">
        <v>108333.33333333333</v>
      </c>
      <c r="CZ12" s="385">
        <v>108333.33333333333</v>
      </c>
      <c r="DA12" s="385">
        <v>108333.33333333333</v>
      </c>
      <c r="DB12" s="385">
        <v>108333.33333333333</v>
      </c>
      <c r="DC12" s="385">
        <v>108333.33333333333</v>
      </c>
      <c r="DD12" s="385">
        <v>108333.33333333333</v>
      </c>
      <c r="DE12" s="385">
        <v>108333.33333333333</v>
      </c>
      <c r="DF12" s="388">
        <v>108333.33333333333</v>
      </c>
      <c r="DG12" s="290">
        <v>118125</v>
      </c>
      <c r="DH12" s="388">
        <v>118125</v>
      </c>
      <c r="DI12" s="388">
        <v>118125</v>
      </c>
      <c r="DJ12" s="388">
        <v>118125</v>
      </c>
      <c r="DK12" s="388">
        <v>118125</v>
      </c>
      <c r="DL12" s="388">
        <v>118125</v>
      </c>
      <c r="DM12" s="388">
        <v>118125</v>
      </c>
      <c r="DN12" s="388">
        <v>118125</v>
      </c>
      <c r="DO12" s="388">
        <v>118125</v>
      </c>
      <c r="DP12" s="388">
        <v>118125</v>
      </c>
      <c r="DQ12" s="388">
        <v>118125</v>
      </c>
      <c r="DR12" s="388">
        <v>118125</v>
      </c>
      <c r="DS12" s="12">
        <f>'Financial plan'!EA18</f>
        <v>68791.666666666672</v>
      </c>
      <c r="DT12" s="12">
        <f>'Financial plan'!EB18</f>
        <v>68791.666666666672</v>
      </c>
      <c r="DU12" s="12">
        <f>'Financial plan'!EC18</f>
        <v>68791.666666666672</v>
      </c>
      <c r="DV12" s="12">
        <f>'Financial plan'!ED18</f>
        <v>156083.33333333334</v>
      </c>
      <c r="DW12" s="12">
        <f>'Financial plan'!EE18</f>
        <v>156083.33333333334</v>
      </c>
      <c r="DX12" s="12">
        <f>'Financial plan'!EF18</f>
        <v>156083.33333333334</v>
      </c>
      <c r="DY12" s="12">
        <f>'Financial plan'!EG18</f>
        <v>122958.33333333333</v>
      </c>
      <c r="DZ12" s="12">
        <f>'Financial plan'!EH18</f>
        <v>122958.33333333333</v>
      </c>
      <c r="EA12" s="12">
        <f>'Financial plan'!EI18</f>
        <v>122958.33333333333</v>
      </c>
      <c r="EB12" s="12">
        <f>'Financial plan'!EJ18</f>
        <v>156083.33333333334</v>
      </c>
      <c r="EC12" s="12">
        <f>'Financial plan'!EK18</f>
        <v>156083.33333333334</v>
      </c>
      <c r="ED12" s="12">
        <f>'Financial plan'!EL18</f>
        <v>156083.33333333334</v>
      </c>
      <c r="EE12" s="12">
        <f>'Financial plan'!EM18</f>
        <v>66666.666666666672</v>
      </c>
      <c r="EF12" s="12">
        <f>'Financial plan'!EN18</f>
        <v>66666.666666666672</v>
      </c>
      <c r="EG12" s="12">
        <f>'Financial plan'!EO18</f>
        <v>66666.666666666672</v>
      </c>
      <c r="EH12" s="12">
        <f>'Financial plan'!EP18</f>
        <v>66666.666666666672</v>
      </c>
      <c r="EI12" s="12">
        <f>'Financial plan'!EQ18</f>
        <v>66666.666666666672</v>
      </c>
      <c r="EJ12" s="12">
        <f>'Financial plan'!ER18</f>
        <v>66666.666666666672</v>
      </c>
      <c r="EK12" s="12">
        <f>'Financial plan'!ES18</f>
        <v>66666.666666666672</v>
      </c>
      <c r="EL12" s="12">
        <f>'Financial plan'!ET18</f>
        <v>66666.666666666672</v>
      </c>
      <c r="EM12" s="12">
        <f>'Financial plan'!EU18</f>
        <v>66666.666666666672</v>
      </c>
      <c r="EN12" s="12">
        <f>'Financial plan'!EV18</f>
        <v>66666.666666666672</v>
      </c>
      <c r="EO12" s="12">
        <f>'Financial plan'!EW18</f>
        <v>66666.666666666672</v>
      </c>
      <c r="EP12" s="12">
        <v>66666.666666666672</v>
      </c>
      <c r="EQ12" s="12">
        <f>'Financial plan'!EY18</f>
        <v>94532.828282828283</v>
      </c>
      <c r="ER12" s="451">
        <f>'Financial plan'!EZ18</f>
        <v>94532.828282828283</v>
      </c>
      <c r="ES12" s="12">
        <f>'Financial plan'!FA18</f>
        <v>94532.828282828283</v>
      </c>
      <c r="ET12" s="12">
        <f>'Financial plan'!FB18</f>
        <v>118207.0707070707</v>
      </c>
      <c r="EU12" s="12">
        <f>'Financial plan'!FC18</f>
        <v>118207.0707070707</v>
      </c>
      <c r="EV12" s="12">
        <f>'Financial plan'!FD18</f>
        <v>118207.0707070707</v>
      </c>
      <c r="EW12" s="12">
        <f>'Financial plan'!FE18</f>
        <v>141881.3131313131</v>
      </c>
      <c r="EX12" s="12">
        <f>'Financial plan'!FF18</f>
        <v>141881.3131313131</v>
      </c>
      <c r="EY12" s="12">
        <f>'Financial plan'!FG18</f>
        <v>141881.3131313131</v>
      </c>
      <c r="EZ12" s="12">
        <f>'Financial plan'!FH18</f>
        <v>165555.55555555553</v>
      </c>
      <c r="FA12" s="12">
        <f>'Financial plan'!FI18</f>
        <v>165555.55555555553</v>
      </c>
      <c r="FB12" s="12">
        <f>'Financial plan'!FJ18</f>
        <v>165555.55555555553</v>
      </c>
    </row>
    <row r="13" spans="2:158" x14ac:dyDescent="0.35">
      <c r="E13" s="398" t="s">
        <v>11</v>
      </c>
      <c r="F13" s="387">
        <f t="shared" si="0"/>
        <v>319517.40999999997</v>
      </c>
      <c r="G13" s="387">
        <f t="shared" si="1"/>
        <v>537797.18451353617</v>
      </c>
      <c r="H13" s="387">
        <f>SUM(U13:X13)</f>
        <v>749820.45709427679</v>
      </c>
      <c r="I13" s="387">
        <f t="shared" si="2"/>
        <v>878350.60176539863</v>
      </c>
      <c r="J13" s="388"/>
      <c r="K13" s="385">
        <f t="shared" si="3"/>
        <v>101944.35</v>
      </c>
      <c r="L13" s="385">
        <f t="shared" si="4"/>
        <v>98946.47</v>
      </c>
      <c r="M13" s="385">
        <f t="shared" si="5"/>
        <v>46289.61</v>
      </c>
      <c r="N13" s="385">
        <f t="shared" si="6"/>
        <v>72336.98</v>
      </c>
      <c r="O13" s="385"/>
      <c r="P13" s="385">
        <f t="shared" si="7"/>
        <v>91170.090426143695</v>
      </c>
      <c r="Q13" s="385">
        <f t="shared" si="8"/>
        <v>144447.63</v>
      </c>
      <c r="R13" s="385">
        <f t="shared" si="9"/>
        <v>166988.99408739235</v>
      </c>
      <c r="S13" s="385">
        <f t="shared" si="10"/>
        <v>135190.47000000009</v>
      </c>
      <c r="T13" s="393"/>
      <c r="U13" s="385">
        <f>SUM(BH13:BJ13)</f>
        <v>104909.41</v>
      </c>
      <c r="V13" s="385">
        <f t="shared" si="12"/>
        <v>131801.87</v>
      </c>
      <c r="W13" s="385">
        <f t="shared" si="13"/>
        <v>219953.35645192111</v>
      </c>
      <c r="X13" s="385">
        <f t="shared" si="14"/>
        <v>293155.82064235577</v>
      </c>
      <c r="Y13" s="385"/>
      <c r="Z13" s="385">
        <f t="shared" si="19"/>
        <v>279442.49223817536</v>
      </c>
      <c r="AA13" s="385">
        <f t="shared" si="20"/>
        <v>287024.29972636374</v>
      </c>
      <c r="AB13" s="385">
        <f t="shared" si="21"/>
        <v>297140.74071557214</v>
      </c>
      <c r="AC13" s="385">
        <f t="shared" si="22"/>
        <v>14743.06908528741</v>
      </c>
      <c r="AD13" s="385"/>
      <c r="AE13" s="385">
        <f t="shared" si="23"/>
        <v>221862.70169831603</v>
      </c>
      <c r="AF13" s="385">
        <f t="shared" si="24"/>
        <v>175682.48726758361</v>
      </c>
      <c r="AG13" s="385">
        <f t="shared" si="25"/>
        <v>224583.26213698427</v>
      </c>
      <c r="AH13" s="385">
        <f t="shared" si="26"/>
        <v>230753.41406993227</v>
      </c>
      <c r="AI13" s="393"/>
      <c r="AJ13" s="388">
        <v>40000.28</v>
      </c>
      <c r="AK13" s="388">
        <v>40000</v>
      </c>
      <c r="AL13" s="388">
        <v>21944.07</v>
      </c>
      <c r="AM13" s="388">
        <v>30182.6</v>
      </c>
      <c r="AN13" s="388">
        <v>31415.429999999993</v>
      </c>
      <c r="AO13" s="388">
        <v>37348.44</v>
      </c>
      <c r="AP13" s="388">
        <v>12811.89</v>
      </c>
      <c r="AQ13" s="388">
        <v>3986.54</v>
      </c>
      <c r="AR13" s="388">
        <v>29491.18</v>
      </c>
      <c r="AS13" s="388">
        <v>7509.7800000000007</v>
      </c>
      <c r="AT13" s="388">
        <v>14039.72</v>
      </c>
      <c r="AU13" s="388">
        <v>50787.479999999996</v>
      </c>
      <c r="AV13" s="12">
        <v>9634.4699999999993</v>
      </c>
      <c r="AW13" s="12">
        <v>10864.91</v>
      </c>
      <c r="AX13" s="12">
        <v>70670.710426143691</v>
      </c>
      <c r="AY13" s="12">
        <f>SUM(AY14:AY20)</f>
        <v>49612.77</v>
      </c>
      <c r="AZ13" s="12">
        <f>'Financial statements'!DR14</f>
        <v>79154.94</v>
      </c>
      <c r="BA13" s="12">
        <f>'Financial statements'!DS14</f>
        <v>15679.92</v>
      </c>
      <c r="BB13" s="12">
        <f>'Financial statements'!DT14</f>
        <v>13657.19</v>
      </c>
      <c r="BC13" s="12">
        <f>'Financial statements'!DU14</f>
        <v>44891.384087392333</v>
      </c>
      <c r="BD13" s="12">
        <f>'Financial statements'!DV14</f>
        <v>108440.42</v>
      </c>
      <c r="BE13" s="12">
        <f>'Financial statements'!DW14</f>
        <v>25877.37</v>
      </c>
      <c r="BF13" s="12">
        <f>'Financial statements'!DX14</f>
        <v>72782.480000000025</v>
      </c>
      <c r="BG13" s="12">
        <f>'Financial statements'!DY14</f>
        <v>36530.620000000068</v>
      </c>
      <c r="BH13" s="12">
        <f>'Financial statements'!DZ14</f>
        <v>27724.44</v>
      </c>
      <c r="BI13" s="12">
        <f>'Financial statements'!EA14</f>
        <v>23263.949999999997</v>
      </c>
      <c r="BJ13" s="12">
        <f>'Financial statements'!EB14</f>
        <v>53921.020000000004</v>
      </c>
      <c r="BK13" s="12">
        <f>'Financial statements'!EC14</f>
        <v>23160.780000000002</v>
      </c>
      <c r="BL13" s="12">
        <f>'Financial statements'!ED14</f>
        <v>76654.2</v>
      </c>
      <c r="BM13" s="12">
        <f>'Financial statements'!EE14</f>
        <v>31986.89</v>
      </c>
      <c r="BN13" s="12">
        <f>'Financial statements'!EF14</f>
        <v>28256.076399097899</v>
      </c>
      <c r="BO13" s="12">
        <f>'Financial statements'!EG14</f>
        <v>57130.256494266199</v>
      </c>
      <c r="BP13" s="12">
        <f>'Financial statements'!EH14</f>
        <v>134567.023558557</v>
      </c>
      <c r="BQ13" s="12">
        <f>'Financial statements'!EI14</f>
        <v>80414.973440708505</v>
      </c>
      <c r="BR13" s="12">
        <f>'Financial statements'!EJ14</f>
        <v>75914.928527922617</v>
      </c>
      <c r="BS13" s="12">
        <f>'Financial statements'!EK14</f>
        <v>136825.91867372463</v>
      </c>
      <c r="BT13" s="511">
        <f>'Financial statements'!EL14</f>
        <v>76987.468477662202</v>
      </c>
      <c r="BU13" s="12">
        <f>'Financial statements'!EM14</f>
        <v>90733.980096044106</v>
      </c>
      <c r="BV13" s="12">
        <f>'Financial statements'!EN14</f>
        <v>111721.04366446906</v>
      </c>
      <c r="BW13" s="12">
        <f>'Financial statements'!EO14</f>
        <v>29006.563421084909</v>
      </c>
      <c r="BX13" s="12">
        <f>'Financial statements'!EP14</f>
        <v>148282.30877233314</v>
      </c>
      <c r="BY13" s="12">
        <f>'Financial statements'!EQ14</f>
        <v>109735.42753294573</v>
      </c>
      <c r="BZ13" s="12">
        <f>'Financial statements'!ER14</f>
        <v>104906.03151501821</v>
      </c>
      <c r="CA13" s="12">
        <f>'Financial statements'!ES14</f>
        <v>114396.4282165943</v>
      </c>
      <c r="CB13" s="12">
        <f>'Financial statements'!ET14</f>
        <v>77838.28098395963</v>
      </c>
      <c r="CC13" s="12">
        <f>'Financial statements'!EU14</f>
        <v>41890.71214129607</v>
      </c>
      <c r="CD13" s="12">
        <f>'Financial statements'!EV14</f>
        <v>28596.836943991344</v>
      </c>
      <c r="CE13" s="12">
        <f>'Financial statements'!EW14</f>
        <v>-55744.479999999996</v>
      </c>
      <c r="CF13" s="12">
        <f>'Financial statements'!EX14</f>
        <v>65568.137081245877</v>
      </c>
      <c r="CG13" s="12">
        <f>'Financial statements'!EY14</f>
        <v>92252.940194213326</v>
      </c>
      <c r="CH13" s="12">
        <f>'Financial statements'!EZ14</f>
        <v>64041.624422856839</v>
      </c>
      <c r="CI13" s="12">
        <f>'Financial statements'!FA14</f>
        <v>51555.677591988191</v>
      </c>
      <c r="CJ13" s="12">
        <f>'Financial statements'!FB14</f>
        <v>42881.246587860594</v>
      </c>
      <c r="CK13" s="12">
        <f>'Financial statements'!FC14</f>
        <v>81245.56308773483</v>
      </c>
      <c r="CL13" s="12">
        <f>'Financial statements'!FD14</f>
        <v>79485.141062565628</v>
      </c>
      <c r="CM13" s="12">
        <f>'Financial statements'!FE14</f>
        <v>84359.948019779462</v>
      </c>
      <c r="CN13" s="12">
        <f>'Financial statements'!FF14</f>
        <v>60738.173054639185</v>
      </c>
      <c r="CO13" s="12">
        <f>'Financial statements'!FG14</f>
        <v>65842.484170359734</v>
      </c>
      <c r="CP13" s="12">
        <f>'Financial statements'!FH14</f>
        <v>83846.499089664168</v>
      </c>
      <c r="CQ13" s="12">
        <f>'Financial statements'!FI14</f>
        <v>81064.430809908372</v>
      </c>
      <c r="CR13" s="12">
        <f>'Financial statements'!FJ14</f>
        <v>17700.494619689402</v>
      </c>
      <c r="CS13" s="741">
        <f>'Financial statements'!FK14</f>
        <v>10068.302031423775</v>
      </c>
      <c r="CT13" s="12"/>
      <c r="CU13" s="106">
        <v>83333.333333333328</v>
      </c>
      <c r="CV13" s="385">
        <v>83333.333333333328</v>
      </c>
      <c r="CW13" s="385">
        <v>83333.333333333328</v>
      </c>
      <c r="CX13" s="385">
        <v>83333.333333333328</v>
      </c>
      <c r="CY13" s="385">
        <v>83333.333333333328</v>
      </c>
      <c r="CZ13" s="385">
        <v>83333.333333333328</v>
      </c>
      <c r="DA13" s="385">
        <v>83333.333333333328</v>
      </c>
      <c r="DB13" s="385">
        <v>83333.333333333328</v>
      </c>
      <c r="DC13" s="385">
        <v>83333.333333333328</v>
      </c>
      <c r="DD13" s="385">
        <v>83333.333333333328</v>
      </c>
      <c r="DE13" s="385">
        <v>83333.333333333328</v>
      </c>
      <c r="DF13" s="388">
        <v>83333.333333333328</v>
      </c>
      <c r="DG13" s="290">
        <v>39500.000000000007</v>
      </c>
      <c r="DH13" s="388">
        <v>39500.000000000007</v>
      </c>
      <c r="DI13" s="388">
        <v>39500.000000000007</v>
      </c>
      <c r="DJ13" s="388">
        <v>47291.666666666664</v>
      </c>
      <c r="DK13" s="388">
        <v>47291.666666666664</v>
      </c>
      <c r="DL13" s="388">
        <v>47291.666666666664</v>
      </c>
      <c r="DM13" s="388">
        <v>88207.125</v>
      </c>
      <c r="DN13" s="388">
        <v>88207.125</v>
      </c>
      <c r="DO13" s="388">
        <v>88207.125</v>
      </c>
      <c r="DP13" s="388">
        <v>88207.125</v>
      </c>
      <c r="DQ13" s="388">
        <v>88207.125</v>
      </c>
      <c r="DR13" s="388">
        <v>88207.125</v>
      </c>
      <c r="DS13" s="12">
        <f>'Financial plan'!EA19</f>
        <v>115736.91460055097</v>
      </c>
      <c r="DT13" s="12">
        <f>'Financial plan'!EB19</f>
        <v>115736.91460055097</v>
      </c>
      <c r="DU13" s="12">
        <f>'Financial plan'!EC19</f>
        <v>115736.91460055097</v>
      </c>
      <c r="DV13" s="12">
        <f>'Financial plan'!ED19</f>
        <v>115736.91460055097</v>
      </c>
      <c r="DW13" s="12">
        <f>'Financial plan'!EE19</f>
        <v>115736.91460055097</v>
      </c>
      <c r="DX13" s="12">
        <f>'Financial plan'!EF19</f>
        <v>115736.91460055097</v>
      </c>
      <c r="DY13" s="12">
        <f>'Financial plan'!EG19</f>
        <v>110380.16528925556</v>
      </c>
      <c r="DZ13" s="12">
        <f>'Financial plan'!EH19</f>
        <v>110380.16528925556</v>
      </c>
      <c r="EA13" s="12">
        <f>'Financial plan'!EI19</f>
        <v>110380.16528925556</v>
      </c>
      <c r="EB13" s="12">
        <f>'Financial plan'!EJ19</f>
        <v>100000</v>
      </c>
      <c r="EC13" s="12">
        <f>'Financial plan'!EK19</f>
        <v>100000</v>
      </c>
      <c r="ED13" s="12">
        <f>'Financial plan'!EL19</f>
        <v>100000</v>
      </c>
      <c r="EE13" s="12">
        <f>'Financial plan'!EM19</f>
        <v>110000</v>
      </c>
      <c r="EF13" s="12">
        <f>'Financial plan'!EN19</f>
        <v>110000</v>
      </c>
      <c r="EG13" s="12">
        <f>'Financial plan'!EO19</f>
        <v>110000</v>
      </c>
      <c r="EH13" s="12">
        <f>'Financial plan'!EP19</f>
        <v>51666.666666666664</v>
      </c>
      <c r="EI13" s="12">
        <f>'Financial plan'!EQ19</f>
        <v>51666.666666666664</v>
      </c>
      <c r="EJ13" s="12">
        <f>'Financial plan'!ER19</f>
        <v>51666.666666666664</v>
      </c>
      <c r="EK13" s="12">
        <f>'Financial plan'!ES19</f>
        <v>51666.666666666664</v>
      </c>
      <c r="EL13" s="12">
        <f>'Financial plan'!ET19</f>
        <v>51666.666666666664</v>
      </c>
      <c r="EM13" s="12">
        <f>'Financial plan'!EU19</f>
        <v>51666.666666666664</v>
      </c>
      <c r="EN13" s="12">
        <f>'Financial plan'!EV19</f>
        <v>51666.666666666664</v>
      </c>
      <c r="EO13" s="12">
        <f>'Financial plan'!EW19</f>
        <v>51666.666666666664</v>
      </c>
      <c r="EP13" s="12">
        <v>51666.666666666664</v>
      </c>
      <c r="EQ13" s="12">
        <f>'Financial plan'!EY19</f>
        <v>45000</v>
      </c>
      <c r="ER13" s="451">
        <f>'Financial plan'!EZ19</f>
        <v>45000</v>
      </c>
      <c r="ES13" s="12">
        <f>'Financial plan'!FA19</f>
        <v>45000</v>
      </c>
      <c r="ET13" s="12">
        <f>'Financial plan'!FB19</f>
        <v>111666.66666666667</v>
      </c>
      <c r="EU13" s="12">
        <f>'Financial plan'!FC19</f>
        <v>111666.66666666667</v>
      </c>
      <c r="EV13" s="12">
        <f>'Financial plan'!FD19</f>
        <v>111666.66666666667</v>
      </c>
      <c r="EW13" s="12">
        <f>'Financial plan'!FE19</f>
        <v>111666.66666666667</v>
      </c>
      <c r="EX13" s="12">
        <f>'Financial plan'!FF19</f>
        <v>111666.66666666667</v>
      </c>
      <c r="EY13" s="12">
        <f>'Financial plan'!FG19</f>
        <v>111666.66666666667</v>
      </c>
      <c r="EZ13" s="12">
        <f>'Financial plan'!FH19</f>
        <v>111666.66666666667</v>
      </c>
      <c r="FA13" s="12">
        <f>'Financial plan'!FI19</f>
        <v>111666.66666666667</v>
      </c>
      <c r="FB13" s="12">
        <f>'Financial plan'!FJ19</f>
        <v>111666.66666666667</v>
      </c>
    </row>
    <row r="14" spans="2:158" outlineLevel="1" x14ac:dyDescent="0.35">
      <c r="E14" s="400" t="s">
        <v>93</v>
      </c>
      <c r="F14" s="387">
        <f t="shared" si="0"/>
        <v>177490.75436323573</v>
      </c>
      <c r="G14" s="387">
        <f t="shared" si="1"/>
        <v>28280.75</v>
      </c>
      <c r="H14" s="387">
        <f t="shared" si="1"/>
        <v>28260.510000000002</v>
      </c>
      <c r="I14" s="387">
        <f t="shared" si="2"/>
        <v>0</v>
      </c>
      <c r="J14" s="388"/>
      <c r="K14" s="385">
        <f t="shared" ref="K14:K20" si="27">SUM(AJ14:AL14)</f>
        <v>69530.844033029556</v>
      </c>
      <c r="L14" s="385">
        <f t="shared" ref="L14:L20" si="28">SUM(AM14:AO14)</f>
        <v>63290.507854867246</v>
      </c>
      <c r="M14" s="385">
        <f t="shared" ref="M14:M20" si="29">SUM(AP14:AR14)</f>
        <v>36961.8924753389</v>
      </c>
      <c r="N14" s="385">
        <f t="shared" ref="N14:N20" si="30">SUM(AS14:AU14)</f>
        <v>7707.51</v>
      </c>
      <c r="O14" s="385"/>
      <c r="P14" s="385">
        <f t="shared" ref="P14:P20" si="31">SUM(AV14:AX14)</f>
        <v>20.239999999999998</v>
      </c>
      <c r="Q14" s="385">
        <f t="shared" ref="Q14:Q20" si="32">SUM(AY14:BA14)</f>
        <v>15854.5</v>
      </c>
      <c r="R14" s="385">
        <f t="shared" ref="R14:R20" si="33">SUM(BB14:BD14)</f>
        <v>12406.01</v>
      </c>
      <c r="S14" s="385">
        <f t="shared" ref="S14:S20" si="34">SUM(BE14:BG14)</f>
        <v>0</v>
      </c>
      <c r="T14" s="393"/>
      <c r="U14" s="385">
        <f t="shared" ref="U14:U20" si="35">SUM(BH14:BJ14)</f>
        <v>0</v>
      </c>
      <c r="V14" s="385">
        <f t="shared" ref="V14:V20" si="36">SUM(BK14:BM14)</f>
        <v>2200</v>
      </c>
      <c r="W14" s="385">
        <f t="shared" ref="W14:W20" si="37">SUM(BN14:BP14)</f>
        <v>0</v>
      </c>
      <c r="X14" s="385">
        <f t="shared" ref="X14:X20" si="38">SUM(BQ14:BS14)</f>
        <v>0</v>
      </c>
      <c r="Y14" s="385"/>
      <c r="Z14" s="385"/>
      <c r="AA14" s="385"/>
      <c r="AB14" s="385"/>
      <c r="AC14" s="385"/>
      <c r="AD14" s="385"/>
      <c r="AE14" s="385"/>
      <c r="AF14" s="385"/>
      <c r="AG14" s="385"/>
      <c r="AH14" s="385"/>
      <c r="AI14" s="393"/>
      <c r="AJ14" s="389">
        <v>40000.28</v>
      </c>
      <c r="AK14" s="389">
        <v>40000</v>
      </c>
      <c r="AL14" s="389">
        <v>-10469.435966970443</v>
      </c>
      <c r="AM14" s="389">
        <v>6995.2635177592601</v>
      </c>
      <c r="AN14" s="389">
        <v>18946.799999999992</v>
      </c>
      <c r="AO14" s="389">
        <v>37348.444337107998</v>
      </c>
      <c r="AP14" s="389">
        <v>12811.8924753389</v>
      </c>
      <c r="AQ14" s="389">
        <v>0</v>
      </c>
      <c r="AR14" s="389">
        <v>24150</v>
      </c>
      <c r="AS14" s="389">
        <v>0</v>
      </c>
      <c r="AT14" s="389">
        <v>7707.51</v>
      </c>
      <c r="AU14" s="389">
        <v>0</v>
      </c>
      <c r="AV14" s="16">
        <v>0</v>
      </c>
      <c r="AW14" s="16">
        <v>0</v>
      </c>
      <c r="AX14" s="16">
        <v>20.239999999999998</v>
      </c>
      <c r="AY14" s="16"/>
      <c r="AZ14" s="16">
        <f>'Financial statements'!DR15</f>
        <v>15854.5</v>
      </c>
      <c r="BA14" s="16">
        <f>'Financial statements'!DS15</f>
        <v>0</v>
      </c>
      <c r="BB14" s="16">
        <f>'Financial statements'!DT15</f>
        <v>0</v>
      </c>
      <c r="BC14" s="16">
        <f>'Financial statements'!DU15</f>
        <v>12406.01</v>
      </c>
      <c r="BD14" s="16">
        <f>'Financial statements'!DV15</f>
        <v>0</v>
      </c>
      <c r="BE14" s="16">
        <f>'Financial statements'!DW15</f>
        <v>0</v>
      </c>
      <c r="BF14" s="16">
        <f>'Financial statements'!DX15</f>
        <v>0</v>
      </c>
      <c r="BG14" s="16">
        <f>'Financial statements'!DY15</f>
        <v>0</v>
      </c>
      <c r="BH14" s="16">
        <f>'Financial statements'!DZ15</f>
        <v>0</v>
      </c>
      <c r="BI14" s="16">
        <f>'Financial statements'!EA15</f>
        <v>0</v>
      </c>
      <c r="BJ14" s="16">
        <f>'Financial statements'!EB15</f>
        <v>0</v>
      </c>
      <c r="BK14" s="16">
        <f>'Financial statements'!EC15</f>
        <v>2200</v>
      </c>
      <c r="BL14" s="16">
        <f>'Financial statements'!ED15</f>
        <v>0</v>
      </c>
      <c r="BM14" s="16">
        <f>'Financial statements'!EE15</f>
        <v>0</v>
      </c>
      <c r="BN14" s="16">
        <f>'Financial statements'!EF15</f>
        <v>0</v>
      </c>
      <c r="BO14" s="16">
        <f>'Financial statements'!EG15</f>
        <v>0</v>
      </c>
      <c r="BP14" s="16">
        <f>'Financial statements'!EH15</f>
        <v>0</v>
      </c>
      <c r="BQ14" s="16">
        <f>'Financial statements'!EI15</f>
        <v>0</v>
      </c>
      <c r="BR14" s="16">
        <f>'Financial statements'!EJ15</f>
        <v>0</v>
      </c>
      <c r="BS14" s="16">
        <f>'Financial statements'!EK15</f>
        <v>0</v>
      </c>
      <c r="BT14" s="16">
        <f>'Financial statements'!EL15</f>
        <v>0</v>
      </c>
      <c r="BU14" s="16">
        <f>'Financial statements'!EM15</f>
        <v>0</v>
      </c>
      <c r="BV14" s="16">
        <f>'Financial statements'!EN15</f>
        <v>0</v>
      </c>
      <c r="BW14" s="16">
        <f>'Financial statements'!EO15</f>
        <v>0</v>
      </c>
      <c r="BX14" s="16">
        <f>'Financial statements'!EP15</f>
        <v>0</v>
      </c>
      <c r="BY14" s="16">
        <f>'Financial statements'!EQ15</f>
        <v>0</v>
      </c>
      <c r="BZ14" s="16">
        <f>'Financial statements'!ER15</f>
        <v>0</v>
      </c>
      <c r="CA14" s="16">
        <f>'Financial statements'!ES15</f>
        <v>0</v>
      </c>
      <c r="CB14" s="16">
        <f>'Financial statements'!ET15</f>
        <v>0</v>
      </c>
      <c r="CC14" s="16">
        <f>'Financial statements'!EU15</f>
        <v>0</v>
      </c>
      <c r="CD14" s="16">
        <f>'Financial statements'!EV15</f>
        <v>0</v>
      </c>
      <c r="CE14" s="16">
        <f>'Financial statements'!EW15</f>
        <v>0</v>
      </c>
      <c r="CF14" s="16">
        <f>'Financial statements'!EX15</f>
        <v>0</v>
      </c>
      <c r="CG14" s="16">
        <f>'Financial statements'!EY15</f>
        <v>0</v>
      </c>
      <c r="CH14" s="16">
        <f>'Financial statements'!EZ15</f>
        <v>0</v>
      </c>
      <c r="CI14" s="16">
        <f>'Financial statements'!FA15</f>
        <v>3801.3223147794602</v>
      </c>
      <c r="CJ14" s="16">
        <f>'Financial statements'!FB15</f>
        <v>0</v>
      </c>
      <c r="CK14" s="16">
        <f>'Financial statements'!FC15</f>
        <v>0</v>
      </c>
      <c r="CL14" s="16">
        <f>'Financial statements'!FD15</f>
        <v>0</v>
      </c>
      <c r="CM14" s="16">
        <f>'Financial statements'!FE15</f>
        <v>0</v>
      </c>
      <c r="CN14" s="16">
        <f>'Financial statements'!FF15</f>
        <v>0</v>
      </c>
      <c r="CO14" s="16">
        <f>'Financial statements'!FG15</f>
        <v>0</v>
      </c>
      <c r="CP14" s="16">
        <f>'Financial statements'!FH15</f>
        <v>0</v>
      </c>
      <c r="CQ14" s="16">
        <f>'Financial statements'!FI15</f>
        <v>0</v>
      </c>
      <c r="CR14" s="16">
        <f>'Financial statements'!FJ15</f>
        <v>0</v>
      </c>
      <c r="CS14" s="742">
        <f>'Financial statements'!FK15</f>
        <v>0</v>
      </c>
      <c r="CT14" s="16"/>
      <c r="CU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L14"/>
      <c r="EM14"/>
      <c r="EN14"/>
      <c r="EO14"/>
      <c r="EP14"/>
      <c r="EQ14"/>
      <c r="ER14" s="384"/>
      <c r="ES14"/>
      <c r="ET14"/>
      <c r="EU14"/>
      <c r="EV14"/>
      <c r="EW14"/>
      <c r="EX14"/>
      <c r="EY14"/>
      <c r="EZ14"/>
      <c r="FA14"/>
      <c r="FB14"/>
    </row>
    <row r="15" spans="2:158" outlineLevel="1" x14ac:dyDescent="0.35">
      <c r="E15" s="400" t="s">
        <v>94</v>
      </c>
      <c r="F15" s="387">
        <f t="shared" si="0"/>
        <v>101109.64696336423</v>
      </c>
      <c r="G15" s="387">
        <f t="shared" si="1"/>
        <v>127944.24251865089</v>
      </c>
      <c r="H15" s="387">
        <f t="shared" si="1"/>
        <v>103303.59395632756</v>
      </c>
      <c r="I15" s="387">
        <f t="shared" si="2"/>
        <v>0</v>
      </c>
      <c r="J15" s="388"/>
      <c r="K15" s="385">
        <f t="shared" si="27"/>
        <v>32413.091591140386</v>
      </c>
      <c r="L15" s="385">
        <f t="shared" si="28"/>
        <v>35656.374109243923</v>
      </c>
      <c r="M15" s="385">
        <f t="shared" si="29"/>
        <v>9327.7181674292187</v>
      </c>
      <c r="N15" s="385">
        <f t="shared" si="30"/>
        <v>23712.463095550691</v>
      </c>
      <c r="O15" s="385"/>
      <c r="P15" s="385">
        <f t="shared" si="31"/>
        <v>24640.64856232332</v>
      </c>
      <c r="Q15" s="385">
        <f t="shared" si="32"/>
        <v>23643.372764063828</v>
      </c>
      <c r="R15" s="385">
        <f t="shared" si="33"/>
        <v>35444.499163982298</v>
      </c>
      <c r="S15" s="385">
        <f t="shared" si="34"/>
        <v>44215.722028281445</v>
      </c>
      <c r="T15" s="393"/>
      <c r="U15" s="385">
        <f t="shared" si="35"/>
        <v>29411.140377983706</v>
      </c>
      <c r="V15" s="385">
        <f t="shared" si="36"/>
        <v>11548.220724466821</v>
      </c>
      <c r="W15" s="385">
        <f t="shared" si="37"/>
        <v>31040.228528970059</v>
      </c>
      <c r="X15" s="385">
        <f t="shared" si="38"/>
        <v>50674.792627793911</v>
      </c>
      <c r="Y15" s="385"/>
      <c r="Z15" s="385"/>
      <c r="AA15" s="385"/>
      <c r="AB15" s="385"/>
      <c r="AC15" s="385"/>
      <c r="AD15" s="385"/>
      <c r="AE15" s="385"/>
      <c r="AF15" s="385"/>
      <c r="AG15" s="385"/>
      <c r="AH15" s="385"/>
      <c r="AI15" s="393"/>
      <c r="AJ15" s="389">
        <v>0</v>
      </c>
      <c r="AK15" s="389">
        <v>0</v>
      </c>
      <c r="AL15" s="389">
        <v>32413.091591140386</v>
      </c>
      <c r="AM15" s="389">
        <v>23187.339999999997</v>
      </c>
      <c r="AN15" s="389">
        <v>12469.034109243927</v>
      </c>
      <c r="AO15" s="389">
        <v>0</v>
      </c>
      <c r="AP15" s="389">
        <v>-1.8189894035458565E-12</v>
      </c>
      <c r="AQ15" s="389">
        <v>3986.5369631839203</v>
      </c>
      <c r="AR15" s="389">
        <v>5341.1812042453003</v>
      </c>
      <c r="AS15" s="389">
        <v>7509.7799068558907</v>
      </c>
      <c r="AT15" s="389">
        <v>4132.8898323821504</v>
      </c>
      <c r="AU15" s="389">
        <v>12069.79335631265</v>
      </c>
      <c r="AV15" s="16">
        <v>5511.6189749033056</v>
      </c>
      <c r="AW15" s="16">
        <v>10864.909452420015</v>
      </c>
      <c r="AX15" s="16">
        <v>8264.1201349999992</v>
      </c>
      <c r="AY15" s="16">
        <v>1792.28</v>
      </c>
      <c r="AZ15" s="16">
        <f>'Financial statements'!DR16</f>
        <v>17334.931482124513</v>
      </c>
      <c r="BA15" s="16">
        <f>'Financial statements'!DS16</f>
        <v>4516.1612819393158</v>
      </c>
      <c r="BB15" s="16">
        <f>'Financial statements'!DT16</f>
        <v>7878.1</v>
      </c>
      <c r="BC15" s="16">
        <f>'Financial statements'!DU16</f>
        <v>13642.28</v>
      </c>
      <c r="BD15" s="16">
        <f>'Financial statements'!DV16</f>
        <v>13924.119163982294</v>
      </c>
      <c r="BE15" s="16">
        <f>'Financial statements'!DW16</f>
        <v>18312.240000000002</v>
      </c>
      <c r="BF15" s="16">
        <f>'Financial statements'!DX16</f>
        <v>9205.8079085351528</v>
      </c>
      <c r="BG15" s="16">
        <f>'Financial statements'!DY16</f>
        <v>16697.674119746291</v>
      </c>
      <c r="BH15" s="16">
        <f>'Financial statements'!DZ16</f>
        <v>19168.400000000001</v>
      </c>
      <c r="BI15" s="16">
        <f>'Financial statements'!EA16</f>
        <v>6512.6124828210022</v>
      </c>
      <c r="BJ15" s="16">
        <f>'Financial statements'!EB16</f>
        <v>3730.1278951627014</v>
      </c>
      <c r="BK15" s="16">
        <f>'Financial statements'!EC16</f>
        <v>7363.393331563323</v>
      </c>
      <c r="BL15" s="16">
        <f>'Financial statements'!ED16</f>
        <v>2275.9011871751477</v>
      </c>
      <c r="BM15" s="16">
        <f>'Financial statements'!EE16</f>
        <v>1908.9262057283499</v>
      </c>
      <c r="BN15" s="16">
        <f>'Financial statements'!EF16</f>
        <v>14439.3663990979</v>
      </c>
      <c r="BO15" s="16">
        <f>'Financial statements'!EG16</f>
        <v>5060.5621298721599</v>
      </c>
      <c r="BP15" s="16">
        <f>'Financial statements'!EH16</f>
        <v>11540.3</v>
      </c>
      <c r="BQ15" s="16">
        <f>'Financial statements'!EI16</f>
        <v>11896.457372851501</v>
      </c>
      <c r="BR15" s="16">
        <f>'Financial statements'!EJ16</f>
        <v>2165.9</v>
      </c>
      <c r="BS15" s="16">
        <f>'Financial statements'!EK16</f>
        <v>36612.435254942415</v>
      </c>
      <c r="BT15" s="16">
        <f>'Financial statements'!EL16</f>
        <v>455.32020049005558</v>
      </c>
      <c r="BU15" s="16">
        <f>'Financial statements'!EM16</f>
        <v>14527.950461243812</v>
      </c>
      <c r="BV15" s="16">
        <f>'Financial statements'!EN16</f>
        <v>2809.5048018625134</v>
      </c>
      <c r="BW15" s="16">
        <f>'Financial statements'!EO16</f>
        <v>3733.0272478138568</v>
      </c>
      <c r="BX15" s="16">
        <f>'Financial statements'!EP16</f>
        <v>14615.478689786025</v>
      </c>
      <c r="BY15" s="16">
        <f>'Financial statements'!EQ16</f>
        <v>6177.2444980766459</v>
      </c>
      <c r="BZ15" s="16">
        <f>'Financial statements'!ER16</f>
        <v>14530.970305369978</v>
      </c>
      <c r="CA15" s="16">
        <f>'Financial statements'!ES16</f>
        <v>16602.270165204391</v>
      </c>
      <c r="CB15" s="16">
        <f>'Financial statements'!ET16</f>
        <v>6205.8024033129996</v>
      </c>
      <c r="CC15" s="16">
        <f>'Financial statements'!EU16</f>
        <v>4745.3867709489732</v>
      </c>
      <c r="CD15" s="16">
        <f>'Financial statements'!EV16</f>
        <v>9414.48</v>
      </c>
      <c r="CE15" s="16">
        <f>'Financial statements'!EW16</f>
        <v>4080.87</v>
      </c>
      <c r="CF15" s="16">
        <f>'Financial statements'!EX16</f>
        <v>10280</v>
      </c>
      <c r="CG15" s="16">
        <f>'Financial statements'!EY16</f>
        <v>4907.6077543724223</v>
      </c>
      <c r="CH15" s="16">
        <f>'Financial statements'!EZ16</f>
        <v>22185.226541414511</v>
      </c>
      <c r="CI15" s="16">
        <f>'Financial statements'!FA16</f>
        <v>3982.4</v>
      </c>
      <c r="CJ15" s="16">
        <f>'Financial statements'!FB16</f>
        <v>1931.3744580891944</v>
      </c>
      <c r="CK15" s="16">
        <f>'Financial statements'!FC16</f>
        <v>24514.124559630091</v>
      </c>
      <c r="CL15" s="16">
        <f>'Financial statements'!FD16</f>
        <v>29932.098307762099</v>
      </c>
      <c r="CM15" s="16">
        <f>'Financial statements'!FE16</f>
        <v>2079.7383784775498</v>
      </c>
      <c r="CN15" s="16">
        <f>'Financial statements'!FF16</f>
        <v>924.36051445709052</v>
      </c>
      <c r="CO15" s="16">
        <f>'Financial statements'!FG16</f>
        <v>7640.66995880182</v>
      </c>
      <c r="CP15" s="16">
        <f>'Financial statements'!FH16</f>
        <v>11328.986885657199</v>
      </c>
      <c r="CQ15" s="16">
        <f>'Financial statements'!FI16</f>
        <v>3681</v>
      </c>
      <c r="CR15" s="16">
        <f>'Financial statements'!FJ16</f>
        <v>2259.2952310508199</v>
      </c>
      <c r="CS15" s="742">
        <f>'Financial statements'!FK16</f>
        <v>1794.56952256969</v>
      </c>
      <c r="CT15" s="16"/>
      <c r="CU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L15"/>
      <c r="EM15"/>
      <c r="EN15"/>
      <c r="EO15"/>
      <c r="EP15"/>
      <c r="EQ15"/>
      <c r="ER15" s="384"/>
      <c r="ES15"/>
      <c r="ET15"/>
      <c r="EU15"/>
      <c r="EV15"/>
      <c r="EW15"/>
      <c r="EX15"/>
      <c r="EY15"/>
      <c r="EZ15"/>
      <c r="FA15"/>
      <c r="FB15"/>
    </row>
    <row r="16" spans="2:158" outlineLevel="1" x14ac:dyDescent="0.35">
      <c r="E16" s="400" t="s">
        <v>95</v>
      </c>
      <c r="F16" s="387"/>
      <c r="G16" s="387"/>
      <c r="H16" s="387"/>
      <c r="I16" s="387">
        <f t="shared" si="2"/>
        <v>0</v>
      </c>
      <c r="J16" s="388"/>
      <c r="K16" s="385"/>
      <c r="L16" s="385"/>
      <c r="M16" s="385"/>
      <c r="N16" s="385"/>
      <c r="O16" s="385"/>
      <c r="P16" s="385"/>
      <c r="Q16" s="385"/>
      <c r="R16" s="385"/>
      <c r="S16" s="385"/>
      <c r="T16" s="393"/>
      <c r="U16" s="385"/>
      <c r="V16" s="385"/>
      <c r="W16" s="385"/>
      <c r="X16" s="385"/>
      <c r="Y16" s="385"/>
      <c r="Z16" s="385"/>
      <c r="AA16" s="385"/>
      <c r="AB16" s="385"/>
      <c r="AC16" s="385"/>
      <c r="AD16" s="385"/>
      <c r="AE16" s="385"/>
      <c r="AF16" s="385"/>
      <c r="AG16" s="385"/>
      <c r="AH16" s="385"/>
      <c r="AI16" s="393"/>
      <c r="AJ16" s="389"/>
      <c r="AK16" s="389"/>
      <c r="AL16" s="389"/>
      <c r="AM16" s="389"/>
      <c r="AN16" s="389"/>
      <c r="AO16" s="389"/>
      <c r="AP16" s="389"/>
      <c r="AQ16" s="389"/>
      <c r="AR16" s="389"/>
      <c r="AS16" s="389"/>
      <c r="AT16" s="389"/>
      <c r="AU16" s="389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>
        <f>'Financial statements'!ES17</f>
        <v>19320.456088346698</v>
      </c>
      <c r="CB16" s="16">
        <f>'Financial statements'!ET17</f>
        <v>3785.1656101056501</v>
      </c>
      <c r="CC16" s="16">
        <f>'Financial statements'!EU17</f>
        <v>20000</v>
      </c>
      <c r="CD16" s="16">
        <f>'Financial statements'!EV17</f>
        <v>0</v>
      </c>
      <c r="CE16" s="16">
        <f>'Financial statements'!EW17</f>
        <v>0</v>
      </c>
      <c r="CF16" s="16">
        <f>'Financial statements'!EX17</f>
        <v>0</v>
      </c>
      <c r="CG16" s="16">
        <f>'Financial statements'!EY17</f>
        <v>0</v>
      </c>
      <c r="CH16" s="16">
        <f>'Financial statements'!EZ17</f>
        <v>0</v>
      </c>
      <c r="CI16" s="16">
        <f>'Financial statements'!FA17</f>
        <v>9015.73</v>
      </c>
      <c r="CJ16" s="16">
        <f>'Financial statements'!FB17</f>
        <v>1500</v>
      </c>
      <c r="CK16" s="16">
        <f>'Financial statements'!FC17</f>
        <v>0</v>
      </c>
      <c r="CL16" s="16">
        <f>'Financial statements'!FD17</f>
        <v>0</v>
      </c>
      <c r="CM16" s="16">
        <f>'Financial statements'!FE17</f>
        <v>0</v>
      </c>
      <c r="CN16" s="16">
        <f>'Financial statements'!FF17</f>
        <v>0</v>
      </c>
      <c r="CO16" s="16">
        <f>'Financial statements'!FG17</f>
        <v>0</v>
      </c>
      <c r="CP16" s="16">
        <f>'Financial statements'!FH17</f>
        <v>10250</v>
      </c>
      <c r="CQ16" s="16">
        <f>'Financial statements'!FI17</f>
        <v>0</v>
      </c>
      <c r="CR16" s="16">
        <f>'Financial statements'!FJ17</f>
        <v>0</v>
      </c>
      <c r="CS16" s="742">
        <f>'Financial statements'!FK17</f>
        <v>0</v>
      </c>
      <c r="CT16" s="16"/>
      <c r="CU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L16"/>
      <c r="EM16"/>
      <c r="EN16"/>
      <c r="EO16"/>
      <c r="EP16"/>
      <c r="EQ16"/>
      <c r="ER16" s="384"/>
      <c r="ES16"/>
      <c r="ET16"/>
      <c r="EU16"/>
      <c r="EV16"/>
      <c r="EW16"/>
      <c r="EX16"/>
      <c r="EY16"/>
      <c r="EZ16"/>
      <c r="FA16"/>
      <c r="FB16"/>
    </row>
    <row r="17" spans="2:158" outlineLevel="1" x14ac:dyDescent="0.35">
      <c r="E17" s="400" t="s">
        <v>96</v>
      </c>
      <c r="F17" s="387"/>
      <c r="G17" s="387"/>
      <c r="H17" s="387"/>
      <c r="I17" s="387"/>
      <c r="J17" s="388"/>
      <c r="K17" s="385"/>
      <c r="L17" s="385"/>
      <c r="M17" s="385"/>
      <c r="N17" s="385"/>
      <c r="O17" s="385"/>
      <c r="P17" s="385"/>
      <c r="Q17" s="385"/>
      <c r="R17" s="385"/>
      <c r="S17" s="385"/>
      <c r="T17" s="393"/>
      <c r="U17" s="385"/>
      <c r="V17" s="385"/>
      <c r="W17" s="385"/>
      <c r="X17" s="385"/>
      <c r="Y17" s="385"/>
      <c r="Z17" s="385"/>
      <c r="AA17" s="385"/>
      <c r="AB17" s="385"/>
      <c r="AC17" s="385"/>
      <c r="AD17" s="385"/>
      <c r="AE17" s="385"/>
      <c r="AF17" s="385"/>
      <c r="AG17" s="385"/>
      <c r="AH17" s="385"/>
      <c r="AI17" s="393"/>
      <c r="AJ17" s="389"/>
      <c r="AK17" s="389"/>
      <c r="AL17" s="389"/>
      <c r="AM17" s="389"/>
      <c r="AN17" s="389"/>
      <c r="AO17" s="389"/>
      <c r="AP17" s="389"/>
      <c r="AQ17" s="389"/>
      <c r="AR17" s="389"/>
      <c r="AS17" s="389"/>
      <c r="AT17" s="389"/>
      <c r="AU17" s="389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>
        <f>'Financial statements'!EZ18</f>
        <v>0</v>
      </c>
      <c r="CI17" s="16">
        <f>'Financial statements'!FA18</f>
        <v>0</v>
      </c>
      <c r="CJ17" s="16">
        <f>'Financial statements'!FB18</f>
        <v>0</v>
      </c>
      <c r="CK17" s="16">
        <f>'Financial statements'!FC18</f>
        <v>0</v>
      </c>
      <c r="CL17" s="16">
        <f>'Financial statements'!FD18</f>
        <v>7574.2673886108332</v>
      </c>
      <c r="CM17" s="16">
        <f>'Financial statements'!FE18</f>
        <v>12635.663844741905</v>
      </c>
      <c r="CN17" s="16">
        <f>'Financial statements'!FF18</f>
        <v>0</v>
      </c>
      <c r="CO17" s="16">
        <f>'Financial statements'!FG18</f>
        <v>0</v>
      </c>
      <c r="CP17" s="16">
        <f>'Financial statements'!FH18</f>
        <v>0</v>
      </c>
      <c r="CQ17" s="16">
        <f>'Financial statements'!FI18</f>
        <v>0</v>
      </c>
      <c r="CR17" s="16">
        <f>'Financial statements'!FJ18</f>
        <v>0</v>
      </c>
      <c r="CS17" s="742">
        <f>'Financial statements'!FK18</f>
        <v>0</v>
      </c>
      <c r="CT17" s="16"/>
      <c r="CU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L17"/>
      <c r="EM17"/>
      <c r="EN17"/>
      <c r="EO17"/>
      <c r="EP17"/>
      <c r="EQ17"/>
      <c r="ER17" s="384"/>
      <c r="ES17"/>
      <c r="ET17"/>
      <c r="EU17"/>
      <c r="EV17"/>
      <c r="EW17"/>
      <c r="EX17"/>
      <c r="EY17"/>
      <c r="EZ17"/>
      <c r="FA17"/>
      <c r="FB17"/>
    </row>
    <row r="18" spans="2:158" outlineLevel="1" x14ac:dyDescent="0.35">
      <c r="E18" s="400" t="s">
        <v>97</v>
      </c>
      <c r="F18" s="387">
        <f t="shared" si="0"/>
        <v>38717.689672959321</v>
      </c>
      <c r="G18" s="387">
        <f t="shared" si="1"/>
        <v>209009.14077748242</v>
      </c>
      <c r="H18" s="387">
        <f t="shared" si="1"/>
        <v>148920.72077748241</v>
      </c>
      <c r="I18" s="387">
        <f t="shared" si="2"/>
        <v>0</v>
      </c>
      <c r="J18" s="388"/>
      <c r="K18" s="385">
        <f t="shared" si="27"/>
        <v>0</v>
      </c>
      <c r="L18" s="385">
        <f t="shared" si="28"/>
        <v>0</v>
      </c>
      <c r="M18" s="385">
        <f t="shared" si="29"/>
        <v>0</v>
      </c>
      <c r="N18" s="385">
        <f t="shared" si="30"/>
        <v>38717.689672959321</v>
      </c>
      <c r="O18" s="385"/>
      <c r="P18" s="385">
        <f t="shared" si="31"/>
        <v>60088.42</v>
      </c>
      <c r="Q18" s="385">
        <f t="shared" si="32"/>
        <v>34066.546360722379</v>
      </c>
      <c r="R18" s="385">
        <f t="shared" si="33"/>
        <v>41834.848397898284</v>
      </c>
      <c r="S18" s="385">
        <f t="shared" si="34"/>
        <v>73019.326018861742</v>
      </c>
      <c r="T18" s="393"/>
      <c r="U18" s="385">
        <f t="shared" si="35"/>
        <v>32884.507337791627</v>
      </c>
      <c r="V18" s="385">
        <f t="shared" si="36"/>
        <v>59959.385387960887</v>
      </c>
      <c r="W18" s="385">
        <f t="shared" si="37"/>
        <v>51219.560000000005</v>
      </c>
      <c r="X18" s="385">
        <f t="shared" si="38"/>
        <v>10484.917112749674</v>
      </c>
      <c r="Y18" s="385"/>
      <c r="Z18" s="385"/>
      <c r="AA18" s="385"/>
      <c r="AB18" s="385"/>
      <c r="AC18" s="385"/>
      <c r="AD18" s="385"/>
      <c r="AE18" s="385"/>
      <c r="AF18" s="385"/>
      <c r="AG18" s="385"/>
      <c r="AH18" s="385"/>
      <c r="AI18" s="393"/>
      <c r="AJ18" s="389">
        <v>0</v>
      </c>
      <c r="AK18" s="389">
        <v>0</v>
      </c>
      <c r="AL18" s="389">
        <v>0</v>
      </c>
      <c r="AM18" s="389">
        <v>0</v>
      </c>
      <c r="AN18" s="389">
        <v>0</v>
      </c>
      <c r="AO18" s="389">
        <v>0</v>
      </c>
      <c r="AP18" s="389">
        <v>0</v>
      </c>
      <c r="AQ18" s="389">
        <v>0</v>
      </c>
      <c r="AR18" s="389">
        <v>0</v>
      </c>
      <c r="AS18" s="389">
        <v>0</v>
      </c>
      <c r="AT18" s="389">
        <v>-7.2759576141834259E-12</v>
      </c>
      <c r="AU18" s="389">
        <v>38717.689672959328</v>
      </c>
      <c r="AV18" s="16">
        <v>0</v>
      </c>
      <c r="AW18" s="16">
        <v>0</v>
      </c>
      <c r="AX18" s="16">
        <v>60088.42</v>
      </c>
      <c r="AY18" s="16"/>
      <c r="AZ18" s="16">
        <f>'Financial statements'!DR19</f>
        <v>28466.546360722379</v>
      </c>
      <c r="BA18" s="16">
        <f>'Financial statements'!DS19</f>
        <v>5600</v>
      </c>
      <c r="BB18" s="16">
        <f>'Financial statements'!DT19</f>
        <v>0</v>
      </c>
      <c r="BC18" s="16">
        <f>'Financial statements'!DU19</f>
        <v>8400</v>
      </c>
      <c r="BD18" s="16">
        <f>'Financial statements'!DV19</f>
        <v>33434.848397898284</v>
      </c>
      <c r="BE18" s="16">
        <f>'Financial statements'!DW19</f>
        <v>0</v>
      </c>
      <c r="BF18" s="16">
        <f>'Financial statements'!DX19</f>
        <v>54262.96</v>
      </c>
      <c r="BG18" s="16">
        <f>'Financial statements'!DY19</f>
        <v>18756.366018861743</v>
      </c>
      <c r="BH18" s="16">
        <f>'Financial statements'!DZ19</f>
        <v>3364.3183453255638</v>
      </c>
      <c r="BI18" s="16">
        <f>'Financial statements'!EA19</f>
        <v>15841.811487819728</v>
      </c>
      <c r="BJ18" s="16">
        <f>'Financial statements'!EB19</f>
        <v>13678.377504646334</v>
      </c>
      <c r="BK18" s="16">
        <f>'Financial statements'!EC19</f>
        <v>9907.56</v>
      </c>
      <c r="BL18" s="16">
        <f>'Financial statements'!ED19</f>
        <v>44009.465387960889</v>
      </c>
      <c r="BM18" s="16">
        <f>'Financial statements'!EE19</f>
        <v>6042.36</v>
      </c>
      <c r="BN18" s="16">
        <f>'Financial statements'!EF19</f>
        <v>4000</v>
      </c>
      <c r="BO18" s="16">
        <f>'Financial statements'!EG19</f>
        <v>6474.26</v>
      </c>
      <c r="BP18" s="16">
        <f>'Financial statements'!EH19</f>
        <v>40745.300000000003</v>
      </c>
      <c r="BQ18" s="16">
        <f>'Financial statements'!EI19</f>
        <v>0</v>
      </c>
      <c r="BR18" s="16">
        <f>'Financial statements'!EJ19</f>
        <v>1146.7085046956481</v>
      </c>
      <c r="BS18" s="16">
        <f>'Financial statements'!EK19</f>
        <v>9338.2086080540266</v>
      </c>
      <c r="BT18" s="16">
        <f>'Financial statements'!EL19</f>
        <v>0</v>
      </c>
      <c r="BU18" s="16">
        <f>'Financial statements'!EM19</f>
        <v>0</v>
      </c>
      <c r="BV18" s="16">
        <f>'Financial statements'!EN19</f>
        <v>25000</v>
      </c>
      <c r="BW18" s="16">
        <f>'Financial statements'!EO19</f>
        <v>0</v>
      </c>
      <c r="BX18" s="16">
        <f>'Financial statements'!EP19</f>
        <v>10468.993526693321</v>
      </c>
      <c r="BY18" s="16">
        <f>'Financial statements'!EQ19</f>
        <v>37116.698098345907</v>
      </c>
      <c r="BZ18" s="16">
        <f>'Financial statements'!ER19</f>
        <v>29589.251221479899</v>
      </c>
      <c r="CA18" s="16">
        <f>'Financial statements'!ES19</f>
        <v>18403</v>
      </c>
      <c r="CB18" s="16">
        <f>'Financial statements'!ET19</f>
        <v>0</v>
      </c>
      <c r="CC18" s="16">
        <f>'Financial statements'!EU19</f>
        <v>3063.32307097796</v>
      </c>
      <c r="CD18" s="16">
        <f>'Financial statements'!EV19</f>
        <v>0</v>
      </c>
      <c r="CE18" s="16">
        <f>'Financial statements'!EW19</f>
        <v>5000</v>
      </c>
      <c r="CF18" s="16">
        <f>'Financial statements'!EX19</f>
        <v>0</v>
      </c>
      <c r="CG18" s="16">
        <f>'Financial statements'!EY19</f>
        <v>51016.435942499847</v>
      </c>
      <c r="CH18" s="16">
        <f>'Financial statements'!EZ19</f>
        <v>0</v>
      </c>
      <c r="CI18" s="16">
        <f>'Financial statements'!FA19</f>
        <v>0</v>
      </c>
      <c r="CJ18" s="16">
        <f>'Financial statements'!FB19</f>
        <v>0</v>
      </c>
      <c r="CK18" s="16">
        <f>'Financial statements'!FC19</f>
        <v>0</v>
      </c>
      <c r="CL18" s="16">
        <f>'Financial statements'!FD19</f>
        <v>15543.78</v>
      </c>
      <c r="CM18" s="16">
        <f>'Financial statements'!FE19</f>
        <v>0</v>
      </c>
      <c r="CN18" s="16">
        <f>'Financial statements'!FF19</f>
        <v>0</v>
      </c>
      <c r="CO18" s="16">
        <f>'Financial statements'!FG19</f>
        <v>0</v>
      </c>
      <c r="CP18" s="16">
        <f>'Financial statements'!FH19</f>
        <v>0</v>
      </c>
      <c r="CQ18" s="16">
        <f>'Financial statements'!FI19</f>
        <v>0</v>
      </c>
      <c r="CR18" s="16">
        <f>'Financial statements'!FJ19</f>
        <v>0</v>
      </c>
      <c r="CS18" s="742">
        <f>'Financial statements'!FK19</f>
        <v>0</v>
      </c>
      <c r="CT18" s="16"/>
      <c r="CU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L18"/>
      <c r="EM18"/>
      <c r="EN18"/>
      <c r="EO18"/>
      <c r="EP18"/>
      <c r="EQ18"/>
      <c r="ER18" s="384"/>
      <c r="ES18"/>
      <c r="ET18"/>
      <c r="EU18"/>
      <c r="EV18"/>
      <c r="EW18"/>
      <c r="EX18"/>
      <c r="EY18"/>
      <c r="EZ18"/>
      <c r="FA18"/>
      <c r="FB18"/>
    </row>
    <row r="19" spans="2:158" outlineLevel="1" x14ac:dyDescent="0.35">
      <c r="E19" s="400" t="s">
        <v>98</v>
      </c>
      <c r="F19" s="387">
        <f t="shared" si="0"/>
        <v>2199.3199999999997</v>
      </c>
      <c r="G19" s="387">
        <f t="shared" si="1"/>
        <v>64703.24</v>
      </c>
      <c r="H19" s="387">
        <f t="shared" si="1"/>
        <v>58282.46</v>
      </c>
      <c r="I19" s="387">
        <f t="shared" si="2"/>
        <v>0</v>
      </c>
      <c r="J19" s="388"/>
      <c r="K19" s="385">
        <f t="shared" si="27"/>
        <v>0</v>
      </c>
      <c r="L19" s="385">
        <f t="shared" si="28"/>
        <v>0</v>
      </c>
      <c r="M19" s="385">
        <f t="shared" si="29"/>
        <v>0</v>
      </c>
      <c r="N19" s="385">
        <f t="shared" si="30"/>
        <v>2199.3199999999997</v>
      </c>
      <c r="O19" s="385"/>
      <c r="P19" s="385">
        <f t="shared" si="31"/>
        <v>6420.7800000000007</v>
      </c>
      <c r="Q19" s="385">
        <f t="shared" si="32"/>
        <v>22799.5</v>
      </c>
      <c r="R19" s="385">
        <f t="shared" si="33"/>
        <v>17604.150000000001</v>
      </c>
      <c r="S19" s="385">
        <f t="shared" si="34"/>
        <v>17878.809999999998</v>
      </c>
      <c r="T19" s="393"/>
      <c r="U19" s="385">
        <f t="shared" si="35"/>
        <v>36522.798187854416</v>
      </c>
      <c r="V19" s="385">
        <f t="shared" si="36"/>
        <v>52201.544712022922</v>
      </c>
      <c r="W19" s="385">
        <f t="shared" si="37"/>
        <v>51981.622772429917</v>
      </c>
      <c r="X19" s="385">
        <f t="shared" si="38"/>
        <v>32771.09694224417</v>
      </c>
      <c r="Y19" s="385"/>
      <c r="Z19" s="385"/>
      <c r="AA19" s="385"/>
      <c r="AB19" s="385"/>
      <c r="AC19" s="385"/>
      <c r="AD19" s="385"/>
      <c r="AE19" s="385"/>
      <c r="AF19" s="385"/>
      <c r="AG19" s="385"/>
      <c r="AH19" s="385"/>
      <c r="AI19" s="393"/>
      <c r="AJ19" s="389">
        <v>0</v>
      </c>
      <c r="AK19" s="389">
        <v>0</v>
      </c>
      <c r="AL19" s="389">
        <v>0</v>
      </c>
      <c r="AM19" s="389">
        <v>0</v>
      </c>
      <c r="AN19" s="389">
        <v>0</v>
      </c>
      <c r="AO19" s="389">
        <v>0</v>
      </c>
      <c r="AP19" s="389">
        <v>0</v>
      </c>
      <c r="AQ19" s="389">
        <v>0</v>
      </c>
      <c r="AR19" s="389">
        <v>0</v>
      </c>
      <c r="AS19" s="389">
        <v>0</v>
      </c>
      <c r="AT19" s="389">
        <v>2199.3199999999997</v>
      </c>
      <c r="AU19" s="389">
        <v>0</v>
      </c>
      <c r="AV19" s="16">
        <v>4122.8500000000004</v>
      </c>
      <c r="AW19" s="16">
        <v>0</v>
      </c>
      <c r="AX19" s="16">
        <v>2297.9299999999998</v>
      </c>
      <c r="AY19" s="16">
        <v>9254.82</v>
      </c>
      <c r="AZ19" s="16">
        <f>'Financial statements'!DR20</f>
        <v>7980.92</v>
      </c>
      <c r="BA19" s="16">
        <f>'Financial statements'!DS20</f>
        <v>5563.76</v>
      </c>
      <c r="BB19" s="16">
        <f>'Financial statements'!DT20</f>
        <v>5779.08</v>
      </c>
      <c r="BC19" s="16">
        <f>'Financial statements'!DU20</f>
        <v>5789.47</v>
      </c>
      <c r="BD19" s="16">
        <f>'Financial statements'!DV20</f>
        <v>6035.6</v>
      </c>
      <c r="BE19" s="16">
        <f>'Financial statements'!DW20</f>
        <v>7565.1</v>
      </c>
      <c r="BF19" s="16">
        <f>'Financial statements'!DX20</f>
        <v>9313.7099999999991</v>
      </c>
      <c r="BG19" s="16">
        <f>'Financial statements'!DY20</f>
        <v>1000</v>
      </c>
      <c r="BH19" s="16">
        <f>'Financial statements'!DZ20</f>
        <v>5272.38</v>
      </c>
      <c r="BI19" s="16">
        <f>'Financial statements'!EA20</f>
        <v>909.5281878544173</v>
      </c>
      <c r="BJ19" s="16">
        <f>'Financial statements'!EB20</f>
        <v>30340.89</v>
      </c>
      <c r="BK19" s="16">
        <f>'Financial statements'!EC20</f>
        <v>3689.8247120229221</v>
      </c>
      <c r="BL19" s="16">
        <f>'Financial statements'!ED20</f>
        <v>30368.83</v>
      </c>
      <c r="BM19" s="16">
        <f>'Financial statements'!EE20</f>
        <v>18142.89</v>
      </c>
      <c r="BN19" s="16">
        <f>'Financial statements'!EF20</f>
        <v>4681.72</v>
      </c>
      <c r="BO19" s="16">
        <f>'Financial statements'!EG20</f>
        <v>35755.802772429917</v>
      </c>
      <c r="BP19" s="16">
        <f>'Financial statements'!EH20</f>
        <v>11544.1</v>
      </c>
      <c r="BQ19" s="16">
        <f>'Financial statements'!EI20</f>
        <v>8063.3304744998613</v>
      </c>
      <c r="BR19" s="16">
        <f>'Financial statements'!EJ20</f>
        <v>11629.683376539386</v>
      </c>
      <c r="BS19" s="16">
        <f>'Financial statements'!EK20</f>
        <v>13078.08309120492</v>
      </c>
      <c r="BT19" s="16">
        <f>'Financial statements'!EL20</f>
        <v>16563.25</v>
      </c>
      <c r="BU19" s="16">
        <f>'Financial statements'!EM20</f>
        <v>14376.744231264434</v>
      </c>
      <c r="BV19" s="16">
        <f>'Financial statements'!EN20</f>
        <v>15721.4169745566</v>
      </c>
      <c r="BW19" s="16">
        <f>'Financial statements'!EO20</f>
        <v>1312.0775099635503</v>
      </c>
      <c r="BX19" s="16">
        <f>'Financial statements'!EP20</f>
        <v>0</v>
      </c>
      <c r="BY19" s="16">
        <f>'Financial statements'!EQ20</f>
        <v>3150</v>
      </c>
      <c r="BZ19" s="16">
        <f>'Financial statements'!ER20</f>
        <v>1000</v>
      </c>
      <c r="CA19" s="16">
        <f>'Financial statements'!ES20</f>
        <v>0</v>
      </c>
      <c r="CB19" s="16">
        <f>'Financial statements'!ET20</f>
        <v>7610.4654833183249</v>
      </c>
      <c r="CC19" s="16">
        <f>'Financial statements'!EU20</f>
        <v>7620.2122993691401</v>
      </c>
      <c r="CD19" s="16">
        <f>'Financial statements'!EV20</f>
        <v>10109.34</v>
      </c>
      <c r="CE19" s="16">
        <f>'Financial statements'!EW20</f>
        <v>7746.8702996260499</v>
      </c>
      <c r="CF19" s="16">
        <f>'Financial statements'!EX20</f>
        <v>22201.700983988299</v>
      </c>
      <c r="CG19" s="16">
        <f>'Financial statements'!EY20</f>
        <v>7814.6280136144187</v>
      </c>
      <c r="CH19" s="16">
        <f>'Financial statements'!EZ20</f>
        <v>13851.62619233899</v>
      </c>
      <c r="CI19" s="16">
        <f>'Financial statements'!FA20</f>
        <v>7603.9309925529997</v>
      </c>
      <c r="CJ19" s="16">
        <f>'Financial statements'!FB20</f>
        <v>12589.982666564727</v>
      </c>
      <c r="CK19" s="16">
        <f>'Financial statements'!FC20</f>
        <v>29500.406485500571</v>
      </c>
      <c r="CL19" s="16">
        <f>'Financial statements'!FD20</f>
        <v>0</v>
      </c>
      <c r="CM19" s="16">
        <f>'Financial statements'!FE20</f>
        <v>86043.573770450894</v>
      </c>
      <c r="CN19" s="16">
        <f>'Financial statements'!FF20</f>
        <v>30244.576823767002</v>
      </c>
      <c r="CO19" s="16">
        <f>'Financial statements'!FG20</f>
        <v>10682.9286245691</v>
      </c>
      <c r="CP19" s="16">
        <f>'Financial statements'!FH20</f>
        <v>7783.36643393964</v>
      </c>
      <c r="CQ19" s="16">
        <f>'Financial statements'!FI20</f>
        <v>29383.193712759999</v>
      </c>
      <c r="CR19" s="16">
        <f>'Financial statements'!FJ20</f>
        <v>4316.1993886385399</v>
      </c>
      <c r="CS19" s="742">
        <f>'Financial statements'!FK20</f>
        <v>4273.7325088540802</v>
      </c>
      <c r="CT19" s="16"/>
      <c r="CU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L19"/>
      <c r="EM19"/>
      <c r="EN19"/>
      <c r="EO19"/>
      <c r="EP19"/>
      <c r="EQ19"/>
      <c r="ER19" s="384"/>
      <c r="ES19"/>
      <c r="ET19"/>
      <c r="EU19"/>
      <c r="EV19"/>
      <c r="EW19"/>
      <c r="EX19"/>
      <c r="EY19"/>
      <c r="EZ19"/>
      <c r="FA19"/>
      <c r="FB19"/>
    </row>
    <row r="20" spans="2:158" outlineLevel="1" x14ac:dyDescent="0.35">
      <c r="E20" s="400" t="s">
        <v>100</v>
      </c>
      <c r="F20" s="387">
        <f t="shared" si="0"/>
        <v>-2.9132252166164108E-13</v>
      </c>
      <c r="G20" s="387">
        <f t="shared" si="1"/>
        <v>82602.348825022433</v>
      </c>
      <c r="H20" s="387">
        <f t="shared" si="1"/>
        <v>82602.348825022433</v>
      </c>
      <c r="I20" s="387">
        <f t="shared" si="2"/>
        <v>0</v>
      </c>
      <c r="J20" s="388"/>
      <c r="K20" s="385">
        <f t="shared" si="27"/>
        <v>0</v>
      </c>
      <c r="L20" s="385">
        <f t="shared" si="28"/>
        <v>0</v>
      </c>
      <c r="M20" s="385">
        <f t="shared" si="29"/>
        <v>0</v>
      </c>
      <c r="N20" s="385">
        <f t="shared" si="30"/>
        <v>-2.9132252166164108E-13</v>
      </c>
      <c r="O20" s="385"/>
      <c r="P20" s="385">
        <f t="shared" si="31"/>
        <v>0</v>
      </c>
      <c r="Q20" s="385">
        <f t="shared" si="32"/>
        <v>38565.67</v>
      </c>
      <c r="R20" s="385">
        <f t="shared" si="33"/>
        <v>44036.678825022434</v>
      </c>
      <c r="S20" s="385">
        <f t="shared" si="34"/>
        <v>0</v>
      </c>
      <c r="T20" s="393"/>
      <c r="U20" s="385">
        <f t="shared" si="35"/>
        <v>6171.62</v>
      </c>
      <c r="V20" s="385">
        <f t="shared" si="36"/>
        <v>5892.71</v>
      </c>
      <c r="W20" s="385">
        <f t="shared" si="37"/>
        <v>64667.09</v>
      </c>
      <c r="X20" s="385">
        <f t="shared" si="38"/>
        <v>180925.44459323501</v>
      </c>
      <c r="Y20" s="385"/>
      <c r="Z20" s="385"/>
      <c r="AA20" s="385"/>
      <c r="AB20" s="385"/>
      <c r="AC20" s="385"/>
      <c r="AD20" s="385"/>
      <c r="AE20" s="385"/>
      <c r="AF20" s="385"/>
      <c r="AG20" s="385"/>
      <c r="AH20" s="385"/>
      <c r="AI20" s="393"/>
      <c r="AJ20" s="389">
        <v>0</v>
      </c>
      <c r="AK20" s="389">
        <v>0</v>
      </c>
      <c r="AL20" s="389">
        <v>0</v>
      </c>
      <c r="AM20" s="389">
        <v>0</v>
      </c>
      <c r="AN20" s="389">
        <v>0</v>
      </c>
      <c r="AO20" s="389">
        <v>0</v>
      </c>
      <c r="AP20" s="389">
        <v>0</v>
      </c>
      <c r="AQ20" s="389">
        <v>0</v>
      </c>
      <c r="AR20" s="389">
        <v>0</v>
      </c>
      <c r="AS20" s="389">
        <v>0</v>
      </c>
      <c r="AT20" s="389">
        <v>0</v>
      </c>
      <c r="AU20" s="389">
        <v>-2.9132252166164108E-13</v>
      </c>
      <c r="AV20" s="16">
        <v>0</v>
      </c>
      <c r="AW20" s="16">
        <v>0</v>
      </c>
      <c r="AX20" s="16">
        <v>0</v>
      </c>
      <c r="AY20" s="16">
        <v>38565.67</v>
      </c>
      <c r="AZ20" s="16">
        <f>'Financial statements'!DR22</f>
        <v>0</v>
      </c>
      <c r="BA20" s="16">
        <f>'Financial statements'!DS22</f>
        <v>0</v>
      </c>
      <c r="BB20" s="16">
        <f>'Financial statements'!DT22</f>
        <v>0</v>
      </c>
      <c r="BC20" s="16">
        <f>'Financial statements'!DU22</f>
        <v>0</v>
      </c>
      <c r="BD20" s="16">
        <f>'Financial statements'!DV22</f>
        <v>44036.678825022434</v>
      </c>
      <c r="BE20" s="16">
        <f>'Financial statements'!DW22</f>
        <v>0</v>
      </c>
      <c r="BF20" s="16">
        <f>'Financial statements'!DX22</f>
        <v>0</v>
      </c>
      <c r="BG20" s="16">
        <f>'Financial statements'!DY22</f>
        <v>0</v>
      </c>
      <c r="BH20" s="16">
        <f>'Financial statements'!DZ22</f>
        <v>0</v>
      </c>
      <c r="BI20" s="16">
        <f>'Financial statements'!EA22</f>
        <v>0</v>
      </c>
      <c r="BJ20" s="16">
        <f>'Financial statements'!EB22</f>
        <v>6171.62</v>
      </c>
      <c r="BK20" s="16">
        <f>'Financial statements'!EC22</f>
        <v>0</v>
      </c>
      <c r="BL20" s="16">
        <f>'Financial statements'!ED22</f>
        <v>0</v>
      </c>
      <c r="BM20" s="16">
        <f>'Financial statements'!EE22</f>
        <v>5892.71</v>
      </c>
      <c r="BN20" s="16">
        <f>'Financial statements'!EF22</f>
        <v>5134.99</v>
      </c>
      <c r="BO20" s="16">
        <f>'Financial statements'!EG22</f>
        <v>0</v>
      </c>
      <c r="BP20" s="16">
        <f>'Financial statements'!EH22</f>
        <v>59532.1</v>
      </c>
      <c r="BQ20" s="16">
        <f>'Financial statements'!EI22</f>
        <v>60455.185593357135</v>
      </c>
      <c r="BR20" s="16">
        <f>'Financial statements'!EJ22</f>
        <v>60972.670073513276</v>
      </c>
      <c r="BS20" s="16">
        <f>'Financial statements'!EK22</f>
        <v>59497.588926364602</v>
      </c>
      <c r="BT20" s="16">
        <f>'Financial statements'!EL22</f>
        <v>58746.152097656937</v>
      </c>
      <c r="BU20" s="16">
        <f>'Financial statements'!EM22</f>
        <v>58444.20540353586</v>
      </c>
      <c r="BV20" s="16">
        <f>'Financial statements'!EN22</f>
        <v>58502.621888049987</v>
      </c>
      <c r="BW20" s="16">
        <f>'Financial statements'!EO22</f>
        <v>0</v>
      </c>
      <c r="BX20" s="16">
        <f>'Financial statements'!EP22</f>
        <v>120586.73073933415</v>
      </c>
      <c r="BY20" s="16">
        <f>'Financial statements'!EQ22</f>
        <v>59980.512571190178</v>
      </c>
      <c r="BZ20" s="16">
        <f>'Financial statements'!ER22</f>
        <v>59785.806814625605</v>
      </c>
      <c r="CA20" s="16">
        <f>'Financial statements'!ES22</f>
        <v>60070.816825118141</v>
      </c>
      <c r="CB20" s="16">
        <f>'Financial statements'!ET22</f>
        <v>60236.847487222658</v>
      </c>
      <c r="CC20" s="16">
        <f>'Financial statements'!EU22</f>
        <v>0</v>
      </c>
      <c r="CD20" s="16">
        <f>'Financial statements'!EV22</f>
        <v>9073.0199898951196</v>
      </c>
      <c r="CE20" s="16">
        <f>'Financial statements'!EW22</f>
        <v>-75072.217282012105</v>
      </c>
      <c r="CF20" s="16">
        <f>'Financial statements'!EX22</f>
        <v>28900.830732934701</v>
      </c>
      <c r="CG20" s="16">
        <f>'Financial statements'!EY22</f>
        <v>28514.268483726632</v>
      </c>
      <c r="CH20" s="16">
        <f>'Financial statements'!EZ22</f>
        <v>27704.755354466048</v>
      </c>
      <c r="CI20" s="16">
        <f>'Financial statements'!FA22</f>
        <v>27152.297904056381</v>
      </c>
      <c r="CJ20" s="16">
        <f>'Financial statements'!FB22</f>
        <v>26715.191303149899</v>
      </c>
      <c r="CK20" s="16">
        <f>'Financial statements'!FC22</f>
        <v>26356.032042604202</v>
      </c>
      <c r="CL20" s="16">
        <f>'Financial statements'!FD22</f>
        <v>26434.99</v>
      </c>
      <c r="CM20" s="16">
        <f>'Financial statements'!FE22</f>
        <v>0</v>
      </c>
      <c r="CN20" s="16">
        <f>'Financial statements'!FF22</f>
        <v>26444.2357164151</v>
      </c>
      <c r="CO20" s="16">
        <f>'Financial statements'!FG22</f>
        <v>47518.885586988799</v>
      </c>
      <c r="CP20" s="16">
        <f>'Financial statements'!FH22</f>
        <v>48394.427478292397</v>
      </c>
      <c r="CQ20" s="16">
        <f>'Financial statements'!FI22</f>
        <v>48000.367782968999</v>
      </c>
      <c r="CR20" s="16">
        <f>'Financial statements'!FJ22</f>
        <v>0</v>
      </c>
      <c r="CS20" s="742">
        <f>'Financial statements'!FK22</f>
        <v>0</v>
      </c>
      <c r="CT20" s="16"/>
      <c r="CU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L20"/>
      <c r="EM20"/>
      <c r="EN20"/>
      <c r="EO20"/>
      <c r="EP20"/>
      <c r="EQ20"/>
      <c r="ER20" s="384"/>
      <c r="ES20"/>
      <c r="ET20"/>
      <c r="EU20"/>
      <c r="EV20"/>
      <c r="EW20"/>
      <c r="EX20"/>
      <c r="EY20"/>
      <c r="EZ20"/>
      <c r="FA20"/>
      <c r="FB20"/>
    </row>
    <row r="21" spans="2:158" outlineLevel="1" x14ac:dyDescent="0.35">
      <c r="E21" s="400" t="s">
        <v>101</v>
      </c>
      <c r="F21" s="387"/>
      <c r="G21" s="387"/>
      <c r="H21" s="387"/>
      <c r="I21" s="387"/>
      <c r="J21" s="388"/>
      <c r="K21" s="385"/>
      <c r="L21" s="385"/>
      <c r="M21" s="385"/>
      <c r="N21" s="385"/>
      <c r="O21" s="385"/>
      <c r="P21" s="385"/>
      <c r="Q21" s="385"/>
      <c r="R21" s="385"/>
      <c r="S21" s="385"/>
      <c r="T21" s="393"/>
      <c r="U21" s="385"/>
      <c r="V21" s="385"/>
      <c r="W21" s="385"/>
      <c r="X21" s="385"/>
      <c r="Y21" s="385"/>
      <c r="Z21" s="385"/>
      <c r="AA21" s="385"/>
      <c r="AB21" s="385"/>
      <c r="AC21" s="385"/>
      <c r="AD21" s="385"/>
      <c r="AE21" s="385"/>
      <c r="AF21" s="385"/>
      <c r="AG21" s="385"/>
      <c r="AH21" s="385"/>
      <c r="AI21" s="393"/>
      <c r="AJ21" s="389"/>
      <c r="AK21" s="389"/>
      <c r="AL21" s="389"/>
      <c r="AM21" s="389"/>
      <c r="AN21" s="389"/>
      <c r="AO21" s="389"/>
      <c r="AP21" s="389"/>
      <c r="AQ21" s="389"/>
      <c r="AR21" s="389"/>
      <c r="AS21" s="389"/>
      <c r="AT21" s="389"/>
      <c r="AU21" s="389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>
        <f>'Financial statements'!FJ23</f>
        <v>4000</v>
      </c>
      <c r="CS21" s="742">
        <f>'Financial statements'!FK23</f>
        <v>0</v>
      </c>
      <c r="CT21" s="16"/>
      <c r="CU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L21"/>
      <c r="EM21"/>
      <c r="EN21"/>
      <c r="EO21"/>
      <c r="EP21"/>
      <c r="EQ21"/>
      <c r="ER21" s="384"/>
      <c r="ES21"/>
      <c r="ET21"/>
      <c r="EU21"/>
      <c r="EV21"/>
      <c r="EW21"/>
      <c r="EX21"/>
      <c r="EY21"/>
      <c r="EZ21"/>
      <c r="FA21"/>
      <c r="FB21"/>
    </row>
    <row r="22" spans="2:158" outlineLevel="1" x14ac:dyDescent="0.35">
      <c r="E22" s="400" t="s">
        <v>102</v>
      </c>
      <c r="F22" s="387"/>
      <c r="G22" s="387"/>
      <c r="H22" s="387"/>
      <c r="I22" s="387"/>
      <c r="J22" s="388"/>
      <c r="K22" s="385"/>
      <c r="L22" s="385"/>
      <c r="M22" s="385"/>
      <c r="N22" s="385"/>
      <c r="O22" s="385"/>
      <c r="P22" s="385"/>
      <c r="Q22" s="385"/>
      <c r="R22" s="385"/>
      <c r="S22" s="385"/>
      <c r="T22" s="393"/>
      <c r="U22" s="385"/>
      <c r="V22" s="385"/>
      <c r="W22" s="385"/>
      <c r="X22" s="385"/>
      <c r="Y22" s="385"/>
      <c r="Z22" s="385"/>
      <c r="AA22" s="385"/>
      <c r="AB22" s="385"/>
      <c r="AC22" s="385"/>
      <c r="AD22" s="385"/>
      <c r="AE22" s="385"/>
      <c r="AF22" s="385"/>
      <c r="AG22" s="385"/>
      <c r="AH22" s="385"/>
      <c r="AI22" s="393"/>
      <c r="AJ22" s="389"/>
      <c r="AK22" s="389"/>
      <c r="AL22" s="389"/>
      <c r="AM22" s="389"/>
      <c r="AN22" s="389"/>
      <c r="AO22" s="389"/>
      <c r="AP22" s="389"/>
      <c r="AQ22" s="389"/>
      <c r="AR22" s="389"/>
      <c r="AS22" s="389"/>
      <c r="AT22" s="389"/>
      <c r="AU22" s="389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>
        <f>'Financial statements'!FJ24</f>
        <v>7125</v>
      </c>
      <c r="CS22" s="742">
        <f>'Financial statements'!FK24</f>
        <v>4000</v>
      </c>
      <c r="CT22" s="16"/>
      <c r="CU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L22"/>
      <c r="EM22"/>
      <c r="EN22"/>
      <c r="EO22"/>
      <c r="EP22"/>
      <c r="EQ22"/>
      <c r="ER22" s="384"/>
      <c r="ES22"/>
      <c r="ET22"/>
      <c r="EU22"/>
      <c r="EV22"/>
      <c r="EW22"/>
      <c r="EX22"/>
      <c r="EY22"/>
      <c r="EZ22"/>
      <c r="FA22"/>
      <c r="FB22"/>
    </row>
    <row r="23" spans="2:158" x14ac:dyDescent="0.35">
      <c r="C23" s="401" t="s">
        <v>103</v>
      </c>
      <c r="D23" s="402"/>
      <c r="E23" s="402"/>
      <c r="F23" s="390">
        <f>F6+F12+F13</f>
        <v>16668427.720000001</v>
      </c>
      <c r="G23" s="390">
        <f>G6+G12+G13</f>
        <v>21796895.639436185</v>
      </c>
      <c r="H23" s="390">
        <f>H6+H12+H13</f>
        <v>23972186.374690827</v>
      </c>
      <c r="I23" s="390">
        <f>I6+I12+I13</f>
        <v>24551108.448442325</v>
      </c>
      <c r="J23" s="391"/>
      <c r="K23" s="392">
        <f>K6+K12+K13</f>
        <v>3620070.6999999993</v>
      </c>
      <c r="L23" s="392">
        <f>L6+L12+L13</f>
        <v>4006644.4800000004</v>
      </c>
      <c r="M23" s="392">
        <f>M6+M12+M13</f>
        <v>4499385.88</v>
      </c>
      <c r="N23" s="392">
        <f>N6+N12+N13</f>
        <v>4542326.66</v>
      </c>
      <c r="O23" s="392"/>
      <c r="P23" s="392">
        <f>P6+P12+P13</f>
        <v>4656365.6113251327</v>
      </c>
      <c r="Q23" s="392">
        <f>Q6+Q12+Q13</f>
        <v>5294276.3547999989</v>
      </c>
      <c r="R23" s="392">
        <f>R6+R12+R13</f>
        <v>5785484.1346397875</v>
      </c>
      <c r="S23" s="392">
        <f>S6+S12+S13</f>
        <v>6060769.5386712654</v>
      </c>
      <c r="T23" s="392"/>
      <c r="U23" s="392">
        <f>U6+U12+U13</f>
        <v>5743125.6200000001</v>
      </c>
      <c r="V23" s="392">
        <f>V6+V12+V13</f>
        <v>5863187.4000000004</v>
      </c>
      <c r="W23" s="392">
        <f>W6+W12+W13</f>
        <v>6030346.4735170789</v>
      </c>
      <c r="X23" s="392">
        <f>X6+X12+X13</f>
        <v>6335526.8811737439</v>
      </c>
      <c r="Y23" s="392"/>
      <c r="Z23" s="392">
        <f>Z6+Z12+Z13</f>
        <v>6328765.735848397</v>
      </c>
      <c r="AA23" s="392">
        <f>AA6+AA12+AA13</f>
        <v>6334930.9447650965</v>
      </c>
      <c r="AB23" s="392">
        <f>AB6+AB12+AB13</f>
        <v>6068776.3128730915</v>
      </c>
      <c r="AC23" s="392">
        <f>AC6+AC12+AC13</f>
        <v>5818635.4549557362</v>
      </c>
      <c r="AD23" s="392"/>
      <c r="AE23" s="392">
        <f>AE6+AE12+AE13</f>
        <v>6028427.7855726723</v>
      </c>
      <c r="AF23" s="392">
        <f>AF6+AF12+AF13</f>
        <v>6044092.3084707558</v>
      </c>
      <c r="AG23" s="392">
        <f>AG6+AG12+AG13</f>
        <v>6845234.9188225111</v>
      </c>
      <c r="AH23" s="392">
        <f>AH6+AH12+AH13</f>
        <v>6698821.8036895804</v>
      </c>
      <c r="AI23" s="403"/>
      <c r="AJ23" s="391">
        <f t="shared" ref="AJ23:BO23" si="39">SUM(AJ12:AJ13,AJ6)</f>
        <v>1306304.22</v>
      </c>
      <c r="AK23" s="391">
        <f t="shared" si="39"/>
        <v>1165405.5999999996</v>
      </c>
      <c r="AL23" s="391">
        <f t="shared" si="39"/>
        <v>1148360.8799999999</v>
      </c>
      <c r="AM23" s="391">
        <f t="shared" si="39"/>
        <v>1236281.81</v>
      </c>
      <c r="AN23" s="391">
        <f t="shared" si="39"/>
        <v>1232758.6700000002</v>
      </c>
      <c r="AO23" s="391">
        <f t="shared" si="39"/>
        <v>1537604</v>
      </c>
      <c r="AP23" s="391">
        <f t="shared" si="39"/>
        <v>1529113.33</v>
      </c>
      <c r="AQ23" s="391">
        <f t="shared" si="39"/>
        <v>1517957.7399999998</v>
      </c>
      <c r="AR23" s="391">
        <f t="shared" si="39"/>
        <v>1452314.81</v>
      </c>
      <c r="AS23" s="391">
        <f t="shared" si="39"/>
        <v>1473345.15</v>
      </c>
      <c r="AT23" s="391">
        <f t="shared" si="39"/>
        <v>1491328.7699999998</v>
      </c>
      <c r="AU23" s="391">
        <f t="shared" si="39"/>
        <v>1577652.7400000002</v>
      </c>
      <c r="AV23" s="24">
        <f t="shared" si="39"/>
        <v>1475293.07</v>
      </c>
      <c r="AW23" s="24">
        <f t="shared" si="39"/>
        <v>1460935.3</v>
      </c>
      <c r="AX23" s="24">
        <f t="shared" si="39"/>
        <v>1720137.2413251332</v>
      </c>
      <c r="AY23" s="24">
        <f t="shared" si="39"/>
        <v>1763283.3047999998</v>
      </c>
      <c r="AZ23" s="24">
        <f t="shared" si="39"/>
        <v>1850249.93</v>
      </c>
      <c r="BA23" s="24">
        <f t="shared" si="39"/>
        <v>1680743.1199999999</v>
      </c>
      <c r="BB23" s="24">
        <f t="shared" si="39"/>
        <v>1725754.6038278227</v>
      </c>
      <c r="BC23" s="24">
        <f t="shared" si="39"/>
        <v>1862687.9408119649</v>
      </c>
      <c r="BD23" s="24">
        <f t="shared" si="39"/>
        <v>2197041.5900000003</v>
      </c>
      <c r="BE23" s="24">
        <f t="shared" si="39"/>
        <v>1822986.3286712656</v>
      </c>
      <c r="BF23" s="24">
        <f t="shared" si="39"/>
        <v>2021313.66</v>
      </c>
      <c r="BG23" s="24">
        <f t="shared" si="39"/>
        <v>2216469.5500000003</v>
      </c>
      <c r="BH23" s="24">
        <f t="shared" si="39"/>
        <v>1831328.22</v>
      </c>
      <c r="BI23" s="24">
        <f t="shared" si="39"/>
        <v>1835207.4900000002</v>
      </c>
      <c r="BJ23" s="24">
        <f t="shared" si="39"/>
        <v>2076589.9099999997</v>
      </c>
      <c r="BK23" s="24">
        <f t="shared" si="39"/>
        <v>1914319.8</v>
      </c>
      <c r="BL23" s="24">
        <f t="shared" si="39"/>
        <v>1918364.8800000004</v>
      </c>
      <c r="BM23" s="24">
        <f t="shared" si="39"/>
        <v>2030502.7200000002</v>
      </c>
      <c r="BN23" s="24">
        <f t="shared" si="39"/>
        <v>2012283.1056106868</v>
      </c>
      <c r="BO23" s="24">
        <f t="shared" si="39"/>
        <v>1979827.2375426479</v>
      </c>
      <c r="BP23" s="24">
        <f t="shared" ref="BP23:CI23" si="40">SUM(BP12:BP13,BP6)</f>
        <v>2038236.130363744</v>
      </c>
      <c r="BQ23" s="24">
        <f t="shared" si="40"/>
        <v>2078646.0369077618</v>
      </c>
      <c r="BR23" s="24">
        <f t="shared" si="40"/>
        <v>2087612.2442916043</v>
      </c>
      <c r="BS23" s="24">
        <f t="shared" si="40"/>
        <v>2169268.5999743775</v>
      </c>
      <c r="BT23" s="548">
        <f t="shared" si="40"/>
        <v>1964329.0337536104</v>
      </c>
      <c r="BU23" s="24">
        <f t="shared" si="40"/>
        <v>2077947.5739813403</v>
      </c>
      <c r="BV23" s="24">
        <f t="shared" si="40"/>
        <v>2286489.1281134463</v>
      </c>
      <c r="BW23" s="24">
        <f t="shared" si="40"/>
        <v>2001057.1323808986</v>
      </c>
      <c r="BX23" s="24">
        <f t="shared" si="40"/>
        <v>2189795.7136087879</v>
      </c>
      <c r="BY23" s="24">
        <f t="shared" si="40"/>
        <v>2144078.098775411</v>
      </c>
      <c r="BZ23" s="24">
        <f t="shared" si="40"/>
        <v>2023869.6139062394</v>
      </c>
      <c r="CA23" s="24">
        <f t="shared" si="40"/>
        <v>2078680.8794454192</v>
      </c>
      <c r="CB23" s="24">
        <f t="shared" si="40"/>
        <v>1966225.8195214337</v>
      </c>
      <c r="CC23" s="24">
        <f t="shared" si="40"/>
        <v>1978937.185077098</v>
      </c>
      <c r="CD23" s="24">
        <f t="shared" si="40"/>
        <v>2036014.8998786372</v>
      </c>
      <c r="CE23" s="24">
        <f t="shared" si="40"/>
        <v>1803683.37</v>
      </c>
      <c r="CF23" s="24">
        <f t="shared" si="40"/>
        <v>1952815.8360002679</v>
      </c>
      <c r="CG23" s="24">
        <f t="shared" si="40"/>
        <v>2177412.1173977889</v>
      </c>
      <c r="CH23" s="24">
        <f t="shared" si="40"/>
        <v>1898199.832174615</v>
      </c>
      <c r="CI23" s="24">
        <f t="shared" si="40"/>
        <v>1997055.5128785269</v>
      </c>
      <c r="CJ23" s="24">
        <f t="shared" ref="CJ23:CK23" si="41">SUM(CJ12:CJ13,CJ6)</f>
        <v>2054476.5398099069</v>
      </c>
      <c r="CK23" s="24">
        <f t="shared" si="41"/>
        <v>1992560.2557823211</v>
      </c>
      <c r="CL23" s="24">
        <f t="shared" ref="CL23" si="42">SUM(CL12:CL13,CL6)</f>
        <v>2211328.0229019444</v>
      </c>
      <c r="CM23" s="24">
        <f t="shared" ref="CM23:CR23" si="43">SUM(CM12:CM13,CM6)</f>
        <v>2221559.2441607066</v>
      </c>
      <c r="CN23" s="24">
        <f t="shared" si="43"/>
        <v>2412347.6517598601</v>
      </c>
      <c r="CO23" s="24">
        <f t="shared" si="43"/>
        <v>2169538.2936562337</v>
      </c>
      <c r="CP23" s="24">
        <f t="shared" si="43"/>
        <v>2191454.6454517161</v>
      </c>
      <c r="CQ23" s="24">
        <f t="shared" si="43"/>
        <v>2337828.864581631</v>
      </c>
      <c r="CR23" s="24">
        <f t="shared" si="43"/>
        <v>2119571.0683699152</v>
      </c>
      <c r="CS23" s="747">
        <f t="shared" ref="CS23" si="44">SUM(CS12:CS13,CS6)</f>
        <v>2047742.3775045939</v>
      </c>
      <c r="CT23" s="24"/>
      <c r="CU23" s="24">
        <f t="shared" ref="CU23:ED23" si="45">CU6+CU12+CU13</f>
        <v>1674999.9999999998</v>
      </c>
      <c r="CV23" s="24">
        <f t="shared" si="45"/>
        <v>1674999.9999999998</v>
      </c>
      <c r="CW23" s="24">
        <f t="shared" si="45"/>
        <v>1674999.9999999998</v>
      </c>
      <c r="CX23" s="24">
        <f t="shared" si="45"/>
        <v>1808333.3333333333</v>
      </c>
      <c r="CY23" s="24">
        <f t="shared" si="45"/>
        <v>1808333.3333333333</v>
      </c>
      <c r="CZ23" s="24">
        <f t="shared" si="45"/>
        <v>1808333.3333333333</v>
      </c>
      <c r="DA23" s="24">
        <f t="shared" si="45"/>
        <v>1974999.9999999998</v>
      </c>
      <c r="DB23" s="24">
        <f t="shared" si="45"/>
        <v>1974999.9999999998</v>
      </c>
      <c r="DC23" s="24">
        <f t="shared" si="45"/>
        <v>1974999.9999999998</v>
      </c>
      <c r="DD23" s="24">
        <f t="shared" si="45"/>
        <v>2141666.6666666665</v>
      </c>
      <c r="DE23" s="24">
        <f t="shared" si="45"/>
        <v>2141666.6666666665</v>
      </c>
      <c r="DF23" s="24">
        <f t="shared" si="45"/>
        <v>2141666.6666666665</v>
      </c>
      <c r="DG23" s="24">
        <f t="shared" si="45"/>
        <v>1944700.611949092</v>
      </c>
      <c r="DH23" s="24">
        <f t="shared" si="45"/>
        <v>1944700.611949092</v>
      </c>
      <c r="DI23" s="24">
        <f t="shared" si="45"/>
        <v>1944700.611949092</v>
      </c>
      <c r="DJ23" s="24">
        <f t="shared" si="45"/>
        <v>2052639.6024778751</v>
      </c>
      <c r="DK23" s="24">
        <f t="shared" si="45"/>
        <v>2052639.6024778751</v>
      </c>
      <c r="DL23" s="24">
        <f t="shared" si="45"/>
        <v>2052639.6024778751</v>
      </c>
      <c r="DM23" s="24">
        <f t="shared" si="45"/>
        <v>2221143.4720757026</v>
      </c>
      <c r="DN23" s="24">
        <f t="shared" si="45"/>
        <v>2221143.4720757026</v>
      </c>
      <c r="DO23" s="24">
        <f t="shared" si="45"/>
        <v>2221143.4720757026</v>
      </c>
      <c r="DP23" s="24">
        <f t="shared" si="45"/>
        <v>2541818.2992330291</v>
      </c>
      <c r="DQ23" s="24">
        <f t="shared" si="45"/>
        <v>2541818.2992330291</v>
      </c>
      <c r="DR23" s="24">
        <f t="shared" si="45"/>
        <v>2541818.2992330291</v>
      </c>
      <c r="DS23" s="24">
        <f t="shared" si="45"/>
        <v>2093742.9202152819</v>
      </c>
      <c r="DT23" s="24">
        <f t="shared" si="45"/>
        <v>2093742.9202152819</v>
      </c>
      <c r="DU23" s="24">
        <f t="shared" si="45"/>
        <v>2093742.9202152819</v>
      </c>
      <c r="DV23" s="24">
        <f t="shared" si="45"/>
        <v>2283715.6615393809</v>
      </c>
      <c r="DW23" s="24">
        <f t="shared" si="45"/>
        <v>2283715.6615393809</v>
      </c>
      <c r="DX23" s="24">
        <f t="shared" si="45"/>
        <v>2283715.6615393809</v>
      </c>
      <c r="DY23" s="24">
        <f t="shared" si="45"/>
        <v>2369331.9564668881</v>
      </c>
      <c r="DZ23" s="24">
        <f t="shared" si="45"/>
        <v>2369331.9564668881</v>
      </c>
      <c r="EA23" s="24">
        <f t="shared" si="45"/>
        <v>2369331.9564668881</v>
      </c>
      <c r="EB23" s="24">
        <f t="shared" si="45"/>
        <v>2526309.3327842532</v>
      </c>
      <c r="EC23" s="24">
        <f t="shared" si="45"/>
        <v>2526309.3327842532</v>
      </c>
      <c r="ED23" s="24">
        <f t="shared" si="45"/>
        <v>2526309.3327842532</v>
      </c>
      <c r="EE23" s="24">
        <f>'Financial plan'!EM21</f>
        <v>2064180.4347913465</v>
      </c>
      <c r="EF23" s="24">
        <f>'Financial plan'!EN21</f>
        <v>2064180.4347913465</v>
      </c>
      <c r="EG23" s="24">
        <f>'Financial plan'!EO21</f>
        <v>2064180.4347913465</v>
      </c>
      <c r="EH23" s="24">
        <f>'Financial plan'!EP21</f>
        <v>2054080.6989569946</v>
      </c>
      <c r="EI23" s="24">
        <f>'Financial plan'!EQ21</f>
        <v>2054080.6989569946</v>
      </c>
      <c r="EJ23" s="24">
        <f>'Financial plan'!ER21</f>
        <v>2054080.6989569946</v>
      </c>
      <c r="EK23" s="24">
        <f>'Financial plan'!ES21</f>
        <v>2137807.3498148853</v>
      </c>
      <c r="EL23" s="24">
        <f>'Financial plan'!ET21</f>
        <v>2137807.3498148853</v>
      </c>
      <c r="EM23" s="24">
        <f>'Financial plan'!EU21</f>
        <v>2137807.3498148853</v>
      </c>
      <c r="EN23" s="24">
        <f>'Financial plan'!EV21</f>
        <v>2320691.9906368386</v>
      </c>
      <c r="EO23" s="24">
        <f>'Financial plan'!EW21</f>
        <v>2320691.9906368386</v>
      </c>
      <c r="EP23" s="24">
        <v>2320691.9906368386</v>
      </c>
      <c r="EQ23" s="24">
        <f>'Financial plan'!EY21</f>
        <v>2274341.5317488802</v>
      </c>
      <c r="ER23" s="455">
        <f>'Financial plan'!EZ21</f>
        <v>2274341.5317488802</v>
      </c>
      <c r="ES23" s="24">
        <f>'Financial plan'!FA21</f>
        <v>2274341.5317488802</v>
      </c>
      <c r="ET23" s="24">
        <f>'Financial plan'!FB21</f>
        <v>2465624.3893151963</v>
      </c>
      <c r="EU23" s="24">
        <f>'Financial plan'!FC21</f>
        <v>2465624.3893151963</v>
      </c>
      <c r="EV23" s="24">
        <f>'Financial plan'!FD21</f>
        <v>2465624.3893151963</v>
      </c>
      <c r="EW23" s="24">
        <f>'Financial plan'!FE21</f>
        <v>2582929.4174506562</v>
      </c>
      <c r="EX23" s="24">
        <f>'Financial plan'!FF21</f>
        <v>2582929.4174506562</v>
      </c>
      <c r="EY23" s="24">
        <f>'Financial plan'!FG21</f>
        <v>2582929.4174506562</v>
      </c>
      <c r="EZ23" s="24">
        <f>'Financial plan'!FH21</f>
        <v>2690107.4514070298</v>
      </c>
      <c r="FA23" s="24">
        <f>'Financial plan'!FI21</f>
        <v>2690107.4514070298</v>
      </c>
      <c r="FB23" s="24">
        <f>'Financial plan'!FJ21</f>
        <v>2690107.4514070298</v>
      </c>
    </row>
    <row r="24" spans="2:158" x14ac:dyDescent="0.35">
      <c r="B24" s="396"/>
      <c r="C24" s="396"/>
      <c r="D24" s="396"/>
      <c r="E24" s="397"/>
      <c r="F24" s="387"/>
      <c r="G24" s="387"/>
      <c r="H24" s="387"/>
      <c r="I24" s="386"/>
      <c r="J24" s="386"/>
      <c r="K24" s="393"/>
      <c r="L24" s="393"/>
      <c r="M24" s="393"/>
      <c r="N24" s="393"/>
      <c r="O24" s="393"/>
      <c r="P24" s="393"/>
      <c r="Q24" s="393"/>
      <c r="R24" s="393"/>
      <c r="S24" s="393"/>
      <c r="T24" s="393"/>
      <c r="U24" s="393"/>
      <c r="V24" s="393"/>
      <c r="W24" s="393"/>
      <c r="X24" s="393"/>
      <c r="Y24" s="393"/>
      <c r="Z24" s="393"/>
      <c r="AA24" s="393"/>
      <c r="AB24" s="393"/>
      <c r="AC24" s="393"/>
      <c r="AD24" s="393"/>
      <c r="AE24" s="393"/>
      <c r="AF24" s="393"/>
      <c r="AG24" s="393"/>
      <c r="AH24" s="393"/>
      <c r="AI24" s="393"/>
      <c r="AJ24" s="393"/>
      <c r="AK24" s="393"/>
      <c r="AL24" s="393"/>
      <c r="AM24" s="393"/>
      <c r="AN24" s="393"/>
      <c r="AO24" s="393"/>
      <c r="AP24" s="393"/>
      <c r="AQ24" s="393"/>
      <c r="AR24" s="393"/>
      <c r="AS24" s="393"/>
      <c r="AT24" s="393"/>
      <c r="AU24" s="393"/>
      <c r="AV24" s="4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 s="487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 s="384"/>
      <c r="CU24"/>
      <c r="DG24" s="113">
        <v>1944700.611949092</v>
      </c>
      <c r="DH24" s="113">
        <v>1944700.611949092</v>
      </c>
      <c r="DI24" s="113">
        <v>1944700.611949092</v>
      </c>
      <c r="DJ24" s="113">
        <v>2052639.6024778751</v>
      </c>
      <c r="DK24" s="113">
        <v>2052639.6024778751</v>
      </c>
      <c r="DL24" s="113">
        <v>2052639.6024778751</v>
      </c>
      <c r="DM24" s="113">
        <v>2221143.4720757026</v>
      </c>
      <c r="DN24" s="113">
        <v>2221143.4720757026</v>
      </c>
      <c r="DO24" s="113">
        <v>2221143.4720757026</v>
      </c>
      <c r="DP24" s="113">
        <v>2541818.2992330291</v>
      </c>
      <c r="DQ24" s="113">
        <v>2541818.2992330291</v>
      </c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L24"/>
      <c r="EM24"/>
      <c r="EN24"/>
      <c r="EO24"/>
      <c r="EP24"/>
      <c r="EQ24"/>
      <c r="ER24" s="384"/>
      <c r="ES24"/>
      <c r="ET24"/>
      <c r="EU24"/>
      <c r="EV24"/>
      <c r="EW24"/>
      <c r="EX24"/>
      <c r="EY24"/>
      <c r="EZ24"/>
      <c r="FA24"/>
      <c r="FB24"/>
    </row>
    <row r="25" spans="2:158" x14ac:dyDescent="0.35">
      <c r="D25" s="395" t="s">
        <v>104</v>
      </c>
      <c r="F25" s="387"/>
      <c r="G25" s="387"/>
      <c r="H25" s="387"/>
      <c r="I25" s="385"/>
      <c r="J25" s="385"/>
      <c r="K25" s="393"/>
      <c r="L25" s="393"/>
      <c r="M25" s="393"/>
      <c r="N25" s="393"/>
      <c r="O25" s="393"/>
      <c r="P25" s="393"/>
      <c r="Q25" s="393"/>
      <c r="R25" s="393"/>
      <c r="S25" s="393"/>
      <c r="T25" s="393"/>
      <c r="U25" s="393"/>
      <c r="V25" s="393"/>
      <c r="W25" s="393"/>
      <c r="X25" s="393"/>
      <c r="Y25" s="393"/>
      <c r="Z25" s="393"/>
      <c r="AA25" s="393"/>
      <c r="AB25" s="393"/>
      <c r="AC25" s="393"/>
      <c r="AD25" s="393"/>
      <c r="AE25" s="393"/>
      <c r="AF25" s="393"/>
      <c r="AG25" s="393"/>
      <c r="AH25" s="393"/>
      <c r="AI25" s="393"/>
      <c r="AJ25" s="393"/>
      <c r="AK25" s="393"/>
      <c r="AL25" s="393"/>
      <c r="AM25" s="393"/>
      <c r="AN25" s="393"/>
      <c r="AO25" s="393"/>
      <c r="AP25" s="393"/>
      <c r="AQ25" s="393"/>
      <c r="AR25" s="393"/>
      <c r="AS25" s="393"/>
      <c r="AT25" s="393"/>
      <c r="AU25" s="393"/>
      <c r="AV25" s="44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 s="487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 s="384"/>
      <c r="CU25"/>
      <c r="CV25"/>
      <c r="CW25"/>
      <c r="CX25"/>
      <c r="CY25"/>
      <c r="CZ25"/>
      <c r="DA25"/>
      <c r="DB25"/>
      <c r="DC25"/>
      <c r="DD25"/>
      <c r="DE25"/>
      <c r="DG25" s="416"/>
      <c r="DH25" s="416"/>
      <c r="DI25" s="416"/>
      <c r="DJ25" s="416"/>
      <c r="DK25" s="416"/>
      <c r="DL25" s="416"/>
      <c r="DM25" s="416"/>
      <c r="DN25" s="416"/>
      <c r="DO25" s="416"/>
      <c r="DP25" s="416"/>
      <c r="DQ25" s="416"/>
      <c r="DR25" s="416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L25"/>
      <c r="EM25"/>
      <c r="EN25"/>
      <c r="EO25"/>
      <c r="EP25"/>
      <c r="EQ25"/>
      <c r="ER25" s="384"/>
      <c r="ES25"/>
      <c r="ET25"/>
      <c r="EU25"/>
      <c r="EV25"/>
      <c r="EW25"/>
      <c r="EX25"/>
      <c r="EY25"/>
      <c r="EZ25"/>
      <c r="FA25"/>
      <c r="FB25"/>
    </row>
    <row r="26" spans="2:158" x14ac:dyDescent="0.35">
      <c r="B26" s="398"/>
      <c r="C26" s="398"/>
      <c r="D26" s="395"/>
      <c r="E26" s="398" t="s">
        <v>9</v>
      </c>
      <c r="F26" s="387">
        <f>SUM(K26:N26)</f>
        <v>-7814619.71</v>
      </c>
      <c r="G26" s="387">
        <f>SUM(P26:S26)</f>
        <v>-10526450.210000001</v>
      </c>
      <c r="H26" s="387">
        <f>SUM(U26:X26)</f>
        <v>-10765425.086139148</v>
      </c>
      <c r="I26" s="387">
        <f t="shared" ref="I26:I29" si="46">SUM(Z26:AC26)</f>
        <v>-11705674.242793512</v>
      </c>
      <c r="J26" s="388"/>
      <c r="K26" s="385">
        <f>SUM(AJ26:AL26)</f>
        <v>-1601546.62</v>
      </c>
      <c r="L26" s="385">
        <f>SUM(AM26:AO26)</f>
        <v>-1835851.9700000002</v>
      </c>
      <c r="M26" s="385">
        <f>SUM(AP26:AR26)</f>
        <v>-2135067.5299999998</v>
      </c>
      <c r="N26" s="385">
        <f>SUM(AS26:AU26)</f>
        <v>-2242153.59</v>
      </c>
      <c r="O26" s="385"/>
      <c r="P26" s="385">
        <f>SUM(AV26:AX26)</f>
        <v>-2234767.7200000002</v>
      </c>
      <c r="Q26" s="385">
        <f>SUM(AY26:BA26)</f>
        <v>-2606385.2999999998</v>
      </c>
      <c r="R26" s="385">
        <f>SUM(BB26:BD26)</f>
        <v>-2888517.08</v>
      </c>
      <c r="S26" s="385">
        <f>SUM(BE26:BG26)</f>
        <v>-2796780.1100000003</v>
      </c>
      <c r="T26" s="393"/>
      <c r="U26" s="385">
        <f>SUM(BH26:BJ26)</f>
        <v>-2566593.37</v>
      </c>
      <c r="V26" s="385">
        <f>SUM(BK26:BM26)</f>
        <v>-2670701.7300000004</v>
      </c>
      <c r="W26" s="385">
        <f>SUM(BN26:BP26)</f>
        <v>-2797121.8434788482</v>
      </c>
      <c r="X26" s="385">
        <f>SUM(BQ26:BS26)</f>
        <v>-2731008.1426602993</v>
      </c>
      <c r="Y26" s="385"/>
      <c r="Z26" s="385">
        <f t="shared" ref="Z26:Z29" si="47">SUM(BT26:BV26)</f>
        <v>-2779859.560341591</v>
      </c>
      <c r="AA26" s="385">
        <f t="shared" ref="AA26:AA29" si="48">SUM(BW26:BY26)</f>
        <v>-2881176.9407040249</v>
      </c>
      <c r="AB26" s="385">
        <f t="shared" ref="AB26:AB29" si="49">SUM(BZ26:CB26)</f>
        <v>-2951614.6853990611</v>
      </c>
      <c r="AC26" s="385">
        <f t="shared" ref="AC26:AC29" si="50">SUM(CC26:CE26)</f>
        <v>-3093023.0563488351</v>
      </c>
      <c r="AD26" s="385"/>
      <c r="AE26" s="385">
        <f>SUM(CF26:CH26)</f>
        <v>-2951668.0425075665</v>
      </c>
      <c r="AF26" s="385">
        <f>SUM(CI26:CK26)</f>
        <v>-3010342.8864761852</v>
      </c>
      <c r="AG26" s="385">
        <f>SUM(CL26:CN26)</f>
        <v>-3153858.9733994035</v>
      </c>
      <c r="AH26" s="385">
        <f>SUM(CO26:CQ26)</f>
        <v>-3281520.3684485899</v>
      </c>
      <c r="AI26" s="393"/>
      <c r="AJ26" s="388">
        <v>-524908.44999999995</v>
      </c>
      <c r="AK26" s="388">
        <v>-515620.42000000004</v>
      </c>
      <c r="AL26" s="388">
        <v>-561017.75</v>
      </c>
      <c r="AM26" s="388">
        <v>-620663.93000000005</v>
      </c>
      <c r="AN26" s="388">
        <v>-581832.19000000006</v>
      </c>
      <c r="AO26" s="388">
        <v>-633355.85000000009</v>
      </c>
      <c r="AP26" s="388">
        <v>-664764.5</v>
      </c>
      <c r="AQ26" s="388">
        <v>-715779.82999999984</v>
      </c>
      <c r="AR26" s="388">
        <v>-754523.2</v>
      </c>
      <c r="AS26" s="388">
        <v>-766988.74</v>
      </c>
      <c r="AT26" s="388">
        <v>-762525.05999999994</v>
      </c>
      <c r="AU26" s="388">
        <v>-712639.79</v>
      </c>
      <c r="AV26" s="12">
        <v>-729745.52</v>
      </c>
      <c r="AW26" s="12">
        <v>-733012.16</v>
      </c>
      <c r="AX26" s="12">
        <v>-772010.04</v>
      </c>
      <c r="AY26" s="12">
        <v>-824616.2699999999</v>
      </c>
      <c r="AZ26" s="12">
        <f>'Financial statements'!DR28</f>
        <v>-874168.12000000011</v>
      </c>
      <c r="BA26" s="12">
        <f>'Financial statements'!DS28</f>
        <v>-907600.90999999992</v>
      </c>
      <c r="BB26" s="12">
        <f>'Financial statements'!DT28</f>
        <v>-966925.76</v>
      </c>
      <c r="BC26" s="12">
        <f>'Financial statements'!DU28</f>
        <v>-930898.62999999989</v>
      </c>
      <c r="BD26" s="12">
        <f>'Financial statements'!DV28</f>
        <v>-990692.69000000006</v>
      </c>
      <c r="BE26" s="12">
        <f>'Financial statements'!DW28</f>
        <v>-921226.82</v>
      </c>
      <c r="BF26" s="12">
        <f>'Financial statements'!DX28</f>
        <v>-995345.49</v>
      </c>
      <c r="BG26" s="12">
        <f>'Financial statements'!DY28</f>
        <v>-880207.8</v>
      </c>
      <c r="BH26" s="12">
        <f>'Financial statements'!DZ28</f>
        <v>-835565.95000000007</v>
      </c>
      <c r="BI26" s="12">
        <f>'Financial statements'!EA28</f>
        <v>-820490.2100000002</v>
      </c>
      <c r="BJ26" s="12">
        <f>'Financial statements'!EB28</f>
        <v>-910537.21</v>
      </c>
      <c r="BK26" s="12">
        <f>'Financial statements'!EC28</f>
        <v>-866271.65000000014</v>
      </c>
      <c r="BL26" s="12">
        <f>'Financial statements'!ED28</f>
        <v>-872040.55</v>
      </c>
      <c r="BM26" s="12">
        <f>'Financial statements'!EE28</f>
        <v>-932389.53</v>
      </c>
      <c r="BN26" s="12">
        <f>'Financial statements'!EF28</f>
        <v>-951566.57001449098</v>
      </c>
      <c r="BO26" s="12">
        <f>'Financial statements'!EG28</f>
        <v>-932515.63700502389</v>
      </c>
      <c r="BP26" s="12">
        <f>'Financial statements'!EH28</f>
        <v>-913039.63645933347</v>
      </c>
      <c r="BQ26" s="12">
        <f>'Financial statements'!EI28</f>
        <v>-917874.17485410324</v>
      </c>
      <c r="BR26" s="12">
        <f>'Financial statements'!EJ28</f>
        <v>-925203.66956184385</v>
      </c>
      <c r="BS26" s="12">
        <f>'Financial statements'!EK28</f>
        <v>-887930.29824435245</v>
      </c>
      <c r="BT26" s="511">
        <f>'Financial statements'!EL28</f>
        <v>-868870.45251503005</v>
      </c>
      <c r="BU26" s="12">
        <f>'Financial statements'!EM28</f>
        <v>-933826.76726864628</v>
      </c>
      <c r="BV26" s="12">
        <f>'Financial statements'!EN28</f>
        <v>-977162.34055791481</v>
      </c>
      <c r="BW26" s="12">
        <f>'Financial statements'!EO28</f>
        <v>-953722.03864613944</v>
      </c>
      <c r="BX26" s="12">
        <f>'Financial statements'!EP28</f>
        <v>-955237.37663711759</v>
      </c>
      <c r="BY26" s="12">
        <f>'Financial statements'!EQ28</f>
        <v>-972217.52542076784</v>
      </c>
      <c r="BZ26" s="12">
        <f>'Financial statements'!ER28</f>
        <v>-956293.68374513928</v>
      </c>
      <c r="CA26" s="12">
        <f>'Financial statements'!ES28</f>
        <v>-991122.6143949515</v>
      </c>
      <c r="CB26" s="12">
        <f>'Financial statements'!ET28</f>
        <v>-1004198.3872589702</v>
      </c>
      <c r="CC26" s="12">
        <f>'Financial statements'!EU28</f>
        <v>-1046159.6043229855</v>
      </c>
      <c r="CD26" s="12">
        <f>'Financial statements'!EV28</f>
        <v>-996988.26202584896</v>
      </c>
      <c r="CE26" s="12">
        <f>'Financial statements'!EW28</f>
        <v>-1049875.1900000004</v>
      </c>
      <c r="CF26" s="12">
        <f>'Financial statements'!EX28</f>
        <v>-971585.28736081009</v>
      </c>
      <c r="CG26" s="12">
        <f>'Financial statements'!EY28</f>
        <v>-1033717.5359091563</v>
      </c>
      <c r="CH26" s="12">
        <f>'Financial statements'!EZ28</f>
        <v>-946365.21923759975</v>
      </c>
      <c r="CI26" s="12">
        <f>'Financial statements'!FA28</f>
        <v>-1017629.0114301136</v>
      </c>
      <c r="CJ26" s="12">
        <f>'Financial statements'!FB28</f>
        <v>-983473.01808665053</v>
      </c>
      <c r="CK26" s="12">
        <f>'Financial statements'!FC28</f>
        <v>-1009240.8569594212</v>
      </c>
      <c r="CL26" s="12">
        <f>'Financial statements'!FD28</f>
        <v>-1001479.1040706312</v>
      </c>
      <c r="CM26" s="12">
        <f>'Financial statements'!FE28</f>
        <v>-1062049.1109788662</v>
      </c>
      <c r="CN26" s="12">
        <f>'Financial statements'!FF28</f>
        <v>-1090330.7583499064</v>
      </c>
      <c r="CO26" s="12">
        <f>'Financial statements'!FG28</f>
        <v>-1119669.7966213911</v>
      </c>
      <c r="CP26" s="12">
        <f>'Financial statements'!FH28</f>
        <v>-1042051.4031485625</v>
      </c>
      <c r="CQ26" s="12">
        <f>'Financial statements'!FI28</f>
        <v>-1119799.168678636</v>
      </c>
      <c r="CR26" s="12">
        <f>'Financial statements'!FJ28</f>
        <v>-1089792.3188307227</v>
      </c>
      <c r="CS26" s="741">
        <f>'Financial statements'!FK28</f>
        <v>-990090.01086978242</v>
      </c>
      <c r="CT26" s="12"/>
      <c r="CU26" s="12">
        <v>-752158.53658536577</v>
      </c>
      <c r="CV26" s="12">
        <v>-752158.53658536577</v>
      </c>
      <c r="CW26" s="12">
        <v>-752158.53658536577</v>
      </c>
      <c r="CX26" s="12">
        <v>-819768.29268292687</v>
      </c>
      <c r="CY26" s="12">
        <v>-819768.29268292687</v>
      </c>
      <c r="CZ26" s="12">
        <v>-819768.29268292687</v>
      </c>
      <c r="DA26" s="12">
        <v>-904280.48780487804</v>
      </c>
      <c r="DB26" s="12">
        <v>-904280.48780487804</v>
      </c>
      <c r="DC26" s="12">
        <v>-904280.48780487804</v>
      </c>
      <c r="DD26" s="12">
        <v>-988792.68292682932</v>
      </c>
      <c r="DE26" s="12">
        <v>-988792.68292682932</v>
      </c>
      <c r="DF26" s="388">
        <v>-988792.68292682932</v>
      </c>
      <c r="DG26" s="12">
        <v>-978125.01248828345</v>
      </c>
      <c r="DH26" s="388">
        <v>-978125.01248828345</v>
      </c>
      <c r="DI26" s="388">
        <v>-978125.01248828345</v>
      </c>
      <c r="DJ26" s="388">
        <v>-1017077.5381731263</v>
      </c>
      <c r="DK26" s="388">
        <v>-1017077.5381731263</v>
      </c>
      <c r="DL26" s="388">
        <v>-1017077.5381731263</v>
      </c>
      <c r="DM26" s="388">
        <v>-1081855.0087687578</v>
      </c>
      <c r="DN26" s="388">
        <v>-1081855.0087687578</v>
      </c>
      <c r="DO26" s="388">
        <v>-1081855.0087687578</v>
      </c>
      <c r="DP26" s="388">
        <v>-1293096.0706832563</v>
      </c>
      <c r="DQ26" s="388">
        <v>-1293096.0706832563</v>
      </c>
      <c r="DR26" s="388">
        <v>-1293096.0706832563</v>
      </c>
      <c r="DS26" s="12">
        <v>-920168.22773849999</v>
      </c>
      <c r="DT26" s="12">
        <v>-920168.22773849999</v>
      </c>
      <c r="DU26" s="12">
        <v>-920168.22773849999</v>
      </c>
      <c r="DV26" s="12">
        <v>-982296.21018997626</v>
      </c>
      <c r="DW26" s="12">
        <v>-982296.21018997626</v>
      </c>
      <c r="DX26" s="12">
        <v>-982296.21018997626</v>
      </c>
      <c r="DY26" s="12">
        <v>-1058172.5603971004</v>
      </c>
      <c r="DZ26" s="12">
        <v>-1058172.5603971004</v>
      </c>
      <c r="EA26" s="12">
        <v>-1058172.5603971004</v>
      </c>
      <c r="EB26" s="12">
        <v>-1101711.8514002101</v>
      </c>
      <c r="EC26" s="12">
        <v>-1101711.8514002101</v>
      </c>
      <c r="ED26" s="12">
        <v>-1101711.8514002101</v>
      </c>
      <c r="EE26" s="12">
        <f>'Financial plan'!EM24</f>
        <v>-918432.55862992734</v>
      </c>
      <c r="EF26" s="12">
        <f>'Financial plan'!EN24</f>
        <v>-918432.55862992734</v>
      </c>
      <c r="EG26" s="12">
        <f>'Financial plan'!EO24</f>
        <v>-918432.55862992734</v>
      </c>
      <c r="EH26" s="12">
        <f>'Financial plan'!EP24</f>
        <v>-942818.21213868388</v>
      </c>
      <c r="EI26" s="12">
        <f>'Financial plan'!EQ24</f>
        <v>-942818.21213868388</v>
      </c>
      <c r="EJ26" s="12">
        <f>'Financial plan'!ER24</f>
        <v>-942818.21213868388</v>
      </c>
      <c r="EK26" s="12">
        <f>'Financial plan'!ES24</f>
        <v>-971769.85390326695</v>
      </c>
      <c r="EL26" s="12">
        <f>'Financial plan'!ET24</f>
        <v>-971769.85390326695</v>
      </c>
      <c r="EM26" s="12">
        <f>'Financial plan'!EU24</f>
        <v>-971769.85390326695</v>
      </c>
      <c r="EN26" s="12">
        <f>'Financial plan'!EV24</f>
        <v>-1017976.2735598434</v>
      </c>
      <c r="EO26" s="12">
        <f>'Financial plan'!EW24</f>
        <v>-1017976.2735598434</v>
      </c>
      <c r="EP26" s="12">
        <v>-1017976.2735598434</v>
      </c>
      <c r="EQ26" s="12">
        <f>'Financial plan'!EY24</f>
        <v>-1103147.6307726328</v>
      </c>
      <c r="ER26" s="451">
        <f>'Financial plan'!EZ24</f>
        <v>-1103147.6307726328</v>
      </c>
      <c r="ES26" s="12">
        <f>'Financial plan'!FA24</f>
        <v>-1103147.6307726328</v>
      </c>
      <c r="ET26" s="12">
        <f>'Financial plan'!FB24</f>
        <v>-1172896.5177927234</v>
      </c>
      <c r="EU26" s="12">
        <f>'Financial plan'!FC24</f>
        <v>-1172896.5177927234</v>
      </c>
      <c r="EV26" s="12">
        <f>'Financial plan'!FD24</f>
        <v>-1172896.5177927234</v>
      </c>
      <c r="EW26" s="12">
        <f>'Financial plan'!FE24</f>
        <v>-1226662.7244098142</v>
      </c>
      <c r="EX26" s="12">
        <f>'Financial plan'!FF24</f>
        <v>-1226662.7244098142</v>
      </c>
      <c r="EY26" s="12">
        <f>'Financial plan'!FG24</f>
        <v>-1226662.7244098142</v>
      </c>
      <c r="EZ26" s="12">
        <f>'Financial plan'!FH24</f>
        <v>-1269884.1809065125</v>
      </c>
      <c r="FA26" s="12">
        <f>'Financial plan'!FI24</f>
        <v>-1269884.1809065125</v>
      </c>
      <c r="FB26" s="12">
        <f>'Financial plan'!FJ24</f>
        <v>-1269884.1809065125</v>
      </c>
    </row>
    <row r="27" spans="2:158" x14ac:dyDescent="0.35">
      <c r="B27" s="398"/>
      <c r="C27" s="398"/>
      <c r="D27" s="395"/>
      <c r="E27" s="398" t="s">
        <v>10</v>
      </c>
      <c r="F27" s="387">
        <f>SUM(K27:N27)</f>
        <v>-737560.97</v>
      </c>
      <c r="G27" s="387">
        <f>SUM(P27:S27)</f>
        <v>-965868.16</v>
      </c>
      <c r="H27" s="387">
        <f t="shared" ref="H27:H29" si="51">SUM(U27:X27)</f>
        <v>-667421.48867654987</v>
      </c>
      <c r="I27" s="387">
        <f t="shared" si="46"/>
        <v>-460103.70045202738</v>
      </c>
      <c r="J27" s="388"/>
      <c r="K27" s="385">
        <f t="shared" ref="K27:K35" si="52">SUM(AJ27:AL27)</f>
        <v>-139039.73000000001</v>
      </c>
      <c r="L27" s="385">
        <f t="shared" ref="L27:L35" si="53">SUM(AM27:AO27)</f>
        <v>-200771.65</v>
      </c>
      <c r="M27" s="385">
        <f t="shared" ref="M27:M35" si="54">SUM(AP27:AR27)</f>
        <v>-293893.88</v>
      </c>
      <c r="N27" s="385">
        <f t="shared" ref="N27:N35" si="55">SUM(AS27:AU27)</f>
        <v>-103855.70999999999</v>
      </c>
      <c r="O27" s="385"/>
      <c r="P27" s="385">
        <f t="shared" ref="P27:P35" si="56">SUM(AV27:AX27)</f>
        <v>-150349.66999999998</v>
      </c>
      <c r="Q27" s="385">
        <f t="shared" ref="Q27:Q35" si="57">SUM(AY27:BA27)</f>
        <v>-217636.47</v>
      </c>
      <c r="R27" s="385">
        <f t="shared" ref="R27:R35" si="58">SUM(BB27:BD27)</f>
        <v>-344147.34</v>
      </c>
      <c r="S27" s="385">
        <f t="shared" ref="S27:S35" si="59">SUM(BE27:BG27)</f>
        <v>-253734.68000000002</v>
      </c>
      <c r="T27" s="393"/>
      <c r="U27" s="385">
        <f t="shared" ref="U27:U29" si="60">SUM(BH27:BJ27)</f>
        <v>-139205.18</v>
      </c>
      <c r="V27" s="385">
        <f t="shared" ref="V27:V29" si="61">SUM(BK27:BM27)</f>
        <v>-145169.28</v>
      </c>
      <c r="W27" s="385">
        <f t="shared" ref="W27:W29" si="62">SUM(BN27:BP27)</f>
        <v>-142828.89418098523</v>
      </c>
      <c r="X27" s="385">
        <f t="shared" ref="X27:X29" si="63">SUM(BQ27:BS27)</f>
        <v>-240218.13449556474</v>
      </c>
      <c r="Y27" s="385"/>
      <c r="Z27" s="385">
        <f t="shared" si="47"/>
        <v>-146527.57208901204</v>
      </c>
      <c r="AA27" s="385">
        <f t="shared" si="48"/>
        <v>-157773.47351051978</v>
      </c>
      <c r="AB27" s="385">
        <f t="shared" si="49"/>
        <v>-74240.152284053183</v>
      </c>
      <c r="AC27" s="385">
        <f t="shared" si="50"/>
        <v>-81562.502568442404</v>
      </c>
      <c r="AD27" s="385"/>
      <c r="AE27" s="385">
        <f t="shared" ref="AE27:AE29" si="64">SUM(CF27:CH27)</f>
        <v>-132996.36061647933</v>
      </c>
      <c r="AF27" s="385">
        <f t="shared" ref="AF27:AF29" si="65">SUM(CI27:CK27)</f>
        <v>-171264.45329481419</v>
      </c>
      <c r="AG27" s="385">
        <f t="shared" ref="AG27:AG29" si="66">SUM(CL27:CN27)</f>
        <v>-379885.70725322876</v>
      </c>
      <c r="AH27" s="385">
        <f t="shared" ref="AH27:AH29" si="67">SUM(CO27:CQ27)</f>
        <v>-98315.360540987487</v>
      </c>
      <c r="AI27" s="393"/>
      <c r="AJ27" s="388">
        <v>-115573.83</v>
      </c>
      <c r="AK27" s="388">
        <v>-16697.800000000003</v>
      </c>
      <c r="AL27" s="388">
        <v>-6768.099999999994</v>
      </c>
      <c r="AM27" s="388">
        <v>-5932.5299999999979</v>
      </c>
      <c r="AN27" s="388">
        <v>-18117.309999999998</v>
      </c>
      <c r="AO27" s="388">
        <v>-176721.81</v>
      </c>
      <c r="AP27" s="388">
        <v>-174429.50999999998</v>
      </c>
      <c r="AQ27" s="388">
        <v>-97227.839999999997</v>
      </c>
      <c r="AR27" s="388">
        <v>-22236.530000000002</v>
      </c>
      <c r="AS27" s="388">
        <v>-12199.92</v>
      </c>
      <c r="AT27" s="388">
        <v>-12664.189999999999</v>
      </c>
      <c r="AU27" s="388">
        <v>-78991.599999999991</v>
      </c>
      <c r="AV27" s="12">
        <v>-17397.71</v>
      </c>
      <c r="AW27" s="12">
        <v>-7389.72</v>
      </c>
      <c r="AX27" s="12">
        <v>-125562.23999999999</v>
      </c>
      <c r="AY27" s="12">
        <v>-112882.03</v>
      </c>
      <c r="AZ27" s="12">
        <f>'Financial statements'!DR29</f>
        <v>-100742.79</v>
      </c>
      <c r="BA27" s="12">
        <f>'Financial statements'!DS29</f>
        <v>-4011.65</v>
      </c>
      <c r="BB27" s="12">
        <f>'Financial statements'!DT29</f>
        <v>-10912.92</v>
      </c>
      <c r="BC27" s="12">
        <f>'Financial statements'!DU29</f>
        <v>-97178.21</v>
      </c>
      <c r="BD27" s="12">
        <f>'Financial statements'!DV29</f>
        <v>-236056.21000000002</v>
      </c>
      <c r="BE27" s="12">
        <f>'Financial statements'!DW29</f>
        <v>-4928.3999999999996</v>
      </c>
      <c r="BF27" s="12">
        <f>'Financial statements'!DX29</f>
        <v>-31618</v>
      </c>
      <c r="BG27" s="12">
        <f>'Financial statements'!DY29</f>
        <v>-217188.28000000003</v>
      </c>
      <c r="BH27" s="12">
        <f>'Financial statements'!DZ29</f>
        <v>-10979.72</v>
      </c>
      <c r="BI27" s="12">
        <f>'Financial statements'!EA29</f>
        <v>-4689.6699999999983</v>
      </c>
      <c r="BJ27" s="12">
        <f>'Financial statements'!EB29</f>
        <v>-123535.79</v>
      </c>
      <c r="BK27" s="12">
        <f>'Financial statements'!EC29</f>
        <v>-25065.919999999998</v>
      </c>
      <c r="BL27" s="12">
        <f>'Financial statements'!ED29</f>
        <v>-27032.33</v>
      </c>
      <c r="BM27" s="12">
        <f>'Financial statements'!EE29</f>
        <v>-93071.03</v>
      </c>
      <c r="BN27" s="12">
        <f>'Financial statements'!EF29</f>
        <v>-88477.59</v>
      </c>
      <c r="BO27" s="12">
        <f>'Financial statements'!EG29</f>
        <v>-49957.24</v>
      </c>
      <c r="BP27" s="12">
        <f>'Financial statements'!EH29</f>
        <v>-4394.0641809852386</v>
      </c>
      <c r="BQ27" s="12">
        <f>'Financial statements'!EI29</f>
        <v>-91032.637876297915</v>
      </c>
      <c r="BR27" s="12">
        <f>'Financial statements'!EJ29</f>
        <v>-85760.566619266829</v>
      </c>
      <c r="BS27" s="12">
        <f>'Financial statements'!EK29</f>
        <v>-63424.929999999993</v>
      </c>
      <c r="BT27" s="511">
        <f>'Financial statements'!EL29</f>
        <v>-14483.481087938973</v>
      </c>
      <c r="BU27" s="12">
        <f>'Financial statements'!EM29</f>
        <v>-24607.353999223811</v>
      </c>
      <c r="BV27" s="12">
        <f>'Financial statements'!EN29</f>
        <v>-107436.73700184927</v>
      </c>
      <c r="BW27" s="12">
        <f>'Financial statements'!EO29</f>
        <v>-12181.082594197467</v>
      </c>
      <c r="BX27" s="12">
        <f>'Financial statements'!EP29</f>
        <v>-69511.799477291905</v>
      </c>
      <c r="BY27" s="12">
        <f>'Financial statements'!EQ29</f>
        <v>-76080.591439030395</v>
      </c>
      <c r="BZ27" s="12">
        <f>'Financial statements'!ER29</f>
        <v>-17161.354827322586</v>
      </c>
      <c r="CA27" s="12">
        <f>'Financial statements'!ES29</f>
        <v>-43489.927383134083</v>
      </c>
      <c r="CB27" s="12">
        <f>'Financial statements'!ET29</f>
        <v>-13588.870073596514</v>
      </c>
      <c r="CC27" s="12">
        <f>'Financial statements'!EU29</f>
        <v>-27665.773310263769</v>
      </c>
      <c r="CD27" s="12">
        <f>'Financial statements'!EV29</f>
        <v>-63313.309258178881</v>
      </c>
      <c r="CE27" s="12">
        <f>'Financial statements'!EW29</f>
        <v>9416.5800000002419</v>
      </c>
      <c r="CF27" s="12">
        <f>'Financial statements'!EX29</f>
        <v>-6713.7268723789448</v>
      </c>
      <c r="CG27" s="12">
        <f>'Financial statements'!EY29</f>
        <v>-120422.27848055593</v>
      </c>
      <c r="CH27" s="12">
        <f>'Financial statements'!EZ29</f>
        <v>-5860.3552635444439</v>
      </c>
      <c r="CI27" s="12">
        <f>'Financial statements'!FA29</f>
        <v>-34259.796271052168</v>
      </c>
      <c r="CJ27" s="12">
        <f>'Financial statements'!FB29</f>
        <v>-128471.98781857791</v>
      </c>
      <c r="CK27" s="12">
        <f>'Financial statements'!FC29</f>
        <v>-8532.6692051841328</v>
      </c>
      <c r="CL27" s="12">
        <f>'Financial statements'!FD29</f>
        <v>-121085.38629185871</v>
      </c>
      <c r="CM27" s="12">
        <f>'Financial statements'!FE29</f>
        <v>-93148.083865747263</v>
      </c>
      <c r="CN27" s="12">
        <f>'Financial statements'!FF29</f>
        <v>-165652.23709562275</v>
      </c>
      <c r="CO27" s="12">
        <f>'Financial statements'!FG29</f>
        <v>-12259.225539344332</v>
      </c>
      <c r="CP27" s="12">
        <f>'Financial statements'!FH29</f>
        <v>-4538.6400783083873</v>
      </c>
      <c r="CQ27" s="12">
        <f>'Financial statements'!FI29</f>
        <v>-81517.494923334772</v>
      </c>
      <c r="CR27" s="12">
        <f>'Financial statements'!FJ29</f>
        <v>-25934.499944048421</v>
      </c>
      <c r="CS27" s="741">
        <f>'Financial statements'!FK29</f>
        <v>-3985.4212925405945</v>
      </c>
      <c r="CT27" s="12"/>
      <c r="CU27" s="12">
        <v>-92083.333333333328</v>
      </c>
      <c r="CV27" s="12">
        <v>-92083.333333333328</v>
      </c>
      <c r="CW27" s="12">
        <v>-92083.333333333328</v>
      </c>
      <c r="CX27" s="12">
        <v>-97500</v>
      </c>
      <c r="CY27" s="12">
        <v>-97500</v>
      </c>
      <c r="CZ27" s="12">
        <v>-97500</v>
      </c>
      <c r="DA27" s="12">
        <v>-97500</v>
      </c>
      <c r="DB27" s="12">
        <v>-97500</v>
      </c>
      <c r="DC27" s="12">
        <v>-97500</v>
      </c>
      <c r="DD27" s="12">
        <v>-81250</v>
      </c>
      <c r="DE27" s="12">
        <v>-81250</v>
      </c>
      <c r="DF27" s="388">
        <v>-81250</v>
      </c>
      <c r="DG27" s="12">
        <v>-82687.5</v>
      </c>
      <c r="DH27" s="388">
        <v>-82687.5</v>
      </c>
      <c r="DI27" s="388">
        <v>-82687.5</v>
      </c>
      <c r="DJ27" s="388">
        <v>-82687.5</v>
      </c>
      <c r="DK27" s="388">
        <v>-82687.5</v>
      </c>
      <c r="DL27" s="388">
        <v>-82687.5</v>
      </c>
      <c r="DM27" s="388">
        <v>-82687.5</v>
      </c>
      <c r="DN27" s="388">
        <v>-82687.5</v>
      </c>
      <c r="DO27" s="388">
        <v>-82687.5</v>
      </c>
      <c r="DP27" s="388">
        <v>-82687.5</v>
      </c>
      <c r="DQ27" s="388">
        <v>-82687.5</v>
      </c>
      <c r="DR27" s="388">
        <v>-82687.5</v>
      </c>
      <c r="DS27" s="12">
        <v>-44714.583333333343</v>
      </c>
      <c r="DT27" s="12">
        <v>-44714.583333333343</v>
      </c>
      <c r="DU27" s="12">
        <v>-44714.583333333343</v>
      </c>
      <c r="DV27" s="12">
        <v>-101454.16666666669</v>
      </c>
      <c r="DW27" s="12">
        <v>-101454.16666666669</v>
      </c>
      <c r="DX27" s="12">
        <v>-101454.16666666669</v>
      </c>
      <c r="DY27" s="12">
        <v>-79922.916666666657</v>
      </c>
      <c r="DZ27" s="12">
        <v>-79922.916666666657</v>
      </c>
      <c r="EA27" s="12">
        <v>-79922.916666666657</v>
      </c>
      <c r="EB27" s="12">
        <v>-101454.16666666669</v>
      </c>
      <c r="EC27" s="12">
        <v>-101454.16666666669</v>
      </c>
      <c r="ED27" s="12">
        <v>-101454.16666666669</v>
      </c>
      <c r="EE27" s="12">
        <f>'Financial plan'!EM25</f>
        <v>-40000</v>
      </c>
      <c r="EF27" s="12">
        <f>'Financial plan'!EN25</f>
        <v>-40000</v>
      </c>
      <c r="EG27" s="12">
        <f>'Financial plan'!EO25</f>
        <v>-40000</v>
      </c>
      <c r="EH27" s="12">
        <f>'Financial plan'!EP25</f>
        <v>-40000</v>
      </c>
      <c r="EI27" s="12">
        <f>'Financial plan'!EQ25</f>
        <v>-40000</v>
      </c>
      <c r="EJ27" s="12">
        <f>'Financial plan'!ER25</f>
        <v>-40000</v>
      </c>
      <c r="EK27" s="12">
        <f>'Financial plan'!ES25</f>
        <v>-40000</v>
      </c>
      <c r="EL27" s="12">
        <f>'Financial plan'!ET25</f>
        <v>-40000</v>
      </c>
      <c r="EM27" s="12">
        <f>'Financial plan'!EU25</f>
        <v>-40000</v>
      </c>
      <c r="EN27" s="12">
        <f>'Financial plan'!EV25</f>
        <v>-40000</v>
      </c>
      <c r="EO27" s="12">
        <f>'Financial plan'!EW25</f>
        <v>-40000</v>
      </c>
      <c r="EP27" s="12">
        <v>-40000</v>
      </c>
      <c r="EQ27" s="12">
        <f>'Financial plan'!EY25</f>
        <v>-67751.262626262629</v>
      </c>
      <c r="ER27" s="451">
        <f>'Financial plan'!EZ25</f>
        <v>-67751.262626262629</v>
      </c>
      <c r="ES27" s="12">
        <f>'Financial plan'!FA25</f>
        <v>-67751.262626262629</v>
      </c>
      <c r="ET27" s="12">
        <f>'Financial plan'!FB25</f>
        <v>-86690.656565656551</v>
      </c>
      <c r="EU27" s="12">
        <f>'Financial plan'!FC25</f>
        <v>-86690.656565656551</v>
      </c>
      <c r="EV27" s="12">
        <f>'Financial plan'!FD25</f>
        <v>-86690.656565656551</v>
      </c>
      <c r="EW27" s="12">
        <f>'Financial plan'!FE25</f>
        <v>-105630.0505050505</v>
      </c>
      <c r="EX27" s="12">
        <f>'Financial plan'!FF25</f>
        <v>-105630.0505050505</v>
      </c>
      <c r="EY27" s="12">
        <f>'Financial plan'!FG25</f>
        <v>-105630.0505050505</v>
      </c>
      <c r="EZ27" s="12">
        <f>'Financial plan'!FH25</f>
        <v>-124569.44444444444</v>
      </c>
      <c r="FA27" s="12">
        <f>'Financial plan'!FI25</f>
        <v>-124569.44444444444</v>
      </c>
      <c r="FB27" s="12">
        <f>'Financial plan'!FJ25</f>
        <v>-124569.44444444444</v>
      </c>
    </row>
    <row r="28" spans="2:158" x14ac:dyDescent="0.35">
      <c r="B28" s="398"/>
      <c r="C28" s="398"/>
      <c r="D28" s="395"/>
      <c r="E28" s="398" t="s">
        <v>11</v>
      </c>
      <c r="F28" s="387">
        <f>SUM(K28:N28)</f>
        <v>-11050.369999999995</v>
      </c>
      <c r="G28" s="387">
        <f>SUM(P28:S28)</f>
        <v>-8244.93</v>
      </c>
      <c r="H28" s="387">
        <f t="shared" si="51"/>
        <v>-58251.020949383746</v>
      </c>
      <c r="I28" s="387">
        <f t="shared" si="46"/>
        <v>-64937.009448008495</v>
      </c>
      <c r="J28" s="388"/>
      <c r="K28" s="385">
        <f t="shared" si="52"/>
        <v>0</v>
      </c>
      <c r="L28" s="385">
        <f t="shared" si="53"/>
        <v>-5225</v>
      </c>
      <c r="M28" s="385">
        <f t="shared" si="54"/>
        <v>0</v>
      </c>
      <c r="N28" s="385">
        <f t="shared" si="55"/>
        <v>-5825.3699999999953</v>
      </c>
      <c r="O28" s="385"/>
      <c r="P28" s="385">
        <f t="shared" si="56"/>
        <v>-975.12</v>
      </c>
      <c r="Q28" s="385">
        <f t="shared" si="57"/>
        <v>-3667.29</v>
      </c>
      <c r="R28" s="385">
        <f t="shared" si="58"/>
        <v>-2702.52</v>
      </c>
      <c r="S28" s="385">
        <f t="shared" si="59"/>
        <v>-900</v>
      </c>
      <c r="T28" s="393"/>
      <c r="U28" s="385">
        <f t="shared" si="60"/>
        <v>0</v>
      </c>
      <c r="V28" s="385">
        <f t="shared" si="61"/>
        <v>0</v>
      </c>
      <c r="W28" s="385">
        <f t="shared" si="62"/>
        <v>-10450</v>
      </c>
      <c r="X28" s="385">
        <f t="shared" si="63"/>
        <v>-47801.020949383746</v>
      </c>
      <c r="Y28" s="385"/>
      <c r="Z28" s="385">
        <f t="shared" si="47"/>
        <v>-39985.454043860416</v>
      </c>
      <c r="AA28" s="385">
        <f t="shared" si="48"/>
        <v>-17632.957278437178</v>
      </c>
      <c r="AB28" s="385">
        <f t="shared" si="49"/>
        <v>-7325.6443097304837</v>
      </c>
      <c r="AC28" s="385">
        <f t="shared" si="50"/>
        <v>7.0461840195789591</v>
      </c>
      <c r="AD28" s="385"/>
      <c r="AE28" s="385">
        <f t="shared" si="64"/>
        <v>0</v>
      </c>
      <c r="AF28" s="385">
        <f t="shared" si="65"/>
        <v>0</v>
      </c>
      <c r="AG28" s="385">
        <f t="shared" si="66"/>
        <v>-17798.066160657756</v>
      </c>
      <c r="AH28" s="385">
        <f t="shared" si="67"/>
        <v>0</v>
      </c>
      <c r="AI28" s="393"/>
      <c r="AJ28" s="388">
        <v>0</v>
      </c>
      <c r="AK28" s="388">
        <v>0</v>
      </c>
      <c r="AL28" s="388">
        <v>0</v>
      </c>
      <c r="AM28" s="388">
        <v>0</v>
      </c>
      <c r="AN28" s="388">
        <v>0</v>
      </c>
      <c r="AO28" s="388">
        <v>-5225</v>
      </c>
      <c r="AP28" s="388">
        <v>0</v>
      </c>
      <c r="AQ28" s="388">
        <v>0</v>
      </c>
      <c r="AR28" s="388">
        <v>0</v>
      </c>
      <c r="AS28" s="388">
        <v>-4700.3699999999953</v>
      </c>
      <c r="AT28" s="388">
        <v>-1125</v>
      </c>
      <c r="AU28" s="388">
        <v>0</v>
      </c>
      <c r="AV28" s="44"/>
      <c r="AW28" s="12">
        <v>-975.12</v>
      </c>
      <c r="AX28" s="12">
        <v>0</v>
      </c>
      <c r="AY28" s="12">
        <v>-990.84</v>
      </c>
      <c r="AZ28" s="12">
        <f>'Financial statements'!DR30</f>
        <v>141.06</v>
      </c>
      <c r="BA28" s="12">
        <f>'Financial statements'!DS30</f>
        <v>-2817.51</v>
      </c>
      <c r="BB28" s="12">
        <f>'Financial statements'!DT30</f>
        <v>-2642.52</v>
      </c>
      <c r="BC28" s="12">
        <f>'Financial statements'!DU30</f>
        <v>-60</v>
      </c>
      <c r="BD28" s="12">
        <f>'Financial statements'!DV30</f>
        <v>0</v>
      </c>
      <c r="BE28" s="12">
        <f>'Financial statements'!DW30</f>
        <v>0</v>
      </c>
      <c r="BF28" s="12">
        <f>'Financial statements'!DX30</f>
        <v>-900</v>
      </c>
      <c r="BG28" s="12">
        <f>'Financial statements'!DY30</f>
        <v>0</v>
      </c>
      <c r="BH28" s="12">
        <f>'Financial statements'!DZ30</f>
        <v>0</v>
      </c>
      <c r="BI28" s="12">
        <f>'Financial statements'!EA30</f>
        <v>0</v>
      </c>
      <c r="BJ28" s="12">
        <f>'Financial statements'!EB30</f>
        <v>0</v>
      </c>
      <c r="BK28" s="12">
        <f>'Financial statements'!EC30</f>
        <v>0</v>
      </c>
      <c r="BL28" s="12">
        <f>'Financial statements'!ED30</f>
        <v>0</v>
      </c>
      <c r="BM28" s="12">
        <f>'Financial statements'!EE30</f>
        <v>0</v>
      </c>
      <c r="BN28" s="12">
        <f>'Financial statements'!EF30</f>
        <v>0</v>
      </c>
      <c r="BO28" s="12">
        <f>'Financial statements'!EG30</f>
        <v>-5500</v>
      </c>
      <c r="BP28" s="12">
        <f>'Financial statements'!EH30</f>
        <v>-4950</v>
      </c>
      <c r="BQ28" s="12">
        <f>'Financial statements'!EI30</f>
        <v>-16386.376906308607</v>
      </c>
      <c r="BR28" s="12">
        <f>'Financial statements'!EJ30</f>
        <v>-14538.887669976122</v>
      </c>
      <c r="BS28" s="12">
        <f>'Financial statements'!EK30</f>
        <v>-16875.756373099015</v>
      </c>
      <c r="BT28" s="511">
        <f>'Financial statements'!EL30</f>
        <v>-11149.827649613735</v>
      </c>
      <c r="BU28" s="12">
        <f>'Financial statements'!EM30</f>
        <v>-14500.00987659848</v>
      </c>
      <c r="BV28" s="12">
        <f>'Financial statements'!EN30</f>
        <v>-14335.616517648201</v>
      </c>
      <c r="BW28" s="12">
        <f>'Financial statements'!EO30</f>
        <v>-12822.040762217901</v>
      </c>
      <c r="BX28" s="12">
        <f>'Financial statements'!EP30</f>
        <v>-2411.7148350012762</v>
      </c>
      <c r="BY28" s="12">
        <f>'Financial statements'!EQ30</f>
        <v>-2399.2016812180004</v>
      </c>
      <c r="BZ28" s="12">
        <f>'Financial statements'!ER30</f>
        <v>-2513.3754892699617</v>
      </c>
      <c r="CA28" s="12">
        <f>'Financial statements'!ES30</f>
        <v>-2402.8138230380287</v>
      </c>
      <c r="CB28" s="12">
        <f>'Financial statements'!ET30</f>
        <v>-2409.4549974224938</v>
      </c>
      <c r="CC28" s="12">
        <f>'Financial statements'!EU30</f>
        <v>-2446.0039033390663</v>
      </c>
      <c r="CD28" s="12">
        <f>'Financial statements'!EV30</f>
        <v>2453.0500873586452</v>
      </c>
      <c r="CE28" s="12">
        <f>'Financial statements'!EW30</f>
        <v>0</v>
      </c>
      <c r="CF28" s="12">
        <f>'Financial statements'!EX30</f>
        <v>0</v>
      </c>
      <c r="CG28" s="12">
        <f>'Financial statements'!EY30</f>
        <v>0</v>
      </c>
      <c r="CH28" s="12">
        <f>'Financial statements'!EZ30</f>
        <v>0</v>
      </c>
      <c r="CI28" s="12">
        <f>'Financial statements'!FA30</f>
        <v>0</v>
      </c>
      <c r="CJ28" s="12"/>
      <c r="CK28" s="12"/>
      <c r="CL28" s="12"/>
      <c r="CM28" s="12"/>
      <c r="CN28" s="12">
        <f>'Financial statements'!FF30</f>
        <v>-17798.066160657756</v>
      </c>
      <c r="CO28" s="12">
        <f>'Financial statements'!FG30</f>
        <v>0</v>
      </c>
      <c r="CP28" s="12">
        <f>'Financial statements'!FH30</f>
        <v>0</v>
      </c>
      <c r="CQ28" s="12">
        <f>'Financial statements'!FI30</f>
        <v>0</v>
      </c>
      <c r="CR28" s="12">
        <f>'Financial statements'!FJ30</f>
        <v>-3710.37</v>
      </c>
      <c r="CS28" s="741">
        <f>'Financial statements'!FK30</f>
        <v>0</v>
      </c>
      <c r="CT28" s="12"/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388">
        <v>0</v>
      </c>
      <c r="DG28" s="12">
        <v>0</v>
      </c>
      <c r="DH28" s="388">
        <v>0</v>
      </c>
      <c r="DI28" s="388">
        <v>0</v>
      </c>
      <c r="DJ28" s="388">
        <v>0</v>
      </c>
      <c r="DK28" s="388">
        <v>0</v>
      </c>
      <c r="DL28" s="388">
        <v>0</v>
      </c>
      <c r="DM28" s="388">
        <v>-10228.864583333328</v>
      </c>
      <c r="DN28" s="388">
        <v>-10228.864583333328</v>
      </c>
      <c r="DO28" s="388">
        <v>-10228.864583333328</v>
      </c>
      <c r="DP28" s="388">
        <v>-10228.864583333328</v>
      </c>
      <c r="DQ28" s="388">
        <v>-10228.864583333328</v>
      </c>
      <c r="DR28" s="388">
        <v>-10228.864583333328</v>
      </c>
      <c r="DS28" s="207">
        <f>'Financial plan'!EA26</f>
        <v>0</v>
      </c>
      <c r="DT28" s="207">
        <f>'Financial plan'!EB26</f>
        <v>0</v>
      </c>
      <c r="DU28" s="207">
        <f>'Financial plan'!EC26</f>
        <v>0</v>
      </c>
      <c r="DV28" s="207">
        <f>'Financial plan'!ED26</f>
        <v>0</v>
      </c>
      <c r="DW28" s="207">
        <f>'Financial plan'!EE26</f>
        <v>0</v>
      </c>
      <c r="DX28" s="207">
        <f>'Financial plan'!EF26</f>
        <v>0</v>
      </c>
      <c r="DY28" s="207">
        <f>'Financial plan'!EG26</f>
        <v>0</v>
      </c>
      <c r="DZ28" s="207">
        <f>'Financial plan'!EH26</f>
        <v>0</v>
      </c>
      <c r="EA28" s="207">
        <f>'Financial plan'!EI26</f>
        <v>0</v>
      </c>
      <c r="EB28" s="207">
        <f>'Financial plan'!EJ26</f>
        <v>0</v>
      </c>
      <c r="EC28" s="207">
        <f>'Financial plan'!EK26</f>
        <v>0</v>
      </c>
      <c r="ED28" s="207">
        <f>'Financial plan'!EL26</f>
        <v>0</v>
      </c>
      <c r="EE28" s="12"/>
      <c r="EF28" s="12"/>
      <c r="EG28" s="12"/>
      <c r="EH28" s="12"/>
      <c r="EI28" s="12"/>
      <c r="EJ28" s="12"/>
      <c r="EK28" s="12"/>
      <c r="EL28" s="12"/>
      <c r="EM28" s="12"/>
      <c r="EN28" s="12"/>
      <c r="EO28" s="12"/>
      <c r="EP28" s="12"/>
      <c r="EQ28" s="12"/>
      <c r="ER28" s="451"/>
      <c r="ES28" s="12"/>
      <c r="ET28" s="12"/>
      <c r="EU28" s="12"/>
      <c r="EV28" s="12"/>
      <c r="EW28" s="12"/>
      <c r="EX28" s="12"/>
      <c r="EY28" s="12"/>
      <c r="EZ28" s="12"/>
      <c r="FA28" s="12"/>
      <c r="FB28" s="12"/>
    </row>
    <row r="29" spans="2:158" x14ac:dyDescent="0.35">
      <c r="B29" s="398"/>
      <c r="C29" s="398"/>
      <c r="D29" s="395"/>
      <c r="E29" s="398" t="s">
        <v>217</v>
      </c>
      <c r="F29" s="387">
        <f>SUM(K29:N29)</f>
        <v>-302408.43909737753</v>
      </c>
      <c r="G29" s="387">
        <f>SUM(P29:S29)</f>
        <v>-369651.4606399241</v>
      </c>
      <c r="H29" s="387">
        <f t="shared" si="51"/>
        <v>-484721.40805958211</v>
      </c>
      <c r="I29" s="387">
        <f t="shared" si="46"/>
        <v>-581590.54971736821</v>
      </c>
      <c r="J29" s="388"/>
      <c r="K29" s="385">
        <f t="shared" si="52"/>
        <v>-73496.193731541076</v>
      </c>
      <c r="L29" s="385">
        <f t="shared" si="53"/>
        <v>-68133.290487150982</v>
      </c>
      <c r="M29" s="385">
        <f t="shared" si="54"/>
        <v>-66713.092901050681</v>
      </c>
      <c r="N29" s="385">
        <f t="shared" si="55"/>
        <v>-94065.861977634791</v>
      </c>
      <c r="O29" s="385"/>
      <c r="P29" s="385">
        <f t="shared" si="56"/>
        <v>-84184.437787959003</v>
      </c>
      <c r="Q29" s="385">
        <f t="shared" si="57"/>
        <v>-96181.977714739711</v>
      </c>
      <c r="R29" s="385">
        <f t="shared" si="58"/>
        <v>-95925.728013389875</v>
      </c>
      <c r="S29" s="385">
        <f t="shared" si="59"/>
        <v>-93359.317123835499</v>
      </c>
      <c r="T29" s="393"/>
      <c r="U29" s="385">
        <f t="shared" si="60"/>
        <v>-96687.3123532631</v>
      </c>
      <c r="V29" s="385">
        <f t="shared" si="61"/>
        <v>-124051.94643976275</v>
      </c>
      <c r="W29" s="385">
        <f t="shared" si="62"/>
        <v>-132609.90795598028</v>
      </c>
      <c r="X29" s="385">
        <f t="shared" si="63"/>
        <v>-131372.24131057595</v>
      </c>
      <c r="Y29" s="385"/>
      <c r="Z29" s="385">
        <f t="shared" si="47"/>
        <v>-150630.50712724298</v>
      </c>
      <c r="AA29" s="385">
        <f t="shared" si="48"/>
        <v>-152952.79163176665</v>
      </c>
      <c r="AB29" s="385">
        <f t="shared" si="49"/>
        <v>-151885.91540059456</v>
      </c>
      <c r="AC29" s="385">
        <f t="shared" si="50"/>
        <v>-126121.33555776409</v>
      </c>
      <c r="AD29" s="385"/>
      <c r="AE29" s="385">
        <f t="shared" si="64"/>
        <v>-143588.64934960377</v>
      </c>
      <c r="AF29" s="385">
        <f t="shared" si="65"/>
        <v>-139089.91148936952</v>
      </c>
      <c r="AG29" s="385">
        <f t="shared" si="66"/>
        <v>-145717.1044192171</v>
      </c>
      <c r="AH29" s="385">
        <f t="shared" si="67"/>
        <v>-159760.12611682981</v>
      </c>
      <c r="AI29" s="393"/>
      <c r="AJ29" s="388">
        <v>-24900.918051106466</v>
      </c>
      <c r="AK29" s="388">
        <v>-24218.391661655827</v>
      </c>
      <c r="AL29" s="388">
        <v>-24376.884018778794</v>
      </c>
      <c r="AM29" s="388">
        <v>-24059.386536572245</v>
      </c>
      <c r="AN29" s="388">
        <v>-21670.342823872474</v>
      </c>
      <c r="AO29" s="388">
        <v>-22403.561126706263</v>
      </c>
      <c r="AP29" s="388">
        <v>-22217.300095949016</v>
      </c>
      <c r="AQ29" s="388">
        <v>-22342.236882617406</v>
      </c>
      <c r="AR29" s="388">
        <v>-22153.555922484262</v>
      </c>
      <c r="AS29" s="388">
        <v>-31892.832341808768</v>
      </c>
      <c r="AT29" s="388">
        <v>-31221.91913170509</v>
      </c>
      <c r="AU29" s="388">
        <v>-30951.110504120938</v>
      </c>
      <c r="AV29" s="12">
        <v>-23996.0350233715</v>
      </c>
      <c r="AW29" s="12">
        <v>-29895.833799801901</v>
      </c>
      <c r="AX29" s="12">
        <f>-30292.5689647856</f>
        <v>-30292.568964785602</v>
      </c>
      <c r="AY29" s="12">
        <v>-29026.705582686049</v>
      </c>
      <c r="AZ29" s="12">
        <v>-33649.076451630295</v>
      </c>
      <c r="BA29" s="12">
        <v>-33506.195680423356</v>
      </c>
      <c r="BB29" s="12">
        <v>-33471.993855094777</v>
      </c>
      <c r="BC29" s="12">
        <v>-30947.811403336</v>
      </c>
      <c r="BD29" s="12">
        <v>-31505.922754959101</v>
      </c>
      <c r="BE29" s="12">
        <v>-32291.844719200199</v>
      </c>
      <c r="BF29" s="12">
        <v>-29019.169676633999</v>
      </c>
      <c r="BG29" s="12">
        <v>-32048.302728001301</v>
      </c>
      <c r="BH29" s="12">
        <v>-31712.087398478299</v>
      </c>
      <c r="BI29" s="12">
        <v>-32414.361387319699</v>
      </c>
      <c r="BJ29" s="12">
        <v>-32560.863567465101</v>
      </c>
      <c r="BK29" s="12">
        <v>-42524.665141918202</v>
      </c>
      <c r="BL29" s="12">
        <v>-42279.096313103801</v>
      </c>
      <c r="BM29" s="12">
        <v>-39248.18498474075</v>
      </c>
      <c r="BN29" s="12">
        <v>-42466.819602340991</v>
      </c>
      <c r="BO29" s="511">
        <v>-45126.806100403934</v>
      </c>
      <c r="BP29" s="511">
        <v>-45016.282253235331</v>
      </c>
      <c r="BQ29" s="511">
        <v>-45758.875895255813</v>
      </c>
      <c r="BR29" s="511">
        <v>-43421.053547566175</v>
      </c>
      <c r="BS29" s="511">
        <v>-42192.311867753968</v>
      </c>
      <c r="BT29" s="511">
        <v>-49206.299512020531</v>
      </c>
      <c r="BU29" s="511">
        <v>-50540.178880179825</v>
      </c>
      <c r="BV29" s="511">
        <f>BV35</f>
        <v>-50884.028735042615</v>
      </c>
      <c r="BW29" s="511">
        <v>-51312.92038009625</v>
      </c>
      <c r="BX29" s="511">
        <v>-50940.08357902406</v>
      </c>
      <c r="BY29" s="511">
        <v>-50699.787672646351</v>
      </c>
      <c r="BZ29" s="511">
        <v>-51531.677721349719</v>
      </c>
      <c r="CA29" s="511">
        <f>CA35</f>
        <v>-50623.733874540005</v>
      </c>
      <c r="CB29" s="511">
        <v>-49730.503804704837</v>
      </c>
      <c r="CC29" s="511">
        <v>-48585.888194820553</v>
      </c>
      <c r="CD29" s="511">
        <v>-42820.642407787935</v>
      </c>
      <c r="CE29" s="511">
        <v>-34714.804955155603</v>
      </c>
      <c r="CF29" s="511">
        <v>-47305.099083143672</v>
      </c>
      <c r="CG29" s="511">
        <v>-48129.321693856764</v>
      </c>
      <c r="CH29" s="511">
        <v>-48154.228572603344</v>
      </c>
      <c r="CI29" s="511">
        <v>-47819.166112401668</v>
      </c>
      <c r="CJ29" s="511">
        <v>-47187.512516991752</v>
      </c>
      <c r="CK29" s="511">
        <v>-44083.23285997608</v>
      </c>
      <c r="CL29" s="511">
        <v>-46760.38027009018</v>
      </c>
      <c r="CM29" s="511">
        <v>-49246.062967514365</v>
      </c>
      <c r="CN29" s="511">
        <v>-49710.661181612551</v>
      </c>
      <c r="CO29" s="511">
        <v>-50395.295246589158</v>
      </c>
      <c r="CP29" s="511">
        <v>-54589.186461689533</v>
      </c>
      <c r="CQ29" s="511">
        <v>-54775.644408551103</v>
      </c>
      <c r="CR29" s="511">
        <v>-44658.994592028255</v>
      </c>
      <c r="CS29" s="743">
        <v>-43554.857822496968</v>
      </c>
      <c r="CT29" s="511"/>
      <c r="CU29" s="511">
        <v>-36663.516447401802</v>
      </c>
      <c r="CV29" s="511">
        <v>-36799.021725385814</v>
      </c>
      <c r="CW29" s="511">
        <v>-35048.04487322316</v>
      </c>
      <c r="CX29" s="511">
        <v>-37754.184078720486</v>
      </c>
      <c r="CY29" s="511">
        <v>-37174.001533249197</v>
      </c>
      <c r="CZ29" s="511">
        <v>-36670.566518744155</v>
      </c>
      <c r="DA29" s="511">
        <v>-37284.27418738338</v>
      </c>
      <c r="DB29" s="511">
        <v>-37224.709190691305</v>
      </c>
      <c r="DC29" s="511">
        <v>-36722.520872110093</v>
      </c>
      <c r="DD29" s="511">
        <v>-37371.498064368301</v>
      </c>
      <c r="DE29" s="511">
        <v>-37311.755542021063</v>
      </c>
      <c r="DF29" s="388">
        <v>-36558.517494042215</v>
      </c>
      <c r="DG29" s="12">
        <v>-33139.452943715492</v>
      </c>
      <c r="DH29" s="388">
        <v>-33140.063515512607</v>
      </c>
      <c r="DI29" s="388">
        <v>-33140.06857173585</v>
      </c>
      <c r="DJ29" s="388">
        <v>-33141.636787704228</v>
      </c>
      <c r="DK29" s="388">
        <v>-33141.641843927464</v>
      </c>
      <c r="DL29" s="388">
        <v>-33141.646900150707</v>
      </c>
      <c r="DM29" s="388">
        <v>-33376.125918144295</v>
      </c>
      <c r="DN29" s="388">
        <v>-33376.13097436753</v>
      </c>
      <c r="DO29" s="388">
        <v>-33141.662068820435</v>
      </c>
      <c r="DP29" s="388">
        <v>-33141.66712504367</v>
      </c>
      <c r="DQ29" s="388">
        <v>-33141.672181266913</v>
      </c>
      <c r="DR29" s="388">
        <v>-33141.677237490156</v>
      </c>
      <c r="DS29" s="12">
        <v>-51263.506546930221</v>
      </c>
      <c r="DT29" s="12">
        <v>-51263.506546930221</v>
      </c>
      <c r="DU29" s="12">
        <v>-51252.209597735207</v>
      </c>
      <c r="DV29" s="12">
        <v>-51252.209597735207</v>
      </c>
      <c r="DW29" s="12">
        <v>-51252.209597735207</v>
      </c>
      <c r="DX29" s="12">
        <v>-51252.209597735207</v>
      </c>
      <c r="DY29" s="12">
        <v>-51252.209597735207</v>
      </c>
      <c r="DZ29" s="12">
        <v>-51252.209597735207</v>
      </c>
      <c r="EA29" s="12">
        <v>-51252.209597735207</v>
      </c>
      <c r="EB29" s="12">
        <v>-51252.209597735207</v>
      </c>
      <c r="EC29" s="12">
        <v>-51252.209597735207</v>
      </c>
      <c r="ED29" s="12">
        <v>-51252.209597735207</v>
      </c>
      <c r="EE29" s="12">
        <v>-49404.265235368475</v>
      </c>
      <c r="EF29" s="12">
        <v>-49404.265235368475</v>
      </c>
      <c r="EG29" s="12">
        <v>-49404.265235368475</v>
      </c>
      <c r="EH29" s="12">
        <v>-49404.265235368475</v>
      </c>
      <c r="EI29" s="12">
        <v>-49404.265235368475</v>
      </c>
      <c r="EJ29" s="12">
        <v>-49404.265235368475</v>
      </c>
      <c r="EK29" s="12">
        <v>-49404.265235368475</v>
      </c>
      <c r="EL29" s="12">
        <v>-49404.265235368475</v>
      </c>
      <c r="EM29" s="12">
        <v>-49404.265235368475</v>
      </c>
      <c r="EN29" s="12">
        <v>-49404.265235368475</v>
      </c>
      <c r="EO29" s="12">
        <v>-49404.265235368475</v>
      </c>
      <c r="EP29" s="12">
        <v>-49404.265235368475</v>
      </c>
      <c r="EQ29" s="12">
        <v>-43696.136162274779</v>
      </c>
      <c r="ER29" s="451">
        <v>-43184.628812661307</v>
      </c>
      <c r="ES29" s="12">
        <v>-40651.050331670733</v>
      </c>
      <c r="ET29" s="12">
        <v>-43276.036354159973</v>
      </c>
      <c r="EU29" s="12">
        <v>-43276.036354159973</v>
      </c>
      <c r="EV29" s="12">
        <v>-43276.036354159973</v>
      </c>
      <c r="EW29" s="12">
        <v>-43112.869973457033</v>
      </c>
      <c r="EX29" s="12">
        <v>-43112.869973457033</v>
      </c>
      <c r="EY29" s="12">
        <v>-43112.869973457033</v>
      </c>
      <c r="EZ29" s="12">
        <v>-42170.203368708288</v>
      </c>
      <c r="FA29" s="12">
        <v>-42170.203368708288</v>
      </c>
      <c r="FB29" s="12">
        <v>-42170.203368708288</v>
      </c>
    </row>
    <row r="30" spans="2:158" x14ac:dyDescent="0.35">
      <c r="B30" s="398"/>
      <c r="C30" s="398"/>
      <c r="D30" s="395"/>
      <c r="E30" s="398"/>
      <c r="F30" s="387"/>
      <c r="G30" s="387"/>
      <c r="H30" s="387"/>
      <c r="I30" s="388"/>
      <c r="J30" s="388"/>
      <c r="K30" s="385"/>
      <c r="L30" s="385"/>
      <c r="M30" s="385"/>
      <c r="N30" s="385"/>
      <c r="O30" s="385"/>
      <c r="P30" s="385"/>
      <c r="Q30" s="385"/>
      <c r="R30" s="385"/>
      <c r="S30" s="385"/>
      <c r="T30" s="393"/>
      <c r="U30" s="385"/>
      <c r="V30" s="385"/>
      <c r="W30" s="385"/>
      <c r="X30" s="385"/>
      <c r="Y30" s="385"/>
      <c r="Z30" s="385"/>
      <c r="AA30" s="385"/>
      <c r="AB30" s="385"/>
      <c r="AC30" s="385"/>
      <c r="AD30" s="385"/>
      <c r="AE30" s="385"/>
      <c r="AF30" s="385"/>
      <c r="AG30" s="385"/>
      <c r="AH30" s="385"/>
      <c r="AI30" s="393"/>
      <c r="AJ30" s="388"/>
      <c r="AK30" s="388"/>
      <c r="AL30" s="388"/>
      <c r="AM30" s="388"/>
      <c r="AN30" s="388"/>
      <c r="AO30" s="388"/>
      <c r="AP30" s="388"/>
      <c r="AQ30" s="388"/>
      <c r="AR30" s="388"/>
      <c r="AS30" s="393"/>
      <c r="AT30" s="393"/>
      <c r="AU30" s="393"/>
      <c r="AV30" s="44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 s="487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 s="79"/>
      <c r="CU30"/>
      <c r="CV30"/>
      <c r="CW30"/>
      <c r="CX30"/>
      <c r="CY30"/>
      <c r="CZ30"/>
      <c r="DA30"/>
      <c r="DB30"/>
      <c r="DC30"/>
      <c r="DD30"/>
      <c r="DE30"/>
      <c r="DF30" s="388"/>
      <c r="DG30" s="12"/>
      <c r="DH30" s="388"/>
      <c r="DI30" s="388"/>
      <c r="DJ30" s="388"/>
      <c r="DK30" s="388"/>
      <c r="DL30" s="388"/>
      <c r="DM30" s="388"/>
      <c r="DN30" s="388"/>
      <c r="DO30" s="388"/>
      <c r="DP30" s="388"/>
      <c r="DQ30" s="388"/>
      <c r="DR30" s="388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L30"/>
      <c r="EM30"/>
      <c r="EN30"/>
      <c r="EO30"/>
      <c r="EP30"/>
      <c r="EQ30"/>
      <c r="ER30" s="384"/>
      <c r="ES30"/>
      <c r="ET30"/>
      <c r="EU30"/>
      <c r="EV30"/>
      <c r="EW30"/>
      <c r="EX30"/>
      <c r="EY30"/>
      <c r="EZ30"/>
      <c r="FA30"/>
      <c r="FB30"/>
    </row>
    <row r="31" spans="2:158" x14ac:dyDescent="0.35">
      <c r="B31" s="398"/>
      <c r="C31" s="398"/>
      <c r="D31" s="395" t="s">
        <v>13</v>
      </c>
      <c r="E31" s="398"/>
      <c r="F31" s="387"/>
      <c r="G31" s="387"/>
      <c r="H31" s="387"/>
      <c r="I31" s="404"/>
      <c r="J31" s="404"/>
      <c r="K31" s="385"/>
      <c r="L31" s="385"/>
      <c r="M31" s="385"/>
      <c r="N31" s="385"/>
      <c r="O31" s="385"/>
      <c r="P31" s="385"/>
      <c r="Q31" s="385"/>
      <c r="R31" s="385"/>
      <c r="S31" s="385"/>
      <c r="T31" s="393"/>
      <c r="U31" s="385"/>
      <c r="V31" s="385"/>
      <c r="W31" s="385"/>
      <c r="X31" s="385"/>
      <c r="Y31" s="385"/>
      <c r="Z31" s="385"/>
      <c r="AA31" s="385"/>
      <c r="AB31" s="385"/>
      <c r="AC31" s="385"/>
      <c r="AD31" s="385"/>
      <c r="AE31" s="385"/>
      <c r="AF31" s="385"/>
      <c r="AG31" s="385"/>
      <c r="AH31" s="385"/>
      <c r="AI31" s="393"/>
      <c r="AJ31" s="393"/>
      <c r="AK31" s="393"/>
      <c r="AL31" s="393"/>
      <c r="AM31" s="393"/>
      <c r="AN31" s="393"/>
      <c r="AO31" s="393"/>
      <c r="AP31" s="393"/>
      <c r="AQ31" s="393"/>
      <c r="AR31" s="393"/>
      <c r="AS31" s="393"/>
      <c r="AT31" s="393"/>
      <c r="AU31" s="393"/>
      <c r="AV31" s="44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 s="487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 s="79"/>
      <c r="CU31"/>
      <c r="CV31"/>
      <c r="CW31"/>
      <c r="CX31"/>
      <c r="CY31"/>
      <c r="CZ31"/>
      <c r="DA31"/>
      <c r="DB31"/>
      <c r="DC31"/>
      <c r="DD31"/>
      <c r="DE31"/>
      <c r="DF31" s="388"/>
      <c r="DG31" s="12"/>
      <c r="DH31" s="388"/>
      <c r="DI31" s="388"/>
      <c r="DJ31" s="388"/>
      <c r="DK31" s="388"/>
      <c r="DL31" s="388"/>
      <c r="DM31" s="388"/>
      <c r="DN31" s="388"/>
      <c r="DO31" s="388"/>
      <c r="DP31" s="388"/>
      <c r="DQ31" s="388"/>
      <c r="DR31" s="388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L31"/>
      <c r="EM31"/>
      <c r="EN31"/>
      <c r="EO31"/>
      <c r="EP31"/>
      <c r="EQ31"/>
      <c r="ER31" s="384"/>
      <c r="ES31"/>
      <c r="ET31"/>
      <c r="EU31"/>
      <c r="EV31"/>
      <c r="EW31"/>
      <c r="EX31"/>
      <c r="EY31"/>
      <c r="EZ31"/>
      <c r="FA31"/>
      <c r="FB31"/>
    </row>
    <row r="32" spans="2:158" x14ac:dyDescent="0.35">
      <c r="B32" s="398"/>
      <c r="C32" s="398"/>
      <c r="D32" s="398"/>
      <c r="E32" s="405" t="s">
        <v>9</v>
      </c>
      <c r="F32" s="387">
        <f>SUM(K32:N32)</f>
        <v>7422104.0500000007</v>
      </c>
      <c r="G32" s="387">
        <f>SUM(P32:S32)</f>
        <v>9315534.7348748185</v>
      </c>
      <c r="H32" s="387">
        <f t="shared" ref="H32:H35" si="68">SUM(U32:X32)</f>
        <v>11356855.232084379</v>
      </c>
      <c r="I32" s="387">
        <f t="shared" ref="I32:I35" si="69">SUM(Z32:AC32)</f>
        <v>11627107.317057543</v>
      </c>
      <c r="J32" s="388"/>
      <c r="K32" s="385">
        <f t="shared" si="52"/>
        <v>1683917.6199999999</v>
      </c>
      <c r="L32" s="385">
        <f t="shared" si="53"/>
        <v>1762623.41</v>
      </c>
      <c r="M32" s="385">
        <f t="shared" si="54"/>
        <v>1904924.7000000002</v>
      </c>
      <c r="N32" s="385">
        <f t="shared" si="55"/>
        <v>2070638.3199999998</v>
      </c>
      <c r="O32" s="385"/>
      <c r="P32" s="385">
        <f t="shared" si="56"/>
        <v>2089282.2811940419</v>
      </c>
      <c r="Q32" s="385">
        <f t="shared" si="57"/>
        <v>2229787.4147999999</v>
      </c>
      <c r="R32" s="385">
        <f t="shared" si="58"/>
        <v>2251717.1602095114</v>
      </c>
      <c r="S32" s="385">
        <f t="shared" si="59"/>
        <v>2744747.8786712661</v>
      </c>
      <c r="T32" s="393"/>
      <c r="U32" s="385">
        <f t="shared" ref="U32" si="70">SUM(BH32:BJ32)</f>
        <v>2863141.13</v>
      </c>
      <c r="V32" s="385">
        <f t="shared" ref="V32" si="71">SUM(BK32:BM32)</f>
        <v>2775600.46</v>
      </c>
      <c r="W32" s="385">
        <f t="shared" ref="W32" si="72">SUM(BN32:BP32)</f>
        <v>2787000.5841849442</v>
      </c>
      <c r="X32" s="385">
        <f t="shared" ref="X32" si="73">SUM(BQ32:BS32)</f>
        <v>2931113.0578994346</v>
      </c>
      <c r="Y32" s="385"/>
      <c r="Z32" s="385">
        <f t="shared" ref="Z32:Z35" si="74">SUM(BM32:BO32)</f>
        <v>2718323.9685276859</v>
      </c>
      <c r="AA32" s="385">
        <f t="shared" ref="AA32:AA35" si="75">SUM(BP32:BR32)</f>
        <v>2865325.2496732092</v>
      </c>
      <c r="AB32" s="385">
        <f t="shared" ref="AB32:AB35" si="76">SUM(BS32:BU32)</f>
        <v>3052163.9515217487</v>
      </c>
      <c r="AC32" s="385">
        <f t="shared" ref="AC32:AC35" si="77">SUM(BV32:BX32)</f>
        <v>2991294.1473348998</v>
      </c>
      <c r="AD32" s="385">
        <f t="shared" ref="AD32:AD35" si="78">SUM(BW32:BY32)</f>
        <v>2896434.7650107127</v>
      </c>
      <c r="AE32" s="385">
        <f t="shared" ref="AE32:AE35" si="79">SUM(BX32:BZ32)</f>
        <v>2830312.4170819498</v>
      </c>
      <c r="AF32" s="385">
        <f t="shared" ref="AF32:AF35" si="80">SUM(BY32:CA32)</f>
        <v>2766918.3126497809</v>
      </c>
      <c r="AG32" s="385">
        <f t="shared" ref="AG32:AG35" si="81">SUM(BZ32:CB32)</f>
        <v>2708353.4928134866</v>
      </c>
      <c r="AH32" s="385">
        <f t="shared" ref="AH32:AH35" si="82">SUM(CA32:CC32)</f>
        <v>2629691.6961684655</v>
      </c>
      <c r="AI32" s="393"/>
      <c r="AJ32" s="388">
        <f t="shared" ref="AJ32:BO32" si="83">AJ6+AJ26</f>
        <v>557918.06000000006</v>
      </c>
      <c r="AK32" s="388">
        <f t="shared" si="83"/>
        <v>574188.7999999997</v>
      </c>
      <c r="AL32" s="388">
        <f t="shared" si="83"/>
        <v>551810.76</v>
      </c>
      <c r="AM32" s="388">
        <f t="shared" si="83"/>
        <v>573263.14</v>
      </c>
      <c r="AN32" s="388">
        <f t="shared" si="83"/>
        <v>592389.72000000009</v>
      </c>
      <c r="AO32" s="388">
        <f t="shared" si="83"/>
        <v>596970.54999999981</v>
      </c>
      <c r="AP32" s="388">
        <f t="shared" si="83"/>
        <v>607401.74</v>
      </c>
      <c r="AQ32" s="388">
        <f t="shared" si="83"/>
        <v>669917.52</v>
      </c>
      <c r="AR32" s="388">
        <f t="shared" si="83"/>
        <v>627605.44000000018</v>
      </c>
      <c r="AS32" s="388">
        <f t="shared" si="83"/>
        <v>671650.73</v>
      </c>
      <c r="AT32" s="388">
        <f t="shared" si="83"/>
        <v>690634.42999999982</v>
      </c>
      <c r="AU32" s="388">
        <f t="shared" si="83"/>
        <v>708353.16000000015</v>
      </c>
      <c r="AV32" s="12">
        <f t="shared" si="83"/>
        <v>700338.72</v>
      </c>
      <c r="AW32" s="12">
        <f t="shared" si="83"/>
        <v>702925.93</v>
      </c>
      <c r="AX32" s="12">
        <f t="shared" si="83"/>
        <v>686017.63119404204</v>
      </c>
      <c r="AY32" s="12">
        <f t="shared" si="83"/>
        <v>750203.6348</v>
      </c>
      <c r="AZ32" s="12">
        <f t="shared" si="83"/>
        <v>733982.33999999985</v>
      </c>
      <c r="BA32" s="12">
        <f t="shared" si="83"/>
        <v>745601.44</v>
      </c>
      <c r="BB32" s="12">
        <f t="shared" si="83"/>
        <v>719331.13382782275</v>
      </c>
      <c r="BC32" s="12">
        <f t="shared" si="83"/>
        <v>739480.52638168866</v>
      </c>
      <c r="BD32" s="12">
        <f t="shared" si="83"/>
        <v>792905.50000000012</v>
      </c>
      <c r="BE32" s="12">
        <f t="shared" si="83"/>
        <v>861380.01867126569</v>
      </c>
      <c r="BF32" s="12">
        <f t="shared" si="83"/>
        <v>902686.69</v>
      </c>
      <c r="BG32" s="12">
        <f t="shared" si="83"/>
        <v>980681.17000000016</v>
      </c>
      <c r="BH32" s="12">
        <f t="shared" si="83"/>
        <v>944349.2699999999</v>
      </c>
      <c r="BI32" s="12">
        <f t="shared" si="83"/>
        <v>985619.77</v>
      </c>
      <c r="BJ32" s="12">
        <f t="shared" si="83"/>
        <v>933172.08999999985</v>
      </c>
      <c r="BK32" s="12">
        <f t="shared" si="83"/>
        <v>961694.0299999998</v>
      </c>
      <c r="BL32" s="12">
        <f t="shared" si="83"/>
        <v>904704.29000000027</v>
      </c>
      <c r="BM32" s="12">
        <f t="shared" si="83"/>
        <v>909202.14000000013</v>
      </c>
      <c r="BN32" s="12">
        <f t="shared" si="83"/>
        <v>900014.37286762893</v>
      </c>
      <c r="BO32" s="12">
        <f t="shared" si="83"/>
        <v>909107.45566005656</v>
      </c>
      <c r="BP32" s="12">
        <f t="shared" ref="BP32:CI32" si="84">BP6+BP26</f>
        <v>977878.75565725879</v>
      </c>
      <c r="BQ32" s="12">
        <f t="shared" si="84"/>
        <v>927827.65781411249</v>
      </c>
      <c r="BR32" s="12">
        <f t="shared" si="84"/>
        <v>959618.83620183775</v>
      </c>
      <c r="BS32" s="12">
        <f t="shared" si="84"/>
        <v>1043666.5638834843</v>
      </c>
      <c r="BT32" s="511">
        <f t="shared" si="84"/>
        <v>999798.07929239096</v>
      </c>
      <c r="BU32" s="12">
        <f t="shared" si="84"/>
        <v>1008699.3083458734</v>
      </c>
      <c r="BV32" s="12">
        <f t="shared" si="84"/>
        <v>1019196.7236372185</v>
      </c>
      <c r="BW32" s="12">
        <f t="shared" si="84"/>
        <v>1002156.2666755798</v>
      </c>
      <c r="BX32" s="12">
        <f t="shared" si="84"/>
        <v>969941.15702210122</v>
      </c>
      <c r="BY32" s="12">
        <f t="shared" si="84"/>
        <v>924337.34131303162</v>
      </c>
      <c r="BZ32" s="12">
        <f t="shared" si="84"/>
        <v>936033.91874681693</v>
      </c>
      <c r="CA32" s="12">
        <f t="shared" si="84"/>
        <v>906547.05258993234</v>
      </c>
      <c r="CB32" s="12">
        <f t="shared" si="84"/>
        <v>865772.52147673722</v>
      </c>
      <c r="CC32" s="12">
        <f t="shared" si="84"/>
        <v>857372.12210179563</v>
      </c>
      <c r="CD32" s="12">
        <f t="shared" si="84"/>
        <v>912350.44044898218</v>
      </c>
      <c r="CE32" s="12">
        <f t="shared" si="84"/>
        <v>802148.2799999998</v>
      </c>
      <c r="CF32" s="12">
        <f t="shared" si="84"/>
        <v>909962.56108765409</v>
      </c>
      <c r="CG32" s="12">
        <f t="shared" si="84"/>
        <v>879631.76159820054</v>
      </c>
      <c r="CH32" s="12">
        <f t="shared" si="84"/>
        <v>879706.22832354554</v>
      </c>
      <c r="CI32" s="12">
        <f t="shared" si="84"/>
        <v>873358.3315171788</v>
      </c>
      <c r="CJ32" s="12">
        <f t="shared" ref="CJ32:CK32" si="85">CJ6+CJ26</f>
        <v>851738.25775894558</v>
      </c>
      <c r="CK32" s="12">
        <f t="shared" si="85"/>
        <v>891351.49322082894</v>
      </c>
      <c r="CL32" s="12">
        <f t="shared" ref="CL32" si="86">CL6+CL26</f>
        <v>936000.879138647</v>
      </c>
      <c r="CM32" s="12">
        <f t="shared" ref="CM32:CR32" si="87">CM6+CM26</f>
        <v>934638.36008764361</v>
      </c>
      <c r="CN32" s="12">
        <f t="shared" si="87"/>
        <v>1016166.7450252019</v>
      </c>
      <c r="CO32" s="12">
        <f t="shared" si="87"/>
        <v>961339.01802538126</v>
      </c>
      <c r="CP32" s="12">
        <f t="shared" si="87"/>
        <v>1060460.3775534066</v>
      </c>
      <c r="CQ32" s="12">
        <f t="shared" si="87"/>
        <v>1017299.162821071</v>
      </c>
      <c r="CR32" s="12">
        <f t="shared" si="87"/>
        <v>976586.22356514679</v>
      </c>
      <c r="CS32" s="741">
        <f t="shared" ref="CS32" si="88">CS6+CS26</f>
        <v>1041616.1418099729</v>
      </c>
      <c r="CT32" s="12"/>
      <c r="CU32" s="12">
        <f t="shared" ref="CU32:EO32" si="89">CU6+CU26</f>
        <v>731174.79674796748</v>
      </c>
      <c r="CV32" s="12">
        <f t="shared" si="89"/>
        <v>731174.79674796748</v>
      </c>
      <c r="CW32" s="12">
        <f t="shared" si="89"/>
        <v>731174.79674796748</v>
      </c>
      <c r="CX32" s="12">
        <f t="shared" si="89"/>
        <v>796898.37398373988</v>
      </c>
      <c r="CY32" s="12">
        <f t="shared" si="89"/>
        <v>796898.37398373988</v>
      </c>
      <c r="CZ32" s="12">
        <f t="shared" si="89"/>
        <v>796898.37398373988</v>
      </c>
      <c r="DA32" s="12">
        <f t="shared" si="89"/>
        <v>879052.84552845522</v>
      </c>
      <c r="DB32" s="12">
        <f t="shared" si="89"/>
        <v>879052.84552845522</v>
      </c>
      <c r="DC32" s="12">
        <f t="shared" si="89"/>
        <v>879052.84552845522</v>
      </c>
      <c r="DD32" s="12">
        <f t="shared" si="89"/>
        <v>961207.31707317068</v>
      </c>
      <c r="DE32" s="12">
        <f t="shared" si="89"/>
        <v>961207.31707317068</v>
      </c>
      <c r="DF32" s="388">
        <f t="shared" si="89"/>
        <v>961207.31707317068</v>
      </c>
      <c r="DG32" s="12">
        <f t="shared" si="89"/>
        <v>808950.59946080856</v>
      </c>
      <c r="DH32" s="12">
        <f t="shared" si="89"/>
        <v>808950.59946080856</v>
      </c>
      <c r="DI32" s="12">
        <f t="shared" si="89"/>
        <v>808950.59946080856</v>
      </c>
      <c r="DJ32" s="12">
        <f t="shared" si="89"/>
        <v>870145.39763808204</v>
      </c>
      <c r="DK32" s="12">
        <f t="shared" si="89"/>
        <v>870145.39763808204</v>
      </c>
      <c r="DL32" s="12">
        <f t="shared" si="89"/>
        <v>870145.39763808204</v>
      </c>
      <c r="DM32" s="12">
        <f t="shared" si="89"/>
        <v>932956.33830694505</v>
      </c>
      <c r="DN32" s="12">
        <f t="shared" si="89"/>
        <v>932956.33830694505</v>
      </c>
      <c r="DO32" s="12">
        <f t="shared" si="89"/>
        <v>932956.33830694505</v>
      </c>
      <c r="DP32" s="12">
        <f t="shared" si="89"/>
        <v>1042390.1035497729</v>
      </c>
      <c r="DQ32" s="12">
        <f t="shared" si="89"/>
        <v>1042390.1035497729</v>
      </c>
      <c r="DR32" s="12">
        <f t="shared" si="89"/>
        <v>1042390.1035497729</v>
      </c>
      <c r="DS32" s="12">
        <f t="shared" si="89"/>
        <v>989046.11120956426</v>
      </c>
      <c r="DT32" s="12">
        <f t="shared" si="89"/>
        <v>989046.11120956426</v>
      </c>
      <c r="DU32" s="12">
        <f t="shared" si="89"/>
        <v>989046.11120956426</v>
      </c>
      <c r="DV32" s="12">
        <f t="shared" si="89"/>
        <v>1029599.20341552</v>
      </c>
      <c r="DW32" s="12">
        <f t="shared" si="89"/>
        <v>1029599.20341552</v>
      </c>
      <c r="DX32" s="12">
        <f t="shared" si="89"/>
        <v>1029599.20341552</v>
      </c>
      <c r="DY32" s="12">
        <f t="shared" si="89"/>
        <v>1077820.8974471984</v>
      </c>
      <c r="DZ32" s="12">
        <f t="shared" si="89"/>
        <v>1077820.8974471984</v>
      </c>
      <c r="EA32" s="12">
        <f t="shared" si="89"/>
        <v>1077820.8974471984</v>
      </c>
      <c r="EB32" s="12">
        <f t="shared" si="89"/>
        <v>1168514.1480507096</v>
      </c>
      <c r="EC32" s="12">
        <f t="shared" si="89"/>
        <v>1168514.1480507096</v>
      </c>
      <c r="ED32" s="12">
        <f t="shared" si="89"/>
        <v>1168514.1480507096</v>
      </c>
      <c r="EE32" s="12">
        <f t="shared" si="89"/>
        <v>969081.20949475246</v>
      </c>
      <c r="EF32" s="12">
        <f t="shared" si="89"/>
        <v>969081.20949475246</v>
      </c>
      <c r="EG32" s="12">
        <f t="shared" si="89"/>
        <v>969081.20949475246</v>
      </c>
      <c r="EH32" s="12">
        <f t="shared" si="89"/>
        <v>992929.15348497743</v>
      </c>
      <c r="EI32" s="12">
        <f t="shared" si="89"/>
        <v>992929.15348497743</v>
      </c>
      <c r="EJ32" s="12">
        <f t="shared" si="89"/>
        <v>992929.15348497743</v>
      </c>
      <c r="EK32" s="12">
        <f t="shared" si="89"/>
        <v>1047704.1625782851</v>
      </c>
      <c r="EL32" s="12">
        <f t="shared" si="89"/>
        <v>1047704.1625782851</v>
      </c>
      <c r="EM32" s="12">
        <f t="shared" si="89"/>
        <v>1047704.1625782851</v>
      </c>
      <c r="EN32" s="12">
        <f t="shared" si="89"/>
        <v>1184382.3837436617</v>
      </c>
      <c r="EO32" s="12">
        <f t="shared" si="89"/>
        <v>1184382.3837436617</v>
      </c>
      <c r="EP32" s="12">
        <v>1184382.3837436617</v>
      </c>
      <c r="EQ32" s="12">
        <f t="shared" ref="EQ32:FB32" si="90">EQ6+EQ26</f>
        <v>1031661.0726934189</v>
      </c>
      <c r="ER32" s="451">
        <f t="shared" si="90"/>
        <v>1031661.0726934189</v>
      </c>
      <c r="ES32" s="12">
        <f t="shared" si="90"/>
        <v>1031661.0726934189</v>
      </c>
      <c r="ET32" s="12">
        <f t="shared" si="90"/>
        <v>1062854.1341487358</v>
      </c>
      <c r="EU32" s="12">
        <f t="shared" si="90"/>
        <v>1062854.1341487358</v>
      </c>
      <c r="EV32" s="12">
        <f t="shared" si="90"/>
        <v>1062854.1341487358</v>
      </c>
      <c r="EW32" s="12">
        <f t="shared" si="90"/>
        <v>1102718.7132428621</v>
      </c>
      <c r="EX32" s="12">
        <f t="shared" si="90"/>
        <v>1102718.7132428621</v>
      </c>
      <c r="EY32" s="12">
        <f t="shared" si="90"/>
        <v>1102718.7132428621</v>
      </c>
      <c r="EZ32" s="12">
        <f t="shared" si="90"/>
        <v>1143001.0482782952</v>
      </c>
      <c r="FA32" s="12">
        <f t="shared" si="90"/>
        <v>1143001.0482782952</v>
      </c>
      <c r="FB32" s="12">
        <f t="shared" si="90"/>
        <v>1143001.0482782952</v>
      </c>
    </row>
    <row r="33" spans="2:158" x14ac:dyDescent="0.35">
      <c r="B33" s="398"/>
      <c r="C33" s="398"/>
      <c r="D33" s="398"/>
      <c r="E33" s="398" t="s">
        <v>10</v>
      </c>
      <c r="F33" s="387">
        <f>SUM(K33:N33)</f>
        <v>374625.58000000007</v>
      </c>
      <c r="G33" s="387">
        <f>SUM(P33:S33)</f>
        <v>451245.35004783154</v>
      </c>
      <c r="H33" s="387">
        <f t="shared" si="68"/>
        <v>432664.11069646874</v>
      </c>
      <c r="I33" s="387">
        <f t="shared" si="69"/>
        <v>433382.90334444516</v>
      </c>
      <c r="J33" s="388"/>
      <c r="K33" s="385">
        <f t="shared" si="52"/>
        <v>93622.38</v>
      </c>
      <c r="L33" s="385">
        <f t="shared" si="53"/>
        <v>108450.98000000004</v>
      </c>
      <c r="M33" s="385">
        <f t="shared" si="54"/>
        <v>119210.16000000002</v>
      </c>
      <c r="N33" s="385">
        <f t="shared" si="55"/>
        <v>53342.060000000019</v>
      </c>
      <c r="O33" s="385"/>
      <c r="P33" s="385">
        <f t="shared" si="56"/>
        <v>90795.849704947585</v>
      </c>
      <c r="Q33" s="385">
        <f t="shared" si="57"/>
        <v>96019.540000000008</v>
      </c>
      <c r="R33" s="385">
        <f t="shared" si="58"/>
        <v>134113.56034288392</v>
      </c>
      <c r="S33" s="385">
        <f t="shared" si="59"/>
        <v>130316.4</v>
      </c>
      <c r="T33" s="393"/>
      <c r="U33" s="385">
        <f t="shared" ref="U33:U35" si="91">SUM(BH33:BJ33)</f>
        <v>69276.53</v>
      </c>
      <c r="V33" s="385">
        <f t="shared" ref="V33:V35" si="92">SUM(BK33:BM33)</f>
        <v>139914.06</v>
      </c>
      <c r="W33" s="385">
        <f t="shared" ref="W33:W35" si="93">SUM(BN33:BP33)</f>
        <v>83441.795220379863</v>
      </c>
      <c r="X33" s="385">
        <f t="shared" ref="X33:X35" si="94">SUM(BQ33:BS33)</f>
        <v>140031.7254760889</v>
      </c>
      <c r="Y33" s="385"/>
      <c r="Z33" s="385">
        <f t="shared" si="74"/>
        <v>138938.2747127703</v>
      </c>
      <c r="AA33" s="385">
        <f t="shared" si="75"/>
        <v>110967.48681088244</v>
      </c>
      <c r="AB33" s="385">
        <f t="shared" si="76"/>
        <v>61690.605824956991</v>
      </c>
      <c r="AC33" s="385">
        <f t="shared" si="77"/>
        <v>121786.53599583542</v>
      </c>
      <c r="AD33" s="385">
        <f t="shared" si="78"/>
        <v>112521.46581347592</v>
      </c>
      <c r="AE33" s="385">
        <f t="shared" si="79"/>
        <v>118004.90984152145</v>
      </c>
      <c r="AF33" s="385">
        <f t="shared" si="80"/>
        <v>94306.69500238444</v>
      </c>
      <c r="AG33" s="385">
        <f t="shared" si="81"/>
        <v>37427.24166091939</v>
      </c>
      <c r="AH33" s="385">
        <f t="shared" si="82"/>
        <v>33801.589789734135</v>
      </c>
      <c r="AI33" s="393"/>
      <c r="AJ33" s="388">
        <f t="shared" ref="AJ33:BO33" si="95">AJ12+AJ27</f>
        <v>67903.599999999991</v>
      </c>
      <c r="AK33" s="388">
        <f t="shared" si="95"/>
        <v>18898.580000000002</v>
      </c>
      <c r="AL33" s="388">
        <f t="shared" si="95"/>
        <v>6820.2000000000053</v>
      </c>
      <c r="AM33" s="388">
        <f t="shared" si="95"/>
        <v>6239.6100000000033</v>
      </c>
      <c r="AN33" s="388">
        <f t="shared" si="95"/>
        <v>9004.0200000000041</v>
      </c>
      <c r="AO33" s="388">
        <f t="shared" si="95"/>
        <v>93207.350000000035</v>
      </c>
      <c r="AP33" s="388">
        <f t="shared" si="95"/>
        <v>69705.690000000031</v>
      </c>
      <c r="AQ33" s="388">
        <f t="shared" si="95"/>
        <v>31046.009999999995</v>
      </c>
      <c r="AR33" s="388">
        <f t="shared" si="95"/>
        <v>18458.459999999988</v>
      </c>
      <c r="AS33" s="388">
        <f t="shared" si="95"/>
        <v>14995.979999999998</v>
      </c>
      <c r="AT33" s="388">
        <f t="shared" si="95"/>
        <v>11465.369999999999</v>
      </c>
      <c r="AU33" s="388">
        <f t="shared" si="95"/>
        <v>26880.710000000021</v>
      </c>
      <c r="AV33" s="12">
        <f t="shared" si="95"/>
        <v>18176.650000000009</v>
      </c>
      <c r="AW33" s="12">
        <f t="shared" si="95"/>
        <v>6742.579999999999</v>
      </c>
      <c r="AX33" s="12">
        <f t="shared" si="95"/>
        <v>65876.619704947574</v>
      </c>
      <c r="AY33" s="12">
        <f t="shared" si="95"/>
        <v>25968.600000000006</v>
      </c>
      <c r="AZ33" s="12">
        <f t="shared" si="95"/>
        <v>62201.740000000005</v>
      </c>
      <c r="BA33" s="12">
        <f t="shared" si="95"/>
        <v>7849.2000000000025</v>
      </c>
      <c r="BB33" s="12">
        <f t="shared" si="95"/>
        <v>14927.6</v>
      </c>
      <c r="BC33" s="12">
        <f t="shared" si="95"/>
        <v>50239.190342883972</v>
      </c>
      <c r="BD33" s="12">
        <f t="shared" si="95"/>
        <v>68946.76999999996</v>
      </c>
      <c r="BE33" s="12">
        <f t="shared" si="95"/>
        <v>9573.7200000000012</v>
      </c>
      <c r="BF33" s="12">
        <f t="shared" si="95"/>
        <v>18881</v>
      </c>
      <c r="BG33" s="12">
        <f t="shared" si="95"/>
        <v>101861.68</v>
      </c>
      <c r="BH33" s="12">
        <f t="shared" si="95"/>
        <v>12708.840000000002</v>
      </c>
      <c r="BI33" s="12">
        <f t="shared" si="95"/>
        <v>1143.8900000000021</v>
      </c>
      <c r="BJ33" s="12">
        <f t="shared" si="95"/>
        <v>55423.8</v>
      </c>
      <c r="BK33" s="12">
        <f t="shared" si="95"/>
        <v>38127.420000000006</v>
      </c>
      <c r="BL33" s="12">
        <f t="shared" si="95"/>
        <v>37933.51</v>
      </c>
      <c r="BM33" s="12">
        <f t="shared" si="95"/>
        <v>63853.130000000005</v>
      </c>
      <c r="BN33" s="12">
        <f t="shared" si="95"/>
        <v>43968.496329468995</v>
      </c>
      <c r="BO33" s="12">
        <f t="shared" si="95"/>
        <v>31116.648383301297</v>
      </c>
      <c r="BP33" s="12">
        <f t="shared" ref="BP33:CI33" si="96">BP12+BP27</f>
        <v>8356.6505076095709</v>
      </c>
      <c r="BQ33" s="12">
        <f t="shared" si="96"/>
        <v>61496.592922539698</v>
      </c>
      <c r="BR33" s="12">
        <f t="shared" si="96"/>
        <v>41114.243380733169</v>
      </c>
      <c r="BS33" s="12">
        <f t="shared" si="96"/>
        <v>37420.889172816038</v>
      </c>
      <c r="BT33" s="511">
        <f t="shared" si="96"/>
        <v>4189.5523805883167</v>
      </c>
      <c r="BU33" s="12">
        <f t="shared" si="96"/>
        <v>20080.164271552636</v>
      </c>
      <c r="BV33" s="12">
        <f t="shared" si="96"/>
        <v>70972.28325199477</v>
      </c>
      <c r="BW33" s="12">
        <f t="shared" si="96"/>
        <v>3991.1810438968168</v>
      </c>
      <c r="BX33" s="12">
        <f t="shared" si="96"/>
        <v>46823.071699943845</v>
      </c>
      <c r="BY33" s="12">
        <f t="shared" si="96"/>
        <v>61707.213069635269</v>
      </c>
      <c r="BZ33" s="12">
        <f t="shared" si="96"/>
        <v>9474.6250719423442</v>
      </c>
      <c r="CA33" s="12">
        <f t="shared" si="96"/>
        <v>23124.856860806831</v>
      </c>
      <c r="CB33" s="12">
        <f t="shared" si="96"/>
        <v>4827.7597281702147</v>
      </c>
      <c r="CC33" s="12">
        <f t="shared" si="96"/>
        <v>5848.9732007570892</v>
      </c>
      <c r="CD33" s="12">
        <f t="shared" si="96"/>
        <v>34766.05120163571</v>
      </c>
      <c r="CE33" s="12">
        <f t="shared" si="96"/>
        <v>16820.960000000243</v>
      </c>
      <c r="CF33" s="12">
        <f t="shared" si="96"/>
        <v>-1013.8764018210613</v>
      </c>
      <c r="CG33" s="12">
        <f t="shared" si="96"/>
        <v>51387.601215662711</v>
      </c>
      <c r="CH33" s="12">
        <f t="shared" si="96"/>
        <v>2226.4049270685264</v>
      </c>
      <c r="CI33" s="12">
        <f t="shared" si="96"/>
        <v>20252.696068194236</v>
      </c>
      <c r="CJ33" s="12">
        <f t="shared" ref="CJ33:CK33" si="97">CJ12+CJ27</f>
        <v>47912.029557872243</v>
      </c>
      <c r="CK33" s="12">
        <f t="shared" si="97"/>
        <v>2189.6733091520109</v>
      </c>
      <c r="CL33" s="12">
        <f t="shared" ref="CL33" si="98">CL12+CL27</f>
        <v>73277.512338241679</v>
      </c>
      <c r="CM33" s="12">
        <f t="shared" ref="CM33:CO34" si="99">CM12+CM27</f>
        <v>47363.741208669962</v>
      </c>
      <c r="CN33" s="12">
        <f t="shared" si="99"/>
        <v>79459.738234489982</v>
      </c>
      <c r="CO33" s="12">
        <f t="shared" si="99"/>
        <v>10427.769299757123</v>
      </c>
      <c r="CP33" s="12">
        <f t="shared" ref="CP33:CQ33" si="100">CP12+CP27</f>
        <v>557.72558177424798</v>
      </c>
      <c r="CQ33" s="12">
        <f t="shared" si="100"/>
        <v>38148.607348680904</v>
      </c>
      <c r="CR33" s="12">
        <f t="shared" ref="CR33:CS33" si="101">CR12+CR27</f>
        <v>9557.5314103077799</v>
      </c>
      <c r="CS33" s="741">
        <f t="shared" si="101"/>
        <v>1982.5015008742375</v>
      </c>
      <c r="CT33" s="12"/>
      <c r="CU33" s="12">
        <f t="shared" ref="CU33:EO33" si="102">CU12+CU27</f>
        <v>16250</v>
      </c>
      <c r="CV33" s="12">
        <f t="shared" si="102"/>
        <v>16250</v>
      </c>
      <c r="CW33" s="12">
        <f t="shared" si="102"/>
        <v>16250</v>
      </c>
      <c r="CX33" s="12">
        <f t="shared" si="102"/>
        <v>10833.333333333328</v>
      </c>
      <c r="CY33" s="12">
        <f t="shared" si="102"/>
        <v>10833.333333333328</v>
      </c>
      <c r="CZ33" s="12">
        <f t="shared" si="102"/>
        <v>10833.333333333328</v>
      </c>
      <c r="DA33" s="12">
        <f t="shared" si="102"/>
        <v>10833.333333333328</v>
      </c>
      <c r="DB33" s="12">
        <f t="shared" si="102"/>
        <v>10833.333333333328</v>
      </c>
      <c r="DC33" s="12">
        <f t="shared" si="102"/>
        <v>10833.333333333328</v>
      </c>
      <c r="DD33" s="12">
        <f t="shared" si="102"/>
        <v>27083.333333333328</v>
      </c>
      <c r="DE33" s="12">
        <f t="shared" si="102"/>
        <v>27083.333333333328</v>
      </c>
      <c r="DF33" s="388">
        <f t="shared" si="102"/>
        <v>27083.333333333328</v>
      </c>
      <c r="DG33" s="12">
        <f t="shared" si="102"/>
        <v>35437.5</v>
      </c>
      <c r="DH33" s="12">
        <f t="shared" si="102"/>
        <v>35437.5</v>
      </c>
      <c r="DI33" s="12">
        <f t="shared" si="102"/>
        <v>35437.5</v>
      </c>
      <c r="DJ33" s="12">
        <f t="shared" si="102"/>
        <v>35437.5</v>
      </c>
      <c r="DK33" s="12">
        <f t="shared" si="102"/>
        <v>35437.5</v>
      </c>
      <c r="DL33" s="12">
        <f t="shared" si="102"/>
        <v>35437.5</v>
      </c>
      <c r="DM33" s="12">
        <f t="shared" si="102"/>
        <v>35437.5</v>
      </c>
      <c r="DN33" s="12">
        <f t="shared" si="102"/>
        <v>35437.5</v>
      </c>
      <c r="DO33" s="12">
        <f t="shared" si="102"/>
        <v>35437.5</v>
      </c>
      <c r="DP33" s="12">
        <f t="shared" si="102"/>
        <v>35437.5</v>
      </c>
      <c r="DQ33" s="12">
        <f t="shared" si="102"/>
        <v>35437.5</v>
      </c>
      <c r="DR33" s="12">
        <f t="shared" si="102"/>
        <v>35437.5</v>
      </c>
      <c r="DS33" s="12">
        <f t="shared" si="102"/>
        <v>24077.083333333328</v>
      </c>
      <c r="DT33" s="12">
        <f t="shared" si="102"/>
        <v>24077.083333333328</v>
      </c>
      <c r="DU33" s="12">
        <f t="shared" si="102"/>
        <v>24077.083333333328</v>
      </c>
      <c r="DV33" s="12">
        <f t="shared" si="102"/>
        <v>54629.166666666657</v>
      </c>
      <c r="DW33" s="12">
        <f t="shared" si="102"/>
        <v>54629.166666666657</v>
      </c>
      <c r="DX33" s="12">
        <f t="shared" si="102"/>
        <v>54629.166666666657</v>
      </c>
      <c r="DY33" s="12">
        <f t="shared" si="102"/>
        <v>43035.416666666672</v>
      </c>
      <c r="DZ33" s="12">
        <f t="shared" si="102"/>
        <v>43035.416666666672</v>
      </c>
      <c r="EA33" s="12">
        <f t="shared" si="102"/>
        <v>43035.416666666672</v>
      </c>
      <c r="EB33" s="12">
        <f t="shared" si="102"/>
        <v>54629.166666666657</v>
      </c>
      <c r="EC33" s="12">
        <f t="shared" si="102"/>
        <v>54629.166666666657</v>
      </c>
      <c r="ED33" s="12">
        <f t="shared" si="102"/>
        <v>54629.166666666657</v>
      </c>
      <c r="EE33" s="12">
        <f t="shared" si="102"/>
        <v>26666.666666666672</v>
      </c>
      <c r="EF33" s="12">
        <f t="shared" si="102"/>
        <v>26666.666666666672</v>
      </c>
      <c r="EG33" s="12">
        <f t="shared" si="102"/>
        <v>26666.666666666672</v>
      </c>
      <c r="EH33" s="12">
        <f t="shared" si="102"/>
        <v>26666.666666666672</v>
      </c>
      <c r="EI33" s="12">
        <f t="shared" si="102"/>
        <v>26666.666666666672</v>
      </c>
      <c r="EJ33" s="12">
        <f t="shared" si="102"/>
        <v>26666.666666666672</v>
      </c>
      <c r="EK33" s="12">
        <f t="shared" si="102"/>
        <v>26666.666666666672</v>
      </c>
      <c r="EL33" s="12">
        <f t="shared" si="102"/>
        <v>26666.666666666672</v>
      </c>
      <c r="EM33" s="12">
        <f t="shared" si="102"/>
        <v>26666.666666666672</v>
      </c>
      <c r="EN33" s="12">
        <f t="shared" si="102"/>
        <v>26666.666666666672</v>
      </c>
      <c r="EO33" s="12">
        <f t="shared" si="102"/>
        <v>26666.666666666672</v>
      </c>
      <c r="EP33" s="12">
        <v>26666.666666666672</v>
      </c>
      <c r="EQ33" s="12">
        <f t="shared" ref="EQ33:FB33" si="103">EQ12+EQ27</f>
        <v>26781.565656565654</v>
      </c>
      <c r="ER33" s="451">
        <f t="shared" si="103"/>
        <v>26781.565656565654</v>
      </c>
      <c r="ES33" s="12">
        <f t="shared" si="103"/>
        <v>26781.565656565654</v>
      </c>
      <c r="ET33" s="12">
        <f t="shared" si="103"/>
        <v>31516.414141414149</v>
      </c>
      <c r="EU33" s="12">
        <f t="shared" si="103"/>
        <v>31516.414141414149</v>
      </c>
      <c r="EV33" s="12">
        <f t="shared" si="103"/>
        <v>31516.414141414149</v>
      </c>
      <c r="EW33" s="12">
        <f t="shared" si="103"/>
        <v>36251.2626262626</v>
      </c>
      <c r="EX33" s="12">
        <f t="shared" si="103"/>
        <v>36251.2626262626</v>
      </c>
      <c r="EY33" s="12">
        <f t="shared" si="103"/>
        <v>36251.2626262626</v>
      </c>
      <c r="EZ33" s="12">
        <f t="shared" si="103"/>
        <v>40986.111111111095</v>
      </c>
      <c r="FA33" s="12">
        <f t="shared" si="103"/>
        <v>40986.111111111095</v>
      </c>
      <c r="FB33" s="12">
        <f t="shared" si="103"/>
        <v>40986.111111111095</v>
      </c>
    </row>
    <row r="34" spans="2:158" x14ac:dyDescent="0.35">
      <c r="B34" s="398"/>
      <c r="C34" s="398"/>
      <c r="D34" s="398"/>
      <c r="E34" s="398" t="s">
        <v>11</v>
      </c>
      <c r="F34" s="387">
        <f>SUM(K34:N34)</f>
        <v>308467.03999999998</v>
      </c>
      <c r="G34" s="387">
        <f>SUM(P34:S34)</f>
        <v>529552.25451353611</v>
      </c>
      <c r="H34" s="387">
        <f t="shared" si="68"/>
        <v>691569.43614489306</v>
      </c>
      <c r="I34" s="387">
        <f t="shared" si="69"/>
        <v>888357.20093540684</v>
      </c>
      <c r="J34" s="385"/>
      <c r="K34" s="385">
        <f t="shared" si="52"/>
        <v>101944.35</v>
      </c>
      <c r="L34" s="385">
        <f t="shared" si="53"/>
        <v>93721.47</v>
      </c>
      <c r="M34" s="385">
        <f t="shared" si="54"/>
        <v>46289.61</v>
      </c>
      <c r="N34" s="385">
        <f t="shared" si="55"/>
        <v>66511.61</v>
      </c>
      <c r="O34" s="385"/>
      <c r="P34" s="385">
        <f t="shared" si="56"/>
        <v>90194.970426143685</v>
      </c>
      <c r="Q34" s="385">
        <f t="shared" si="57"/>
        <v>140780.34</v>
      </c>
      <c r="R34" s="385">
        <f t="shared" si="58"/>
        <v>164286.47408739233</v>
      </c>
      <c r="S34" s="385">
        <f t="shared" si="59"/>
        <v>134290.47000000009</v>
      </c>
      <c r="T34" s="393"/>
      <c r="U34" s="385">
        <f t="shared" si="91"/>
        <v>104909.41</v>
      </c>
      <c r="V34" s="385">
        <f t="shared" si="92"/>
        <v>131801.87</v>
      </c>
      <c r="W34" s="385">
        <f t="shared" si="93"/>
        <v>209503.35645192111</v>
      </c>
      <c r="X34" s="385">
        <f t="shared" si="94"/>
        <v>245354.79969297201</v>
      </c>
      <c r="Y34" s="385"/>
      <c r="Z34" s="385">
        <f t="shared" si="74"/>
        <v>111873.2228933641</v>
      </c>
      <c r="AA34" s="385">
        <f t="shared" si="75"/>
        <v>255021.6609509034</v>
      </c>
      <c r="AB34" s="385">
        <f t="shared" si="76"/>
        <v>262021.77334811969</v>
      </c>
      <c r="AC34" s="385">
        <f t="shared" si="77"/>
        <v>259440.54374301975</v>
      </c>
      <c r="AD34" s="385">
        <f t="shared" si="78"/>
        <v>269391.34244792664</v>
      </c>
      <c r="AE34" s="385">
        <f t="shared" si="79"/>
        <v>355599.47581480787</v>
      </c>
      <c r="AF34" s="385">
        <f t="shared" si="80"/>
        <v>321722.49627103226</v>
      </c>
      <c r="AG34" s="385">
        <f t="shared" si="81"/>
        <v>289815.09640584164</v>
      </c>
      <c r="AH34" s="385">
        <f t="shared" si="82"/>
        <v>226867.14861805041</v>
      </c>
      <c r="AI34" s="393"/>
      <c r="AJ34" s="388">
        <f t="shared" ref="AJ34:BO34" si="104">AJ13+AJ28</f>
        <v>40000.28</v>
      </c>
      <c r="AK34" s="388">
        <f t="shared" si="104"/>
        <v>40000</v>
      </c>
      <c r="AL34" s="388">
        <f t="shared" si="104"/>
        <v>21944.07</v>
      </c>
      <c r="AM34" s="388">
        <f t="shared" si="104"/>
        <v>30182.6</v>
      </c>
      <c r="AN34" s="388">
        <f t="shared" si="104"/>
        <v>31415.429999999993</v>
      </c>
      <c r="AO34" s="388">
        <f t="shared" si="104"/>
        <v>32123.440000000002</v>
      </c>
      <c r="AP34" s="388">
        <f t="shared" si="104"/>
        <v>12811.89</v>
      </c>
      <c r="AQ34" s="388">
        <f t="shared" si="104"/>
        <v>3986.54</v>
      </c>
      <c r="AR34" s="388">
        <f t="shared" si="104"/>
        <v>29491.18</v>
      </c>
      <c r="AS34" s="388">
        <f t="shared" si="104"/>
        <v>2809.4100000000053</v>
      </c>
      <c r="AT34" s="388">
        <f t="shared" si="104"/>
        <v>12914.72</v>
      </c>
      <c r="AU34" s="388">
        <f t="shared" si="104"/>
        <v>50787.479999999996</v>
      </c>
      <c r="AV34" s="12">
        <f t="shared" si="104"/>
        <v>9634.4699999999993</v>
      </c>
      <c r="AW34" s="12">
        <f t="shared" si="104"/>
        <v>9889.7899999999991</v>
      </c>
      <c r="AX34" s="12">
        <f t="shared" si="104"/>
        <v>70670.710426143691</v>
      </c>
      <c r="AY34" s="12">
        <f t="shared" si="104"/>
        <v>48621.93</v>
      </c>
      <c r="AZ34" s="12">
        <f t="shared" si="104"/>
        <v>79296</v>
      </c>
      <c r="BA34" s="12">
        <f t="shared" si="104"/>
        <v>12862.41</v>
      </c>
      <c r="BB34" s="12">
        <f t="shared" si="104"/>
        <v>11014.67</v>
      </c>
      <c r="BC34" s="12">
        <f t="shared" si="104"/>
        <v>44831.384087392333</v>
      </c>
      <c r="BD34" s="12">
        <f t="shared" si="104"/>
        <v>108440.42</v>
      </c>
      <c r="BE34" s="12">
        <f t="shared" si="104"/>
        <v>25877.37</v>
      </c>
      <c r="BF34" s="12">
        <f t="shared" si="104"/>
        <v>71882.480000000025</v>
      </c>
      <c r="BG34" s="12">
        <f t="shared" si="104"/>
        <v>36530.620000000068</v>
      </c>
      <c r="BH34" s="12">
        <f t="shared" si="104"/>
        <v>27724.44</v>
      </c>
      <c r="BI34" s="12">
        <f t="shared" si="104"/>
        <v>23263.949999999997</v>
      </c>
      <c r="BJ34" s="12">
        <f t="shared" si="104"/>
        <v>53921.020000000004</v>
      </c>
      <c r="BK34" s="12">
        <f t="shared" si="104"/>
        <v>23160.780000000002</v>
      </c>
      <c r="BL34" s="12">
        <f t="shared" si="104"/>
        <v>76654.2</v>
      </c>
      <c r="BM34" s="12">
        <f t="shared" si="104"/>
        <v>31986.89</v>
      </c>
      <c r="BN34" s="12">
        <f t="shared" si="104"/>
        <v>28256.076399097899</v>
      </c>
      <c r="BO34" s="12">
        <f t="shared" si="104"/>
        <v>51630.256494266199</v>
      </c>
      <c r="BP34" s="12">
        <f t="shared" ref="BP34:CI34" si="105">BP13+BP28</f>
        <v>129617.023558557</v>
      </c>
      <c r="BQ34" s="12">
        <f t="shared" si="105"/>
        <v>64028.596534399898</v>
      </c>
      <c r="BR34" s="12">
        <f t="shared" si="105"/>
        <v>61376.040857946493</v>
      </c>
      <c r="BS34" s="12">
        <f t="shared" si="105"/>
        <v>119950.16230062561</v>
      </c>
      <c r="BT34" s="511">
        <f t="shared" si="105"/>
        <v>65837.640828048461</v>
      </c>
      <c r="BU34" s="12">
        <f t="shared" si="105"/>
        <v>76233.970219445619</v>
      </c>
      <c r="BV34" s="12">
        <f t="shared" si="105"/>
        <v>97385.427146820861</v>
      </c>
      <c r="BW34" s="12">
        <f t="shared" si="105"/>
        <v>16184.522658867008</v>
      </c>
      <c r="BX34" s="12">
        <f t="shared" si="105"/>
        <v>145870.59393733187</v>
      </c>
      <c r="BY34" s="12">
        <f t="shared" si="105"/>
        <v>107336.22585172774</v>
      </c>
      <c r="BZ34" s="12">
        <f t="shared" si="105"/>
        <v>102392.65602574825</v>
      </c>
      <c r="CA34" s="12">
        <f t="shared" si="105"/>
        <v>111993.61439355627</v>
      </c>
      <c r="CB34" s="12">
        <f t="shared" si="105"/>
        <v>75428.825986537136</v>
      </c>
      <c r="CC34" s="12">
        <f t="shared" si="105"/>
        <v>39444.708237957006</v>
      </c>
      <c r="CD34" s="12">
        <f t="shared" si="105"/>
        <v>31049.88703134999</v>
      </c>
      <c r="CE34" s="12">
        <f t="shared" si="105"/>
        <v>-55744.479999999996</v>
      </c>
      <c r="CF34" s="12">
        <f t="shared" si="105"/>
        <v>65568.137081245877</v>
      </c>
      <c r="CG34" s="12">
        <f t="shared" si="105"/>
        <v>92252.940194213326</v>
      </c>
      <c r="CH34" s="12">
        <f t="shared" si="105"/>
        <v>64041.624422856839</v>
      </c>
      <c r="CI34" s="12">
        <f t="shared" si="105"/>
        <v>51555.677591988191</v>
      </c>
      <c r="CJ34" s="12">
        <f t="shared" ref="CJ34:CK34" si="106">CJ13+CJ28</f>
        <v>42881.246587860594</v>
      </c>
      <c r="CK34" s="12">
        <f t="shared" si="106"/>
        <v>81245.56308773483</v>
      </c>
      <c r="CL34" s="12">
        <f t="shared" ref="CL34" si="107">CL13+CL28</f>
        <v>79485.141062565628</v>
      </c>
      <c r="CM34" s="12">
        <f t="shared" si="99"/>
        <v>84359.948019779462</v>
      </c>
      <c r="CN34" s="12">
        <f t="shared" si="99"/>
        <v>42940.106893981429</v>
      </c>
      <c r="CO34" s="12">
        <f t="shared" si="99"/>
        <v>65842.484170359734</v>
      </c>
      <c r="CP34" s="12">
        <f t="shared" ref="CP34:CQ34" si="108">CP13+CP28</f>
        <v>83846.499089664168</v>
      </c>
      <c r="CQ34" s="12">
        <f t="shared" si="108"/>
        <v>81064.430809908372</v>
      </c>
      <c r="CR34" s="12">
        <f t="shared" ref="CR34:CS34" si="109">CR13+CR28</f>
        <v>13990.124619689403</v>
      </c>
      <c r="CS34" s="741">
        <f t="shared" si="109"/>
        <v>10068.302031423775</v>
      </c>
      <c r="CT34" s="12"/>
      <c r="CU34" s="12">
        <f t="shared" ref="CU34:EO34" si="110">CU13+CU28</f>
        <v>83333.333333333328</v>
      </c>
      <c r="CV34" s="12">
        <f t="shared" si="110"/>
        <v>83333.333333333328</v>
      </c>
      <c r="CW34" s="12">
        <f t="shared" si="110"/>
        <v>83333.333333333328</v>
      </c>
      <c r="CX34" s="12">
        <f t="shared" si="110"/>
        <v>83333.333333333328</v>
      </c>
      <c r="CY34" s="12">
        <f t="shared" si="110"/>
        <v>83333.333333333328</v>
      </c>
      <c r="CZ34" s="12">
        <f t="shared" si="110"/>
        <v>83333.333333333328</v>
      </c>
      <c r="DA34" s="12">
        <f t="shared" si="110"/>
        <v>83333.333333333328</v>
      </c>
      <c r="DB34" s="12">
        <f t="shared" si="110"/>
        <v>83333.333333333328</v>
      </c>
      <c r="DC34" s="12">
        <f t="shared" si="110"/>
        <v>83333.333333333328</v>
      </c>
      <c r="DD34" s="12">
        <f t="shared" si="110"/>
        <v>83333.333333333328</v>
      </c>
      <c r="DE34" s="12">
        <f t="shared" si="110"/>
        <v>83333.333333333328</v>
      </c>
      <c r="DF34" s="388">
        <f t="shared" si="110"/>
        <v>83333.333333333328</v>
      </c>
      <c r="DG34" s="12">
        <f t="shared" si="110"/>
        <v>39500.000000000007</v>
      </c>
      <c r="DH34" s="12">
        <f t="shared" si="110"/>
        <v>39500.000000000007</v>
      </c>
      <c r="DI34" s="12">
        <f t="shared" si="110"/>
        <v>39500.000000000007</v>
      </c>
      <c r="DJ34" s="12">
        <f t="shared" si="110"/>
        <v>47291.666666666664</v>
      </c>
      <c r="DK34" s="12">
        <f t="shared" si="110"/>
        <v>47291.666666666664</v>
      </c>
      <c r="DL34" s="12">
        <f t="shared" si="110"/>
        <v>47291.666666666664</v>
      </c>
      <c r="DM34" s="12">
        <f t="shared" si="110"/>
        <v>77978.260416666672</v>
      </c>
      <c r="DN34" s="12">
        <f t="shared" si="110"/>
        <v>77978.260416666672</v>
      </c>
      <c r="DO34" s="12">
        <f t="shared" si="110"/>
        <v>77978.260416666672</v>
      </c>
      <c r="DP34" s="12">
        <f t="shared" si="110"/>
        <v>77978.260416666672</v>
      </c>
      <c r="DQ34" s="12">
        <f t="shared" si="110"/>
        <v>77978.260416666672</v>
      </c>
      <c r="DR34" s="12">
        <f t="shared" si="110"/>
        <v>77978.260416666672</v>
      </c>
      <c r="DS34" s="12">
        <f t="shared" si="110"/>
        <v>115736.91460055097</v>
      </c>
      <c r="DT34" s="12">
        <f t="shared" si="110"/>
        <v>115736.91460055097</v>
      </c>
      <c r="DU34" s="12">
        <f t="shared" si="110"/>
        <v>115736.91460055097</v>
      </c>
      <c r="DV34" s="12">
        <f t="shared" si="110"/>
        <v>115736.91460055097</v>
      </c>
      <c r="DW34" s="12">
        <f t="shared" si="110"/>
        <v>115736.91460055097</v>
      </c>
      <c r="DX34" s="12">
        <f t="shared" si="110"/>
        <v>115736.91460055097</v>
      </c>
      <c r="DY34" s="12">
        <f t="shared" si="110"/>
        <v>110380.16528925556</v>
      </c>
      <c r="DZ34" s="12">
        <f t="shared" si="110"/>
        <v>110380.16528925556</v>
      </c>
      <c r="EA34" s="12">
        <f t="shared" si="110"/>
        <v>110380.16528925556</v>
      </c>
      <c r="EB34" s="12">
        <f t="shared" si="110"/>
        <v>100000</v>
      </c>
      <c r="EC34" s="12">
        <f t="shared" si="110"/>
        <v>100000</v>
      </c>
      <c r="ED34" s="12">
        <f t="shared" si="110"/>
        <v>100000</v>
      </c>
      <c r="EE34" s="12">
        <f t="shared" si="110"/>
        <v>110000</v>
      </c>
      <c r="EF34" s="12">
        <f t="shared" si="110"/>
        <v>110000</v>
      </c>
      <c r="EG34" s="12">
        <f t="shared" si="110"/>
        <v>110000</v>
      </c>
      <c r="EH34" s="12">
        <f t="shared" si="110"/>
        <v>51666.666666666664</v>
      </c>
      <c r="EI34" s="12">
        <f t="shared" si="110"/>
        <v>51666.666666666664</v>
      </c>
      <c r="EJ34" s="12">
        <f t="shared" si="110"/>
        <v>51666.666666666664</v>
      </c>
      <c r="EK34" s="12">
        <f t="shared" si="110"/>
        <v>51666.666666666664</v>
      </c>
      <c r="EL34" s="12">
        <f t="shared" si="110"/>
        <v>51666.666666666664</v>
      </c>
      <c r="EM34" s="12">
        <f t="shared" si="110"/>
        <v>51666.666666666664</v>
      </c>
      <c r="EN34" s="12">
        <f t="shared" si="110"/>
        <v>51666.666666666664</v>
      </c>
      <c r="EO34" s="12">
        <f t="shared" si="110"/>
        <v>51666.666666666664</v>
      </c>
      <c r="EP34" s="12">
        <v>51666.666666666664</v>
      </c>
      <c r="EQ34" s="12">
        <f t="shared" ref="EQ34:FB34" si="111">EQ13+EQ28</f>
        <v>45000</v>
      </c>
      <c r="ER34" s="451">
        <f t="shared" si="111"/>
        <v>45000</v>
      </c>
      <c r="ES34" s="12">
        <f t="shared" si="111"/>
        <v>45000</v>
      </c>
      <c r="ET34" s="12">
        <f t="shared" si="111"/>
        <v>111666.66666666667</v>
      </c>
      <c r="EU34" s="12">
        <f t="shared" si="111"/>
        <v>111666.66666666667</v>
      </c>
      <c r="EV34" s="12">
        <f t="shared" si="111"/>
        <v>111666.66666666667</v>
      </c>
      <c r="EW34" s="12">
        <f t="shared" si="111"/>
        <v>111666.66666666667</v>
      </c>
      <c r="EX34" s="12">
        <f t="shared" si="111"/>
        <v>111666.66666666667</v>
      </c>
      <c r="EY34" s="12">
        <f t="shared" si="111"/>
        <v>111666.66666666667</v>
      </c>
      <c r="EZ34" s="12">
        <f t="shared" si="111"/>
        <v>111666.66666666667</v>
      </c>
      <c r="FA34" s="12">
        <f t="shared" si="111"/>
        <v>111666.66666666667</v>
      </c>
      <c r="FB34" s="12">
        <f t="shared" si="111"/>
        <v>111666.66666666667</v>
      </c>
    </row>
    <row r="35" spans="2:158" x14ac:dyDescent="0.35">
      <c r="B35" s="398"/>
      <c r="C35" s="398"/>
      <c r="D35" s="398"/>
      <c r="E35" s="398" t="s">
        <v>217</v>
      </c>
      <c r="F35" s="387">
        <f>SUM(K35:N35)</f>
        <v>-302408.43909737753</v>
      </c>
      <c r="G35" s="387">
        <f>SUM(P35:S35)</f>
        <v>-369651.4606399241</v>
      </c>
      <c r="H35" s="387">
        <f t="shared" si="68"/>
        <v>-484721.40805958211</v>
      </c>
      <c r="I35" s="387">
        <f t="shared" si="69"/>
        <v>-556113.84533766028</v>
      </c>
      <c r="J35" s="406"/>
      <c r="K35" s="385">
        <f t="shared" si="52"/>
        <v>-73496.193731541076</v>
      </c>
      <c r="L35" s="385">
        <f t="shared" si="53"/>
        <v>-68133.290487150982</v>
      </c>
      <c r="M35" s="385">
        <f t="shared" si="54"/>
        <v>-66713.092901050681</v>
      </c>
      <c r="N35" s="385">
        <f t="shared" si="55"/>
        <v>-94065.861977634791</v>
      </c>
      <c r="O35" s="385"/>
      <c r="P35" s="385">
        <f t="shared" si="56"/>
        <v>-84184.437787959003</v>
      </c>
      <c r="Q35" s="385">
        <f t="shared" si="57"/>
        <v>-96181.977714739711</v>
      </c>
      <c r="R35" s="385">
        <f t="shared" si="58"/>
        <v>-95925.728013389875</v>
      </c>
      <c r="S35" s="385">
        <f t="shared" si="59"/>
        <v>-93359.317123835499</v>
      </c>
      <c r="T35" s="393"/>
      <c r="U35" s="385">
        <f t="shared" si="91"/>
        <v>-96687.3123532631</v>
      </c>
      <c r="V35" s="385">
        <f t="shared" si="92"/>
        <v>-124051.94643976275</v>
      </c>
      <c r="W35" s="385">
        <f t="shared" si="93"/>
        <v>-132609.90795598028</v>
      </c>
      <c r="X35" s="385">
        <f t="shared" si="94"/>
        <v>-131372.24131057595</v>
      </c>
      <c r="Y35" s="385"/>
      <c r="Z35" s="385">
        <f t="shared" si="74"/>
        <v>-126841.81068748567</v>
      </c>
      <c r="AA35" s="385">
        <f t="shared" si="75"/>
        <v>-134196.21169605732</v>
      </c>
      <c r="AB35" s="385">
        <f t="shared" si="76"/>
        <v>-141938.79025995432</v>
      </c>
      <c r="AC35" s="385">
        <f t="shared" si="77"/>
        <v>-153137.03269416292</v>
      </c>
      <c r="AD35" s="385">
        <f t="shared" si="78"/>
        <v>-152952.79163176665</v>
      </c>
      <c r="AE35" s="385">
        <f t="shared" si="79"/>
        <v>-153171.54897302014</v>
      </c>
      <c r="AF35" s="385">
        <f t="shared" si="80"/>
        <v>-152855.19926853606</v>
      </c>
      <c r="AG35" s="385">
        <f t="shared" si="81"/>
        <v>-151885.91540059456</v>
      </c>
      <c r="AH35" s="385">
        <f t="shared" si="82"/>
        <v>-148940.12587406539</v>
      </c>
      <c r="AI35" s="393"/>
      <c r="AJ35" s="388">
        <f>AJ29</f>
        <v>-24900.918051106466</v>
      </c>
      <c r="AK35" s="388">
        <f t="shared" ref="AK35:AR35" si="112">AK29</f>
        <v>-24218.391661655827</v>
      </c>
      <c r="AL35" s="388">
        <f t="shared" si="112"/>
        <v>-24376.884018778794</v>
      </c>
      <c r="AM35" s="388">
        <f t="shared" si="112"/>
        <v>-24059.386536572245</v>
      </c>
      <c r="AN35" s="388">
        <f t="shared" si="112"/>
        <v>-21670.342823872474</v>
      </c>
      <c r="AO35" s="388">
        <f t="shared" si="112"/>
        <v>-22403.561126706263</v>
      </c>
      <c r="AP35" s="388">
        <f t="shared" si="112"/>
        <v>-22217.300095949016</v>
      </c>
      <c r="AQ35" s="388">
        <f t="shared" si="112"/>
        <v>-22342.236882617406</v>
      </c>
      <c r="AR35" s="388">
        <f t="shared" si="112"/>
        <v>-22153.555922484262</v>
      </c>
      <c r="AS35" s="388">
        <f t="shared" ref="AS35:AV35" si="113">AS29</f>
        <v>-31892.832341808768</v>
      </c>
      <c r="AT35" s="388">
        <f t="shared" si="113"/>
        <v>-31221.91913170509</v>
      </c>
      <c r="AU35" s="388">
        <f t="shared" si="113"/>
        <v>-30951.110504120938</v>
      </c>
      <c r="AV35" s="12">
        <f t="shared" si="113"/>
        <v>-23996.0350233715</v>
      </c>
      <c r="AW35" s="12">
        <f t="shared" ref="AW35:AX35" si="114">AW29</f>
        <v>-29895.833799801901</v>
      </c>
      <c r="AX35" s="12">
        <f t="shared" si="114"/>
        <v>-30292.568964785602</v>
      </c>
      <c r="AY35" s="12">
        <f t="shared" ref="AY35:AZ35" si="115">AY29</f>
        <v>-29026.705582686049</v>
      </c>
      <c r="AZ35" s="12">
        <f t="shared" si="115"/>
        <v>-33649.076451630295</v>
      </c>
      <c r="BA35" s="12">
        <f t="shared" ref="BA35:BF35" si="116">BA29</f>
        <v>-33506.195680423356</v>
      </c>
      <c r="BB35" s="12">
        <f t="shared" si="116"/>
        <v>-33471.993855094777</v>
      </c>
      <c r="BC35" s="12">
        <f t="shared" si="116"/>
        <v>-30947.811403336</v>
      </c>
      <c r="BD35" s="12">
        <f t="shared" si="116"/>
        <v>-31505.922754959101</v>
      </c>
      <c r="BE35" s="12">
        <f t="shared" si="116"/>
        <v>-32291.844719200199</v>
      </c>
      <c r="BF35" s="12">
        <f t="shared" si="116"/>
        <v>-29019.169676633999</v>
      </c>
      <c r="BG35" s="12">
        <f t="shared" ref="BG35:BH35" si="117">BG29</f>
        <v>-32048.302728001301</v>
      </c>
      <c r="BH35" s="12">
        <f t="shared" si="117"/>
        <v>-31712.087398478299</v>
      </c>
      <c r="BI35" s="12">
        <f t="shared" ref="BI35:BJ35" si="118">BI29</f>
        <v>-32414.361387319699</v>
      </c>
      <c r="BJ35" s="12">
        <f t="shared" si="118"/>
        <v>-32560.863567465101</v>
      </c>
      <c r="BK35" s="12">
        <f t="shared" ref="BK35:BL35" si="119">BK29</f>
        <v>-42524.665141918202</v>
      </c>
      <c r="BL35" s="12">
        <f t="shared" si="119"/>
        <v>-42279.096313103801</v>
      </c>
      <c r="BM35" s="12">
        <f t="shared" ref="BM35" si="120">BM29</f>
        <v>-39248.18498474075</v>
      </c>
      <c r="BN35" s="12">
        <v>-42466.819602340991</v>
      </c>
      <c r="BO35" s="511">
        <v>-45126.806100403934</v>
      </c>
      <c r="BP35" s="511">
        <v>-45016.282253235331</v>
      </c>
      <c r="BQ35" s="511">
        <f>BQ29</f>
        <v>-45758.875895255813</v>
      </c>
      <c r="BR35" s="511">
        <v>-43421.053547566175</v>
      </c>
      <c r="BS35" s="511">
        <v>-42192.311867753968</v>
      </c>
      <c r="BT35" s="511">
        <v>-49206.299512020531</v>
      </c>
      <c r="BU35" s="511">
        <v>-50540.178880179825</v>
      </c>
      <c r="BV35" s="511">
        <v>-50884.028735042615</v>
      </c>
      <c r="BW35" s="511">
        <f>BW29</f>
        <v>-51312.92038009625</v>
      </c>
      <c r="BX35" s="511">
        <v>-50940.08357902406</v>
      </c>
      <c r="BY35" s="511">
        <v>-50699.787672646351</v>
      </c>
      <c r="BZ35" s="511">
        <v>-51531.677721349719</v>
      </c>
      <c r="CA35" s="511">
        <v>-50623.733874540005</v>
      </c>
      <c r="CB35" s="511">
        <v>-49730.503804704837</v>
      </c>
      <c r="CC35" s="511">
        <v>-48585.888194820553</v>
      </c>
      <c r="CD35" s="511">
        <v>-42820.642407787935</v>
      </c>
      <c r="CE35" s="511">
        <v>-34714.804955155603</v>
      </c>
      <c r="CF35" s="511">
        <v>-47305.099083143672</v>
      </c>
      <c r="CG35" s="511">
        <v>-48129.321693856764</v>
      </c>
      <c r="CH35" s="511">
        <v>-48154.228572603344</v>
      </c>
      <c r="CI35" s="511">
        <v>-47819.166112401668</v>
      </c>
      <c r="CJ35" s="511">
        <v>-47187.512516991752</v>
      </c>
      <c r="CK35" s="511">
        <f>CK29</f>
        <v>-44083.23285997608</v>
      </c>
      <c r="CL35" s="511">
        <v>-46760.38027009018</v>
      </c>
      <c r="CM35" s="511">
        <v>-49246.062967514365</v>
      </c>
      <c r="CN35" s="511">
        <v>-49710.661181612551</v>
      </c>
      <c r="CO35" s="511">
        <v>-50395.295246589158</v>
      </c>
      <c r="CP35" s="511">
        <v>-54589.186461689533</v>
      </c>
      <c r="CQ35" s="511">
        <v>-54775.644408551103</v>
      </c>
      <c r="CR35" s="511">
        <f>CR29</f>
        <v>-44658.994592028255</v>
      </c>
      <c r="CS35" s="743">
        <v>-43554.857822496968</v>
      </c>
      <c r="CT35" s="511"/>
      <c r="CU35" s="511">
        <v>-49728.5038047048</v>
      </c>
      <c r="CV35" s="511">
        <v>-49727.5038047048</v>
      </c>
      <c r="CW35" s="511">
        <v>-49726.5038047048</v>
      </c>
      <c r="CX35" s="511">
        <v>-49725.5038047048</v>
      </c>
      <c r="CY35" s="511">
        <v>-49724.5038047048</v>
      </c>
      <c r="CZ35" s="511">
        <v>-49723.5038047048</v>
      </c>
      <c r="DA35" s="511">
        <v>-49722.5038047048</v>
      </c>
      <c r="DB35" s="511">
        <v>-49721.5038047048</v>
      </c>
      <c r="DC35" s="511">
        <v>-49720.5038047048</v>
      </c>
      <c r="DD35" s="511">
        <v>-49719.5038047048</v>
      </c>
      <c r="DE35" s="511">
        <v>-49718.5038047048</v>
      </c>
      <c r="DF35" s="388">
        <f t="shared" ref="DF35" si="121">DF29</f>
        <v>-36558.517494042215</v>
      </c>
      <c r="DG35" s="12">
        <v>-33139.452943715492</v>
      </c>
      <c r="DH35" s="388">
        <v>-33140.063515512607</v>
      </c>
      <c r="DI35" s="388">
        <v>-33140.06857173585</v>
      </c>
      <c r="DJ35" s="388">
        <v>-33141.636787704228</v>
      </c>
      <c r="DK35" s="388">
        <v>-33141.641843927464</v>
      </c>
      <c r="DL35" s="388">
        <v>-33141.646900150707</v>
      </c>
      <c r="DM35" s="388">
        <v>-33376.125918144295</v>
      </c>
      <c r="DN35" s="388">
        <v>-33376.13097436753</v>
      </c>
      <c r="DO35" s="388">
        <v>-33141.662068820435</v>
      </c>
      <c r="DP35" s="388">
        <v>-33141.66712504367</v>
      </c>
      <c r="DQ35" s="388">
        <v>-33141.672181266913</v>
      </c>
      <c r="DR35" s="388">
        <v>-33141.677237490156</v>
      </c>
      <c r="DS35" s="12">
        <f>DS29</f>
        <v>-51263.506546930221</v>
      </c>
      <c r="DT35" s="12">
        <f t="shared" ref="DT35:ED35" si="122">DT29</f>
        <v>-51263.506546930221</v>
      </c>
      <c r="DU35" s="12">
        <f t="shared" si="122"/>
        <v>-51252.209597735207</v>
      </c>
      <c r="DV35" s="12">
        <f t="shared" si="122"/>
        <v>-51252.209597735207</v>
      </c>
      <c r="DW35" s="12">
        <f t="shared" si="122"/>
        <v>-51252.209597735207</v>
      </c>
      <c r="DX35" s="12">
        <f t="shared" si="122"/>
        <v>-51252.209597735207</v>
      </c>
      <c r="DY35" s="12">
        <f t="shared" si="122"/>
        <v>-51252.209597735207</v>
      </c>
      <c r="DZ35" s="12">
        <f t="shared" si="122"/>
        <v>-51252.209597735207</v>
      </c>
      <c r="EA35" s="12">
        <f t="shared" si="122"/>
        <v>-51252.209597735207</v>
      </c>
      <c r="EB35" s="12">
        <f t="shared" si="122"/>
        <v>-51252.209597735207</v>
      </c>
      <c r="EC35" s="12">
        <f t="shared" si="122"/>
        <v>-51252.209597735207</v>
      </c>
      <c r="ED35" s="12">
        <f t="shared" si="122"/>
        <v>-51252.209597735207</v>
      </c>
      <c r="EE35" s="12">
        <v>-49404.265235368475</v>
      </c>
      <c r="EF35" s="12">
        <v>-49404.265235368475</v>
      </c>
      <c r="EG35" s="12">
        <v>-49404.265235368475</v>
      </c>
      <c r="EH35" s="12">
        <v>-49404.265235368475</v>
      </c>
      <c r="EI35" s="12">
        <v>-49404.265235368475</v>
      </c>
      <c r="EJ35" s="12">
        <v>-49404.265235368475</v>
      </c>
      <c r="EK35" s="12">
        <v>-49404.265235368475</v>
      </c>
      <c r="EL35" s="12">
        <v>-49404.265235368475</v>
      </c>
      <c r="EM35" s="12">
        <v>-49404.265235368475</v>
      </c>
      <c r="EN35" s="12">
        <v>-49404.265235368475</v>
      </c>
      <c r="EO35" s="12">
        <v>-49404.265235368475</v>
      </c>
      <c r="EP35" s="12">
        <v>-49404.265235368475</v>
      </c>
      <c r="EQ35" s="12">
        <f t="shared" ref="EQ35:FB35" si="123">EQ29</f>
        <v>-43696.136162274779</v>
      </c>
      <c r="ER35" s="451">
        <f t="shared" si="123"/>
        <v>-43184.628812661307</v>
      </c>
      <c r="ES35" s="12">
        <f t="shared" si="123"/>
        <v>-40651.050331670733</v>
      </c>
      <c r="ET35" s="12">
        <f t="shared" si="123"/>
        <v>-43276.036354159973</v>
      </c>
      <c r="EU35" s="12">
        <f t="shared" si="123"/>
        <v>-43276.036354159973</v>
      </c>
      <c r="EV35" s="12">
        <f t="shared" si="123"/>
        <v>-43276.036354159973</v>
      </c>
      <c r="EW35" s="12">
        <f t="shared" si="123"/>
        <v>-43112.869973457033</v>
      </c>
      <c r="EX35" s="12">
        <f t="shared" si="123"/>
        <v>-43112.869973457033</v>
      </c>
      <c r="EY35" s="12">
        <f t="shared" si="123"/>
        <v>-43112.869973457033</v>
      </c>
      <c r="EZ35" s="12">
        <f t="shared" si="123"/>
        <v>-42170.203368708288</v>
      </c>
      <c r="FA35" s="12">
        <f t="shared" si="123"/>
        <v>-42170.203368708288</v>
      </c>
      <c r="FB35" s="12">
        <f t="shared" si="123"/>
        <v>-42170.203368708288</v>
      </c>
    </row>
    <row r="36" spans="2:158" x14ac:dyDescent="0.35">
      <c r="F36" s="387"/>
      <c r="G36" s="387"/>
      <c r="H36" s="387"/>
      <c r="I36" s="406"/>
      <c r="J36" s="406"/>
      <c r="K36" s="393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93"/>
      <c r="Y36" s="393"/>
      <c r="Z36" s="393"/>
      <c r="AA36" s="393"/>
      <c r="AB36" s="393"/>
      <c r="AC36" s="393"/>
      <c r="AD36" s="393"/>
      <c r="AE36" s="393"/>
      <c r="AF36" s="393"/>
      <c r="AG36" s="393"/>
      <c r="AH36" s="393"/>
      <c r="AI36" s="393"/>
      <c r="AJ36" s="393"/>
      <c r="AK36" s="393"/>
      <c r="AL36" s="393"/>
      <c r="AM36" s="393"/>
      <c r="AN36" s="393"/>
      <c r="AO36" s="393"/>
      <c r="AP36" s="393"/>
      <c r="AQ36" s="393"/>
      <c r="AR36" s="393"/>
      <c r="AS36" s="393"/>
      <c r="AT36" s="393"/>
      <c r="AU36" s="393"/>
      <c r="AV36" s="44"/>
      <c r="AW36" s="44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 s="487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 s="54"/>
      <c r="CL36" s="54"/>
      <c r="CM36" s="54"/>
      <c r="CN36" s="54"/>
      <c r="CO36" s="54"/>
      <c r="CP36" s="54"/>
      <c r="CQ36" s="54"/>
      <c r="CR36" s="54"/>
      <c r="CS36" s="749"/>
      <c r="CU36"/>
      <c r="CV36"/>
      <c r="CW36"/>
      <c r="CX36"/>
      <c r="CY36"/>
      <c r="CZ36"/>
      <c r="DA36"/>
      <c r="DB36"/>
      <c r="DC36"/>
      <c r="DD36"/>
      <c r="DE36"/>
      <c r="DF36" s="388"/>
      <c r="DG36" s="12"/>
      <c r="DH36" s="388"/>
      <c r="DI36" s="388"/>
      <c r="DJ36" s="388"/>
      <c r="DK36" s="388"/>
      <c r="DL36" s="388"/>
      <c r="DM36" s="388"/>
      <c r="DN36" s="388"/>
      <c r="DO36" s="388"/>
      <c r="DP36" s="388"/>
      <c r="DQ36" s="388"/>
      <c r="DR36" s="388"/>
      <c r="DS36" s="12"/>
      <c r="DT36" s="12"/>
      <c r="DU36" s="12"/>
      <c r="DV36" s="12"/>
      <c r="DW36" s="12"/>
      <c r="DX36" s="12"/>
      <c r="DY36" s="12"/>
      <c r="DZ36" s="12"/>
      <c r="EA36" s="12"/>
      <c r="EB36" s="12"/>
      <c r="EC36" s="12"/>
      <c r="ED36" s="12"/>
      <c r="EE36"/>
      <c r="EF36"/>
      <c r="EG36"/>
      <c r="EH36"/>
      <c r="EI36"/>
      <c r="EJ36"/>
      <c r="EL36"/>
      <c r="EM36"/>
      <c r="EN36"/>
      <c r="EO36"/>
      <c r="EP36"/>
      <c r="EQ36"/>
      <c r="ER36" s="384"/>
      <c r="ES36"/>
      <c r="ET36"/>
      <c r="EU36"/>
      <c r="EV36"/>
      <c r="EW36"/>
      <c r="EX36"/>
      <c r="EY36"/>
      <c r="EZ36"/>
      <c r="FA36"/>
      <c r="FB36"/>
    </row>
    <row r="37" spans="2:158" x14ac:dyDescent="0.35">
      <c r="B37" s="407"/>
      <c r="C37" s="407"/>
      <c r="D37" s="408" t="s">
        <v>105</v>
      </c>
      <c r="E37" s="407"/>
      <c r="F37" s="387"/>
      <c r="G37" s="387"/>
      <c r="H37" s="387"/>
      <c r="I37" s="406"/>
      <c r="J37" s="406"/>
      <c r="K37" s="393"/>
      <c r="L37" s="393"/>
      <c r="M37" s="393"/>
      <c r="N37" s="393"/>
      <c r="O37" s="393"/>
      <c r="P37" s="393"/>
      <c r="Q37" s="393"/>
      <c r="R37" s="393"/>
      <c r="S37" s="393"/>
      <c r="T37" s="393"/>
      <c r="U37" s="393"/>
      <c r="V37" s="393"/>
      <c r="W37" s="393"/>
      <c r="X37" s="393"/>
      <c r="Y37" s="393"/>
      <c r="Z37" s="393"/>
      <c r="AA37" s="393"/>
      <c r="AB37" s="393"/>
      <c r="AC37" s="393"/>
      <c r="AD37" s="393"/>
      <c r="AE37" s="393"/>
      <c r="AF37" s="393"/>
      <c r="AG37" s="393"/>
      <c r="AH37" s="393"/>
      <c r="AI37" s="393"/>
      <c r="AJ37" s="393"/>
      <c r="AK37" s="393"/>
      <c r="AL37" s="393"/>
      <c r="AM37" s="393"/>
      <c r="AN37" s="393"/>
      <c r="AO37" s="393"/>
      <c r="AP37" s="393"/>
      <c r="AQ37" s="393"/>
      <c r="AR37" s="393"/>
      <c r="AS37" s="393"/>
      <c r="AT37" s="393"/>
      <c r="AU37" s="393"/>
      <c r="AV37" s="44"/>
      <c r="AW37" s="44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 s="48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 s="79"/>
      <c r="CU37"/>
      <c r="CV37"/>
      <c r="CW37"/>
      <c r="CX37"/>
      <c r="CY37"/>
      <c r="CZ37"/>
      <c r="DA37"/>
      <c r="DB37"/>
      <c r="DC37"/>
      <c r="DD37"/>
      <c r="DE37"/>
      <c r="DF37" s="388"/>
      <c r="DG37" s="12"/>
      <c r="DH37" s="388"/>
      <c r="DI37" s="388"/>
      <c r="DJ37" s="388"/>
      <c r="DK37" s="388"/>
      <c r="DL37" s="388"/>
      <c r="DM37" s="388"/>
      <c r="DN37" s="388"/>
      <c r="DO37" s="388"/>
      <c r="DP37" s="388"/>
      <c r="DQ37" s="388"/>
      <c r="DR37" s="388"/>
      <c r="DS37" s="12"/>
      <c r="DT37" s="12"/>
      <c r="DU37" s="12"/>
      <c r="DV37" s="12"/>
      <c r="DW37" s="12"/>
      <c r="DX37" s="12"/>
      <c r="DY37" s="12"/>
      <c r="DZ37" s="12"/>
      <c r="EA37" s="12"/>
      <c r="EB37" s="12"/>
      <c r="EC37" s="12"/>
      <c r="ED37" s="12"/>
      <c r="EE37"/>
      <c r="EF37"/>
      <c r="EG37"/>
      <c r="EH37"/>
      <c r="EI37"/>
      <c r="EJ37"/>
      <c r="EL37"/>
      <c r="EM37"/>
      <c r="EN37"/>
      <c r="EO37"/>
      <c r="EP37"/>
      <c r="EQ37"/>
      <c r="ER37" s="384"/>
      <c r="ES37"/>
      <c r="ET37"/>
      <c r="EU37"/>
      <c r="EV37"/>
      <c r="EW37"/>
      <c r="EX37"/>
      <c r="EY37"/>
      <c r="EZ37"/>
      <c r="FA37"/>
      <c r="FB37"/>
    </row>
    <row r="38" spans="2:158" x14ac:dyDescent="0.35">
      <c r="B38" s="407"/>
      <c r="C38" s="407"/>
      <c r="D38" s="407"/>
      <c r="E38" s="407" t="s">
        <v>9</v>
      </c>
      <c r="F38" s="409">
        <f>IFERROR(F32/F6,"")</f>
        <v>0.48711942061224328</v>
      </c>
      <c r="G38" s="409">
        <f>IFERROR(G32/G6,"")</f>
        <v>0.4694860297876105</v>
      </c>
      <c r="H38" s="409">
        <f>IFERROR(H32/H6,"")</f>
        <v>0.51336729617014276</v>
      </c>
      <c r="I38" s="409">
        <f>IFERROR(I32/I6,"")</f>
        <v>0.50751171469251877</v>
      </c>
      <c r="J38" s="406"/>
      <c r="K38" s="409">
        <f>IFERROR(K32/K6,"")</f>
        <v>0.51253567136679601</v>
      </c>
      <c r="L38" s="409">
        <f>IFERROR(L32/L6,"")</f>
        <v>0.48982505752199973</v>
      </c>
      <c r="M38" s="409">
        <f>IFERROR(M32/M6,"")</f>
        <v>0.47151692170457471</v>
      </c>
      <c r="N38" s="409">
        <f>IFERROR(N32/N6,"")</f>
        <v>0.48011551756041015</v>
      </c>
      <c r="O38" s="409"/>
      <c r="P38" s="409">
        <f>IFERROR(P32/P6,"")</f>
        <v>0.48317717894499557</v>
      </c>
      <c r="Q38" s="409">
        <f>IFERROR(Q32/Q6,"")</f>
        <v>0.46106447107983678</v>
      </c>
      <c r="R38" s="409">
        <f>IFERROR(R32/R6,"")</f>
        <v>0.43805730536469351</v>
      </c>
      <c r="S38" s="409">
        <f>IFERROR(S32/S6,"")</f>
        <v>0.49530524510251461</v>
      </c>
      <c r="T38" s="409"/>
      <c r="U38" s="409">
        <f>IFERROR(U32/U6,"")</f>
        <v>0.52730775878636427</v>
      </c>
      <c r="V38" s="409">
        <f>IFERROR(V32/V6,"")</f>
        <v>0.50963027080948653</v>
      </c>
      <c r="W38" s="409">
        <f>IFERROR(W32/W6,"")</f>
        <v>0.49909374665177791</v>
      </c>
      <c r="X38" s="409">
        <f>IFERROR(X32/X6,"")</f>
        <v>0.51767049027662582</v>
      </c>
      <c r="Y38" s="409"/>
      <c r="Z38" s="409">
        <f>IFERROR(Z32/Z6,"")</f>
        <v>0.46806695593926162</v>
      </c>
      <c r="AA38" s="409">
        <f>IFERROR(AA32/AA6,"")</f>
        <v>0.49593593263442493</v>
      </c>
      <c r="AB38" s="409">
        <f>IFERROR(AB32/AB6,"")</f>
        <v>0.53925461335113734</v>
      </c>
      <c r="AC38" s="409">
        <f>IFERROR(AC32/AC6,"")</f>
        <v>0.52804063071965901</v>
      </c>
      <c r="AD38" s="409" t="str">
        <f t="shared" ref="AD38:AH38" si="124">IFERROR(AD32/AD6,"")</f>
        <v/>
      </c>
      <c r="AE38" s="409">
        <f t="shared" si="124"/>
        <v>0.50352752732800099</v>
      </c>
      <c r="AF38" s="409">
        <f t="shared" si="124"/>
        <v>0.49174002160501962</v>
      </c>
      <c r="AG38" s="409">
        <f t="shared" si="124"/>
        <v>0.4483535358774004</v>
      </c>
      <c r="AH38" s="409">
        <f t="shared" si="124"/>
        <v>0.4160497138971907</v>
      </c>
      <c r="AI38" s="393"/>
      <c r="AJ38" s="409">
        <f t="shared" ref="AJ38:AR38" si="125">AJ32/AJ6</f>
        <v>0.51524233554274546</v>
      </c>
      <c r="AK38" s="409">
        <f t="shared" si="125"/>
        <v>0.52687093251055428</v>
      </c>
      <c r="AL38" s="409">
        <f t="shared" si="125"/>
        <v>0.49586324850717567</v>
      </c>
      <c r="AM38" s="409">
        <f t="shared" si="125"/>
        <v>0.48014921045386799</v>
      </c>
      <c r="AN38" s="409">
        <f t="shared" si="125"/>
        <v>0.50449554292510179</v>
      </c>
      <c r="AO38" s="409">
        <f t="shared" si="125"/>
        <v>0.48521315156693368</v>
      </c>
      <c r="AP38" s="409">
        <f t="shared" si="125"/>
        <v>0.47745469177047173</v>
      </c>
      <c r="AQ38" s="409">
        <f t="shared" si="125"/>
        <v>0.48345154156497455</v>
      </c>
      <c r="AR38" s="409">
        <f t="shared" si="125"/>
        <v>0.45408612616550664</v>
      </c>
      <c r="AS38" s="409">
        <f>IFERROR(AS32/AS6,"")</f>
        <v>0.4668652181494784</v>
      </c>
      <c r="AT38" s="409">
        <f>IFERROR(AT32/AT6,"")</f>
        <v>0.47526402624945174</v>
      </c>
      <c r="AU38" s="409">
        <f>IFERROR(AU32/AU6,"")</f>
        <v>0.49849167794956339</v>
      </c>
      <c r="AV38" s="50">
        <f t="shared" ref="AV38:CI38" si="126">AV32/AV6</f>
        <v>0.48971850777126247</v>
      </c>
      <c r="AW38" s="50">
        <f t="shared" si="126"/>
        <v>0.48952384151882206</v>
      </c>
      <c r="AX38" s="50">
        <f t="shared" si="126"/>
        <v>0.47051070754523638</v>
      </c>
      <c r="AY38" s="50">
        <f t="shared" si="126"/>
        <v>0.47637423969141085</v>
      </c>
      <c r="AZ38" s="50">
        <f t="shared" si="126"/>
        <v>0.45641397260801075</v>
      </c>
      <c r="BA38" s="50">
        <f t="shared" si="126"/>
        <v>0.4510043431767442</v>
      </c>
      <c r="BB38" s="50">
        <f t="shared" si="126"/>
        <v>0.42658454738467083</v>
      </c>
      <c r="BC38" s="50">
        <f t="shared" si="126"/>
        <v>0.442702199411733</v>
      </c>
      <c r="BD38" s="50">
        <f t="shared" si="126"/>
        <v>0.44455388239657279</v>
      </c>
      <c r="BE38" s="50">
        <f t="shared" si="126"/>
        <v>0.4832136845796734</v>
      </c>
      <c r="BF38" s="50">
        <f t="shared" si="126"/>
        <v>0.47559082480888176</v>
      </c>
      <c r="BG38" s="50">
        <f t="shared" si="126"/>
        <v>0.52699606790619002</v>
      </c>
      <c r="BH38" s="50">
        <f t="shared" si="126"/>
        <v>0.53055856784010191</v>
      </c>
      <c r="BI38" s="50">
        <f t="shared" si="126"/>
        <v>0.54571414859243506</v>
      </c>
      <c r="BJ38" s="50">
        <f t="shared" si="126"/>
        <v>0.50613840804512944</v>
      </c>
      <c r="BK38" s="50">
        <f t="shared" si="126"/>
        <v>0.52610070337863224</v>
      </c>
      <c r="BL38" s="50">
        <f t="shared" si="126"/>
        <v>0.50919201769005851</v>
      </c>
      <c r="BM38" s="50">
        <f t="shared" si="126"/>
        <v>0.49370452463004466</v>
      </c>
      <c r="BN38" s="50">
        <f t="shared" si="126"/>
        <v>0.48607887023652951</v>
      </c>
      <c r="BO38" s="50">
        <f t="shared" si="126"/>
        <v>0.49364468727662064</v>
      </c>
      <c r="BP38" s="50">
        <f t="shared" si="126"/>
        <v>0.51714487506923768</v>
      </c>
      <c r="BQ38" s="50">
        <f t="shared" si="126"/>
        <v>0.50269639515544617</v>
      </c>
      <c r="BR38" s="50">
        <f t="shared" si="126"/>
        <v>0.50912955106774094</v>
      </c>
      <c r="BS38" s="50">
        <f t="shared" si="126"/>
        <v>0.54031282838893557</v>
      </c>
      <c r="BT38" s="549">
        <f t="shared" si="126"/>
        <v>0.53503233038625753</v>
      </c>
      <c r="BU38" s="50">
        <f t="shared" si="126"/>
        <v>0.51927195264381232</v>
      </c>
      <c r="BV38" s="50">
        <f t="shared" si="126"/>
        <v>0.51052776122121357</v>
      </c>
      <c r="BW38" s="50">
        <f t="shared" si="126"/>
        <v>0.51238170797683491</v>
      </c>
      <c r="BX38" s="50">
        <f t="shared" si="126"/>
        <v>0.50381880956179059</v>
      </c>
      <c r="BY38" s="50">
        <f t="shared" si="126"/>
        <v>0.48737706328786723</v>
      </c>
      <c r="BZ38" s="50">
        <f t="shared" si="126"/>
        <v>0.49464686638517485</v>
      </c>
      <c r="CA38" s="50">
        <f t="shared" si="126"/>
        <v>0.4777159420112887</v>
      </c>
      <c r="CB38" s="50">
        <f t="shared" si="126"/>
        <v>0.4629871606195673</v>
      </c>
      <c r="CC38" s="50">
        <f t="shared" si="126"/>
        <v>0.45041125934481507</v>
      </c>
      <c r="CD38" s="50">
        <f t="shared" si="126"/>
        <v>0.4778358283244451</v>
      </c>
      <c r="CE38" s="50">
        <f t="shared" si="126"/>
        <v>0.43311993233001506</v>
      </c>
      <c r="CF38" s="50">
        <f t="shared" si="126"/>
        <v>0.48362445942473098</v>
      </c>
      <c r="CG38" s="50">
        <f t="shared" si="126"/>
        <v>0.45973401863640551</v>
      </c>
      <c r="CH38" s="50">
        <f t="shared" si="126"/>
        <v>0.48174797842573952</v>
      </c>
      <c r="CI38" s="50">
        <f t="shared" si="126"/>
        <v>0.46185308155260452</v>
      </c>
      <c r="CJ38" s="50">
        <f t="shared" ref="CJ38:CK38" si="127">CJ32/CJ6</f>
        <v>0.46410910229749802</v>
      </c>
      <c r="CK38" s="50">
        <f t="shared" si="127"/>
        <v>0.46898615220475559</v>
      </c>
      <c r="CL38" s="50">
        <f t="shared" ref="CL38" si="128">CL32/CL6</f>
        <v>0.4831022189907932</v>
      </c>
      <c r="CM38" s="50">
        <f t="shared" ref="CM38:CR38" si="129">CM32/CM6</f>
        <v>0.46809446827871176</v>
      </c>
      <c r="CN38" s="50">
        <f t="shared" si="129"/>
        <v>0.48239636809303688</v>
      </c>
      <c r="CO38" s="50">
        <f t="shared" si="129"/>
        <v>0.46195816724041971</v>
      </c>
      <c r="CP38" s="50">
        <f t="shared" si="129"/>
        <v>0.50437785285528758</v>
      </c>
      <c r="CQ38" s="50">
        <f t="shared" si="129"/>
        <v>0.47601888402916032</v>
      </c>
      <c r="CR38" s="50">
        <f t="shared" si="129"/>
        <v>0.47260760965550902</v>
      </c>
      <c r="CS38" s="748">
        <f t="shared" ref="CS38" si="130">CS32/CS6</f>
        <v>0.51268050767878737</v>
      </c>
      <c r="CT38" s="50"/>
      <c r="CU38" s="50">
        <f t="shared" ref="CU38:EO38" si="131">CU32/CU6</f>
        <v>0.49292682926829273</v>
      </c>
      <c r="CV38" s="50">
        <f t="shared" si="131"/>
        <v>0.49292682926829273</v>
      </c>
      <c r="CW38" s="50">
        <f t="shared" si="131"/>
        <v>0.49292682926829273</v>
      </c>
      <c r="CX38" s="50">
        <f t="shared" si="131"/>
        <v>0.49292682926829268</v>
      </c>
      <c r="CY38" s="50">
        <f t="shared" si="131"/>
        <v>0.49292682926829268</v>
      </c>
      <c r="CZ38" s="50">
        <f t="shared" si="131"/>
        <v>0.49292682926829268</v>
      </c>
      <c r="DA38" s="50">
        <f t="shared" si="131"/>
        <v>0.49292682926829268</v>
      </c>
      <c r="DB38" s="50">
        <f t="shared" si="131"/>
        <v>0.49292682926829268</v>
      </c>
      <c r="DC38" s="50">
        <f t="shared" si="131"/>
        <v>0.49292682926829268</v>
      </c>
      <c r="DD38" s="50">
        <f t="shared" si="131"/>
        <v>0.49292682926829268</v>
      </c>
      <c r="DE38" s="50">
        <f t="shared" si="131"/>
        <v>0.49292682926829268</v>
      </c>
      <c r="DF38" s="409">
        <f t="shared" si="131"/>
        <v>0.49292682926829268</v>
      </c>
      <c r="DG38" s="50">
        <f t="shared" si="131"/>
        <v>0.4526672481297635</v>
      </c>
      <c r="DH38" s="50">
        <f t="shared" si="131"/>
        <v>0.4526672481297635</v>
      </c>
      <c r="DI38" s="50">
        <f t="shared" si="131"/>
        <v>0.4526672481297635</v>
      </c>
      <c r="DJ38" s="50">
        <f t="shared" si="131"/>
        <v>0.46107186444512804</v>
      </c>
      <c r="DK38" s="50">
        <f t="shared" si="131"/>
        <v>0.46107186444512804</v>
      </c>
      <c r="DL38" s="50">
        <f t="shared" si="131"/>
        <v>0.46107186444512804</v>
      </c>
      <c r="DM38" s="50">
        <f t="shared" si="131"/>
        <v>0.46304897957867763</v>
      </c>
      <c r="DN38" s="50">
        <f t="shared" si="131"/>
        <v>0.46304897957867763</v>
      </c>
      <c r="DO38" s="50">
        <f t="shared" si="131"/>
        <v>0.46304897957867763</v>
      </c>
      <c r="DP38" s="50">
        <f t="shared" si="131"/>
        <v>0.44632681411273717</v>
      </c>
      <c r="DQ38" s="50">
        <f t="shared" si="131"/>
        <v>0.44632681411273717</v>
      </c>
      <c r="DR38" s="50">
        <f t="shared" si="131"/>
        <v>0.44632681411273717</v>
      </c>
      <c r="DS38" s="50">
        <f t="shared" si="131"/>
        <v>0.51803827942886038</v>
      </c>
      <c r="DT38" s="50">
        <f t="shared" si="131"/>
        <v>0.51803827942886038</v>
      </c>
      <c r="DU38" s="50">
        <f t="shared" si="131"/>
        <v>0.51803827942886038</v>
      </c>
      <c r="DV38" s="50">
        <f t="shared" si="131"/>
        <v>0.51175582808769682</v>
      </c>
      <c r="DW38" s="50">
        <f t="shared" si="131"/>
        <v>0.51175582808769682</v>
      </c>
      <c r="DX38" s="50">
        <f t="shared" si="131"/>
        <v>0.51175582808769682</v>
      </c>
      <c r="DY38" s="50">
        <f t="shared" si="131"/>
        <v>0.50459934392072703</v>
      </c>
      <c r="DZ38" s="50">
        <f t="shared" si="131"/>
        <v>0.50459934392072703</v>
      </c>
      <c r="EA38" s="50">
        <f t="shared" si="131"/>
        <v>0.50459934392072703</v>
      </c>
      <c r="EB38" s="50">
        <f t="shared" si="131"/>
        <v>0.51471269747299531</v>
      </c>
      <c r="EC38" s="50">
        <f t="shared" si="131"/>
        <v>0.51471269747299531</v>
      </c>
      <c r="ED38" s="50">
        <f t="shared" si="131"/>
        <v>0.51471269747299531</v>
      </c>
      <c r="EE38" s="50">
        <f t="shared" si="131"/>
        <v>0.51341676328940011</v>
      </c>
      <c r="EF38" s="50">
        <f t="shared" si="131"/>
        <v>0.51341676328940011</v>
      </c>
      <c r="EG38" s="50">
        <f t="shared" si="131"/>
        <v>0.51341676328940011</v>
      </c>
      <c r="EH38" s="50">
        <f t="shared" si="131"/>
        <v>0.5129435643917688</v>
      </c>
      <c r="EI38" s="50">
        <f t="shared" si="131"/>
        <v>0.5129435643917688</v>
      </c>
      <c r="EJ38" s="50">
        <f t="shared" si="131"/>
        <v>0.5129435643917688</v>
      </c>
      <c r="EK38" s="50">
        <f t="shared" si="131"/>
        <v>0.5188005163857754</v>
      </c>
      <c r="EL38" s="50">
        <f t="shared" si="131"/>
        <v>0.5188005163857754</v>
      </c>
      <c r="EM38" s="50">
        <f t="shared" si="131"/>
        <v>0.5188005163857754</v>
      </c>
      <c r="EN38" s="50">
        <f t="shared" si="131"/>
        <v>0.5377790669180923</v>
      </c>
      <c r="EO38" s="50">
        <f t="shared" si="131"/>
        <v>0.5377790669180923</v>
      </c>
      <c r="EP38" s="50">
        <v>0.5377790669180923</v>
      </c>
      <c r="EQ38" s="50">
        <f t="shared" ref="EQ38:FB38" si="132">EQ32/EQ6</f>
        <v>0.48325691712724678</v>
      </c>
      <c r="ER38" s="452">
        <f t="shared" si="132"/>
        <v>0.48325691712724678</v>
      </c>
      <c r="ES38" s="50">
        <f t="shared" si="132"/>
        <v>0.48325691712724678</v>
      </c>
      <c r="ET38" s="50">
        <f t="shared" si="132"/>
        <v>0.47539028255489268</v>
      </c>
      <c r="EU38" s="50">
        <f t="shared" si="132"/>
        <v>0.47539028255489268</v>
      </c>
      <c r="EV38" s="50">
        <f t="shared" si="132"/>
        <v>0.47539028255489268</v>
      </c>
      <c r="EW38" s="50">
        <f t="shared" si="132"/>
        <v>0.47339550982001238</v>
      </c>
      <c r="EX38" s="50">
        <f t="shared" si="132"/>
        <v>0.47339550982001238</v>
      </c>
      <c r="EY38" s="50">
        <f t="shared" si="132"/>
        <v>0.47339550982001238</v>
      </c>
      <c r="EZ38" s="50">
        <f t="shared" si="132"/>
        <v>0.47370717614465968</v>
      </c>
      <c r="FA38" s="50">
        <f t="shared" si="132"/>
        <v>0.47370717614465968</v>
      </c>
      <c r="FB38" s="50">
        <f t="shared" si="132"/>
        <v>0.47370717614465968</v>
      </c>
    </row>
    <row r="39" spans="2:158" x14ac:dyDescent="0.35">
      <c r="B39" s="407"/>
      <c r="C39" s="407"/>
      <c r="D39" s="407"/>
      <c r="E39" s="407" t="s">
        <v>10</v>
      </c>
      <c r="F39" s="409">
        <f t="shared" ref="F39:I40" si="133">IFERROR(F33/F12,"")</f>
        <v>0.33683699915270515</v>
      </c>
      <c r="G39" s="409">
        <f t="shared" si="133"/>
        <v>0.31842569197763188</v>
      </c>
      <c r="H39" s="409">
        <f t="shared" si="133"/>
        <v>0.39330040402588734</v>
      </c>
      <c r="I39" s="409">
        <f t="shared" si="133"/>
        <v>0.56819933722017235</v>
      </c>
      <c r="J39" s="410"/>
      <c r="K39" s="409">
        <f t="shared" ref="K39:N40" si="134">IFERROR(K33/K12,"")</f>
        <v>0.40239633346400927</v>
      </c>
      <c r="L39" s="409">
        <f t="shared" si="134"/>
        <v>0.35072135567826984</v>
      </c>
      <c r="M39" s="409">
        <f t="shared" si="134"/>
        <v>0.28857176027617648</v>
      </c>
      <c r="N39" s="409">
        <f t="shared" si="134"/>
        <v>0.33933089508839731</v>
      </c>
      <c r="O39" s="409"/>
      <c r="P39" s="409">
        <f t="shared" ref="P39:S40" si="135">IFERROR(P33/P12,"")</f>
        <v>0.37651891611355837</v>
      </c>
      <c r="Q39" s="409">
        <f t="shared" si="135"/>
        <v>0.3061300818052235</v>
      </c>
      <c r="R39" s="409">
        <f t="shared" si="135"/>
        <v>0.2804192444892164</v>
      </c>
      <c r="S39" s="409">
        <f t="shared" si="135"/>
        <v>0.33932048830587846</v>
      </c>
      <c r="T39" s="409"/>
      <c r="U39" s="409">
        <f t="shared" ref="U39:X40" si="136">IFERROR(U33/U12,"")</f>
        <v>0.33229068391658911</v>
      </c>
      <c r="V39" s="409">
        <f t="shared" si="136"/>
        <v>0.49078301103109001</v>
      </c>
      <c r="W39" s="409">
        <f t="shared" si="136"/>
        <v>0.36876979268122767</v>
      </c>
      <c r="X39" s="409">
        <f t="shared" si="136"/>
        <v>0.3682623985358674</v>
      </c>
      <c r="Y39" s="409"/>
      <c r="Z39" s="409">
        <f t="shared" ref="Z39:AC40" si="137">IFERROR(Z33/Z12,"")</f>
        <v>0.57467229464553171</v>
      </c>
      <c r="AA39" s="409">
        <f t="shared" si="137"/>
        <v>0.41054222875356361</v>
      </c>
      <c r="AB39" s="409">
        <f t="shared" si="137"/>
        <v>0.55244958842110048</v>
      </c>
      <c r="AC39" s="409">
        <f t="shared" si="137"/>
        <v>0.87617166668431845</v>
      </c>
      <c r="AD39" s="409" t="str">
        <f t="shared" ref="AD39:AH39" si="138">IFERROR(AD33/AD12,"")</f>
        <v/>
      </c>
      <c r="AE39" s="409">
        <f t="shared" si="138"/>
        <v>0.63581433902272655</v>
      </c>
      <c r="AF39" s="409">
        <f t="shared" si="138"/>
        <v>0.39031182431327816</v>
      </c>
      <c r="AG39" s="409">
        <f t="shared" si="138"/>
        <v>6.4531206876322952E-2</v>
      </c>
      <c r="AH39" s="409">
        <f t="shared" si="138"/>
        <v>0.22924186466643645</v>
      </c>
      <c r="AI39" s="393"/>
      <c r="AJ39" s="409">
        <f t="shared" ref="AJ39:AR39" si="139">AJ33/AJ12</f>
        <v>0.37009238684016882</v>
      </c>
      <c r="AK39" s="409">
        <f t="shared" si="139"/>
        <v>0.53091297485867939</v>
      </c>
      <c r="AL39" s="409">
        <f t="shared" si="139"/>
        <v>0.50191709043809785</v>
      </c>
      <c r="AM39" s="409">
        <f t="shared" si="139"/>
        <v>0.51261405143220529</v>
      </c>
      <c r="AN39" s="409">
        <f t="shared" si="139"/>
        <v>0.33199035593018494</v>
      </c>
      <c r="AO39" s="409">
        <f t="shared" si="139"/>
        <v>0.34530300468463659</v>
      </c>
      <c r="AP39" s="409">
        <f t="shared" si="139"/>
        <v>0.28552085074172029</v>
      </c>
      <c r="AQ39" s="409">
        <f t="shared" si="139"/>
        <v>0.24202914311841423</v>
      </c>
      <c r="AR39" s="409">
        <f t="shared" si="139"/>
        <v>0.45358064960821942</v>
      </c>
      <c r="AS39" s="409">
        <f t="shared" ref="AS39:AU40" si="140">IFERROR(AS33/AS12,"")</f>
        <v>0.55140591044973686</v>
      </c>
      <c r="AT39" s="409">
        <f t="shared" si="140"/>
        <v>0.47515868503196906</v>
      </c>
      <c r="AU39" s="409">
        <f t="shared" si="140"/>
        <v>0.25389745439577183</v>
      </c>
      <c r="AV39" s="50">
        <f t="shared" ref="AV39:CI39" si="141">AV33/AV12</f>
        <v>0.51094805359815343</v>
      </c>
      <c r="AW39" s="50">
        <f t="shared" si="141"/>
        <v>0.47710422224266391</v>
      </c>
      <c r="AX39" s="50">
        <f t="shared" si="141"/>
        <v>0.34411310120880884</v>
      </c>
      <c r="AY39" s="50">
        <f t="shared" si="141"/>
        <v>0.18702543877546687</v>
      </c>
      <c r="AZ39" s="50">
        <f t="shared" si="141"/>
        <v>0.38173567409719128</v>
      </c>
      <c r="BA39" s="50">
        <f t="shared" si="141"/>
        <v>0.66177381890842568</v>
      </c>
      <c r="BB39" s="50">
        <f t="shared" si="141"/>
        <v>0.57768187327499598</v>
      </c>
      <c r="BC39" s="50">
        <f t="shared" si="141"/>
        <v>0.34079552499250865</v>
      </c>
      <c r="BD39" s="50">
        <f t="shared" si="141"/>
        <v>0.22605277495977241</v>
      </c>
      <c r="BE39" s="50">
        <f t="shared" si="141"/>
        <v>0.66016003177466476</v>
      </c>
      <c r="BF39" s="50">
        <f t="shared" si="141"/>
        <v>0.37388859185330403</v>
      </c>
      <c r="BG39" s="50">
        <f t="shared" si="141"/>
        <v>0.31926560968695933</v>
      </c>
      <c r="BH39" s="50">
        <f t="shared" si="141"/>
        <v>0.53649694198380993</v>
      </c>
      <c r="BI39" s="50">
        <f t="shared" si="141"/>
        <v>0.19608780915941587</v>
      </c>
      <c r="BJ39" s="50">
        <f t="shared" si="141"/>
        <v>0.30970008368928431</v>
      </c>
      <c r="BK39" s="50">
        <f t="shared" si="141"/>
        <v>0.6033455424258316</v>
      </c>
      <c r="BL39" s="50">
        <f t="shared" si="141"/>
        <v>0.58389932309041181</v>
      </c>
      <c r="BM39" s="50">
        <f t="shared" si="141"/>
        <v>0.40690439254223187</v>
      </c>
      <c r="BN39" s="50">
        <f t="shared" si="141"/>
        <v>0.33197278642189743</v>
      </c>
      <c r="BO39" s="50">
        <f t="shared" si="141"/>
        <v>0.38380604413825503</v>
      </c>
      <c r="BP39" s="50">
        <f t="shared" si="141"/>
        <v>0.65538683216591631</v>
      </c>
      <c r="BQ39" s="50">
        <f t="shared" si="141"/>
        <v>0.40317906673012832</v>
      </c>
      <c r="BR39" s="50">
        <f t="shared" si="141"/>
        <v>0.32405363508117307</v>
      </c>
      <c r="BS39" s="50">
        <f t="shared" si="141"/>
        <v>0.37107030791915269</v>
      </c>
      <c r="BT39" s="549">
        <f t="shared" si="141"/>
        <v>0.22436378040288166</v>
      </c>
      <c r="BU39" s="50">
        <f t="shared" si="141"/>
        <v>0.44934614963131947</v>
      </c>
      <c r="BV39" s="50">
        <f t="shared" si="141"/>
        <v>0.39780658596193141</v>
      </c>
      <c r="BW39" s="50">
        <f t="shared" si="141"/>
        <v>0.24679173758307169</v>
      </c>
      <c r="BX39" s="50">
        <f t="shared" si="141"/>
        <v>0.40248526710971355</v>
      </c>
      <c r="BY39" s="50">
        <f t="shared" si="141"/>
        <v>0.44784234199590878</v>
      </c>
      <c r="BZ39" s="50">
        <f t="shared" si="141"/>
        <v>0.3557077722604759</v>
      </c>
      <c r="CA39" s="50">
        <f t="shared" si="141"/>
        <v>0.34714301221969657</v>
      </c>
      <c r="CB39" s="50">
        <f t="shared" si="141"/>
        <v>0.26214132445161503</v>
      </c>
      <c r="CC39" s="50">
        <f t="shared" si="141"/>
        <v>0.17451939249588941</v>
      </c>
      <c r="CD39" s="50">
        <f t="shared" si="141"/>
        <v>0.35446857563758455</v>
      </c>
      <c r="CE39" s="50">
        <f t="shared" si="141"/>
        <v>2.2717580675222293</v>
      </c>
      <c r="CF39" s="50">
        <f t="shared" si="141"/>
        <v>-0.17787771925915563</v>
      </c>
      <c r="CG39" s="50">
        <f t="shared" si="141"/>
        <v>0.2990957289913852</v>
      </c>
      <c r="CH39" s="50">
        <f t="shared" si="141"/>
        <v>0.27531482009976194</v>
      </c>
      <c r="CI39" s="50">
        <f t="shared" si="141"/>
        <v>0.37152394247828691</v>
      </c>
      <c r="CJ39" s="50">
        <f t="shared" ref="CJ39:CK39" si="142">CJ33/CJ12</f>
        <v>0.27163475620138133</v>
      </c>
      <c r="CK39" s="50">
        <f t="shared" si="142"/>
        <v>0.20421594499749862</v>
      </c>
      <c r="CL39" s="50">
        <f t="shared" ref="CL39" si="143">CL33/CL12</f>
        <v>0.37701388924899176</v>
      </c>
      <c r="CM39" s="50">
        <f t="shared" ref="CM39:CO40" si="144">CM33/CM12</f>
        <v>0.33708010826551715</v>
      </c>
      <c r="CN39" s="50">
        <f t="shared" si="144"/>
        <v>0.32417729948720347</v>
      </c>
      <c r="CO39" s="50">
        <f t="shared" si="144"/>
        <v>0.45963642931608861</v>
      </c>
      <c r="CP39" s="50">
        <f t="shared" ref="CP39:CQ39" si="145">CP33/CP12</f>
        <v>0.10943594297847237</v>
      </c>
      <c r="CQ39" s="50">
        <f t="shared" si="145"/>
        <v>0.31879209420529514</v>
      </c>
      <c r="CR39" s="50">
        <f t="shared" ref="CR39:CS39" si="146">CR33/CR12</f>
        <v>0.26928668339336159</v>
      </c>
      <c r="CS39" s="748">
        <f t="shared" si="146"/>
        <v>0.3321928867883116</v>
      </c>
      <c r="CT39" s="50"/>
      <c r="CU39" s="50">
        <f t="shared" ref="CU39:EO39" si="147">CU33/CU12</f>
        <v>0.15</v>
      </c>
      <c r="CV39" s="50">
        <f t="shared" si="147"/>
        <v>0.15</v>
      </c>
      <c r="CW39" s="50">
        <f t="shared" si="147"/>
        <v>0.15</v>
      </c>
      <c r="CX39" s="50">
        <f t="shared" si="147"/>
        <v>9.9999999999999964E-2</v>
      </c>
      <c r="CY39" s="50">
        <f t="shared" si="147"/>
        <v>9.9999999999999964E-2</v>
      </c>
      <c r="CZ39" s="50">
        <f t="shared" si="147"/>
        <v>9.9999999999999964E-2</v>
      </c>
      <c r="DA39" s="50">
        <f t="shared" si="147"/>
        <v>9.9999999999999964E-2</v>
      </c>
      <c r="DB39" s="50">
        <f t="shared" si="147"/>
        <v>9.9999999999999964E-2</v>
      </c>
      <c r="DC39" s="50">
        <f t="shared" si="147"/>
        <v>9.9999999999999964E-2</v>
      </c>
      <c r="DD39" s="50">
        <f t="shared" si="147"/>
        <v>0.24999999999999997</v>
      </c>
      <c r="DE39" s="50">
        <f t="shared" si="147"/>
        <v>0.24999999999999997</v>
      </c>
      <c r="DF39" s="409">
        <f t="shared" si="147"/>
        <v>0.24999999999999997</v>
      </c>
      <c r="DG39" s="50">
        <f t="shared" si="147"/>
        <v>0.3</v>
      </c>
      <c r="DH39" s="50">
        <f t="shared" si="147"/>
        <v>0.3</v>
      </c>
      <c r="DI39" s="50">
        <f t="shared" si="147"/>
        <v>0.3</v>
      </c>
      <c r="DJ39" s="50">
        <f t="shared" si="147"/>
        <v>0.3</v>
      </c>
      <c r="DK39" s="50">
        <f t="shared" si="147"/>
        <v>0.3</v>
      </c>
      <c r="DL39" s="50">
        <f t="shared" si="147"/>
        <v>0.3</v>
      </c>
      <c r="DM39" s="50">
        <f t="shared" si="147"/>
        <v>0.3</v>
      </c>
      <c r="DN39" s="50">
        <f t="shared" si="147"/>
        <v>0.3</v>
      </c>
      <c r="DO39" s="50">
        <f t="shared" si="147"/>
        <v>0.3</v>
      </c>
      <c r="DP39" s="50">
        <f t="shared" si="147"/>
        <v>0.3</v>
      </c>
      <c r="DQ39" s="50">
        <f t="shared" si="147"/>
        <v>0.3</v>
      </c>
      <c r="DR39" s="50">
        <f t="shared" si="147"/>
        <v>0.3</v>
      </c>
      <c r="DS39" s="50">
        <f t="shared" si="147"/>
        <v>0.34999999999999992</v>
      </c>
      <c r="DT39" s="50">
        <f t="shared" si="147"/>
        <v>0.34999999999999992</v>
      </c>
      <c r="DU39" s="50">
        <f t="shared" si="147"/>
        <v>0.34999999999999992</v>
      </c>
      <c r="DV39" s="50">
        <f t="shared" si="147"/>
        <v>0.34999999999999992</v>
      </c>
      <c r="DW39" s="50">
        <f t="shared" si="147"/>
        <v>0.34999999999999992</v>
      </c>
      <c r="DX39" s="50">
        <f t="shared" si="147"/>
        <v>0.34999999999999992</v>
      </c>
      <c r="DY39" s="50">
        <f t="shared" si="147"/>
        <v>0.35000000000000003</v>
      </c>
      <c r="DZ39" s="50">
        <f t="shared" si="147"/>
        <v>0.35000000000000003</v>
      </c>
      <c r="EA39" s="50">
        <f t="shared" si="147"/>
        <v>0.35000000000000003</v>
      </c>
      <c r="EB39" s="50">
        <f t="shared" si="147"/>
        <v>0.34999999999999992</v>
      </c>
      <c r="EC39" s="50">
        <f t="shared" si="147"/>
        <v>0.34999999999999992</v>
      </c>
      <c r="ED39" s="50">
        <f t="shared" si="147"/>
        <v>0.34999999999999992</v>
      </c>
      <c r="EE39" s="50">
        <f t="shared" si="147"/>
        <v>0.4</v>
      </c>
      <c r="EF39" s="50">
        <f t="shared" si="147"/>
        <v>0.4</v>
      </c>
      <c r="EG39" s="50">
        <f t="shared" si="147"/>
        <v>0.4</v>
      </c>
      <c r="EH39" s="50">
        <f t="shared" si="147"/>
        <v>0.4</v>
      </c>
      <c r="EI39" s="50">
        <f t="shared" si="147"/>
        <v>0.4</v>
      </c>
      <c r="EJ39" s="50">
        <f t="shared" si="147"/>
        <v>0.4</v>
      </c>
      <c r="EK39" s="50">
        <f t="shared" si="147"/>
        <v>0.4</v>
      </c>
      <c r="EL39" s="50">
        <f t="shared" si="147"/>
        <v>0.4</v>
      </c>
      <c r="EM39" s="50">
        <f t="shared" si="147"/>
        <v>0.4</v>
      </c>
      <c r="EN39" s="50">
        <f t="shared" si="147"/>
        <v>0.4</v>
      </c>
      <c r="EO39" s="50">
        <f t="shared" si="147"/>
        <v>0.4</v>
      </c>
      <c r="EP39" s="50">
        <v>0.4</v>
      </c>
      <c r="EQ39" s="50">
        <f t="shared" ref="EQ39:FB39" si="148">EQ33/EQ12</f>
        <v>0.28330439428342458</v>
      </c>
      <c r="ER39" s="452">
        <f t="shared" si="148"/>
        <v>0.28330439428342458</v>
      </c>
      <c r="ES39" s="50">
        <f t="shared" si="148"/>
        <v>0.28330439428342458</v>
      </c>
      <c r="ET39" s="50">
        <f t="shared" si="148"/>
        <v>0.26662038026062818</v>
      </c>
      <c r="EU39" s="50">
        <f t="shared" si="148"/>
        <v>0.26662038026062818</v>
      </c>
      <c r="EV39" s="50">
        <f t="shared" si="148"/>
        <v>0.26662038026062818</v>
      </c>
      <c r="EW39" s="50">
        <f t="shared" si="148"/>
        <v>0.25550413811515515</v>
      </c>
      <c r="EX39" s="50">
        <f t="shared" si="148"/>
        <v>0.25550413811515515</v>
      </c>
      <c r="EY39" s="50">
        <f t="shared" si="148"/>
        <v>0.25550413811515515</v>
      </c>
      <c r="EZ39" s="50">
        <f t="shared" si="148"/>
        <v>0.24756711409395968</v>
      </c>
      <c r="FA39" s="50">
        <f t="shared" si="148"/>
        <v>0.24756711409395968</v>
      </c>
      <c r="FB39" s="50">
        <f t="shared" si="148"/>
        <v>0.24756711409395968</v>
      </c>
    </row>
    <row r="40" spans="2:158" x14ac:dyDescent="0.35">
      <c r="B40" s="407"/>
      <c r="C40" s="407"/>
      <c r="D40" s="407"/>
      <c r="E40" s="407" t="s">
        <v>11</v>
      </c>
      <c r="F40" s="409">
        <f t="shared" si="133"/>
        <v>0.96541543698667309</v>
      </c>
      <c r="G40" s="409">
        <f t="shared" si="133"/>
        <v>0.98466907184079444</v>
      </c>
      <c r="H40" s="409">
        <f t="shared" si="133"/>
        <v>0.92231337462421392</v>
      </c>
      <c r="I40" s="409">
        <f t="shared" si="133"/>
        <v>1.011392488546027</v>
      </c>
      <c r="J40" s="386"/>
      <c r="K40" s="409">
        <f t="shared" si="134"/>
        <v>1</v>
      </c>
      <c r="L40" s="409">
        <f t="shared" si="134"/>
        <v>0.94719366946592431</v>
      </c>
      <c r="M40" s="409">
        <f t="shared" si="134"/>
        <v>1</v>
      </c>
      <c r="N40" s="409">
        <f t="shared" si="134"/>
        <v>0.91946899082599254</v>
      </c>
      <c r="O40" s="409"/>
      <c r="P40" s="409">
        <f t="shared" si="135"/>
        <v>0.98930438704796564</v>
      </c>
      <c r="Q40" s="409">
        <f t="shared" si="135"/>
        <v>0.97461162914199417</v>
      </c>
      <c r="R40" s="409">
        <f t="shared" si="135"/>
        <v>0.98381617893580653</v>
      </c>
      <c r="S40" s="409">
        <f t="shared" si="135"/>
        <v>0.99334272600724005</v>
      </c>
      <c r="T40" s="409"/>
      <c r="U40" s="409">
        <f t="shared" si="136"/>
        <v>1</v>
      </c>
      <c r="V40" s="409">
        <f t="shared" si="136"/>
        <v>1</v>
      </c>
      <c r="W40" s="409">
        <f t="shared" si="136"/>
        <v>0.95248992709831992</v>
      </c>
      <c r="X40" s="409">
        <f t="shared" si="136"/>
        <v>0.83694329914840737</v>
      </c>
      <c r="Y40" s="409"/>
      <c r="Z40" s="409">
        <f t="shared" si="137"/>
        <v>0.4003443499137273</v>
      </c>
      <c r="AA40" s="409">
        <f t="shared" si="137"/>
        <v>0.88850198813839021</v>
      </c>
      <c r="AB40" s="409">
        <f t="shared" si="137"/>
        <v>0.88181032569657325</v>
      </c>
      <c r="AC40" s="409">
        <f t="shared" si="137"/>
        <v>17.597458320392999</v>
      </c>
      <c r="AD40" s="409" t="str">
        <f t="shared" ref="AD40:AH40" si="149">IFERROR(AD34/AD13,"")</f>
        <v/>
      </c>
      <c r="AE40" s="409">
        <f t="shared" si="149"/>
        <v>1.6027907038576683</v>
      </c>
      <c r="AF40" s="409">
        <f t="shared" si="149"/>
        <v>1.831272435146104</v>
      </c>
      <c r="AG40" s="409">
        <f t="shared" si="149"/>
        <v>1.2904572391021256</v>
      </c>
      <c r="AH40" s="409">
        <f t="shared" si="149"/>
        <v>0.983158362065646</v>
      </c>
      <c r="AI40" s="393"/>
      <c r="AJ40" s="409">
        <f t="shared" ref="AJ40:AR40" si="150">AJ34/AJ13</f>
        <v>1</v>
      </c>
      <c r="AK40" s="409">
        <f t="shared" si="150"/>
        <v>1</v>
      </c>
      <c r="AL40" s="409">
        <f t="shared" si="150"/>
        <v>1</v>
      </c>
      <c r="AM40" s="409">
        <f t="shared" si="150"/>
        <v>1</v>
      </c>
      <c r="AN40" s="409">
        <f t="shared" si="150"/>
        <v>1</v>
      </c>
      <c r="AO40" s="409">
        <f t="shared" si="150"/>
        <v>0.86010125188629027</v>
      </c>
      <c r="AP40" s="409">
        <f t="shared" si="150"/>
        <v>1</v>
      </c>
      <c r="AQ40" s="409">
        <f t="shared" si="150"/>
        <v>1</v>
      </c>
      <c r="AR40" s="409">
        <f t="shared" si="150"/>
        <v>1</v>
      </c>
      <c r="AS40" s="409">
        <f t="shared" si="140"/>
        <v>0.3741001733739211</v>
      </c>
      <c r="AT40" s="409">
        <f t="shared" si="140"/>
        <v>0.91987019684153248</v>
      </c>
      <c r="AU40" s="409">
        <f t="shared" si="140"/>
        <v>1</v>
      </c>
      <c r="AV40" s="50">
        <f t="shared" ref="AV40:CI40" si="151">AV34/AV13</f>
        <v>1</v>
      </c>
      <c r="AW40" s="50">
        <f t="shared" si="151"/>
        <v>0.91025052209360213</v>
      </c>
      <c r="AX40" s="50">
        <f t="shared" si="151"/>
        <v>1</v>
      </c>
      <c r="AY40" s="50">
        <f t="shared" si="151"/>
        <v>0.98002852894526959</v>
      </c>
      <c r="AZ40" s="50">
        <f t="shared" si="151"/>
        <v>1.0017820744984456</v>
      </c>
      <c r="BA40" s="50">
        <f t="shared" si="151"/>
        <v>0.8203109454640074</v>
      </c>
      <c r="BB40" s="50">
        <f t="shared" si="151"/>
        <v>0.80651070974336592</v>
      </c>
      <c r="BC40" s="50">
        <f t="shared" si="151"/>
        <v>0.99866344063076351</v>
      </c>
      <c r="BD40" s="50">
        <f t="shared" si="151"/>
        <v>1</v>
      </c>
      <c r="BE40" s="50">
        <f t="shared" si="151"/>
        <v>1</v>
      </c>
      <c r="BF40" s="50">
        <f t="shared" si="151"/>
        <v>0.98763438673702797</v>
      </c>
      <c r="BG40" s="50">
        <f t="shared" si="151"/>
        <v>1</v>
      </c>
      <c r="BH40" s="50">
        <f t="shared" si="151"/>
        <v>1</v>
      </c>
      <c r="BI40" s="50">
        <f t="shared" si="151"/>
        <v>1</v>
      </c>
      <c r="BJ40" s="50">
        <f t="shared" si="151"/>
        <v>1</v>
      </c>
      <c r="BK40" s="50">
        <f t="shared" si="151"/>
        <v>1</v>
      </c>
      <c r="BL40" s="50">
        <f t="shared" si="151"/>
        <v>1</v>
      </c>
      <c r="BM40" s="50">
        <f t="shared" si="151"/>
        <v>1</v>
      </c>
      <c r="BN40" s="50">
        <f t="shared" si="151"/>
        <v>1</v>
      </c>
      <c r="BO40" s="50">
        <f t="shared" si="151"/>
        <v>0.90372877110131655</v>
      </c>
      <c r="BP40" s="50">
        <f t="shared" si="151"/>
        <v>0.96321535641422584</v>
      </c>
      <c r="BQ40" s="50">
        <f t="shared" si="151"/>
        <v>0.79622729194345132</v>
      </c>
      <c r="BR40" s="50">
        <f t="shared" si="151"/>
        <v>0.80848447134309676</v>
      </c>
      <c r="BS40" s="50">
        <f t="shared" si="151"/>
        <v>0.87666257579939233</v>
      </c>
      <c r="BT40" s="549">
        <f t="shared" si="151"/>
        <v>0.85517347342251104</v>
      </c>
      <c r="BU40" s="50">
        <f t="shared" si="151"/>
        <v>0.840192066288177</v>
      </c>
      <c r="BV40" s="50">
        <f t="shared" si="151"/>
        <v>0.8716838292282495</v>
      </c>
      <c r="BW40" s="50">
        <f t="shared" si="151"/>
        <v>0.55796070785491458</v>
      </c>
      <c r="BX40" s="50">
        <f t="shared" si="151"/>
        <v>0.98373565359908088</v>
      </c>
      <c r="BY40" s="50">
        <f t="shared" si="151"/>
        <v>0.97813648941680498</v>
      </c>
      <c r="BZ40" s="50">
        <f t="shared" si="151"/>
        <v>0.97604164934110438</v>
      </c>
      <c r="CA40" s="50">
        <f t="shared" si="151"/>
        <v>0.97899572687279512</v>
      </c>
      <c r="CB40" s="50">
        <f t="shared" si="151"/>
        <v>0.96904537244445288</v>
      </c>
      <c r="CC40" s="50">
        <f t="shared" si="151"/>
        <v>0.94160987535640905</v>
      </c>
      <c r="CD40" s="50">
        <f t="shared" si="151"/>
        <v>1.0857804690834547</v>
      </c>
      <c r="CE40" s="50">
        <f t="shared" si="151"/>
        <v>1</v>
      </c>
      <c r="CF40" s="50">
        <f t="shared" si="151"/>
        <v>1</v>
      </c>
      <c r="CG40" s="50">
        <f t="shared" si="151"/>
        <v>1</v>
      </c>
      <c r="CH40" s="50">
        <f t="shared" si="151"/>
        <v>1</v>
      </c>
      <c r="CI40" s="50">
        <f t="shared" si="151"/>
        <v>1</v>
      </c>
      <c r="CJ40" s="50">
        <f t="shared" ref="CJ40:CK40" si="152">CJ34/CJ13</f>
        <v>1</v>
      </c>
      <c r="CK40" s="50">
        <f t="shared" si="152"/>
        <v>1</v>
      </c>
      <c r="CL40" s="50">
        <f t="shared" ref="CL40" si="153">CL34/CL13</f>
        <v>1</v>
      </c>
      <c r="CM40" s="50">
        <f t="shared" si="144"/>
        <v>1</v>
      </c>
      <c r="CN40" s="50">
        <f t="shared" si="144"/>
        <v>0.70697066991713975</v>
      </c>
      <c r="CO40" s="50">
        <f t="shared" si="144"/>
        <v>1</v>
      </c>
      <c r="CP40" s="50">
        <f t="shared" ref="CP40:CQ40" si="154">CP34/CP13</f>
        <v>1</v>
      </c>
      <c r="CQ40" s="50">
        <f t="shared" si="154"/>
        <v>1</v>
      </c>
      <c r="CR40" s="50">
        <f t="shared" ref="CR40:CS40" si="155">CR34/CR13</f>
        <v>0.7903804340093008</v>
      </c>
      <c r="CS40" s="748">
        <f t="shared" si="155"/>
        <v>1</v>
      </c>
      <c r="CT40" s="50"/>
      <c r="CU40" s="50">
        <f t="shared" ref="CU40:EO40" si="156">CU34/CU13</f>
        <v>1</v>
      </c>
      <c r="CV40" s="50">
        <f t="shared" si="156"/>
        <v>1</v>
      </c>
      <c r="CW40" s="50">
        <f t="shared" si="156"/>
        <v>1</v>
      </c>
      <c r="CX40" s="50">
        <f t="shared" si="156"/>
        <v>1</v>
      </c>
      <c r="CY40" s="50">
        <f t="shared" si="156"/>
        <v>1</v>
      </c>
      <c r="CZ40" s="50">
        <f t="shared" si="156"/>
        <v>1</v>
      </c>
      <c r="DA40" s="50">
        <f t="shared" si="156"/>
        <v>1</v>
      </c>
      <c r="DB40" s="50">
        <f t="shared" si="156"/>
        <v>1</v>
      </c>
      <c r="DC40" s="50">
        <f t="shared" si="156"/>
        <v>1</v>
      </c>
      <c r="DD40" s="50">
        <f t="shared" si="156"/>
        <v>1</v>
      </c>
      <c r="DE40" s="50">
        <f t="shared" si="156"/>
        <v>1</v>
      </c>
      <c r="DF40" s="409">
        <f t="shared" si="156"/>
        <v>1</v>
      </c>
      <c r="DG40" s="50">
        <f t="shared" si="156"/>
        <v>1</v>
      </c>
      <c r="DH40" s="50">
        <f t="shared" si="156"/>
        <v>1</v>
      </c>
      <c r="DI40" s="50">
        <f t="shared" si="156"/>
        <v>1</v>
      </c>
      <c r="DJ40" s="50">
        <f t="shared" si="156"/>
        <v>1</v>
      </c>
      <c r="DK40" s="50">
        <f t="shared" si="156"/>
        <v>1</v>
      </c>
      <c r="DL40" s="50">
        <f t="shared" si="156"/>
        <v>1</v>
      </c>
      <c r="DM40" s="50">
        <f t="shared" si="156"/>
        <v>0.88403584649955058</v>
      </c>
      <c r="DN40" s="50">
        <f t="shared" si="156"/>
        <v>0.88403584649955058</v>
      </c>
      <c r="DO40" s="50">
        <f t="shared" si="156"/>
        <v>0.88403584649955058</v>
      </c>
      <c r="DP40" s="50">
        <f t="shared" si="156"/>
        <v>0.88403584649955058</v>
      </c>
      <c r="DQ40" s="50">
        <f t="shared" si="156"/>
        <v>0.88403584649955058</v>
      </c>
      <c r="DR40" s="50">
        <f t="shared" si="156"/>
        <v>0.88403584649955058</v>
      </c>
      <c r="DS40" s="50">
        <f t="shared" si="156"/>
        <v>1</v>
      </c>
      <c r="DT40" s="50">
        <f t="shared" si="156"/>
        <v>1</v>
      </c>
      <c r="DU40" s="50">
        <f t="shared" si="156"/>
        <v>1</v>
      </c>
      <c r="DV40" s="50">
        <f t="shared" si="156"/>
        <v>1</v>
      </c>
      <c r="DW40" s="50">
        <f t="shared" si="156"/>
        <v>1</v>
      </c>
      <c r="DX40" s="50">
        <f t="shared" si="156"/>
        <v>1</v>
      </c>
      <c r="DY40" s="50">
        <f t="shared" si="156"/>
        <v>1</v>
      </c>
      <c r="DZ40" s="50">
        <f t="shared" si="156"/>
        <v>1</v>
      </c>
      <c r="EA40" s="50">
        <f t="shared" si="156"/>
        <v>1</v>
      </c>
      <c r="EB40" s="50">
        <f t="shared" si="156"/>
        <v>1</v>
      </c>
      <c r="EC40" s="50">
        <f t="shared" si="156"/>
        <v>1</v>
      </c>
      <c r="ED40" s="50">
        <f t="shared" si="156"/>
        <v>1</v>
      </c>
      <c r="EE40" s="50">
        <f t="shared" si="156"/>
        <v>1</v>
      </c>
      <c r="EF40" s="50">
        <f t="shared" si="156"/>
        <v>1</v>
      </c>
      <c r="EG40" s="50">
        <f t="shared" si="156"/>
        <v>1</v>
      </c>
      <c r="EH40" s="50">
        <f t="shared" si="156"/>
        <v>1</v>
      </c>
      <c r="EI40" s="50">
        <f t="shared" si="156"/>
        <v>1</v>
      </c>
      <c r="EJ40" s="50">
        <f t="shared" si="156"/>
        <v>1</v>
      </c>
      <c r="EK40" s="50">
        <f t="shared" si="156"/>
        <v>1</v>
      </c>
      <c r="EL40" s="50">
        <f t="shared" si="156"/>
        <v>1</v>
      </c>
      <c r="EM40" s="50">
        <f t="shared" si="156"/>
        <v>1</v>
      </c>
      <c r="EN40" s="50">
        <f t="shared" si="156"/>
        <v>1</v>
      </c>
      <c r="EO40" s="50">
        <f t="shared" si="156"/>
        <v>1</v>
      </c>
      <c r="EP40" s="50">
        <v>1</v>
      </c>
      <c r="EQ40" s="50">
        <f t="shared" ref="EQ40:FB40" si="157">EQ34/EQ13</f>
        <v>1</v>
      </c>
      <c r="ER40" s="452">
        <f t="shared" si="157"/>
        <v>1</v>
      </c>
      <c r="ES40" s="50">
        <f t="shared" si="157"/>
        <v>1</v>
      </c>
      <c r="ET40" s="50">
        <f t="shared" si="157"/>
        <v>1</v>
      </c>
      <c r="EU40" s="50">
        <f t="shared" si="157"/>
        <v>1</v>
      </c>
      <c r="EV40" s="50">
        <f t="shared" si="157"/>
        <v>1</v>
      </c>
      <c r="EW40" s="50">
        <f t="shared" si="157"/>
        <v>1</v>
      </c>
      <c r="EX40" s="50">
        <f t="shared" si="157"/>
        <v>1</v>
      </c>
      <c r="EY40" s="50">
        <f t="shared" si="157"/>
        <v>1</v>
      </c>
      <c r="EZ40" s="50">
        <f t="shared" si="157"/>
        <v>1</v>
      </c>
      <c r="FA40" s="50">
        <f t="shared" si="157"/>
        <v>1</v>
      </c>
      <c r="FB40" s="50">
        <f t="shared" si="157"/>
        <v>1</v>
      </c>
    </row>
    <row r="41" spans="2:158" x14ac:dyDescent="0.35">
      <c r="B41" s="411"/>
      <c r="C41" s="411"/>
      <c r="D41" s="411"/>
      <c r="E41" s="411" t="s">
        <v>108</v>
      </c>
      <c r="F41" s="409">
        <f>IFERROR(SUM(F32:F35)/F23,0)</f>
        <v>0.46811783102615412</v>
      </c>
      <c r="G41" s="409">
        <f>SUM(G32:G35)/G23</f>
        <v>0.45541718614445015</v>
      </c>
      <c r="H41" s="409">
        <f>SUM(H32:H35)/H23</f>
        <v>0.50042858767073461</v>
      </c>
      <c r="I41" s="409">
        <f>SUM(I32:I35)/I23</f>
        <v>0.50477287418711247</v>
      </c>
      <c r="J41" s="386"/>
      <c r="K41" s="409">
        <f>IFERROR(SUM(K32:K35)/K23,0)</f>
        <v>0.49888201251662279</v>
      </c>
      <c r="L41" s="409">
        <f>IFERROR(SUM(L32:L35)/L23,0)</f>
        <v>0.4733793025511584</v>
      </c>
      <c r="M41" s="409">
        <f>IFERROR(SUM(M32:M35)/M23,0)</f>
        <v>0.44532996958663829</v>
      </c>
      <c r="N41" s="409">
        <f>IFERROR(SUM(N32:N35)/N23,0)</f>
        <v>0.46153134394397893</v>
      </c>
      <c r="O41" s="409"/>
      <c r="P41" s="409">
        <f t="shared" ref="P41" si="158">SUM(P32:P35)/P23</f>
        <v>0.46948389495451281</v>
      </c>
      <c r="Q41" s="409">
        <f>IFERROR(SUM(Q32:Q35)/Q23,"")</f>
        <v>0.44772980445876376</v>
      </c>
      <c r="R41" s="409">
        <f>IFERROR(SUM(R32:R35)/R23,"")</f>
        <v>0.42419811540615332</v>
      </c>
      <c r="S41" s="409">
        <f>IFERROR(SUM(S32:S35)/S23,"")</f>
        <v>0.48112626836273337</v>
      </c>
      <c r="T41" s="409"/>
      <c r="U41" s="409">
        <f t="shared" ref="U41:X41" si="159">IFERROR(SUM(U32:U35)/U23,"")</f>
        <v>0.51202776192221555</v>
      </c>
      <c r="V41" s="409">
        <f t="shared" si="159"/>
        <v>0.49857939788181382</v>
      </c>
      <c r="W41" s="409">
        <f t="shared" si="159"/>
        <v>0.48875066148268759</v>
      </c>
      <c r="X41" s="409">
        <f t="shared" si="159"/>
        <v>0.50274071935873954</v>
      </c>
      <c r="Y41" s="409"/>
      <c r="Z41" s="409">
        <f t="shared" ref="Z41:AC41" si="160">IFERROR(SUM(Z32:Z35)/Z23,"")</f>
        <v>0.44910710462018921</v>
      </c>
      <c r="AA41" s="409">
        <f t="shared" si="160"/>
        <v>0.4888953348888922</v>
      </c>
      <c r="AB41" s="409">
        <f t="shared" si="160"/>
        <v>0.53288132132585619</v>
      </c>
      <c r="AC41" s="409">
        <f t="shared" si="160"/>
        <v>0.55328851915574817</v>
      </c>
      <c r="AD41" s="409" t="str">
        <f t="shared" ref="AD41:AH41" si="161">IFERROR(SUM(AD32:AD35)/AD23,"")</f>
        <v/>
      </c>
      <c r="AE41" s="409">
        <f t="shared" si="161"/>
        <v>0.52264792178578834</v>
      </c>
      <c r="AF41" s="409">
        <f t="shared" si="161"/>
        <v>0.5013312421466507</v>
      </c>
      <c r="AG41" s="409">
        <f t="shared" si="161"/>
        <v>0.42127260052832449</v>
      </c>
      <c r="AH41" s="409">
        <f t="shared" si="161"/>
        <v>0.40923917504302981</v>
      </c>
      <c r="AI41" s="393"/>
      <c r="AJ41" s="412">
        <f t="shared" ref="AJ41:AR41" si="162">SUM(AJ32:AJ35)/AJ23</f>
        <v>0.49063687626217234</v>
      </c>
      <c r="AK41" s="412">
        <f t="shared" si="162"/>
        <v>0.52245243058583557</v>
      </c>
      <c r="AL41" s="412">
        <f t="shared" si="162"/>
        <v>0.48434090334148372</v>
      </c>
      <c r="AM41" s="412">
        <f t="shared" si="162"/>
        <v>0.47369940957347556</v>
      </c>
      <c r="AN41" s="412">
        <f t="shared" si="162"/>
        <v>0.49574895885836895</v>
      </c>
      <c r="AO41" s="412">
        <f t="shared" si="162"/>
        <v>0.45518727765620637</v>
      </c>
      <c r="AP41" s="412">
        <f t="shared" si="162"/>
        <v>0.43665960318588753</v>
      </c>
      <c r="AQ41" s="412">
        <f t="shared" si="162"/>
        <v>0.44968829838265634</v>
      </c>
      <c r="AR41" s="412">
        <f t="shared" si="162"/>
        <v>0.44990350547861996</v>
      </c>
      <c r="AS41" s="412">
        <f t="shared" ref="AS41:AU41" si="163">IFERROR(SUM(AS32:AS35)/AS23,"")</f>
        <v>0.4463063442114642</v>
      </c>
      <c r="AT41" s="412">
        <f t="shared" si="163"/>
        <v>0.45851231105016155</v>
      </c>
      <c r="AU41" s="412">
        <f t="shared" si="163"/>
        <v>0.47860357374708395</v>
      </c>
      <c r="AV41" s="108">
        <f t="shared" ref="AV41:AW41" si="164">SUM(AV32:AV35)/AV23</f>
        <v>0.47729757517035476</v>
      </c>
      <c r="AW41" s="108">
        <f t="shared" si="164"/>
        <v>0.47206913694275038</v>
      </c>
      <c r="AX41" s="108">
        <f t="shared" ref="AX41:AY41" si="165">SUM(AX32:AX35)/AX23</f>
        <v>0.46058673303881786</v>
      </c>
      <c r="AY41" s="108">
        <f t="shared" si="165"/>
        <v>0.45129869774816128</v>
      </c>
      <c r="AZ41" s="108">
        <f t="shared" ref="AZ41:BA41" si="166">SUM(AZ32:AZ35)/AZ23</f>
        <v>0.45498231882023071</v>
      </c>
      <c r="BA41" s="108">
        <f t="shared" si="166"/>
        <v>0.43600169805816402</v>
      </c>
      <c r="BB41" s="108">
        <f t="shared" ref="BB41:BC41" si="167">SUM(BB32:BB35)/BB23</f>
        <v>0.41245806813663521</v>
      </c>
      <c r="BC41" s="108">
        <f t="shared" si="167"/>
        <v>0.43142131958954433</v>
      </c>
      <c r="BD41" s="108">
        <f t="shared" ref="BD41:BE41" si="168">SUM(BD32:BD35)/BD23</f>
        <v>0.42729585617222698</v>
      </c>
      <c r="BE41" s="108">
        <f t="shared" si="168"/>
        <v>0.47424341606676174</v>
      </c>
      <c r="BF41" s="108">
        <f t="shared" ref="BF41:BG41" si="169">SUM(BF32:BF35)/BF23</f>
        <v>0.47713079835584049</v>
      </c>
      <c r="BG41" s="108">
        <f t="shared" si="169"/>
        <v>0.49043090498220415</v>
      </c>
      <c r="BH41" s="108">
        <f t="shared" ref="BH41:BI41" si="170">SUM(BH32:BH35)/BH23</f>
        <v>0.52042580472086075</v>
      </c>
      <c r="BI41" s="108">
        <f t="shared" si="170"/>
        <v>0.53269902936843405</v>
      </c>
      <c r="BJ41" s="108">
        <f t="shared" ref="BJ41:BK41" si="171">SUM(BJ32:BJ35)/BJ23</f>
        <v>0.48635315117780525</v>
      </c>
      <c r="BK41" s="108">
        <f t="shared" si="171"/>
        <v>0.51217020523847767</v>
      </c>
      <c r="BL41" s="108">
        <f t="shared" ref="BL41" si="172">SUM(BL32:BL35)/BL23</f>
        <v>0.50929461536373433</v>
      </c>
      <c r="BM41" s="108">
        <f t="shared" ref="BM41:BN41" si="173">SUM(BM32:BM35)/BM23</f>
        <v>0.4756427881146888</v>
      </c>
      <c r="BN41" s="108">
        <f t="shared" si="173"/>
        <v>0.46204836854289844</v>
      </c>
      <c r="BO41" s="108">
        <f t="shared" ref="BO41:BT41" si="174">SUM(BO32:BO35)/BO23</f>
        <v>0.47818695312642223</v>
      </c>
      <c r="BP41" s="108">
        <f t="shared" si="174"/>
        <v>0.52537394049583863</v>
      </c>
      <c r="BQ41" s="108">
        <f t="shared" si="174"/>
        <v>0.48473571425114526</v>
      </c>
      <c r="BR41" s="108">
        <f t="shared" si="174"/>
        <v>0.48796804563609253</v>
      </c>
      <c r="BS41" s="108">
        <f t="shared" si="174"/>
        <v>0.53421014968033909</v>
      </c>
      <c r="BT41" s="550">
        <f t="shared" si="174"/>
        <v>0.51957638229208469</v>
      </c>
      <c r="BU41" s="108">
        <f t="shared" ref="BU41:BV41" si="175">SUM(BU32:BU35)/BU23</f>
        <v>0.50745903176773832</v>
      </c>
      <c r="BV41" s="108">
        <f t="shared" si="175"/>
        <v>0.49712478022532486</v>
      </c>
      <c r="BW41" s="108">
        <f t="shared" ref="BW41:BX41" si="176">SUM(BW32:BW35)/BW23</f>
        <v>0.48525303665013758</v>
      </c>
      <c r="BX41" s="108">
        <f t="shared" si="176"/>
        <v>0.50767052477615715</v>
      </c>
      <c r="BY41" s="108">
        <f t="shared" ref="BY41:BZ41" si="177">SUM(BY32:BY35)/BY23</f>
        <v>0.48630737525712098</v>
      </c>
      <c r="BZ41" s="108">
        <f t="shared" si="177"/>
        <v>0.49230914643759111</v>
      </c>
      <c r="CA41" s="108">
        <f t="shared" ref="CA41:CB41" si="178">SUM(CA32:CA35)/CA23</f>
        <v>0.47676475969421533</v>
      </c>
      <c r="CB41" s="108">
        <f t="shared" si="178"/>
        <v>0.45584723508762226</v>
      </c>
      <c r="CC41" s="108">
        <f t="shared" ref="CC41:DE41" si="179">SUM(CC32:CC35)/CC23</f>
        <v>0.43158515681356241</v>
      </c>
      <c r="CD41" s="108">
        <f t="shared" ref="CD41:CE41" si="180">SUM(CD32:CD35)/CD23</f>
        <v>0.45940024128995027</v>
      </c>
      <c r="CE41" s="108">
        <f t="shared" si="180"/>
        <v>0.40390124295753993</v>
      </c>
      <c r="CF41" s="108">
        <f t="shared" ref="CF41:CG41" si="181">SUM(CF32:CF35)/CF23</f>
        <v>0.47480756023724097</v>
      </c>
      <c r="CG41" s="108">
        <f t="shared" si="181"/>
        <v>0.44784493184487595</v>
      </c>
      <c r="CH41" s="108">
        <f t="shared" ref="CH41:CI41" si="182">SUM(CH32:CH35)/CH23</f>
        <v>0.47298499024325974</v>
      </c>
      <c r="CI41" s="108">
        <f t="shared" si="182"/>
        <v>0.44933530053530452</v>
      </c>
      <c r="CJ41" s="108">
        <f t="shared" ref="CJ41:CK41" si="183">SUM(CJ32:CJ35)/CJ23</f>
        <v>0.4358015309683359</v>
      </c>
      <c r="CK41" s="108">
        <f t="shared" si="183"/>
        <v>0.46708926069205664</v>
      </c>
      <c r="CL41" s="108">
        <f t="shared" ref="CL41" si="184">SUM(CL32:CL35)/CL23</f>
        <v>0.47121148082858128</v>
      </c>
      <c r="CM41" s="108">
        <f t="shared" ref="CM41:CR41" si="185">SUM(CM32:CM35)/CM23</f>
        <v>0.4578387855385958</v>
      </c>
      <c r="CN41" s="108">
        <f t="shared" si="185"/>
        <v>0.45136774883077757</v>
      </c>
      <c r="CO41" s="108">
        <f t="shared" si="185"/>
        <v>0.45503413290078315</v>
      </c>
      <c r="CP41" s="108">
        <f t="shared" si="185"/>
        <v>0.49751219721840112</v>
      </c>
      <c r="CQ41" s="108">
        <f t="shared" si="185"/>
        <v>0.46270989847013144</v>
      </c>
      <c r="CR41" s="108">
        <f t="shared" si="185"/>
        <v>0.45078690649327302</v>
      </c>
      <c r="CS41" s="750">
        <f t="shared" ref="CS41" si="186">SUM(CS32:CS35)/CS23</f>
        <v>0.49328084363361663</v>
      </c>
      <c r="CT41" s="108"/>
      <c r="CU41" s="108">
        <f t="shared" si="179"/>
        <v>0.46628634404572911</v>
      </c>
      <c r="CV41" s="108">
        <f t="shared" si="179"/>
        <v>0.46628694106065444</v>
      </c>
      <c r="CW41" s="108">
        <f t="shared" si="179"/>
        <v>0.46628753807557982</v>
      </c>
      <c r="CX41" s="108">
        <f t="shared" si="179"/>
        <v>0.46525688673495036</v>
      </c>
      <c r="CY41" s="108">
        <f t="shared" si="179"/>
        <v>0.46525743973034206</v>
      </c>
      <c r="CZ41" s="108">
        <f t="shared" si="179"/>
        <v>0.46525799272573376</v>
      </c>
      <c r="DA41" s="108">
        <f t="shared" si="179"/>
        <v>0.46759342196983156</v>
      </c>
      <c r="DB41" s="108">
        <f t="shared" si="179"/>
        <v>0.46759392829894547</v>
      </c>
      <c r="DC41" s="108">
        <f t="shared" si="179"/>
        <v>0.46759443462805939</v>
      </c>
      <c r="DD41" s="108">
        <f t="shared" si="179"/>
        <v>0.47715384277126816</v>
      </c>
      <c r="DE41" s="108">
        <f t="shared" si="179"/>
        <v>0.47715430969733819</v>
      </c>
      <c r="DF41" s="412">
        <f t="shared" ref="DF41" si="187">SUM(DF32:DF35)/DF23</f>
        <v>0.48329905038714172</v>
      </c>
      <c r="DG41" s="108">
        <f>SUM(DG32:DG35)/DG23</f>
        <v>0.43747024158357378</v>
      </c>
      <c r="DH41" s="412">
        <f t="shared" ref="DH41:DR41" si="188">SUM(DH32:DH35)/DH23</f>
        <v>0.43746992761658404</v>
      </c>
      <c r="DI41" s="412">
        <f t="shared" si="188"/>
        <v>0.43746992501658316</v>
      </c>
      <c r="DJ41" s="412">
        <f t="shared" si="188"/>
        <v>0.44807326449649265</v>
      </c>
      <c r="DK41" s="412">
        <f t="shared" si="188"/>
        <v>0.44807326203321401</v>
      </c>
      <c r="DL41" s="412">
        <f t="shared" si="188"/>
        <v>0.44807325956993543</v>
      </c>
      <c r="DM41" s="412">
        <f t="shared" si="188"/>
        <v>0.45606958106979134</v>
      </c>
      <c r="DN41" s="412">
        <f t="shared" si="188"/>
        <v>0.45606957879338583</v>
      </c>
      <c r="DO41" s="412">
        <f t="shared" si="188"/>
        <v>0.45617514104476437</v>
      </c>
      <c r="DP41" s="412">
        <f t="shared" si="188"/>
        <v>0.44167759638057125</v>
      </c>
      <c r="DQ41" s="412">
        <f t="shared" si="188"/>
        <v>0.44167759439135623</v>
      </c>
      <c r="DR41" s="412">
        <f t="shared" si="188"/>
        <v>0.44167759240214111</v>
      </c>
      <c r="DS41" s="108">
        <f t="shared" ref="DS41:ED41" si="189">SUM(DS32:DS35)/DS23</f>
        <v>0.51467474454109108</v>
      </c>
      <c r="DT41" s="108">
        <f t="shared" si="189"/>
        <v>0.51467474454109108</v>
      </c>
      <c r="DU41" s="108">
        <f t="shared" si="189"/>
        <v>0.51468014011716012</v>
      </c>
      <c r="DV41" s="108">
        <f t="shared" si="189"/>
        <v>0.50300179415098079</v>
      </c>
      <c r="DW41" s="108">
        <f t="shared" si="189"/>
        <v>0.50300179415098079</v>
      </c>
      <c r="DX41" s="108">
        <f t="shared" si="189"/>
        <v>0.50300179415098079</v>
      </c>
      <c r="DY41" s="108">
        <f t="shared" si="189"/>
        <v>0.49802403862604383</v>
      </c>
      <c r="DZ41" s="108">
        <f t="shared" si="189"/>
        <v>0.49802403862604383</v>
      </c>
      <c r="EA41" s="108">
        <f t="shared" si="189"/>
        <v>0.49802403862604383</v>
      </c>
      <c r="EB41" s="108">
        <f t="shared" si="189"/>
        <v>0.5034581825013037</v>
      </c>
      <c r="EC41" s="108">
        <f t="shared" si="189"/>
        <v>0.5034581825013037</v>
      </c>
      <c r="ED41" s="108">
        <f t="shared" si="189"/>
        <v>0.5034581825013037</v>
      </c>
      <c r="EE41" s="108">
        <f t="shared" ref="EE41:EO41" si="190">SUM(EE32:EE35)/EE23</f>
        <v>0.51174964800634248</v>
      </c>
      <c r="EF41" s="108">
        <f t="shared" si="190"/>
        <v>0.51174964800634248</v>
      </c>
      <c r="EG41" s="108">
        <f t="shared" si="190"/>
        <v>0.51174964800634248</v>
      </c>
      <c r="EH41" s="108">
        <f t="shared" si="190"/>
        <v>0.4974771546715831</v>
      </c>
      <c r="EI41" s="108">
        <f t="shared" si="190"/>
        <v>0.4974771546715831</v>
      </c>
      <c r="EJ41" s="108">
        <f t="shared" si="190"/>
        <v>0.4974771546715831</v>
      </c>
      <c r="EK41" s="108">
        <f t="shared" si="190"/>
        <v>0.50361564654994606</v>
      </c>
      <c r="EL41" s="108">
        <f t="shared" si="190"/>
        <v>0.50361564654994606</v>
      </c>
      <c r="EM41" s="108">
        <f t="shared" si="190"/>
        <v>0.50361564654994606</v>
      </c>
      <c r="EN41" s="108">
        <f t="shared" si="190"/>
        <v>0.52282313065969299</v>
      </c>
      <c r="EO41" s="108">
        <f t="shared" si="190"/>
        <v>0.52282313065969299</v>
      </c>
      <c r="EP41" s="108">
        <v>0.52282313065969299</v>
      </c>
      <c r="EQ41" s="108">
        <f t="shared" ref="EQ41:FB41" si="191">SUM(EQ32:EQ35)/EQ23</f>
        <v>0.46595750347697601</v>
      </c>
      <c r="ER41" s="530">
        <f t="shared" si="191"/>
        <v>0.46618240696771079</v>
      </c>
      <c r="ES41" s="108">
        <f t="shared" si="191"/>
        <v>0.46729639026600739</v>
      </c>
      <c r="ET41" s="108">
        <f t="shared" si="191"/>
        <v>0.47158893448713923</v>
      </c>
      <c r="EU41" s="108">
        <f t="shared" si="191"/>
        <v>0.47158893448713923</v>
      </c>
      <c r="EV41" s="108">
        <f t="shared" si="191"/>
        <v>0.47158893448713923</v>
      </c>
      <c r="EW41" s="108">
        <f t="shared" si="191"/>
        <v>0.46750165312459718</v>
      </c>
      <c r="EX41" s="108">
        <f t="shared" si="191"/>
        <v>0.46750165312459718</v>
      </c>
      <c r="EY41" s="108">
        <f t="shared" si="191"/>
        <v>0.46750165312459718</v>
      </c>
      <c r="EZ41" s="108">
        <f t="shared" si="191"/>
        <v>0.46596042921324371</v>
      </c>
      <c r="FA41" s="108">
        <f t="shared" si="191"/>
        <v>0.46596042921324371</v>
      </c>
      <c r="FB41" s="108">
        <f t="shared" si="191"/>
        <v>0.46596042921324371</v>
      </c>
    </row>
    <row r="42" spans="2:158" x14ac:dyDescent="0.35">
      <c r="B42" s="396"/>
      <c r="C42" s="396"/>
      <c r="D42" s="396"/>
      <c r="E42" s="397"/>
      <c r="F42" s="387"/>
      <c r="G42" s="387"/>
      <c r="H42" s="387"/>
      <c r="I42" s="385"/>
      <c r="J42" s="385"/>
      <c r="K42" s="393"/>
      <c r="L42" s="393"/>
      <c r="M42" s="393"/>
      <c r="N42" s="393"/>
      <c r="O42" s="393"/>
      <c r="P42" s="393"/>
      <c r="Q42" s="393"/>
      <c r="R42" s="393"/>
      <c r="S42" s="393"/>
      <c r="T42" s="393"/>
      <c r="U42" s="393"/>
      <c r="V42" s="393"/>
      <c r="W42" s="393"/>
      <c r="X42" s="393"/>
      <c r="Y42" s="393"/>
      <c r="Z42" s="393"/>
      <c r="AA42" s="393"/>
      <c r="AB42" s="393"/>
      <c r="AC42" s="393"/>
      <c r="AD42" s="393"/>
      <c r="AE42" s="393"/>
      <c r="AF42" s="393"/>
      <c r="AG42" s="393"/>
      <c r="AH42" s="393"/>
      <c r="AI42" s="393"/>
      <c r="AJ42" s="393"/>
      <c r="AK42" s="393"/>
      <c r="AL42" s="393"/>
      <c r="AM42" s="393"/>
      <c r="AN42" s="393"/>
      <c r="AO42" s="393"/>
      <c r="AP42" s="393"/>
      <c r="AQ42" s="393"/>
      <c r="AR42" s="393"/>
      <c r="AS42" s="393"/>
      <c r="AT42" s="393"/>
      <c r="AU42" s="393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  <c r="BH42" s="44"/>
      <c r="BI42" s="44"/>
      <c r="BJ42" s="44"/>
      <c r="BK42" s="44"/>
      <c r="BL42" s="44"/>
      <c r="BM42" s="44"/>
      <c r="BN42" s="44"/>
      <c r="BO42" s="44"/>
      <c r="BP42" s="44"/>
      <c r="BQ42" s="44"/>
      <c r="BR42" s="44"/>
      <c r="BS42" s="44"/>
      <c r="BT42" s="551"/>
      <c r="BU42" s="44"/>
      <c r="BV42" s="44"/>
      <c r="BW42" s="44"/>
      <c r="BX42" s="44"/>
      <c r="BY42" s="44"/>
      <c r="BZ42" s="44"/>
      <c r="CA42" s="44"/>
      <c r="CB42" s="44"/>
      <c r="CC42" s="44"/>
      <c r="CD42" s="44"/>
      <c r="CE42" s="44"/>
      <c r="CF42" s="44"/>
      <c r="CG42" s="44"/>
      <c r="CH42" s="44"/>
      <c r="CI42" s="44"/>
      <c r="CJ42" s="44"/>
      <c r="CK42" s="44"/>
      <c r="CL42" s="44"/>
      <c r="CM42" s="44"/>
      <c r="CN42" s="44"/>
      <c r="CO42" s="44"/>
      <c r="CP42" s="44"/>
      <c r="CQ42" s="44"/>
      <c r="CR42" s="44"/>
      <c r="CS42" s="91"/>
      <c r="CT42" s="44"/>
      <c r="CU42" s="44"/>
      <c r="CV42" s="44"/>
      <c r="CW42" s="44"/>
      <c r="CX42" s="44"/>
      <c r="CY42" s="44"/>
      <c r="CZ42" s="44"/>
      <c r="DA42" s="44"/>
      <c r="DB42" s="44"/>
      <c r="DC42" s="44"/>
      <c r="DD42" s="44"/>
      <c r="DE42" s="44"/>
      <c r="DF42" s="409"/>
      <c r="DG42" s="50"/>
      <c r="DH42" s="50"/>
      <c r="DI42" s="409"/>
      <c r="DJ42" s="409"/>
      <c r="DK42" s="409"/>
      <c r="DL42" s="409"/>
      <c r="DM42" s="409"/>
      <c r="DN42" s="409"/>
      <c r="DO42" s="409"/>
      <c r="DP42" s="409"/>
      <c r="DQ42" s="409"/>
      <c r="DR42" s="409"/>
      <c r="DS42" s="50"/>
      <c r="DT42" s="50"/>
      <c r="DU42" s="50"/>
      <c r="DV42" s="50"/>
      <c r="DW42" s="50"/>
      <c r="DX42" s="50"/>
      <c r="DY42" s="50"/>
      <c r="DZ42" s="50"/>
      <c r="EA42" s="50"/>
      <c r="EB42" s="50"/>
      <c r="EC42" s="50"/>
      <c r="ED42" s="50"/>
      <c r="EE42" s="50"/>
      <c r="EF42" s="50"/>
      <c r="EG42" s="50"/>
      <c r="EH42" s="50"/>
      <c r="EI42" s="50"/>
      <c r="EJ42" s="50"/>
      <c r="EK42" s="50"/>
      <c r="EL42" s="50"/>
      <c r="EM42" s="50"/>
      <c r="EN42" s="50"/>
      <c r="EO42" s="50"/>
      <c r="EP42" s="50"/>
      <c r="EQ42" s="50"/>
      <c r="ER42" s="452"/>
      <c r="ES42" s="50"/>
      <c r="ET42" s="50"/>
      <c r="EU42" s="50"/>
      <c r="EV42" s="50"/>
      <c r="EW42" s="50"/>
      <c r="EX42" s="50"/>
      <c r="EY42" s="50"/>
      <c r="EZ42" s="50"/>
      <c r="FA42" s="50"/>
      <c r="FB42" s="50"/>
    </row>
    <row r="43" spans="2:158" x14ac:dyDescent="0.35">
      <c r="C43" s="401" t="s">
        <v>109</v>
      </c>
      <c r="D43" s="402"/>
      <c r="E43" s="402"/>
      <c r="F43" s="390">
        <f>SUM(F32:F35)</f>
        <v>7802788.2309026234</v>
      </c>
      <c r="G43" s="390">
        <f>SUM(G32:G35)</f>
        <v>9926680.8787962627</v>
      </c>
      <c r="H43" s="390">
        <f>SUM(H32:H35)</f>
        <v>11996367.370866157</v>
      </c>
      <c r="I43" s="390">
        <f>SUM(I32:I35)</f>
        <v>12392733.575999733</v>
      </c>
      <c r="J43" s="392"/>
      <c r="K43" s="391">
        <f>SUM(K32:K35)</f>
        <v>1805988.156268459</v>
      </c>
      <c r="L43" s="391">
        <f>SUM(L32:L35)</f>
        <v>1896662.569512849</v>
      </c>
      <c r="M43" s="391">
        <f>SUM(M32:M35)</f>
        <v>2003711.3770989496</v>
      </c>
      <c r="N43" s="391">
        <f>SUM(N32:N35)</f>
        <v>2096426.128022365</v>
      </c>
      <c r="O43" s="391"/>
      <c r="P43" s="391">
        <f>SUM(P32:P35)</f>
        <v>2186088.6635371745</v>
      </c>
      <c r="Q43" s="391">
        <f>SUM(Q32:Q35)</f>
        <v>2370405.3170852601</v>
      </c>
      <c r="R43" s="391">
        <f>SUM(R32:R35)</f>
        <v>2454191.4666263978</v>
      </c>
      <c r="S43" s="391">
        <f>SUM(S32:S35)</f>
        <v>2915995.4315474308</v>
      </c>
      <c r="T43" s="391"/>
      <c r="U43" s="391">
        <f t="shared" ref="U43:AC43" si="192">SUM(U32:U35)</f>
        <v>2940639.7576467367</v>
      </c>
      <c r="V43" s="391">
        <f t="shared" si="192"/>
        <v>2923264.4435602375</v>
      </c>
      <c r="W43" s="391">
        <f t="shared" si="192"/>
        <v>2947335.8279012647</v>
      </c>
      <c r="X43" s="391">
        <f t="shared" si="192"/>
        <v>3185127.3417579196</v>
      </c>
      <c r="Y43" s="391"/>
      <c r="Z43" s="391">
        <f t="shared" si="192"/>
        <v>2842293.6554463347</v>
      </c>
      <c r="AA43" s="391">
        <f t="shared" si="192"/>
        <v>3097118.1857389379</v>
      </c>
      <c r="AB43" s="391">
        <f t="shared" si="192"/>
        <v>3233937.5404348709</v>
      </c>
      <c r="AC43" s="391">
        <f t="shared" si="192"/>
        <v>3219384.1943795923</v>
      </c>
      <c r="AD43" s="391">
        <f t="shared" ref="AD43:AH43" si="193">SUM(AD32:AD35)</f>
        <v>3125394.781640349</v>
      </c>
      <c r="AE43" s="391">
        <f t="shared" si="193"/>
        <v>3150745.2537652589</v>
      </c>
      <c r="AF43" s="391">
        <f t="shared" si="193"/>
        <v>3030092.3046546616</v>
      </c>
      <c r="AG43" s="391">
        <f t="shared" si="193"/>
        <v>2883709.9154796535</v>
      </c>
      <c r="AH43" s="391">
        <f t="shared" si="193"/>
        <v>2741420.3087021848</v>
      </c>
      <c r="AI43" s="403"/>
      <c r="AJ43" s="391">
        <f>SUM(AJ32:AJ35)</f>
        <v>640921.02194889355</v>
      </c>
      <c r="AK43" s="391">
        <f t="shared" ref="AK43:AR43" si="194">SUM(AK32:AK35)</f>
        <v>608868.9883383438</v>
      </c>
      <c r="AL43" s="391">
        <f t="shared" si="194"/>
        <v>556198.14598122111</v>
      </c>
      <c r="AM43" s="391">
        <f t="shared" si="194"/>
        <v>585625.96346342773</v>
      </c>
      <c r="AN43" s="391">
        <f t="shared" si="194"/>
        <v>611138.8271761277</v>
      </c>
      <c r="AO43" s="391">
        <f t="shared" si="194"/>
        <v>699897.77887329354</v>
      </c>
      <c r="AP43" s="391">
        <f t="shared" si="194"/>
        <v>667702.01990405109</v>
      </c>
      <c r="AQ43" s="391">
        <f t="shared" si="194"/>
        <v>682607.8331173826</v>
      </c>
      <c r="AR43" s="391">
        <f t="shared" si="194"/>
        <v>653401.52407751593</v>
      </c>
      <c r="AS43" s="391">
        <f t="shared" ref="AS43:AU43" si="195">SUM(AS32:AS35)</f>
        <v>657563.28765819129</v>
      </c>
      <c r="AT43" s="391">
        <f t="shared" si="195"/>
        <v>683792.60086829471</v>
      </c>
      <c r="AU43" s="391">
        <f t="shared" si="195"/>
        <v>755070.23949587916</v>
      </c>
      <c r="AV43" s="24">
        <f t="shared" ref="AV43:AY43" si="196">SUM(AV32:AV35)</f>
        <v>704153.80497662851</v>
      </c>
      <c r="AW43" s="24">
        <f t="shared" si="196"/>
        <v>689662.46620019816</v>
      </c>
      <c r="AX43" s="24">
        <f t="shared" si="196"/>
        <v>792272.39236034779</v>
      </c>
      <c r="AY43" s="24">
        <f t="shared" si="196"/>
        <v>795767.45921731403</v>
      </c>
      <c r="AZ43" s="24">
        <f t="shared" ref="AZ43:BE43" si="197">SUM(AZ32:AZ35)</f>
        <v>841831.00354836951</v>
      </c>
      <c r="BA43" s="24">
        <f t="shared" si="197"/>
        <v>732806.85431957652</v>
      </c>
      <c r="BB43" s="24">
        <f t="shared" si="197"/>
        <v>711801.409972728</v>
      </c>
      <c r="BC43" s="24">
        <f t="shared" si="197"/>
        <v>803603.28940862895</v>
      </c>
      <c r="BD43" s="24">
        <f t="shared" si="197"/>
        <v>938786.76724504097</v>
      </c>
      <c r="BE43" s="24">
        <f t="shared" si="197"/>
        <v>864539.26395206549</v>
      </c>
      <c r="BF43" s="24">
        <f t="shared" ref="BF43:BG43" si="198">SUM(BF32:BF35)</f>
        <v>964431.00032336591</v>
      </c>
      <c r="BG43" s="24">
        <f t="shared" si="198"/>
        <v>1087025.1672719989</v>
      </c>
      <c r="BH43" s="24">
        <f t="shared" ref="BH43:BI43" si="199">SUM(BH32:BH35)</f>
        <v>953070.46260152152</v>
      </c>
      <c r="BI43" s="24">
        <f t="shared" si="199"/>
        <v>977613.24861268024</v>
      </c>
      <c r="BJ43" s="24">
        <f t="shared" ref="BJ43:BK43" si="200">SUM(BJ32:BJ35)</f>
        <v>1009956.0464325348</v>
      </c>
      <c r="BK43" s="24">
        <f t="shared" si="200"/>
        <v>980457.56485808163</v>
      </c>
      <c r="BL43" s="24">
        <f t="shared" ref="BL43" si="201">SUM(BL32:BL35)</f>
        <v>977012.90368689643</v>
      </c>
      <c r="BM43" s="24">
        <f t="shared" ref="BM43:BN43" si="202">SUM(BM32:BM35)</f>
        <v>965793.97501525935</v>
      </c>
      <c r="BN43" s="24">
        <f t="shared" si="202"/>
        <v>929772.12599385483</v>
      </c>
      <c r="BO43" s="24">
        <f t="shared" ref="BO43:BP43" si="203">SUM(BO32:BO35)</f>
        <v>946727.55443722021</v>
      </c>
      <c r="BP43" s="24">
        <f t="shared" si="203"/>
        <v>1070836.14747019</v>
      </c>
      <c r="BQ43" s="24">
        <f t="shared" ref="BQ43:BR43" si="204">SUM(BQ32:BQ35)</f>
        <v>1007593.9713757964</v>
      </c>
      <c r="BR43" s="24">
        <f t="shared" si="204"/>
        <v>1018688.0668929511</v>
      </c>
      <c r="BS43" s="24">
        <f t="shared" ref="BS43:BT43" si="205">SUM(BS32:BS35)</f>
        <v>1158845.3034891719</v>
      </c>
      <c r="BT43" s="548">
        <f t="shared" si="205"/>
        <v>1020618.9729890071</v>
      </c>
      <c r="BU43" s="24">
        <f t="shared" ref="BU43" si="206">SUM(BU32:BU35)</f>
        <v>1054473.2639566918</v>
      </c>
      <c r="BV43" s="24">
        <f t="shared" ref="BV43:BZ43" si="207">SUM(BV32:BV35)</f>
        <v>1136670.4053009916</v>
      </c>
      <c r="BW43" s="24">
        <f t="shared" si="207"/>
        <v>971019.04999824741</v>
      </c>
      <c r="BX43" s="24">
        <f t="shared" si="207"/>
        <v>1111694.7390803529</v>
      </c>
      <c r="BY43" s="24">
        <f t="shared" si="207"/>
        <v>1042680.9925617483</v>
      </c>
      <c r="BZ43" s="24">
        <f t="shared" si="207"/>
        <v>996369.52212315775</v>
      </c>
      <c r="CA43" s="24">
        <f t="shared" ref="CA43:CB43" si="208">SUM(CA32:CA35)</f>
        <v>991041.78996975545</v>
      </c>
      <c r="CB43" s="24">
        <f t="shared" si="208"/>
        <v>896298.60338673973</v>
      </c>
      <c r="CC43" s="24">
        <f t="shared" ref="CC43:DE43" si="209">SUM(CC32:CC35)</f>
        <v>854079.91534568905</v>
      </c>
      <c r="CD43" s="24">
        <f t="shared" ref="CD43:CF43" si="210">SUM(CD32:CD35)</f>
        <v>935345.73627417989</v>
      </c>
      <c r="CE43" s="24">
        <f t="shared" si="210"/>
        <v>728509.95504484442</v>
      </c>
      <c r="CF43" s="24">
        <f t="shared" si="210"/>
        <v>927211.72268393531</v>
      </c>
      <c r="CG43" s="24">
        <f t="shared" ref="CG43:CH43" si="211">SUM(CG32:CG35)</f>
        <v>975142.98131421977</v>
      </c>
      <c r="CH43" s="24">
        <f t="shared" si="211"/>
        <v>897820.02910086757</v>
      </c>
      <c r="CI43" s="24">
        <f t="shared" ref="CI43:CJ43" si="212">SUM(CI32:CI35)</f>
        <v>897347.53906495962</v>
      </c>
      <c r="CJ43" s="24">
        <f t="shared" si="212"/>
        <v>895344.02138768672</v>
      </c>
      <c r="CK43" s="24">
        <f t="shared" ref="CK43:CL43" si="213">SUM(CK32:CK35)</f>
        <v>930703.49675773969</v>
      </c>
      <c r="CL43" s="24">
        <f t="shared" si="213"/>
        <v>1042003.1522693641</v>
      </c>
      <c r="CM43" s="24">
        <f t="shared" ref="CM43:CR43" si="214">SUM(CM32:CM35)</f>
        <v>1017115.9863485787</v>
      </c>
      <c r="CN43" s="24">
        <f t="shared" si="214"/>
        <v>1088855.9289720606</v>
      </c>
      <c r="CO43" s="24">
        <f t="shared" si="214"/>
        <v>987213.9762489089</v>
      </c>
      <c r="CP43" s="24">
        <f t="shared" si="214"/>
        <v>1090275.4157631556</v>
      </c>
      <c r="CQ43" s="24">
        <f t="shared" si="214"/>
        <v>1081736.5565711092</v>
      </c>
      <c r="CR43" s="24">
        <f t="shared" si="214"/>
        <v>955474.88500311575</v>
      </c>
      <c r="CS43" s="747">
        <f t="shared" ref="CS43" si="215">SUM(CS32:CS35)</f>
        <v>1010112.087519774</v>
      </c>
      <c r="CT43" s="24"/>
      <c r="CU43" s="24">
        <f t="shared" si="209"/>
        <v>781029.6262765961</v>
      </c>
      <c r="CV43" s="24">
        <f t="shared" si="209"/>
        <v>781030.6262765961</v>
      </c>
      <c r="CW43" s="24">
        <f t="shared" si="209"/>
        <v>781031.6262765961</v>
      </c>
      <c r="CX43" s="24">
        <f t="shared" si="209"/>
        <v>841339.53684570186</v>
      </c>
      <c r="CY43" s="24">
        <f t="shared" si="209"/>
        <v>841340.53684570186</v>
      </c>
      <c r="CZ43" s="24">
        <f t="shared" si="209"/>
        <v>841341.53684570186</v>
      </c>
      <c r="DA43" s="24">
        <f t="shared" si="209"/>
        <v>923497.00839041721</v>
      </c>
      <c r="DB43" s="24">
        <f t="shared" si="209"/>
        <v>923498.00839041721</v>
      </c>
      <c r="DC43" s="24">
        <f t="shared" si="209"/>
        <v>923499.00839041721</v>
      </c>
      <c r="DD43" s="24">
        <f t="shared" si="209"/>
        <v>1021904.4799351325</v>
      </c>
      <c r="DE43" s="24">
        <f t="shared" si="209"/>
        <v>1021905.4799351325</v>
      </c>
      <c r="DF43" s="24">
        <f t="shared" ref="DF43" si="216">SUM(DF32:DF35)</f>
        <v>1035065.4662457951</v>
      </c>
      <c r="DG43" s="24">
        <f>SUM(DG32:DG35)</f>
        <v>850748.64651709306</v>
      </c>
      <c r="DH43" s="24">
        <f t="shared" ref="DH43:DR43" si="217">SUM(DH32:DH35)</f>
        <v>850748.03594529594</v>
      </c>
      <c r="DI43" s="24">
        <f t="shared" si="217"/>
        <v>850748.03088907269</v>
      </c>
      <c r="DJ43" s="24">
        <f t="shared" si="217"/>
        <v>919732.92751704447</v>
      </c>
      <c r="DK43" s="24">
        <f t="shared" si="217"/>
        <v>919732.92246082122</v>
      </c>
      <c r="DL43" s="24">
        <f t="shared" si="217"/>
        <v>919732.91740459797</v>
      </c>
      <c r="DM43" s="24">
        <f t="shared" si="217"/>
        <v>1012995.9728054674</v>
      </c>
      <c r="DN43" s="24">
        <f t="shared" si="217"/>
        <v>1012995.9677492442</v>
      </c>
      <c r="DO43" s="24">
        <f t="shared" si="217"/>
        <v>1013230.4366547912</v>
      </c>
      <c r="DP43" s="24">
        <f t="shared" si="217"/>
        <v>1122664.1968413959</v>
      </c>
      <c r="DQ43" s="24">
        <f t="shared" si="217"/>
        <v>1122664.1917851728</v>
      </c>
      <c r="DR43" s="24">
        <f t="shared" si="217"/>
        <v>1122664.1867289494</v>
      </c>
      <c r="DS43" s="24">
        <f t="shared" ref="DS43:ED43" si="218">SUM(DS32:DS35)</f>
        <v>1077596.6025965184</v>
      </c>
      <c r="DT43" s="24">
        <f t="shared" si="218"/>
        <v>1077596.6025965184</v>
      </c>
      <c r="DU43" s="24">
        <f t="shared" si="218"/>
        <v>1077607.8995457133</v>
      </c>
      <c r="DV43" s="24">
        <f t="shared" si="218"/>
        <v>1148713.0750850025</v>
      </c>
      <c r="DW43" s="24">
        <f t="shared" si="218"/>
        <v>1148713.0750850025</v>
      </c>
      <c r="DX43" s="24">
        <f t="shared" si="218"/>
        <v>1148713.0750850025</v>
      </c>
      <c r="DY43" s="24">
        <f t="shared" si="218"/>
        <v>1179984.2698053855</v>
      </c>
      <c r="DZ43" s="24">
        <f t="shared" si="218"/>
        <v>1179984.2698053855</v>
      </c>
      <c r="EA43" s="24">
        <f t="shared" si="218"/>
        <v>1179984.2698053855</v>
      </c>
      <c r="EB43" s="24">
        <f t="shared" si="218"/>
        <v>1271891.1051196412</v>
      </c>
      <c r="EC43" s="24">
        <f t="shared" si="218"/>
        <v>1271891.1051196412</v>
      </c>
      <c r="ED43" s="24">
        <f t="shared" si="218"/>
        <v>1271891.1051196412</v>
      </c>
      <c r="EE43" s="24">
        <f t="shared" ref="EE43:EO43" si="219">SUM(EE32:EE35)</f>
        <v>1056343.6109260507</v>
      </c>
      <c r="EF43" s="24">
        <f t="shared" si="219"/>
        <v>1056343.6109260507</v>
      </c>
      <c r="EG43" s="24">
        <f t="shared" si="219"/>
        <v>1056343.6109260507</v>
      </c>
      <c r="EH43" s="24">
        <f t="shared" si="219"/>
        <v>1021858.2215829423</v>
      </c>
      <c r="EI43" s="24">
        <f t="shared" si="219"/>
        <v>1021858.2215829423</v>
      </c>
      <c r="EJ43" s="24">
        <f t="shared" si="219"/>
        <v>1021858.2215829423</v>
      </c>
      <c r="EK43" s="24">
        <f t="shared" si="219"/>
        <v>1076633.2306762501</v>
      </c>
      <c r="EL43" s="24">
        <f t="shared" si="219"/>
        <v>1076633.2306762501</v>
      </c>
      <c r="EM43" s="24">
        <f t="shared" si="219"/>
        <v>1076633.2306762501</v>
      </c>
      <c r="EN43" s="24">
        <f t="shared" si="219"/>
        <v>1213311.4518416268</v>
      </c>
      <c r="EO43" s="24">
        <f t="shared" si="219"/>
        <v>1213311.4518416268</v>
      </c>
      <c r="EP43" s="24">
        <v>1213311.4518416268</v>
      </c>
      <c r="EQ43" s="24">
        <f t="shared" ref="EQ43:FB43" si="220">SUM(EQ32:EQ35)</f>
        <v>1059746.5021877098</v>
      </c>
      <c r="ER43" s="455">
        <f t="shared" si="220"/>
        <v>1060258.0095373231</v>
      </c>
      <c r="ES43" s="24">
        <f t="shared" si="220"/>
        <v>1062791.5880183137</v>
      </c>
      <c r="ET43" s="24">
        <f t="shared" si="220"/>
        <v>1162761.1786026568</v>
      </c>
      <c r="EU43" s="24">
        <f t="shared" si="220"/>
        <v>1162761.1786026568</v>
      </c>
      <c r="EV43" s="24">
        <f t="shared" si="220"/>
        <v>1162761.1786026568</v>
      </c>
      <c r="EW43" s="24">
        <f t="shared" si="220"/>
        <v>1207523.7725623345</v>
      </c>
      <c r="EX43" s="24">
        <f t="shared" si="220"/>
        <v>1207523.7725623345</v>
      </c>
      <c r="EY43" s="24">
        <f t="shared" si="220"/>
        <v>1207523.7725623345</v>
      </c>
      <c r="EZ43" s="24">
        <f t="shared" si="220"/>
        <v>1253483.6226873647</v>
      </c>
      <c r="FA43" s="24">
        <f t="shared" si="220"/>
        <v>1253483.6226873647</v>
      </c>
      <c r="FB43" s="24">
        <f t="shared" si="220"/>
        <v>1253483.6226873647</v>
      </c>
    </row>
    <row r="44" spans="2:158" x14ac:dyDescent="0.35">
      <c r="D44" s="398" t="s">
        <v>110</v>
      </c>
      <c r="F44" s="387"/>
      <c r="G44" s="387"/>
      <c r="H44" s="387"/>
      <c r="I44" s="413"/>
      <c r="J44" s="406"/>
      <c r="K44" s="393"/>
      <c r="L44" s="393"/>
      <c r="M44" s="393"/>
      <c r="N44" s="393"/>
      <c r="O44" s="393"/>
      <c r="P44" s="393"/>
      <c r="Q44" s="393"/>
      <c r="R44" s="393"/>
      <c r="S44" s="393"/>
      <c r="T44" s="393"/>
      <c r="U44" s="393"/>
      <c r="V44" s="393"/>
      <c r="W44" s="393"/>
      <c r="X44" s="393"/>
      <c r="Y44" s="393"/>
      <c r="Z44" s="393">
        <f t="shared" ref="Z44:Z48" si="221">SUM(BT44:BV44)</f>
        <v>0</v>
      </c>
      <c r="AA44" s="393">
        <f t="shared" ref="AA44:AA48" si="222">SUM(BW44:BY44)</f>
        <v>0</v>
      </c>
      <c r="AB44" s="393">
        <f t="shared" ref="AB44:AB48" si="223">SUM(BZ44:CB44)</f>
        <v>0</v>
      </c>
      <c r="AC44" s="393">
        <f t="shared" ref="AC44:AC48" si="224">SUM(CC44:CE44)</f>
        <v>0</v>
      </c>
      <c r="AD44" s="393"/>
      <c r="AE44" s="393"/>
      <c r="AF44" s="393"/>
      <c r="AG44" s="393"/>
      <c r="AH44" s="393"/>
      <c r="AI44" s="393"/>
      <c r="AJ44" s="393"/>
      <c r="AK44" s="393"/>
      <c r="AL44" s="393"/>
      <c r="AM44" s="393"/>
      <c r="AN44" s="393"/>
      <c r="AO44" s="393"/>
      <c r="AP44" s="393"/>
      <c r="AQ44" s="393"/>
      <c r="AR44" s="393"/>
      <c r="AS44" s="393"/>
      <c r="AT44" s="393"/>
      <c r="AU44" s="393"/>
      <c r="AV44" s="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 s="487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 s="79"/>
      <c r="CU44"/>
      <c r="DG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L44"/>
      <c r="EM44"/>
      <c r="EN44"/>
      <c r="EO44"/>
      <c r="EP44"/>
      <c r="EQ44"/>
      <c r="ER44" s="384"/>
      <c r="ES44"/>
      <c r="ET44"/>
      <c r="EU44"/>
      <c r="EV44"/>
      <c r="EW44"/>
      <c r="EX44"/>
      <c r="EY44"/>
      <c r="EZ44"/>
      <c r="FA44"/>
      <c r="FB44"/>
    </row>
    <row r="45" spans="2:158" x14ac:dyDescent="0.35">
      <c r="E45" s="113" t="s">
        <v>218</v>
      </c>
      <c r="F45" s="387">
        <f>SUM(K45:N45)</f>
        <v>-3389668.539811708</v>
      </c>
      <c r="G45" s="387">
        <f>SUM(P45:S45)</f>
        <v>-3834231.7125328211</v>
      </c>
      <c r="H45" s="387">
        <f>SUM(U45:X45)</f>
        <v>-3038678.9075793629</v>
      </c>
      <c r="I45" s="387">
        <f>SUM(Z45:AC45)</f>
        <v>-2774612.219610332</v>
      </c>
      <c r="J45" s="406"/>
      <c r="K45" s="385">
        <f>SUM(AJ45:AL45)</f>
        <v>-639545.93975712406</v>
      </c>
      <c r="L45" s="385">
        <f>SUM(AM45:AO45)</f>
        <v>-739068.29979639838</v>
      </c>
      <c r="M45" s="385">
        <f>SUM(AP45:AR45)</f>
        <v>-967098.46903086349</v>
      </c>
      <c r="N45" s="385">
        <f>SUM(AS45:AU45)</f>
        <v>-1043955.8312273223</v>
      </c>
      <c r="O45" s="385"/>
      <c r="P45" s="385">
        <f>SUM(AV45:AX45)</f>
        <v>-1060383.9321982488</v>
      </c>
      <c r="Q45" s="385">
        <f>SUM(AY45:BA45)</f>
        <v>-968176.19626184634</v>
      </c>
      <c r="R45" s="385">
        <f>SUM(BB45:BD45)</f>
        <v>-941837.98155785492</v>
      </c>
      <c r="S45" s="385">
        <f>SUM(BE45:BG45)</f>
        <v>-863833.60251487093</v>
      </c>
      <c r="T45" s="393"/>
      <c r="U45" s="385">
        <f t="shared" ref="U45" si="225">SUM(BH45:BJ45)</f>
        <v>-790537.89113035402</v>
      </c>
      <c r="V45" s="385">
        <f>SUM(BK45:BM45)</f>
        <v>-740344.61204094184</v>
      </c>
      <c r="W45" s="385">
        <f t="shared" ref="W45" si="226">SUM(BN45:BP45)</f>
        <v>-772762.72900343279</v>
      </c>
      <c r="X45" s="385">
        <f t="shared" ref="X45" si="227">SUM(BQ45:BS45)</f>
        <v>-735033.67540463433</v>
      </c>
      <c r="Y45" s="385"/>
      <c r="Z45" s="385">
        <f t="shared" si="221"/>
        <v>-787025.02013485937</v>
      </c>
      <c r="AA45" s="385">
        <f t="shared" si="222"/>
        <v>-738815.08768940065</v>
      </c>
      <c r="AB45" s="385">
        <f t="shared" si="223"/>
        <v>-718632.99106590333</v>
      </c>
      <c r="AC45" s="385">
        <f t="shared" si="224"/>
        <v>-530139.12072016916</v>
      </c>
      <c r="AD45" s="385"/>
      <c r="AE45" s="385">
        <f>SUM(CF45:CH45)</f>
        <v>-576762.55277939967</v>
      </c>
      <c r="AF45" s="385">
        <f>SUM(CI45:CK45)</f>
        <v>-543765.98134160019</v>
      </c>
      <c r="AG45" s="385">
        <f>SUM(CL45:CN45)</f>
        <v>-574945.49772183888</v>
      </c>
      <c r="AH45" s="385">
        <f>SUM(CO45:CQ45)</f>
        <v>-483408.75512044202</v>
      </c>
      <c r="AI45" s="393"/>
      <c r="AJ45" s="385">
        <v>-206570.30387050632</v>
      </c>
      <c r="AK45" s="385">
        <v>-215639.43199551536</v>
      </c>
      <c r="AL45" s="385">
        <v>-217336.20389110228</v>
      </c>
      <c r="AM45" s="385">
        <v>-201396.80077588005</v>
      </c>
      <c r="AN45" s="385">
        <v>-253679.27160146038</v>
      </c>
      <c r="AO45" s="385">
        <v>-283992.22741905798</v>
      </c>
      <c r="AP45" s="385">
        <v>-316149.71582853928</v>
      </c>
      <c r="AQ45" s="385">
        <v>-323214.64953949762</v>
      </c>
      <c r="AR45" s="385">
        <v>-327734.10366282659</v>
      </c>
      <c r="AS45" s="385">
        <v>-314286.39810646494</v>
      </c>
      <c r="AT45" s="385">
        <v>-342479.24050568929</v>
      </c>
      <c r="AU45" s="385">
        <v>-387190.19261516817</v>
      </c>
      <c r="AV45" s="20">
        <v>-353170.83232226898</v>
      </c>
      <c r="AW45" s="20">
        <f>-372922.382135643</f>
        <v>-372922.38213564298</v>
      </c>
      <c r="AX45" s="20">
        <f>-334290.717740337</f>
        <v>-334290.71774033702</v>
      </c>
      <c r="AY45" s="20">
        <v>-348428.21603500599</v>
      </c>
      <c r="AZ45" s="20">
        <v>-310130.85042684036</v>
      </c>
      <c r="BA45" s="20">
        <v>-309617.1298</v>
      </c>
      <c r="BB45" s="20">
        <v>-307032.06904678885</v>
      </c>
      <c r="BC45" s="20">
        <v>-319405.49425026699</v>
      </c>
      <c r="BD45" s="20">
        <v>-315400.41826079902</v>
      </c>
      <c r="BE45" s="20">
        <v>-292391.52050435398</v>
      </c>
      <c r="BF45" s="20">
        <v>-295244.459039821</v>
      </c>
      <c r="BG45" s="20">
        <v>-276197.62297069601</v>
      </c>
      <c r="BH45" s="20">
        <v>-293872.77908155101</v>
      </c>
      <c r="BI45" s="20">
        <v>-269822.83189869998</v>
      </c>
      <c r="BJ45" s="20">
        <v>-226842.280150103</v>
      </c>
      <c r="BK45" s="20">
        <v>-232972.59464264999</v>
      </c>
      <c r="BL45" s="20">
        <v>-246932.894131156</v>
      </c>
      <c r="BM45" s="20">
        <v>-260439.12326713584</v>
      </c>
      <c r="BN45" s="20">
        <v>-252432.21606540459</v>
      </c>
      <c r="BO45" s="469">
        <v>-266692.87459032686</v>
      </c>
      <c r="BP45" s="469">
        <v>-253637.63834770134</v>
      </c>
      <c r="BQ45" s="469">
        <v>-252528.47774872673</v>
      </c>
      <c r="BR45" s="469">
        <v>-254516.63773232725</v>
      </c>
      <c r="BS45" s="469">
        <v>-227988.55992358038</v>
      </c>
      <c r="BT45" s="469">
        <v>-263385.95944337605</v>
      </c>
      <c r="BU45" s="469">
        <v>-246033.6716637917</v>
      </c>
      <c r="BV45" s="469">
        <v>-277605.38902769162</v>
      </c>
      <c r="BW45" s="469">
        <v>-238754.01232960686</v>
      </c>
      <c r="BX45" s="469">
        <v>-242834.58179175874</v>
      </c>
      <c r="BY45" s="469">
        <v>-257226.49356803508</v>
      </c>
      <c r="BZ45" s="469">
        <v>-238513.88221579869</v>
      </c>
      <c r="CA45" s="469">
        <v>-246991.56490944221</v>
      </c>
      <c r="CB45" s="469">
        <v>-233127.54394066241</v>
      </c>
      <c r="CC45" s="469">
        <v>-225230.48664966921</v>
      </c>
      <c r="CD45" s="469">
        <v>-187044.41420569079</v>
      </c>
      <c r="CE45" s="469">
        <v>-117864.21986480917</v>
      </c>
      <c r="CF45" s="469">
        <v>-195586.73411814414</v>
      </c>
      <c r="CG45" s="469">
        <v>-197883.27245922314</v>
      </c>
      <c r="CH45" s="469">
        <v>-183292.54620203239</v>
      </c>
      <c r="CI45" s="469">
        <v>-182683.4093541459</v>
      </c>
      <c r="CJ45" s="469">
        <v>-182878.34375002873</v>
      </c>
      <c r="CK45" s="469">
        <v>-178204.22823742553</v>
      </c>
      <c r="CL45" s="469">
        <v>-173357.4783096684</v>
      </c>
      <c r="CM45" s="469">
        <v>-193888.07300356094</v>
      </c>
      <c r="CN45" s="469">
        <v>-207699.94640860948</v>
      </c>
      <c r="CO45" s="469">
        <v>-157555.54407587793</v>
      </c>
      <c r="CP45" s="469">
        <v>-175116.33743011113</v>
      </c>
      <c r="CQ45" s="469">
        <v>-150736.87361445292</v>
      </c>
      <c r="CR45" s="469">
        <v>-150839.91514188721</v>
      </c>
      <c r="CS45" s="745">
        <v>-157983.82342635881</v>
      </c>
      <c r="CT45" s="469"/>
      <c r="CU45" s="20">
        <v>-396725.0770882566</v>
      </c>
      <c r="CV45" s="385">
        <v>-406082.24650735955</v>
      </c>
      <c r="CW45" s="385">
        <v>-386756.84691176924</v>
      </c>
      <c r="CX45" s="385">
        <v>-415928.07988887175</v>
      </c>
      <c r="CY45" s="385">
        <v>-409531.99144318752</v>
      </c>
      <c r="CZ45" s="385">
        <v>-403985.83726153255</v>
      </c>
      <c r="DA45" s="385">
        <v>-409927.65406997834</v>
      </c>
      <c r="DB45" s="385">
        <v>-409272.75760515913</v>
      </c>
      <c r="DC45" s="385">
        <v>-403751.37134180515</v>
      </c>
      <c r="DD45" s="385">
        <v>-410246.65773613844</v>
      </c>
      <c r="DE45" s="385">
        <v>-409590.83253813686</v>
      </c>
      <c r="DF45" s="385">
        <v>-404061.66954557324</v>
      </c>
      <c r="DG45" s="20">
        <v>-285971.60109682183</v>
      </c>
      <c r="DH45" s="385">
        <v>-284659.12678808259</v>
      </c>
      <c r="DI45" s="385">
        <v>-284659.13908344018</v>
      </c>
      <c r="DJ45" s="385">
        <v>-284662.95255749102</v>
      </c>
      <c r="DK45" s="385">
        <v>-284662.96485284861</v>
      </c>
      <c r="DL45" s="385">
        <v>-284662.97714820621</v>
      </c>
      <c r="DM45" s="385">
        <v>-285233.1662475476</v>
      </c>
      <c r="DN45" s="385">
        <v>-285233.1785429052</v>
      </c>
      <c r="DO45" s="385">
        <v>-284663.01403427898</v>
      </c>
      <c r="DP45" s="385">
        <v>-284663.02632963657</v>
      </c>
      <c r="DQ45" s="385">
        <v>-284663.03862499422</v>
      </c>
      <c r="DR45" s="385">
        <v>-284663.05092035182</v>
      </c>
      <c r="DS45" s="20">
        <v>-266291.73944337608</v>
      </c>
      <c r="DT45" s="20">
        <v>-266291.73944337608</v>
      </c>
      <c r="DU45" s="20">
        <v>-272142.12529708294</v>
      </c>
      <c r="DV45" s="20">
        <v>-272142.12529708294</v>
      </c>
      <c r="DW45" s="20">
        <v>-272142.12529708294</v>
      </c>
      <c r="DX45" s="20">
        <v>-272142.12529708294</v>
      </c>
      <c r="DY45" s="20">
        <v>-272142.12529708294</v>
      </c>
      <c r="DZ45" s="20">
        <v>-272142.12529708294</v>
      </c>
      <c r="EA45" s="20">
        <v>-272142.12529708294</v>
      </c>
      <c r="EB45" s="20">
        <v>-272142.12529708294</v>
      </c>
      <c r="EC45" s="20">
        <v>-272142.12529708294</v>
      </c>
      <c r="ED45" s="20">
        <v>-272142.12529708294</v>
      </c>
      <c r="EE45" s="20">
        <v>-195389.01734228543</v>
      </c>
      <c r="EF45" s="20">
        <v>-195389.01734228543</v>
      </c>
      <c r="EG45" s="20">
        <v>-195389.01734228543</v>
      </c>
      <c r="EH45" s="20">
        <v>-195389.01734228543</v>
      </c>
      <c r="EI45" s="20">
        <v>-195389.01734228543</v>
      </c>
      <c r="EJ45" s="20">
        <v>-195389.01734228543</v>
      </c>
      <c r="EK45" s="20">
        <v>-195389.01734228543</v>
      </c>
      <c r="EL45" s="20">
        <v>-195389.01734228543</v>
      </c>
      <c r="EM45" s="20">
        <v>-195389.01734228543</v>
      </c>
      <c r="EN45" s="20">
        <v>-195389.01734228543</v>
      </c>
      <c r="EO45" s="20">
        <v>-195389.01734228543</v>
      </c>
      <c r="EP45" s="20">
        <v>-195389.01734228543</v>
      </c>
      <c r="EQ45" s="20">
        <v>-151702.86824776453</v>
      </c>
      <c r="ER45" s="454">
        <v>-157504.53761037922</v>
      </c>
      <c r="ES45" s="20">
        <v>-159229.90724715393</v>
      </c>
      <c r="ET45" s="20">
        <v>-155818.46766892084</v>
      </c>
      <c r="EU45" s="20">
        <v>-155818.46766892084</v>
      </c>
      <c r="EV45" s="20">
        <v>-155818.46766892084</v>
      </c>
      <c r="EW45" s="20">
        <v>-155181.64011813566</v>
      </c>
      <c r="EX45" s="20">
        <v>-155181.64011813566</v>
      </c>
      <c r="EY45" s="20">
        <v>-155181.64011813566</v>
      </c>
      <c r="EZ45" s="20">
        <v>-151515.34201573191</v>
      </c>
      <c r="FA45" s="20">
        <v>-151515.34201573191</v>
      </c>
      <c r="FB45" s="20">
        <v>-151515.34201573191</v>
      </c>
    </row>
    <row r="46" spans="2:158" x14ac:dyDescent="0.35">
      <c r="B46" s="407"/>
      <c r="C46" s="407"/>
      <c r="D46" s="407"/>
      <c r="E46" s="113" t="s">
        <v>119</v>
      </c>
      <c r="F46" s="387">
        <f>SUM(K46:N46)</f>
        <v>-1151764.1350795971</v>
      </c>
      <c r="G46" s="387">
        <f>SUM(P46:S46)</f>
        <v>-1164669.5061242853</v>
      </c>
      <c r="H46" s="387">
        <f t="shared" ref="H46:H48" si="228">SUM(U46:X46)</f>
        <v>-1030976.7725178174</v>
      </c>
      <c r="I46" s="387">
        <f t="shared" ref="I46:I48" si="229">SUM(Z46:AC46)</f>
        <v>-1021907.9472241164</v>
      </c>
      <c r="J46" s="406"/>
      <c r="K46" s="385">
        <f>SUM(AJ46:AL46)</f>
        <v>-219720.95815651986</v>
      </c>
      <c r="L46" s="385">
        <f>SUM(AM46:AO46)</f>
        <v>-282018.22351575992</v>
      </c>
      <c r="M46" s="385">
        <f>SUM(AP46:AR46)</f>
        <v>-331550.48121087952</v>
      </c>
      <c r="N46" s="385">
        <f>SUM(AS46:AU46)</f>
        <v>-318474.47219643788</v>
      </c>
      <c r="O46" s="385"/>
      <c r="P46" s="385">
        <f>SUM(AV46:AX46)</f>
        <v>-325635.47736827307</v>
      </c>
      <c r="Q46" s="385">
        <f>SUM(AY46:BA46)</f>
        <v>-349649.39246666455</v>
      </c>
      <c r="R46" s="385">
        <f>SUM(BB46:BD46)</f>
        <v>-233508.70897630916</v>
      </c>
      <c r="S46" s="385">
        <f>SUM(BE46:BG46)</f>
        <v>-255875.9273130385</v>
      </c>
      <c r="T46" s="393"/>
      <c r="U46" s="385">
        <f t="shared" ref="U46:U48" si="230">SUM(BH46:BJ46)</f>
        <v>-268441.02308505343</v>
      </c>
      <c r="V46" s="385">
        <f t="shared" ref="V46:V48" si="231">SUM(BK46:BM46)</f>
        <v>-271215.22730164975</v>
      </c>
      <c r="W46" s="385">
        <f t="shared" ref="W46:W48" si="232">SUM(BN46:BP46)</f>
        <v>-264702.80115517112</v>
      </c>
      <c r="X46" s="385">
        <f t="shared" ref="X46:X48" si="233">SUM(BQ46:BS46)</f>
        <v>-226617.72097594317</v>
      </c>
      <c r="Y46" s="385"/>
      <c r="Z46" s="385">
        <f t="shared" si="221"/>
        <v>-276448.20061883121</v>
      </c>
      <c r="AA46" s="385">
        <f t="shared" si="222"/>
        <v>-332693.04149878409</v>
      </c>
      <c r="AB46" s="385">
        <f t="shared" si="223"/>
        <v>-206953.99073904689</v>
      </c>
      <c r="AC46" s="385">
        <f t="shared" si="224"/>
        <v>-205812.71436745417</v>
      </c>
      <c r="AD46" s="385"/>
      <c r="AE46" s="385">
        <f t="shared" ref="AE46:AE48" si="234">SUM(CF46:CH46)</f>
        <v>-229948.912188249</v>
      </c>
      <c r="AF46" s="385">
        <f t="shared" ref="AF46:AF48" si="235">SUM(CI46:CK46)</f>
        <v>-204786.44868917635</v>
      </c>
      <c r="AG46" s="385">
        <f t="shared" ref="AG46:AG48" si="236">SUM(CL46:CN46)</f>
        <v>-164321.16153696858</v>
      </c>
      <c r="AH46" s="385">
        <f t="shared" ref="AH46:AH48" si="237">SUM(CO46:CQ46)</f>
        <v>-142997.09296492912</v>
      </c>
      <c r="AI46" s="393"/>
      <c r="AJ46" s="385">
        <v>-50494.583171053797</v>
      </c>
      <c r="AK46" s="385">
        <v>-82276.003217965277</v>
      </c>
      <c r="AL46" s="385">
        <v>-86950.371767500808</v>
      </c>
      <c r="AM46" s="385">
        <v>-119618.24434856963</v>
      </c>
      <c r="AN46" s="385">
        <v>-73333.460344580119</v>
      </c>
      <c r="AO46" s="385">
        <v>-89066.518822610145</v>
      </c>
      <c r="AP46" s="385">
        <v>-90496.96977726536</v>
      </c>
      <c r="AQ46" s="385">
        <v>-113030.33917164135</v>
      </c>
      <c r="AR46" s="385">
        <v>-128023.17226197277</v>
      </c>
      <c r="AS46" s="385">
        <v>-112095.42616685899</v>
      </c>
      <c r="AT46" s="385">
        <v>-108495.32414594755</v>
      </c>
      <c r="AU46" s="385">
        <v>-97883.721883631326</v>
      </c>
      <c r="AV46" s="20">
        <v>-87867.309392935102</v>
      </c>
      <c r="AW46" s="20">
        <f>-114790.830435126</f>
        <v>-114790.830435126</v>
      </c>
      <c r="AX46" s="20">
        <f>-122977.337540212</f>
        <v>-122977.337540212</v>
      </c>
      <c r="AY46" s="20">
        <v>-136556.81067612901</v>
      </c>
      <c r="AZ46" s="20">
        <v>-109309.86179053549</v>
      </c>
      <c r="BA46" s="20">
        <v>-103782.72</v>
      </c>
      <c r="BB46" s="20">
        <v>-76627.647467172486</v>
      </c>
      <c r="BC46" s="20">
        <v>-75651.762141101295</v>
      </c>
      <c r="BD46" s="20">
        <v>-81229.299368035397</v>
      </c>
      <c r="BE46" s="20">
        <v>-98070.905364816703</v>
      </c>
      <c r="BF46" s="20">
        <v>-78101.157628888497</v>
      </c>
      <c r="BG46" s="20">
        <v>-79703.864319333297</v>
      </c>
      <c r="BH46" s="20">
        <v>-84161.899323151403</v>
      </c>
      <c r="BI46" s="20">
        <v>-90428.380629010804</v>
      </c>
      <c r="BJ46" s="20">
        <v>-93850.743132891206</v>
      </c>
      <c r="BK46" s="20">
        <v>-89226.238298564203</v>
      </c>
      <c r="BL46" s="20">
        <v>-104281.002019133</v>
      </c>
      <c r="BM46" s="20">
        <v>-77707.986983952535</v>
      </c>
      <c r="BN46" s="20">
        <v>-96216.993111561766</v>
      </c>
      <c r="BO46" s="469">
        <v>-61085.843815387154</v>
      </c>
      <c r="BP46" s="469">
        <v>-107399.96422822223</v>
      </c>
      <c r="BQ46" s="469">
        <v>-94382.130586651881</v>
      </c>
      <c r="BR46" s="469">
        <v>-67536.200148458578</v>
      </c>
      <c r="BS46" s="469">
        <v>-64699.390240832727</v>
      </c>
      <c r="BT46" s="469">
        <v>-77498.032585089648</v>
      </c>
      <c r="BU46" s="469">
        <v>-110806.040543815</v>
      </c>
      <c r="BV46" s="469">
        <v>-88144.127489926585</v>
      </c>
      <c r="BW46" s="469">
        <v>-78895.312692452499</v>
      </c>
      <c r="BX46" s="469">
        <v>-112956.11476589879</v>
      </c>
      <c r="BY46" s="469">
        <v>-140841.61404043279</v>
      </c>
      <c r="BZ46" s="469">
        <v>-67037.266169931841</v>
      </c>
      <c r="CA46" s="469">
        <v>-66999.44004991281</v>
      </c>
      <c r="CB46" s="469">
        <v>-72917.284519202265</v>
      </c>
      <c r="CC46" s="469">
        <v>-75370.237089150818</v>
      </c>
      <c r="CD46" s="469">
        <v>-72250.684786160331</v>
      </c>
      <c r="CE46" s="469">
        <v>-58191.792492143024</v>
      </c>
      <c r="CF46" s="469">
        <v>-60877.262821289827</v>
      </c>
      <c r="CG46" s="469">
        <v>-67708.249525271473</v>
      </c>
      <c r="CH46" s="469">
        <v>-101363.39984168771</v>
      </c>
      <c r="CI46" s="469">
        <v>-68697.563490882909</v>
      </c>
      <c r="CJ46" s="469">
        <v>-62929.775915326318</v>
      </c>
      <c r="CK46" s="469">
        <v>-73159.109282967125</v>
      </c>
      <c r="CL46" s="469">
        <v>-55020.759448728822</v>
      </c>
      <c r="CM46" s="469">
        <v>-50205.998379567332</v>
      </c>
      <c r="CN46" s="469">
        <v>-59094.403708672413</v>
      </c>
      <c r="CO46" s="469">
        <v>-46534.496121404991</v>
      </c>
      <c r="CP46" s="469">
        <v>-56724.929420638349</v>
      </c>
      <c r="CQ46" s="469">
        <v>-39737.667422885759</v>
      </c>
      <c r="CR46" s="469">
        <v>-43780.864159013508</v>
      </c>
      <c r="CS46" s="745">
        <v>-43743.520876409748</v>
      </c>
      <c r="CT46" s="469"/>
      <c r="CU46" s="20">
        <v>-105897.70412356376</v>
      </c>
      <c r="CV46" s="385">
        <v>-106280.14765601308</v>
      </c>
      <c r="CW46" s="385">
        <v>-115892.29724280823</v>
      </c>
      <c r="CX46" s="385">
        <v>-108765.1734630056</v>
      </c>
      <c r="CY46" s="385">
        <v>-107097.40630905303</v>
      </c>
      <c r="CZ46" s="385">
        <v>-120954.89107073098</v>
      </c>
      <c r="DA46" s="385">
        <v>-107141.53354695717</v>
      </c>
      <c r="DB46" s="385">
        <v>-106970.36526675319</v>
      </c>
      <c r="DC46" s="385">
        <v>-120817.7729719499</v>
      </c>
      <c r="DD46" s="385">
        <v>-107210.15433811815</v>
      </c>
      <c r="DE46" s="385">
        <v>-107038.76690723796</v>
      </c>
      <c r="DF46" s="385">
        <v>-120893.98636398284</v>
      </c>
      <c r="DG46" s="20">
        <v>-92914.004214098881</v>
      </c>
      <c r="DH46" s="385">
        <v>-92914.749454422141</v>
      </c>
      <c r="DI46" s="385">
        <v>-92914.755726615491</v>
      </c>
      <c r="DJ46" s="385">
        <v>-85916.701082527565</v>
      </c>
      <c r="DK46" s="385">
        <v>-85916.707354720915</v>
      </c>
      <c r="DL46" s="385">
        <v>-85916.713626914279</v>
      </c>
      <c r="DM46" s="385">
        <v>-78332.582456915377</v>
      </c>
      <c r="DN46" s="385">
        <v>-78332.588729108727</v>
      </c>
      <c r="DO46" s="385">
        <v>-78041.732443494344</v>
      </c>
      <c r="DP46" s="385">
        <v>-72441.738715687694</v>
      </c>
      <c r="DQ46" s="385">
        <v>-72441.744987881044</v>
      </c>
      <c r="DR46" s="385">
        <v>-72441.751260074408</v>
      </c>
      <c r="DS46" s="20">
        <v>-92675.801805218696</v>
      </c>
      <c r="DT46" s="20">
        <v>-92675.801805218696</v>
      </c>
      <c r="DU46" s="20">
        <v>-92667.506501321943</v>
      </c>
      <c r="DV46" s="20">
        <v>-94780.839834655271</v>
      </c>
      <c r="DW46" s="20">
        <v>-94780.839834655271</v>
      </c>
      <c r="DX46" s="20">
        <v>-94780.839834655271</v>
      </c>
      <c r="DY46" s="20">
        <v>-81517.506501321943</v>
      </c>
      <c r="DZ46" s="20">
        <v>-81517.506501321943</v>
      </c>
      <c r="EA46" s="20">
        <v>-81517.506501321943</v>
      </c>
      <c r="EB46" s="20">
        <v>-73914.1731679886</v>
      </c>
      <c r="EC46" s="20">
        <v>-73914.1731679886</v>
      </c>
      <c r="ED46" s="20">
        <v>-73914.1731679886</v>
      </c>
      <c r="EE46" s="20">
        <v>-66621.647808720707</v>
      </c>
      <c r="EF46" s="20">
        <v>-66621.647808720707</v>
      </c>
      <c r="EG46" s="20">
        <v>-66621.647808720707</v>
      </c>
      <c r="EH46" s="20">
        <v>-66621.647808720707</v>
      </c>
      <c r="EI46" s="20">
        <v>-66621.647808720707</v>
      </c>
      <c r="EJ46" s="20">
        <v>-66621.647808720707</v>
      </c>
      <c r="EK46" s="20">
        <v>-66621.647808720707</v>
      </c>
      <c r="EL46" s="20">
        <v>-66621.647808720707</v>
      </c>
      <c r="EM46" s="20">
        <v>-66621.647808720707</v>
      </c>
      <c r="EN46" s="20">
        <v>-66621.647808720707</v>
      </c>
      <c r="EO46" s="20">
        <v>-66621.647808720707</v>
      </c>
      <c r="EP46" s="20">
        <v>-66621.647808720707</v>
      </c>
      <c r="EQ46" s="20">
        <v>-52532.737952696087</v>
      </c>
      <c r="ER46" s="454">
        <v>-51769.207012833795</v>
      </c>
      <c r="ES46" s="20">
        <v>-52086.32727812232</v>
      </c>
      <c r="ET46" s="20">
        <v>-51344.676558903768</v>
      </c>
      <c r="EU46" s="20">
        <v>-51344.676558903768</v>
      </c>
      <c r="EV46" s="20">
        <v>-51344.676558903768</v>
      </c>
      <c r="EW46" s="20">
        <v>-51228.148646869638</v>
      </c>
      <c r="EX46" s="20">
        <v>-51228.148646869638</v>
      </c>
      <c r="EY46" s="20">
        <v>-51228.148646869638</v>
      </c>
      <c r="EZ46" s="20">
        <v>-50554.928031676551</v>
      </c>
      <c r="FA46" s="20">
        <v>-50554.928031676551</v>
      </c>
      <c r="FB46" s="20">
        <v>-50554.928031676551</v>
      </c>
    </row>
    <row r="47" spans="2:158" x14ac:dyDescent="0.35">
      <c r="B47" s="407"/>
      <c r="C47" s="407"/>
      <c r="D47" s="407"/>
      <c r="E47" s="113" t="s">
        <v>219</v>
      </c>
      <c r="F47" s="387">
        <f>SUM(K47:N47)</f>
        <v>-1281382.6257852013</v>
      </c>
      <c r="G47" s="387">
        <f>SUM(P47:S47)</f>
        <v>-1865947.4644747209</v>
      </c>
      <c r="H47" s="387">
        <f t="shared" si="228"/>
        <v>-1939910.8432841827</v>
      </c>
      <c r="I47" s="387">
        <f t="shared" si="229"/>
        <v>-1857089.9541206122</v>
      </c>
      <c r="J47" s="406"/>
      <c r="K47" s="385">
        <f>SUM(AJ47:AL47)</f>
        <v>-282547.8727021729</v>
      </c>
      <c r="L47" s="385">
        <f>SUM(AM47:AO47)</f>
        <v>-305439.72708702832</v>
      </c>
      <c r="M47" s="385">
        <f>SUM(AP47:AR47)</f>
        <v>-298003.12051632733</v>
      </c>
      <c r="N47" s="385">
        <f>SUM(AS47:AU47)</f>
        <v>-395391.90547967283</v>
      </c>
      <c r="O47" s="385"/>
      <c r="P47" s="385">
        <f>SUM(AV47:AX47)</f>
        <v>-437231.24459453399</v>
      </c>
      <c r="Q47" s="385">
        <f>SUM(AY47:BA47)</f>
        <v>-487416.74071382795</v>
      </c>
      <c r="R47" s="385">
        <f>SUM(BB47:BD47)</f>
        <v>-473528.34823706193</v>
      </c>
      <c r="S47" s="385">
        <f>SUM(BE47:BG47)</f>
        <v>-467771.13092929701</v>
      </c>
      <c r="T47" s="393"/>
      <c r="U47" s="385">
        <f t="shared" si="230"/>
        <v>-481615.09416475904</v>
      </c>
      <c r="V47" s="385">
        <f t="shared" si="231"/>
        <v>-489960.6285964548</v>
      </c>
      <c r="W47" s="385">
        <f t="shared" si="232"/>
        <v>-480075.93930643785</v>
      </c>
      <c r="X47" s="385">
        <f t="shared" si="233"/>
        <v>-488259.18121653085</v>
      </c>
      <c r="Y47" s="385"/>
      <c r="Z47" s="385">
        <f t="shared" si="221"/>
        <v>-487565.59242141282</v>
      </c>
      <c r="AA47" s="385">
        <f t="shared" si="222"/>
        <v>-474415.00593584316</v>
      </c>
      <c r="AB47" s="385">
        <f t="shared" si="223"/>
        <v>-484149.42433068802</v>
      </c>
      <c r="AC47" s="385">
        <f t="shared" si="224"/>
        <v>-410959.931432668</v>
      </c>
      <c r="AD47" s="385"/>
      <c r="AE47" s="385">
        <f t="shared" si="234"/>
        <v>-432734.19874678523</v>
      </c>
      <c r="AF47" s="385">
        <f t="shared" si="235"/>
        <v>-422074.07937301812</v>
      </c>
      <c r="AG47" s="385">
        <f t="shared" si="236"/>
        <v>-387599.58368228399</v>
      </c>
      <c r="AH47" s="385">
        <f t="shared" si="237"/>
        <v>-350641.00387766294</v>
      </c>
      <c r="AI47" s="393"/>
      <c r="AJ47" s="385">
        <v>-94668.107706018622</v>
      </c>
      <c r="AK47" s="385">
        <v>-94299.104195123829</v>
      </c>
      <c r="AL47" s="385">
        <v>-93580.660801030477</v>
      </c>
      <c r="AM47" s="385">
        <v>-91228.162293782618</v>
      </c>
      <c r="AN47" s="385">
        <v>-106437.27086776798</v>
      </c>
      <c r="AO47" s="385">
        <v>-107774.29392547769</v>
      </c>
      <c r="AP47" s="385">
        <v>-97550.281161616513</v>
      </c>
      <c r="AQ47" s="385">
        <v>-100008.43016418407</v>
      </c>
      <c r="AR47" s="385">
        <v>-100444.40919052679</v>
      </c>
      <c r="AS47" s="385">
        <v>-142177.49209655306</v>
      </c>
      <c r="AT47" s="385">
        <v>-138326.2228852266</v>
      </c>
      <c r="AU47" s="385">
        <v>-114888.19049789313</v>
      </c>
      <c r="AV47" s="20">
        <v>-140568.74609917501</v>
      </c>
      <c r="AW47" s="20">
        <f>-144033.149089609</f>
        <v>-144033.14908960901</v>
      </c>
      <c r="AX47" s="20">
        <f>-152629.34940575</f>
        <v>-152629.34940574999</v>
      </c>
      <c r="AY47" s="20">
        <v>-160505.77425151013</v>
      </c>
      <c r="AZ47" s="20">
        <v>-163711.03126231779</v>
      </c>
      <c r="BA47" s="20">
        <v>-163199.93520000001</v>
      </c>
      <c r="BB47" s="20">
        <v>-164651.85154366697</v>
      </c>
      <c r="BC47" s="20">
        <v>-154332.798059097</v>
      </c>
      <c r="BD47" s="20">
        <v>-154543.69863429799</v>
      </c>
      <c r="BE47" s="20">
        <v>-153919.753829416</v>
      </c>
      <c r="BF47" s="20">
        <v>-156728.07035132701</v>
      </c>
      <c r="BG47" s="20">
        <v>-157123.30674855399</v>
      </c>
      <c r="BH47" s="20">
        <v>-160535.115322147</v>
      </c>
      <c r="BI47" s="20">
        <v>-160233.929390837</v>
      </c>
      <c r="BJ47" s="20">
        <v>-160846.049451775</v>
      </c>
      <c r="BK47" s="20">
        <v>-164958.01537216699</v>
      </c>
      <c r="BL47" s="20">
        <v>-163310.10986948301</v>
      </c>
      <c r="BM47" s="20">
        <v>-161692.50335480476</v>
      </c>
      <c r="BN47" s="20">
        <v>-163323.19775063352</v>
      </c>
      <c r="BO47" s="469">
        <v>-160247.28363708808</v>
      </c>
      <c r="BP47" s="469">
        <v>-156505.45791871622</v>
      </c>
      <c r="BQ47" s="469">
        <v>-162917.00044545133</v>
      </c>
      <c r="BR47" s="469">
        <v>-164325.3317736134</v>
      </c>
      <c r="BS47" s="469">
        <v>-161016.84899746615</v>
      </c>
      <c r="BT47" s="469">
        <v>-155345.25914072845</v>
      </c>
      <c r="BU47" s="469">
        <v>-169374.1407839781</v>
      </c>
      <c r="BV47" s="469">
        <v>-162846.19249670624</v>
      </c>
      <c r="BW47" s="469">
        <v>-159295.96774535536</v>
      </c>
      <c r="BX47" s="469">
        <v>-157804.09678106252</v>
      </c>
      <c r="BY47" s="469">
        <v>-157314.94140942529</v>
      </c>
      <c r="BZ47" s="469">
        <v>-163881.45791196334</v>
      </c>
      <c r="CA47" s="469">
        <v>-161198.36138598359</v>
      </c>
      <c r="CB47" s="469">
        <v>-159069.60503274109</v>
      </c>
      <c r="CC47" s="469">
        <v>-153641.76072229841</v>
      </c>
      <c r="CD47" s="469">
        <v>-141902.87977123703</v>
      </c>
      <c r="CE47" s="469">
        <v>-115415.29093913254</v>
      </c>
      <c r="CF47" s="469">
        <v>-145541.46685322566</v>
      </c>
      <c r="CG47" s="469">
        <v>-144044.74264085788</v>
      </c>
      <c r="CH47" s="469">
        <v>-143147.98925270169</v>
      </c>
      <c r="CI47" s="469">
        <v>-142158.29419518245</v>
      </c>
      <c r="CJ47" s="469">
        <v>-140745.1528359651</v>
      </c>
      <c r="CK47" s="469">
        <v>-139170.63234187057</v>
      </c>
      <c r="CL47" s="469">
        <v>-138001.03793979046</v>
      </c>
      <c r="CM47" s="469">
        <v>-132459.5880599209</v>
      </c>
      <c r="CN47" s="469">
        <v>-117138.95768257264</v>
      </c>
      <c r="CO47" s="469">
        <v>-115996.33833763626</v>
      </c>
      <c r="CP47" s="469">
        <v>-115436.47512131845</v>
      </c>
      <c r="CQ47" s="469">
        <v>-119208.19041870823</v>
      </c>
      <c r="CR47" s="469">
        <v>-121938.52624556575</v>
      </c>
      <c r="CS47" s="745">
        <v>-130137.48388399257</v>
      </c>
      <c r="CT47" s="469"/>
      <c r="CU47" s="20">
        <v>-138431.00594281149</v>
      </c>
      <c r="CV47" s="20">
        <v>-159736.61770028027</v>
      </c>
      <c r="CW47" s="20">
        <v>-175793.94841202398</v>
      </c>
      <c r="CX47" s="20">
        <v>-166510.14939514827</v>
      </c>
      <c r="CY47" s="20">
        <v>-180491.45327195115</v>
      </c>
      <c r="CZ47" s="20">
        <v>-177961.34794900368</v>
      </c>
      <c r="DA47" s="20">
        <v>-180568.43050313761</v>
      </c>
      <c r="DB47" s="20">
        <v>-181269.83804861616</v>
      </c>
      <c r="DC47" s="20">
        <v>-178752.42596090381</v>
      </c>
      <c r="DD47" s="20">
        <v>-181688.1352196864</v>
      </c>
      <c r="DE47" s="20">
        <v>-181389.16047039491</v>
      </c>
      <c r="DF47" s="20">
        <v>-178868.54960559332</v>
      </c>
      <c r="DG47" s="20">
        <v>-169683.17558284002</v>
      </c>
      <c r="DH47" s="20">
        <v>-167721.19693730728</v>
      </c>
      <c r="DI47" s="20">
        <v>-167721.20078589756</v>
      </c>
      <c r="DJ47" s="20">
        <v>-167722.39444773752</v>
      </c>
      <c r="DK47" s="20">
        <v>-167722.3982963278</v>
      </c>
      <c r="DL47" s="20">
        <v>-167722.40214491807</v>
      </c>
      <c r="DM47" s="20">
        <v>-167900.8779809594</v>
      </c>
      <c r="DN47" s="20">
        <v>-167900.8818295497</v>
      </c>
      <c r="DO47" s="20">
        <v>-167722.41369068893</v>
      </c>
      <c r="DP47" s="20">
        <v>-167722.41753927921</v>
      </c>
      <c r="DQ47" s="20">
        <v>-167722.42138786949</v>
      </c>
      <c r="DR47" s="20">
        <v>-167722.42523645979</v>
      </c>
      <c r="DS47" s="20">
        <v>-155662.76914072846</v>
      </c>
      <c r="DT47" s="20">
        <v>-155662.76914072846</v>
      </c>
      <c r="DU47" s="20">
        <v>-155623.41221437167</v>
      </c>
      <c r="DV47" s="20">
        <v>-155623.41221437167</v>
      </c>
      <c r="DW47" s="20">
        <v>-155623.41221437167</v>
      </c>
      <c r="DX47" s="20">
        <v>-155623.41221437167</v>
      </c>
      <c r="DY47" s="20">
        <v>-155623.41221437167</v>
      </c>
      <c r="DZ47" s="20">
        <v>-155623.41221437167</v>
      </c>
      <c r="EA47" s="20">
        <v>-155623.41221437167</v>
      </c>
      <c r="EB47" s="20">
        <v>-155623.41221437167</v>
      </c>
      <c r="EC47" s="20">
        <v>-155623.41221437167</v>
      </c>
      <c r="ED47" s="20">
        <v>-155623.41221437167</v>
      </c>
      <c r="EE47" s="20">
        <v>-149886.46511407135</v>
      </c>
      <c r="EF47" s="20">
        <v>-149886.46511407135</v>
      </c>
      <c r="EG47" s="20">
        <v>-149886.46511407135</v>
      </c>
      <c r="EH47" s="20">
        <v>-149886.46511407135</v>
      </c>
      <c r="EI47" s="20">
        <v>-149886.46511407135</v>
      </c>
      <c r="EJ47" s="20">
        <v>-149886.46511407135</v>
      </c>
      <c r="EK47" s="20">
        <v>-149886.46511407135</v>
      </c>
      <c r="EL47" s="20">
        <v>-149886.46511407135</v>
      </c>
      <c r="EM47" s="20">
        <v>-149886.46511407135</v>
      </c>
      <c r="EN47" s="20">
        <v>-149886.46511407135</v>
      </c>
      <c r="EO47" s="20">
        <v>-149886.46511407135</v>
      </c>
      <c r="EP47" s="20">
        <v>-149886.46511407135</v>
      </c>
      <c r="EQ47" s="20">
        <v>-119077.08043174424</v>
      </c>
      <c r="ER47" s="454">
        <v>-126693.42732803679</v>
      </c>
      <c r="ES47" s="20">
        <v>-128139.58612281202</v>
      </c>
      <c r="ET47" s="20">
        <v>-132536.11576113821</v>
      </c>
      <c r="EU47" s="20">
        <v>-132536.11576113821</v>
      </c>
      <c r="EV47" s="20">
        <v>-132536.11576113821</v>
      </c>
      <c r="EW47" s="20">
        <v>-131971.55569323679</v>
      </c>
      <c r="EX47" s="20">
        <v>-131971.55569323679</v>
      </c>
      <c r="EY47" s="20">
        <v>-131971.55569323679</v>
      </c>
      <c r="EZ47" s="20">
        <v>-128709.90387444559</v>
      </c>
      <c r="FA47" s="20">
        <v>-128709.90387444559</v>
      </c>
      <c r="FB47" s="20">
        <v>-128709.90387444559</v>
      </c>
    </row>
    <row r="48" spans="2:158" x14ac:dyDescent="0.35">
      <c r="B48" s="407"/>
      <c r="C48" s="407"/>
      <c r="D48" s="407"/>
      <c r="E48" s="113" t="s">
        <v>220</v>
      </c>
      <c r="F48" s="387">
        <f>SUM(K48:N48)</f>
        <v>-4985496.8718126975</v>
      </c>
      <c r="G48" s="387">
        <f>SUM(P48:S48)</f>
        <v>-6301524.7501160884</v>
      </c>
      <c r="H48" s="387">
        <f t="shared" si="228"/>
        <v>-6422877.984848571</v>
      </c>
      <c r="I48" s="387">
        <f t="shared" si="229"/>
        <v>-6615299.8217696715</v>
      </c>
      <c r="J48" s="406"/>
      <c r="K48" s="385">
        <f>SUM(AJ48:AL48)</f>
        <v>-1233202.1496078782</v>
      </c>
      <c r="L48" s="385">
        <f>SUM(AM48:AO48)</f>
        <v>-1249435.9220330012</v>
      </c>
      <c r="M48" s="385">
        <f>SUM(AP48:AR48)</f>
        <v>-1242271.2010528857</v>
      </c>
      <c r="N48" s="385">
        <f>SUM(AS48:AU48)</f>
        <v>-1260587.5991189322</v>
      </c>
      <c r="O48" s="385"/>
      <c r="P48" s="385">
        <f>SUM(AV48:AX48)</f>
        <v>-1475622.9756517145</v>
      </c>
      <c r="Q48" s="385">
        <f>SUM(AY48:BA48)</f>
        <v>-1584660.18149292</v>
      </c>
      <c r="R48" s="385">
        <f>SUM(BB48:BD48)</f>
        <v>-1645787.1799096586</v>
      </c>
      <c r="S48" s="385">
        <f>SUM(BE48:BG48)</f>
        <v>-1595454.4130617948</v>
      </c>
      <c r="T48" s="393"/>
      <c r="U48" s="385">
        <f t="shared" si="230"/>
        <v>-1570744.973142962</v>
      </c>
      <c r="V48" s="385">
        <f t="shared" si="231"/>
        <v>-1610990.9613626148</v>
      </c>
      <c r="W48" s="385">
        <f t="shared" si="232"/>
        <v>-1588090.2058228976</v>
      </c>
      <c r="X48" s="385">
        <f t="shared" si="233"/>
        <v>-1653051.8445200967</v>
      </c>
      <c r="Y48" s="385"/>
      <c r="Z48" s="385">
        <f t="shared" si="221"/>
        <v>-1730064.5763642439</v>
      </c>
      <c r="AA48" s="385">
        <f t="shared" si="222"/>
        <v>-1746063.0170174183</v>
      </c>
      <c r="AB48" s="385">
        <f t="shared" si="223"/>
        <v>-1595171.1337800382</v>
      </c>
      <c r="AC48" s="385">
        <f t="shared" si="224"/>
        <v>-1544001.0946079718</v>
      </c>
      <c r="AD48" s="385"/>
      <c r="AE48" s="385">
        <f t="shared" si="234"/>
        <v>-1735927.2133704596</v>
      </c>
      <c r="AF48" s="385">
        <f t="shared" si="235"/>
        <v>-1671317.6165451794</v>
      </c>
      <c r="AG48" s="385">
        <f t="shared" si="236"/>
        <v>-1668653.9763047711</v>
      </c>
      <c r="AH48" s="385">
        <f t="shared" si="237"/>
        <v>-1710706.2220113629</v>
      </c>
      <c r="AI48" s="393"/>
      <c r="AJ48" s="385">
        <v>-423962.88192989602</v>
      </c>
      <c r="AK48" s="385">
        <v>-423791.61393032089</v>
      </c>
      <c r="AL48" s="385">
        <v>-385447.65374766133</v>
      </c>
      <c r="AM48" s="385">
        <v>-406841.24356762564</v>
      </c>
      <c r="AN48" s="385">
        <v>-411620.71644730592</v>
      </c>
      <c r="AO48" s="385">
        <v>-430973.96201806964</v>
      </c>
      <c r="AP48" s="385">
        <v>-402840.91369112924</v>
      </c>
      <c r="AQ48" s="385">
        <v>-417110.81705820846</v>
      </c>
      <c r="AR48" s="385">
        <v>-422319.47030354798</v>
      </c>
      <c r="AS48" s="385">
        <v>-422130.81128831429</v>
      </c>
      <c r="AT48" s="385">
        <v>-421139.89333143126</v>
      </c>
      <c r="AU48" s="385">
        <v>-417316.89449918672</v>
      </c>
      <c r="AV48" s="20">
        <v>-484537.100766844</v>
      </c>
      <c r="AW48" s="20">
        <v>-505342.79853595502</v>
      </c>
      <c r="AX48" s="20">
        <v>-485743.07634891558</v>
      </c>
      <c r="AY48" s="20">
        <v>-524220.08726721641</v>
      </c>
      <c r="AZ48" s="20">
        <v>-560892.22602570383</v>
      </c>
      <c r="BA48" s="20">
        <v>-499547.86820000003</v>
      </c>
      <c r="BB48" s="20">
        <v>-559944.60745724454</v>
      </c>
      <c r="BC48" s="20">
        <v>-514596.10147050599</v>
      </c>
      <c r="BD48" s="20">
        <f>-570330.170496573-916.300485335057</f>
        <v>-571246.47098190803</v>
      </c>
      <c r="BE48" s="20">
        <v>-525057.51687842095</v>
      </c>
      <c r="BF48" s="20">
        <v>-508313.84173663199</v>
      </c>
      <c r="BG48" s="20">
        <v>-562083.05444674206</v>
      </c>
      <c r="BH48" s="20">
        <v>-524903.737010087</v>
      </c>
      <c r="BI48" s="20">
        <v>-524020.92255558597</v>
      </c>
      <c r="BJ48" s="20">
        <v>-521820.31357728899</v>
      </c>
      <c r="BK48" s="20">
        <v>-533151.62472379499</v>
      </c>
      <c r="BL48" s="20">
        <v>-540329.24278239696</v>
      </c>
      <c r="BM48" s="20">
        <v>-537510.0938564227</v>
      </c>
      <c r="BN48" s="20">
        <v>-542667.92586365074</v>
      </c>
      <c r="BO48" s="469">
        <v>-515391.1687172532</v>
      </c>
      <c r="BP48" s="469">
        <v>-530031.11124199384</v>
      </c>
      <c r="BQ48" s="469">
        <v>-539583.42979765101</v>
      </c>
      <c r="BR48" s="469">
        <v>-542204.5495473881</v>
      </c>
      <c r="BS48" s="469">
        <v>-571263.86517505778</v>
      </c>
      <c r="BT48" s="469">
        <v>-583158.27524546906</v>
      </c>
      <c r="BU48" s="469">
        <v>-595025.29211526923</v>
      </c>
      <c r="BV48" s="469">
        <v>-551881.00900350546</v>
      </c>
      <c r="BW48" s="469">
        <v>-580797.58195712836</v>
      </c>
      <c r="BX48" s="469">
        <v>-591867.97971009044</v>
      </c>
      <c r="BY48" s="469">
        <v>-573397.45535019948</v>
      </c>
      <c r="BZ48" s="469">
        <f>-611984.519134539+43000</f>
        <v>-568984.51913453895</v>
      </c>
      <c r="CA48" s="469">
        <v>-542851.11400759977</v>
      </c>
      <c r="CB48" s="469">
        <v>-483335.50063789939</v>
      </c>
      <c r="CC48" s="469">
        <v>-590092.94871327723</v>
      </c>
      <c r="CD48" s="469">
        <v>-478468.88891270844</v>
      </c>
      <c r="CE48" s="469">
        <v>-475439.25698198605</v>
      </c>
      <c r="CF48" s="469">
        <v>-579516.42500961409</v>
      </c>
      <c r="CG48" s="469">
        <v>-588235.58513982676</v>
      </c>
      <c r="CH48" s="469">
        <v>-568175.20322101878</v>
      </c>
      <c r="CI48" s="469">
        <v>-571430.93906532007</v>
      </c>
      <c r="CJ48" s="469">
        <v>-562735.10743031418</v>
      </c>
      <c r="CK48" s="469">
        <v>-537151.57004954538</v>
      </c>
      <c r="CL48" s="469">
        <v>-556944.78848957212</v>
      </c>
      <c r="CM48" s="469">
        <v>-538711.89263774327</v>
      </c>
      <c r="CN48" s="469">
        <v>-572997.29517745576</v>
      </c>
      <c r="CO48" s="469">
        <v>-561194.24329378922</v>
      </c>
      <c r="CP48" s="469">
        <v>-562626.53769231564</v>
      </c>
      <c r="CQ48" s="469">
        <v>-586885.44102525804</v>
      </c>
      <c r="CR48" s="469">
        <v>-605030.08910053736</v>
      </c>
      <c r="CS48" s="745">
        <v>-563055.73899909877</v>
      </c>
      <c r="CT48" s="469"/>
      <c r="CU48" s="20">
        <v>-554949.3630646331</v>
      </c>
      <c r="CV48" s="20">
        <v>-525768.63307762821</v>
      </c>
      <c r="CW48" s="20">
        <v>-523175.52922684216</v>
      </c>
      <c r="CX48" s="20">
        <v>-546042.41317425389</v>
      </c>
      <c r="CY48" s="20">
        <v>-542705.14744255913</v>
      </c>
      <c r="CZ48" s="20">
        <v>-537427.35719998844</v>
      </c>
      <c r="DA48" s="20">
        <v>-542078.1076925433</v>
      </c>
      <c r="DB48" s="20">
        <v>-543262.32988878002</v>
      </c>
      <c r="DC48" s="20">
        <v>-537955.90885323111</v>
      </c>
      <c r="DD48" s="20">
        <v>-541483.55464168859</v>
      </c>
      <c r="DE48" s="20">
        <v>-542669.48454220907</v>
      </c>
      <c r="DF48" s="20">
        <v>-537617.27699080843</v>
      </c>
      <c r="DG48" s="20">
        <v>-591264.42120288848</v>
      </c>
      <c r="DH48" s="20">
        <v>-594199.26507589524</v>
      </c>
      <c r="DI48" s="20">
        <v>-594477.3143343858</v>
      </c>
      <c r="DJ48" s="20">
        <v>-591471.44604489545</v>
      </c>
      <c r="DK48" s="20">
        <v>-595723.08030338597</v>
      </c>
      <c r="DL48" s="20">
        <v>-594786.01456187654</v>
      </c>
      <c r="DM48" s="20">
        <v>-610271.17497464176</v>
      </c>
      <c r="DN48" s="20">
        <v>-611318.50923313235</v>
      </c>
      <c r="DO48" s="20">
        <v>-606314.7288026358</v>
      </c>
      <c r="DP48" s="20">
        <v>-619735.7297277929</v>
      </c>
      <c r="DQ48" s="20">
        <v>-617114.56398628349</v>
      </c>
      <c r="DR48" s="20">
        <v>-613707.49824477395</v>
      </c>
      <c r="DS48" s="20">
        <v>-590882.4929740103</v>
      </c>
      <c r="DT48" s="20">
        <v>-593242.7429740103</v>
      </c>
      <c r="DU48" s="20">
        <v>-587764.30629975162</v>
      </c>
      <c r="DV48" s="20">
        <v>-594405.79949672834</v>
      </c>
      <c r="DW48" s="20">
        <v>-608491.26515304518</v>
      </c>
      <c r="DX48" s="20">
        <v>-622076.73080936202</v>
      </c>
      <c r="DY48" s="20">
        <v>-636279.57256357186</v>
      </c>
      <c r="DZ48" s="20">
        <v>-636279.57256357186</v>
      </c>
      <c r="EA48" s="20">
        <v>-636279.57256357186</v>
      </c>
      <c r="EB48" s="20">
        <v>-651696.89831750048</v>
      </c>
      <c r="EC48" s="20">
        <v>-653495.04159931978</v>
      </c>
      <c r="ED48" s="20">
        <v>-653851.74159931974</v>
      </c>
      <c r="EE48" s="20">
        <v>-606345.59021868813</v>
      </c>
      <c r="EF48" s="20">
        <v>-606345.59021868813</v>
      </c>
      <c r="EG48" s="20">
        <v>-606345.59021868813</v>
      </c>
      <c r="EH48" s="20">
        <v>-619888.24178896239</v>
      </c>
      <c r="EI48" s="20">
        <v>-619888.24178896239</v>
      </c>
      <c r="EJ48" s="20">
        <v>-619888.24178896239</v>
      </c>
      <c r="EK48" s="20">
        <v>-632410.90093183285</v>
      </c>
      <c r="EL48" s="20">
        <v>-632410.90093183285</v>
      </c>
      <c r="EM48" s="20">
        <v>-632410.90093183285</v>
      </c>
      <c r="EN48" s="20">
        <v>-654409.71462419617</v>
      </c>
      <c r="EO48" s="20">
        <v>-654409.71462419617</v>
      </c>
      <c r="EP48" s="20">
        <v>-654409.71462419617</v>
      </c>
      <c r="EQ48" s="20">
        <v>-608559.82329039264</v>
      </c>
      <c r="ER48" s="454">
        <v>-596416.84532096097</v>
      </c>
      <c r="ES48" s="20">
        <v>-595461.77510511316</v>
      </c>
      <c r="ET48" s="20">
        <v>-598524.667272344</v>
      </c>
      <c r="EU48" s="20">
        <v>-598524.667272344</v>
      </c>
      <c r="EV48" s="20">
        <v>-598524.667272344</v>
      </c>
      <c r="EW48" s="20">
        <v>-601412.40352402558</v>
      </c>
      <c r="EX48" s="20">
        <v>-601412.40352402558</v>
      </c>
      <c r="EY48" s="20">
        <v>-601412.40352402558</v>
      </c>
      <c r="EZ48" s="20">
        <v>-617843.20035099366</v>
      </c>
      <c r="FA48" s="20">
        <v>-617843.20035099366</v>
      </c>
      <c r="FB48" s="20">
        <v>-617843.20035099366</v>
      </c>
    </row>
    <row r="49" spans="2:160" x14ac:dyDescent="0.35">
      <c r="B49" s="407"/>
      <c r="C49" s="407"/>
      <c r="D49" s="407"/>
      <c r="E49" s="414"/>
      <c r="F49" s="387"/>
      <c r="G49" s="387"/>
      <c r="H49" s="387"/>
      <c r="I49" s="386"/>
      <c r="J49" s="386"/>
      <c r="K49" s="393"/>
      <c r="L49" s="393"/>
      <c r="M49" s="393"/>
      <c r="N49" s="393"/>
      <c r="O49" s="393"/>
      <c r="P49" s="393"/>
      <c r="Q49" s="393"/>
      <c r="R49" s="393"/>
      <c r="S49" s="393"/>
      <c r="T49" s="393"/>
      <c r="U49" s="393"/>
      <c r="V49" s="393"/>
      <c r="W49" s="393"/>
      <c r="X49" s="393"/>
      <c r="Y49" s="393"/>
      <c r="Z49" s="393"/>
      <c r="AA49" s="393"/>
      <c r="AB49" s="393"/>
      <c r="AC49" s="393"/>
      <c r="AD49" s="393"/>
      <c r="AE49" s="393"/>
      <c r="AF49" s="393"/>
      <c r="AG49" s="393"/>
      <c r="AH49" s="393"/>
      <c r="AI49" s="393"/>
      <c r="AJ49" s="393"/>
      <c r="AK49" s="393"/>
      <c r="AL49" s="393"/>
      <c r="AM49" s="393"/>
      <c r="AN49" s="393"/>
      <c r="AO49" s="393"/>
      <c r="AP49" s="393"/>
      <c r="AQ49" s="393"/>
      <c r="AR49" s="393"/>
      <c r="AS49" s="393"/>
      <c r="AT49" s="393"/>
      <c r="AU49" s="393"/>
      <c r="AV49" s="44"/>
      <c r="AW49"/>
      <c r="AX49"/>
      <c r="AY49"/>
      <c r="AZ49"/>
      <c r="BA49" s="431"/>
      <c r="BB49" s="431"/>
      <c r="BC49" s="431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 s="487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 s="7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L49"/>
      <c r="EM49"/>
      <c r="EN49"/>
      <c r="EO49"/>
      <c r="EP49"/>
      <c r="EQ49"/>
      <c r="ER49" s="384"/>
      <c r="ES49"/>
      <c r="ET49"/>
      <c r="EU49"/>
      <c r="EV49"/>
      <c r="EW49"/>
      <c r="EX49"/>
      <c r="EY49"/>
      <c r="EZ49"/>
      <c r="FA49"/>
      <c r="FB49"/>
    </row>
    <row r="50" spans="2:160" x14ac:dyDescent="0.35">
      <c r="B50" s="398"/>
      <c r="C50" s="401" t="s">
        <v>121</v>
      </c>
      <c r="D50" s="401"/>
      <c r="E50" s="401"/>
      <c r="F50" s="390">
        <f>SUM(F45:F49)</f>
        <v>-10808312.172489204</v>
      </c>
      <c r="G50" s="390">
        <f>SUM(G45:G49)</f>
        <v>-13166373.433247916</v>
      </c>
      <c r="H50" s="390">
        <f>SUM(H45:H49)</f>
        <v>-12432444.508229934</v>
      </c>
      <c r="I50" s="390">
        <f>SUM(I45:I49)</f>
        <v>-12268909.942724733</v>
      </c>
      <c r="J50" s="392"/>
      <c r="K50" s="391">
        <f>SUM(K45:K49)</f>
        <v>-2375016.9202236952</v>
      </c>
      <c r="L50" s="391">
        <f>SUM(L45:L49)</f>
        <v>-2575962.1724321879</v>
      </c>
      <c r="M50" s="391">
        <f>SUM(M45:M49)</f>
        <v>-2838923.2718109563</v>
      </c>
      <c r="N50" s="391">
        <f>SUM(N45:N49)</f>
        <v>-3018409.808022365</v>
      </c>
      <c r="O50" s="391"/>
      <c r="P50" s="391">
        <f>SUM(P45:P49)</f>
        <v>-3298873.6298127705</v>
      </c>
      <c r="Q50" s="391">
        <f>SUM(Q45:Q49)</f>
        <v>-3389902.5109352591</v>
      </c>
      <c r="R50" s="391">
        <f>SUM(R45:R49)</f>
        <v>-3294662.2186808847</v>
      </c>
      <c r="S50" s="391">
        <f>SUM(S45:S49)</f>
        <v>-3182935.0738190012</v>
      </c>
      <c r="T50" s="391"/>
      <c r="U50" s="391">
        <f t="shared" ref="U50:X50" si="238">SUM(U45:U49)</f>
        <v>-3111338.9815231282</v>
      </c>
      <c r="V50" s="391">
        <f t="shared" si="238"/>
        <v>-3112511.4293016614</v>
      </c>
      <c r="W50" s="391">
        <f t="shared" si="238"/>
        <v>-3105631.6752879396</v>
      </c>
      <c r="X50" s="391">
        <f t="shared" si="238"/>
        <v>-3102962.4221172049</v>
      </c>
      <c r="Y50" s="391"/>
      <c r="Z50" s="391">
        <f t="shared" ref="Z50:AH50" si="239">SUM(Z45:Z49)</f>
        <v>-3281103.3895393475</v>
      </c>
      <c r="AA50" s="391">
        <f t="shared" si="239"/>
        <v>-3291986.1521414462</v>
      </c>
      <c r="AB50" s="391">
        <f t="shared" si="239"/>
        <v>-3004907.5399156762</v>
      </c>
      <c r="AC50" s="391">
        <f t="shared" si="239"/>
        <v>-2690912.8611282632</v>
      </c>
      <c r="AD50" s="391"/>
      <c r="AE50" s="391">
        <f t="shared" si="239"/>
        <v>-2975372.8770848936</v>
      </c>
      <c r="AF50" s="391">
        <f t="shared" si="239"/>
        <v>-2841944.1259489739</v>
      </c>
      <c r="AG50" s="391">
        <f t="shared" si="239"/>
        <v>-2795520.2192458622</v>
      </c>
      <c r="AH50" s="391">
        <f t="shared" si="239"/>
        <v>-2687753.073974397</v>
      </c>
      <c r="AI50" s="415"/>
      <c r="AJ50" s="391">
        <f>SUM(AJ45:AJ49)</f>
        <v>-775695.87667747471</v>
      </c>
      <c r="AK50" s="391">
        <f t="shared" ref="AK50:AR50" si="240">SUM(AK45:AK49)</f>
        <v>-816006.15333892533</v>
      </c>
      <c r="AL50" s="391">
        <f t="shared" si="240"/>
        <v>-783314.89020729484</v>
      </c>
      <c r="AM50" s="391">
        <f t="shared" si="240"/>
        <v>-819084.45098585798</v>
      </c>
      <c r="AN50" s="391">
        <f t="shared" si="240"/>
        <v>-845070.71926111449</v>
      </c>
      <c r="AO50" s="391">
        <f t="shared" si="240"/>
        <v>-911807.00218521548</v>
      </c>
      <c r="AP50" s="391">
        <f t="shared" si="240"/>
        <v>-907037.88045855041</v>
      </c>
      <c r="AQ50" s="391">
        <f t="shared" si="240"/>
        <v>-953364.23593353154</v>
      </c>
      <c r="AR50" s="391">
        <f t="shared" si="240"/>
        <v>-978521.15541887423</v>
      </c>
      <c r="AS50" s="391">
        <f t="shared" ref="AS50:AU50" si="241">SUM(AS45:AS49)</f>
        <v>-990690.12765819125</v>
      </c>
      <c r="AT50" s="391">
        <f t="shared" si="241"/>
        <v>-1010440.6808682948</v>
      </c>
      <c r="AU50" s="391">
        <f t="shared" si="241"/>
        <v>-1017278.9994958793</v>
      </c>
      <c r="AV50" s="24">
        <f t="shared" ref="AV50:AZ50" si="242">SUM(AV45:AV49)</f>
        <v>-1066143.9885812229</v>
      </c>
      <c r="AW50" s="24">
        <f t="shared" si="242"/>
        <v>-1137089.1601963332</v>
      </c>
      <c r="AX50" s="24">
        <f t="shared" si="242"/>
        <v>-1095640.4810352144</v>
      </c>
      <c r="AY50" s="24">
        <f t="shared" si="242"/>
        <v>-1169710.8882298614</v>
      </c>
      <c r="AZ50" s="24">
        <f t="shared" si="242"/>
        <v>-1144043.9695053976</v>
      </c>
      <c r="BA50" s="24">
        <f t="shared" ref="BA50:BB50" si="243">SUM(BA45:BA49)</f>
        <v>-1076147.6532000001</v>
      </c>
      <c r="BB50" s="24">
        <f t="shared" si="243"/>
        <v>-1108256.1755148729</v>
      </c>
      <c r="BC50" s="24">
        <f t="shared" ref="BC50:BG50" si="244">SUM(BC45:BC49)</f>
        <v>-1063986.1559209712</v>
      </c>
      <c r="BD50" s="24">
        <f t="shared" si="244"/>
        <v>-1122419.8872450404</v>
      </c>
      <c r="BE50" s="24">
        <f t="shared" si="244"/>
        <v>-1069439.6965770076</v>
      </c>
      <c r="BF50" s="24">
        <f t="shared" si="244"/>
        <v>-1038387.5287566686</v>
      </c>
      <c r="BG50" s="24">
        <f t="shared" si="244"/>
        <v>-1075107.8484853255</v>
      </c>
      <c r="BH50" s="24">
        <f t="shared" ref="BH50:BM50" si="245">SUM(BH45:BH49)</f>
        <v>-1063473.5307369363</v>
      </c>
      <c r="BI50" s="24">
        <f t="shared" si="245"/>
        <v>-1044506.0644741338</v>
      </c>
      <c r="BJ50" s="24">
        <f t="shared" si="245"/>
        <v>-1003359.3863120582</v>
      </c>
      <c r="BK50" s="24">
        <f t="shared" si="245"/>
        <v>-1020308.4730371762</v>
      </c>
      <c r="BL50" s="24">
        <f t="shared" si="245"/>
        <v>-1054853.248802169</v>
      </c>
      <c r="BM50" s="24">
        <f t="shared" si="245"/>
        <v>-1037349.7074623159</v>
      </c>
      <c r="BN50" s="24">
        <f t="shared" ref="BN50" si="246">SUM(BN45:BN49)</f>
        <v>-1054640.3327912507</v>
      </c>
      <c r="BO50" s="24">
        <f>SUM(BO45:BO49)</f>
        <v>-1003417.1707600553</v>
      </c>
      <c r="BP50" s="24">
        <f>SUM(BP45:BP49)</f>
        <v>-1047574.1717366336</v>
      </c>
      <c r="BQ50" s="24">
        <f t="shared" ref="BQ50:BR50" si="247">SUM(BQ45:BQ49)</f>
        <v>-1049411.0385784809</v>
      </c>
      <c r="BR50" s="24">
        <f t="shared" si="247"/>
        <v>-1028582.7192017874</v>
      </c>
      <c r="BS50" s="24">
        <f t="shared" ref="BS50:BT50" si="248">SUM(BS45:BS49)</f>
        <v>-1024968.664336937</v>
      </c>
      <c r="BT50" s="548">
        <f t="shared" si="248"/>
        <v>-1079387.5264146633</v>
      </c>
      <c r="BU50" s="24">
        <f t="shared" ref="BU50:BV50" si="249">SUM(BU45:BU49)</f>
        <v>-1121239.1451068539</v>
      </c>
      <c r="BV50" s="24">
        <f t="shared" si="249"/>
        <v>-1080476.71801783</v>
      </c>
      <c r="BW50" s="24">
        <f t="shared" ref="BW50:BX50" si="250">SUM(BW45:BW49)</f>
        <v>-1057742.8747245432</v>
      </c>
      <c r="BX50" s="24">
        <f t="shared" si="250"/>
        <v>-1105462.7730488107</v>
      </c>
      <c r="BY50" s="24">
        <f t="shared" ref="BY50:BZ50" si="251">SUM(BY45:BY49)</f>
        <v>-1128780.5043680926</v>
      </c>
      <c r="BZ50" s="24">
        <f t="shared" si="251"/>
        <v>-1038417.1254322329</v>
      </c>
      <c r="CA50" s="24">
        <f t="shared" ref="CA50" si="252">SUM(CA45:CA49)</f>
        <v>-1018040.4803529384</v>
      </c>
      <c r="CB50" s="24">
        <f>SUM(CB45:CB49)</f>
        <v>-948449.93413050519</v>
      </c>
      <c r="CC50" s="24">
        <f t="shared" ref="CC50:DE50" si="253">SUM(CC45:CC49)</f>
        <v>-1044335.4331743957</v>
      </c>
      <c r="CD50" s="24">
        <f t="shared" ref="CD50:CE50" si="254">SUM(CD45:CD49)</f>
        <v>-879666.86767579662</v>
      </c>
      <c r="CE50" s="24">
        <f t="shared" si="254"/>
        <v>-766910.56027807086</v>
      </c>
      <c r="CF50" s="24">
        <f t="shared" ref="CF50:CG50" si="255">SUM(CF45:CF49)</f>
        <v>-981521.88880227366</v>
      </c>
      <c r="CG50" s="24">
        <f t="shared" si="255"/>
        <v>-997871.84976517921</v>
      </c>
      <c r="CH50" s="24">
        <f t="shared" ref="CH50:CI50" si="256">SUM(CH45:CH49)</f>
        <v>-995979.13851744053</v>
      </c>
      <c r="CI50" s="24">
        <f t="shared" si="256"/>
        <v>-964970.20610553131</v>
      </c>
      <c r="CJ50" s="24">
        <f t="shared" ref="CJ50:CK50" si="257">SUM(CJ45:CJ49)</f>
        <v>-949288.37993163429</v>
      </c>
      <c r="CK50" s="24">
        <f t="shared" si="257"/>
        <v>-927685.53991180868</v>
      </c>
      <c r="CL50" s="24">
        <f t="shared" ref="CL50" si="258">SUM(CL45:CL49)</f>
        <v>-923324.06418775977</v>
      </c>
      <c r="CM50" s="24">
        <f t="shared" ref="CM50:CR50" si="259">SUM(CM45:CM49)</f>
        <v>-915265.55208079249</v>
      </c>
      <c r="CN50" s="24">
        <f t="shared" si="259"/>
        <v>-956930.60297731031</v>
      </c>
      <c r="CO50" s="24">
        <f t="shared" si="259"/>
        <v>-881280.62182870833</v>
      </c>
      <c r="CP50" s="24">
        <f t="shared" si="259"/>
        <v>-909904.27966438362</v>
      </c>
      <c r="CQ50" s="24">
        <f t="shared" si="259"/>
        <v>-896568.17248130497</v>
      </c>
      <c r="CR50" s="24">
        <f t="shared" si="259"/>
        <v>-921589.39464700385</v>
      </c>
      <c r="CS50" s="747">
        <f t="shared" ref="CS50" si="260">SUM(CS45:CS49)</f>
        <v>-894920.56718585989</v>
      </c>
      <c r="CT50" s="24"/>
      <c r="CU50" s="24">
        <f t="shared" si="253"/>
        <v>-1196003.1502192649</v>
      </c>
      <c r="CV50" s="24">
        <f t="shared" si="253"/>
        <v>-1197867.6449412811</v>
      </c>
      <c r="CW50" s="24">
        <f t="shared" si="253"/>
        <v>-1201618.6217934436</v>
      </c>
      <c r="CX50" s="24">
        <f t="shared" si="253"/>
        <v>-1237245.8159212796</v>
      </c>
      <c r="CY50" s="24">
        <f t="shared" si="253"/>
        <v>-1239825.9984667508</v>
      </c>
      <c r="CZ50" s="24">
        <f t="shared" si="253"/>
        <v>-1240329.4334812555</v>
      </c>
      <c r="DA50" s="24">
        <f t="shared" si="253"/>
        <v>-1239715.7258126163</v>
      </c>
      <c r="DB50" s="24">
        <f t="shared" si="253"/>
        <v>-1240775.2908093086</v>
      </c>
      <c r="DC50" s="24">
        <f t="shared" si="253"/>
        <v>-1241277.47912789</v>
      </c>
      <c r="DD50" s="24">
        <f t="shared" si="253"/>
        <v>-1240628.5019356315</v>
      </c>
      <c r="DE50" s="24">
        <f t="shared" si="253"/>
        <v>-1240688.2444579788</v>
      </c>
      <c r="DF50" s="24">
        <f t="shared" ref="DF50" si="261">SUM(DF45:DF49)</f>
        <v>-1241441.4825059578</v>
      </c>
      <c r="DG50" s="24">
        <f>SUM(DG45:DG49)</f>
        <v>-1139833.2020966492</v>
      </c>
      <c r="DH50" s="24">
        <f t="shared" ref="DH50:DR50" si="262">SUM(DH45:DH49)</f>
        <v>-1139494.3382557072</v>
      </c>
      <c r="DI50" s="24">
        <f t="shared" si="262"/>
        <v>-1139772.4099303391</v>
      </c>
      <c r="DJ50" s="24">
        <f t="shared" si="262"/>
        <v>-1129773.4941326515</v>
      </c>
      <c r="DK50" s="24">
        <f t="shared" si="262"/>
        <v>-1134025.1508072834</v>
      </c>
      <c r="DL50" s="24">
        <f t="shared" si="262"/>
        <v>-1133088.107481915</v>
      </c>
      <c r="DM50" s="24">
        <f t="shared" si="262"/>
        <v>-1141737.8016600641</v>
      </c>
      <c r="DN50" s="24">
        <f t="shared" si="262"/>
        <v>-1142785.158334696</v>
      </c>
      <c r="DO50" s="24">
        <f t="shared" si="262"/>
        <v>-1136741.888971098</v>
      </c>
      <c r="DP50" s="24">
        <f t="shared" si="262"/>
        <v>-1144562.9123123963</v>
      </c>
      <c r="DQ50" s="24">
        <f t="shared" si="262"/>
        <v>-1141941.7689870284</v>
      </c>
      <c r="DR50" s="24">
        <f t="shared" si="262"/>
        <v>-1138534.7256616601</v>
      </c>
      <c r="DS50" s="24">
        <f t="shared" ref="DS50:ED50" si="263">SUM(DS45:DS49)</f>
        <v>-1105512.8033633335</v>
      </c>
      <c r="DT50" s="24">
        <f t="shared" si="263"/>
        <v>-1107873.0533633335</v>
      </c>
      <c r="DU50" s="24">
        <f t="shared" si="263"/>
        <v>-1108197.3503125282</v>
      </c>
      <c r="DV50" s="24">
        <f t="shared" si="263"/>
        <v>-1116952.1768428383</v>
      </c>
      <c r="DW50" s="24">
        <f t="shared" si="263"/>
        <v>-1131037.6424991551</v>
      </c>
      <c r="DX50" s="24">
        <f t="shared" si="263"/>
        <v>-1144623.108155472</v>
      </c>
      <c r="DY50" s="24">
        <f t="shared" si="263"/>
        <v>-1145562.6165763484</v>
      </c>
      <c r="DZ50" s="24">
        <f t="shared" si="263"/>
        <v>-1145562.6165763484</v>
      </c>
      <c r="EA50" s="24">
        <f t="shared" si="263"/>
        <v>-1145562.6165763484</v>
      </c>
      <c r="EB50" s="24">
        <f t="shared" si="263"/>
        <v>-1153376.6089969436</v>
      </c>
      <c r="EC50" s="24">
        <f t="shared" si="263"/>
        <v>-1155174.7522787629</v>
      </c>
      <c r="ED50" s="24">
        <f t="shared" si="263"/>
        <v>-1155531.4522787631</v>
      </c>
      <c r="EE50" s="24">
        <f t="shared" ref="EE50:EO50" si="264">SUM(EE45:EE49)</f>
        <v>-1018242.7204837656</v>
      </c>
      <c r="EF50" s="24">
        <f t="shared" si="264"/>
        <v>-1018242.7204837656</v>
      </c>
      <c r="EG50" s="24">
        <f t="shared" si="264"/>
        <v>-1018242.7204837656</v>
      </c>
      <c r="EH50" s="24">
        <f t="shared" si="264"/>
        <v>-1031785.3720540398</v>
      </c>
      <c r="EI50" s="24">
        <f t="shared" si="264"/>
        <v>-1031785.3720540398</v>
      </c>
      <c r="EJ50" s="24">
        <f t="shared" si="264"/>
        <v>-1031785.3720540398</v>
      </c>
      <c r="EK50" s="24">
        <f t="shared" si="264"/>
        <v>-1044308.0311969103</v>
      </c>
      <c r="EL50" s="24">
        <f t="shared" si="264"/>
        <v>-1044308.0311969103</v>
      </c>
      <c r="EM50" s="24">
        <f t="shared" si="264"/>
        <v>-1044308.0311969103</v>
      </c>
      <c r="EN50" s="24">
        <f t="shared" si="264"/>
        <v>-1066306.8448892736</v>
      </c>
      <c r="EO50" s="24">
        <f t="shared" si="264"/>
        <v>-1066306.8448892736</v>
      </c>
      <c r="EP50" s="24">
        <v>-1066306.8448892736</v>
      </c>
      <c r="EQ50" s="24">
        <f t="shared" ref="EQ50:FB50" si="265">SUM(EQ45:EQ49)</f>
        <v>-931872.50992259756</v>
      </c>
      <c r="ER50" s="455">
        <f t="shared" si="265"/>
        <v>-932384.0172722108</v>
      </c>
      <c r="ES50" s="24">
        <f t="shared" si="265"/>
        <v>-934917.5957532014</v>
      </c>
      <c r="ET50" s="24">
        <f t="shared" si="265"/>
        <v>-938223.92726130679</v>
      </c>
      <c r="EU50" s="24">
        <f t="shared" si="265"/>
        <v>-938223.92726130679</v>
      </c>
      <c r="EV50" s="24">
        <f t="shared" si="265"/>
        <v>-938223.92726130679</v>
      </c>
      <c r="EW50" s="24">
        <f t="shared" si="265"/>
        <v>-939793.74798226764</v>
      </c>
      <c r="EX50" s="24">
        <f t="shared" si="265"/>
        <v>-939793.74798226764</v>
      </c>
      <c r="EY50" s="24">
        <f t="shared" si="265"/>
        <v>-939793.74798226764</v>
      </c>
      <c r="EZ50" s="24">
        <f t="shared" si="265"/>
        <v>-948623.37427284778</v>
      </c>
      <c r="FA50" s="24">
        <f t="shared" si="265"/>
        <v>-948623.37427284778</v>
      </c>
      <c r="FB50" s="24">
        <f t="shared" si="265"/>
        <v>-948623.37427284778</v>
      </c>
    </row>
    <row r="51" spans="2:160" x14ac:dyDescent="0.35">
      <c r="C51" s="401" t="s">
        <v>123</v>
      </c>
      <c r="D51" s="402"/>
      <c r="E51" s="402"/>
      <c r="F51" s="390">
        <f>F43+F50</f>
        <v>-3005523.9415865801</v>
      </c>
      <c r="G51" s="390">
        <f>G43+G50</f>
        <v>-3239692.5544516537</v>
      </c>
      <c r="H51" s="390">
        <f>H43+H50</f>
        <v>-436077.13736377656</v>
      </c>
      <c r="I51" s="390">
        <f>I43+I50</f>
        <v>123823.63327500038</v>
      </c>
      <c r="J51" s="392"/>
      <c r="K51" s="391">
        <f>K43+K50</f>
        <v>-569028.76395523618</v>
      </c>
      <c r="L51" s="391">
        <f>L43+L50</f>
        <v>-679299.60291933897</v>
      </c>
      <c r="M51" s="391">
        <f>M43+M50</f>
        <v>-835211.89471200667</v>
      </c>
      <c r="N51" s="391">
        <f>N43+N50</f>
        <v>-921983.67999999993</v>
      </c>
      <c r="O51" s="391"/>
      <c r="P51" s="391">
        <f>P43+P50</f>
        <v>-1112784.9662755961</v>
      </c>
      <c r="Q51" s="391">
        <f>Q43+Q50</f>
        <v>-1019497.193849999</v>
      </c>
      <c r="R51" s="391">
        <f>R43+R50</f>
        <v>-840470.75205448689</v>
      </c>
      <c r="S51" s="391">
        <f>S43+S50</f>
        <v>-266939.6422715704</v>
      </c>
      <c r="T51" s="391"/>
      <c r="U51" s="391">
        <f t="shared" ref="U51:X51" si="266">U43+U50</f>
        <v>-170699.22387639154</v>
      </c>
      <c r="V51" s="391">
        <f>V43+V50</f>
        <v>-189246.98574142391</v>
      </c>
      <c r="W51" s="391">
        <f t="shared" si="266"/>
        <v>-158295.84738667496</v>
      </c>
      <c r="X51" s="391">
        <f t="shared" si="266"/>
        <v>82164.919640714768</v>
      </c>
      <c r="Y51" s="391"/>
      <c r="Z51" s="391">
        <f t="shared" ref="Z51:AH51" si="267">Z43+Z50</f>
        <v>-438809.73409301275</v>
      </c>
      <c r="AA51" s="391">
        <f t="shared" si="267"/>
        <v>-194867.96640250832</v>
      </c>
      <c r="AB51" s="391">
        <f t="shared" si="267"/>
        <v>229030.00051919464</v>
      </c>
      <c r="AC51" s="391">
        <f t="shared" si="267"/>
        <v>528471.33325132914</v>
      </c>
      <c r="AD51" s="391">
        <f t="shared" si="267"/>
        <v>3125394.781640349</v>
      </c>
      <c r="AE51" s="391">
        <f t="shared" si="267"/>
        <v>175372.3766803653</v>
      </c>
      <c r="AF51" s="391">
        <f t="shared" si="267"/>
        <v>188148.17870568763</v>
      </c>
      <c r="AG51" s="391">
        <f t="shared" si="267"/>
        <v>88189.696233791299</v>
      </c>
      <c r="AH51" s="391">
        <f t="shared" si="267"/>
        <v>53667.234727787785</v>
      </c>
      <c r="AI51" s="403"/>
      <c r="AJ51" s="391">
        <f>AJ43+AJ50</f>
        <v>-134774.85472858115</v>
      </c>
      <c r="AK51" s="391">
        <f t="shared" ref="AK51:AR51" si="268">AK43+AK50</f>
        <v>-207137.16500058153</v>
      </c>
      <c r="AL51" s="391">
        <f t="shared" si="268"/>
        <v>-227116.74422607373</v>
      </c>
      <c r="AM51" s="391">
        <f t="shared" si="268"/>
        <v>-233458.48752243025</v>
      </c>
      <c r="AN51" s="391">
        <f t="shared" si="268"/>
        <v>-233931.89208498679</v>
      </c>
      <c r="AO51" s="391">
        <f t="shared" si="268"/>
        <v>-211909.22331192193</v>
      </c>
      <c r="AP51" s="391">
        <f t="shared" si="268"/>
        <v>-239335.86055449932</v>
      </c>
      <c r="AQ51" s="391">
        <f t="shared" si="268"/>
        <v>-270756.40281614894</v>
      </c>
      <c r="AR51" s="391">
        <f t="shared" si="268"/>
        <v>-325119.6313413583</v>
      </c>
      <c r="AS51" s="391">
        <f t="shared" ref="AS51:AU51" si="269">AS43+AS50</f>
        <v>-333126.83999999997</v>
      </c>
      <c r="AT51" s="391">
        <f t="shared" si="269"/>
        <v>-326648.08000000007</v>
      </c>
      <c r="AU51" s="391">
        <f t="shared" si="269"/>
        <v>-262208.76000000013</v>
      </c>
      <c r="AV51" s="24">
        <f t="shared" ref="AV51:AZ51" si="270">AV43+AV50</f>
        <v>-361990.18360459444</v>
      </c>
      <c r="AW51" s="24">
        <f t="shared" si="270"/>
        <v>-447426.69399613503</v>
      </c>
      <c r="AX51" s="24">
        <f t="shared" si="270"/>
        <v>-303368.08867486659</v>
      </c>
      <c r="AY51" s="24">
        <f t="shared" si="270"/>
        <v>-373943.42901254736</v>
      </c>
      <c r="AZ51" s="24">
        <f t="shared" si="270"/>
        <v>-302212.96595702809</v>
      </c>
      <c r="BA51" s="24">
        <f t="shared" ref="BA51:BB51" si="271">BA43+BA50</f>
        <v>-343340.79888042354</v>
      </c>
      <c r="BB51" s="24">
        <f t="shared" si="271"/>
        <v>-396454.76554214489</v>
      </c>
      <c r="BC51" s="24">
        <f t="shared" ref="BC51:BH51" si="272">BC43+BC50</f>
        <v>-260382.86651234224</v>
      </c>
      <c r="BD51" s="24">
        <f t="shared" si="272"/>
        <v>-183633.11999999941</v>
      </c>
      <c r="BE51" s="24">
        <f t="shared" si="272"/>
        <v>-204900.43262494216</v>
      </c>
      <c r="BF51" s="24">
        <f t="shared" si="272"/>
        <v>-73956.52843330265</v>
      </c>
      <c r="BG51" s="24">
        <f t="shared" si="272"/>
        <v>11917.318786673481</v>
      </c>
      <c r="BH51" s="24">
        <f t="shared" si="272"/>
        <v>-110403.06813541474</v>
      </c>
      <c r="BI51" s="24">
        <f t="shared" ref="BI51:BJ51" si="273">BI43+BI50</f>
        <v>-66892.815861453535</v>
      </c>
      <c r="BJ51" s="24">
        <f t="shared" si="273"/>
        <v>6596.6601204766193</v>
      </c>
      <c r="BK51" s="24">
        <f t="shared" ref="BK51:BL51" si="274">BK43+BK50</f>
        <v>-39850.908179094549</v>
      </c>
      <c r="BL51" s="24">
        <f t="shared" si="274"/>
        <v>-77840.345115272561</v>
      </c>
      <c r="BM51" s="24">
        <f t="shared" ref="BM51:BN51" si="275">BM43+BM50</f>
        <v>-71555.732447056565</v>
      </c>
      <c r="BN51" s="24">
        <f t="shared" si="275"/>
        <v>-124868.20679739583</v>
      </c>
      <c r="BO51" s="24">
        <f t="shared" ref="BO51:BP51" si="276">BO43+BO50</f>
        <v>-56689.616322835092</v>
      </c>
      <c r="BP51" s="24">
        <f t="shared" si="276"/>
        <v>23261.975733556319</v>
      </c>
      <c r="BQ51" s="24">
        <f t="shared" ref="BQ51:BR51" si="277">BQ43+BQ50</f>
        <v>-41817.067202684586</v>
      </c>
      <c r="BR51" s="24">
        <f t="shared" si="277"/>
        <v>-9894.6523088362301</v>
      </c>
      <c r="BS51" s="24">
        <f t="shared" ref="BS51" si="278">BS43+BS50</f>
        <v>133876.63915223489</v>
      </c>
      <c r="BT51" s="548">
        <f t="shared" ref="BT51:BX51" si="279">BT43+BT50</f>
        <v>-58768.553425656166</v>
      </c>
      <c r="BU51" s="24">
        <f t="shared" si="279"/>
        <v>-66765.88115016208</v>
      </c>
      <c r="BV51" s="24">
        <f t="shared" si="279"/>
        <v>56193.687283161562</v>
      </c>
      <c r="BW51" s="24">
        <f t="shared" si="279"/>
        <v>-86723.824726295774</v>
      </c>
      <c r="BX51" s="24">
        <f t="shared" si="279"/>
        <v>6231.9660315422807</v>
      </c>
      <c r="BY51" s="24">
        <f t="shared" ref="BY51" si="280">BY43+BY50</f>
        <v>-86099.511806344381</v>
      </c>
      <c r="BZ51" s="24">
        <f>BZ43+BZ50</f>
        <v>-42047.603309075115</v>
      </c>
      <c r="CA51" s="24">
        <f>CA43+CA50</f>
        <v>-26998.690383182955</v>
      </c>
      <c r="CB51" s="24">
        <f>CB43+CB50</f>
        <v>-52151.330743765458</v>
      </c>
      <c r="CC51" s="24">
        <f t="shared" ref="CC51:DE51" si="281">CC43+CC50</f>
        <v>-190255.51782870665</v>
      </c>
      <c r="CD51" s="24">
        <f t="shared" ref="CD51:CE51" si="282">CD43+CD50</f>
        <v>55678.868598383269</v>
      </c>
      <c r="CE51" s="24">
        <f t="shared" si="282"/>
        <v>-38400.605233226437</v>
      </c>
      <c r="CF51" s="24">
        <f t="shared" ref="CF51:CG51" si="283">CF43+CF50</f>
        <v>-54310.166118338355</v>
      </c>
      <c r="CG51" s="24">
        <f t="shared" si="283"/>
        <v>-22728.868450959446</v>
      </c>
      <c r="CH51" s="24">
        <f t="shared" ref="CH51:CI51" si="284">CH43+CH50</f>
        <v>-98159.109416572959</v>
      </c>
      <c r="CI51" s="24">
        <f t="shared" si="284"/>
        <v>-67622.667040571687</v>
      </c>
      <c r="CJ51" s="24">
        <f t="shared" ref="CJ51" si="285">CJ43+CJ50</f>
        <v>-53944.358543947572</v>
      </c>
      <c r="CK51" s="24">
        <f t="shared" ref="CK51:CP51" si="286">CK43+CK50</f>
        <v>3017.9568459310103</v>
      </c>
      <c r="CL51" s="24">
        <f t="shared" si="286"/>
        <v>118679.08808160434</v>
      </c>
      <c r="CM51" s="24">
        <f t="shared" si="286"/>
        <v>101850.43426778622</v>
      </c>
      <c r="CN51" s="24">
        <f t="shared" si="286"/>
        <v>131925.32599475025</v>
      </c>
      <c r="CO51" s="24">
        <f t="shared" si="286"/>
        <v>105933.35442020057</v>
      </c>
      <c r="CP51" s="24">
        <f t="shared" si="286"/>
        <v>180371.13609877194</v>
      </c>
      <c r="CQ51" s="24">
        <f t="shared" ref="CQ51:CR51" si="287">CQ43+CQ50</f>
        <v>185168.38408980425</v>
      </c>
      <c r="CR51" s="24">
        <f t="shared" si="287"/>
        <v>33885.490356111899</v>
      </c>
      <c r="CS51" s="747">
        <f t="shared" ref="CS51" si="288">CS43+CS50</f>
        <v>115191.52033391409</v>
      </c>
      <c r="CT51" s="24"/>
      <c r="CU51" s="24">
        <f t="shared" si="281"/>
        <v>-414973.52394266881</v>
      </c>
      <c r="CV51" s="24">
        <f t="shared" si="281"/>
        <v>-416837.01866468496</v>
      </c>
      <c r="CW51" s="24">
        <f t="shared" si="281"/>
        <v>-420586.99551684747</v>
      </c>
      <c r="CX51" s="24">
        <f t="shared" si="281"/>
        <v>-395906.27907557774</v>
      </c>
      <c r="CY51" s="24">
        <f t="shared" si="281"/>
        <v>-398485.46162104898</v>
      </c>
      <c r="CZ51" s="24">
        <f t="shared" si="281"/>
        <v>-398987.89663555368</v>
      </c>
      <c r="DA51" s="24">
        <f t="shared" si="281"/>
        <v>-316218.71742219909</v>
      </c>
      <c r="DB51" s="24">
        <f t="shared" si="281"/>
        <v>-317277.28241889144</v>
      </c>
      <c r="DC51" s="24">
        <f t="shared" si="281"/>
        <v>-317778.47073747276</v>
      </c>
      <c r="DD51" s="24">
        <f t="shared" si="281"/>
        <v>-218724.02200049895</v>
      </c>
      <c r="DE51" s="24">
        <f t="shared" si="281"/>
        <v>-218782.76452284621</v>
      </c>
      <c r="DF51" s="24">
        <f t="shared" ref="DF51" si="289">DF43+DF50</f>
        <v>-206376.01626016269</v>
      </c>
      <c r="DG51" s="24">
        <f>DG43+DG50</f>
        <v>-289084.55557955615</v>
      </c>
      <c r="DH51" s="24">
        <f t="shared" ref="DH51:DR51" si="290">DH43+DH50</f>
        <v>-288746.30231041124</v>
      </c>
      <c r="DI51" s="24">
        <f t="shared" si="290"/>
        <v>-289024.37904126639</v>
      </c>
      <c r="DJ51" s="24">
        <f t="shared" si="290"/>
        <v>-210040.56661560701</v>
      </c>
      <c r="DK51" s="24">
        <f t="shared" si="290"/>
        <v>-214292.22834646213</v>
      </c>
      <c r="DL51" s="24">
        <f t="shared" si="290"/>
        <v>-213355.19007731706</v>
      </c>
      <c r="DM51" s="24">
        <f t="shared" si="290"/>
        <v>-128741.82885459671</v>
      </c>
      <c r="DN51" s="24">
        <f t="shared" si="290"/>
        <v>-129789.19058545178</v>
      </c>
      <c r="DO51" s="24">
        <f t="shared" si="290"/>
        <v>-123511.45231630676</v>
      </c>
      <c r="DP51" s="24">
        <f t="shared" si="290"/>
        <v>-21898.715471000411</v>
      </c>
      <c r="DQ51" s="24">
        <f t="shared" si="290"/>
        <v>-19277.577201855602</v>
      </c>
      <c r="DR51" s="24">
        <f t="shared" si="290"/>
        <v>-15870.538932710653</v>
      </c>
      <c r="DS51" s="24">
        <f t="shared" ref="DS51:ED51" si="291">DS43+DS50</f>
        <v>-27916.200766815105</v>
      </c>
      <c r="DT51" s="24">
        <f t="shared" si="291"/>
        <v>-30276.450766815105</v>
      </c>
      <c r="DU51" s="24">
        <f t="shared" si="291"/>
        <v>-30589.450766814873</v>
      </c>
      <c r="DV51" s="24">
        <f t="shared" si="291"/>
        <v>31760.89824216417</v>
      </c>
      <c r="DW51" s="24">
        <f t="shared" si="291"/>
        <v>17675.432585847331</v>
      </c>
      <c r="DX51" s="24">
        <f t="shared" si="291"/>
        <v>4089.9669295304921</v>
      </c>
      <c r="DY51" s="24">
        <f t="shared" si="291"/>
        <v>34421.653229037067</v>
      </c>
      <c r="DZ51" s="24">
        <f t="shared" si="291"/>
        <v>34421.653229037067</v>
      </c>
      <c r="EA51" s="24">
        <f t="shared" si="291"/>
        <v>34421.653229037067</v>
      </c>
      <c r="EB51" s="24">
        <f t="shared" si="291"/>
        <v>118514.4961226976</v>
      </c>
      <c r="EC51" s="24">
        <f t="shared" si="291"/>
        <v>116716.3528408783</v>
      </c>
      <c r="ED51" s="24">
        <f t="shared" si="291"/>
        <v>116359.65284087812</v>
      </c>
      <c r="EE51" s="24">
        <f t="shared" ref="EE51:EO51" si="292">EE43+EE50</f>
        <v>38100.890442285105</v>
      </c>
      <c r="EF51" s="24">
        <f t="shared" si="292"/>
        <v>38100.890442285105</v>
      </c>
      <c r="EG51" s="24">
        <f t="shared" si="292"/>
        <v>38100.890442285105</v>
      </c>
      <c r="EH51" s="24">
        <f t="shared" si="292"/>
        <v>-9927.1504710975569</v>
      </c>
      <c r="EI51" s="24">
        <f t="shared" si="292"/>
        <v>-9927.1504710975569</v>
      </c>
      <c r="EJ51" s="24">
        <f t="shared" si="292"/>
        <v>-9927.1504710975569</v>
      </c>
      <c r="EK51" s="24">
        <f t="shared" si="292"/>
        <v>32325.199479339761</v>
      </c>
      <c r="EL51" s="24">
        <f t="shared" si="292"/>
        <v>32325.199479339761</v>
      </c>
      <c r="EM51" s="24">
        <f t="shared" si="292"/>
        <v>32325.199479339761</v>
      </c>
      <c r="EN51" s="24">
        <f t="shared" si="292"/>
        <v>147004.60695235315</v>
      </c>
      <c r="EO51" s="24">
        <f t="shared" si="292"/>
        <v>147004.60695235315</v>
      </c>
      <c r="EP51" s="24">
        <v>147004.60695235315</v>
      </c>
      <c r="EQ51" s="24">
        <f t="shared" ref="EQ51:FB51" si="293">EQ43+EQ50</f>
        <v>127873.99226511223</v>
      </c>
      <c r="ER51" s="455">
        <f t="shared" si="293"/>
        <v>127873.99226511235</v>
      </c>
      <c r="ES51" s="24">
        <f t="shared" si="293"/>
        <v>127873.99226511235</v>
      </c>
      <c r="ET51" s="24">
        <f t="shared" si="293"/>
        <v>224537.25134135003</v>
      </c>
      <c r="EU51" s="24">
        <f t="shared" si="293"/>
        <v>224537.25134135003</v>
      </c>
      <c r="EV51" s="24">
        <f t="shared" si="293"/>
        <v>224537.25134135003</v>
      </c>
      <c r="EW51" s="24">
        <f t="shared" si="293"/>
        <v>267730.02458006691</v>
      </c>
      <c r="EX51" s="24">
        <f t="shared" si="293"/>
        <v>267730.02458006691</v>
      </c>
      <c r="EY51" s="24">
        <f t="shared" si="293"/>
        <v>267730.02458006691</v>
      </c>
      <c r="EZ51" s="24">
        <f t="shared" si="293"/>
        <v>304860.24841451691</v>
      </c>
      <c r="FA51" s="24">
        <f t="shared" si="293"/>
        <v>304860.24841451691</v>
      </c>
      <c r="FB51" s="24">
        <f t="shared" si="293"/>
        <v>304860.24841451691</v>
      </c>
    </row>
    <row r="52" spans="2:160" x14ac:dyDescent="0.35">
      <c r="C52" s="398"/>
      <c r="D52" s="113" t="s">
        <v>124</v>
      </c>
      <c r="F52" s="387">
        <f>SUM(K52:N52)</f>
        <v>-28456.490000000013</v>
      </c>
      <c r="G52" s="387">
        <f>SUM(P52:S52)</f>
        <v>54357.005083942553</v>
      </c>
      <c r="H52" s="387">
        <f>SUM(U52:X52)</f>
        <v>-120350.11545314221</v>
      </c>
      <c r="I52" s="387">
        <f>SUM(Z52:AC52)</f>
        <v>76558.971317360934</v>
      </c>
      <c r="J52" s="385"/>
      <c r="K52" s="385">
        <f>SUM(AJ52:AL52)</f>
        <v>-30306.13</v>
      </c>
      <c r="L52" s="385">
        <f>SUM(AM52:AO52)</f>
        <v>-21284.560000000001</v>
      </c>
      <c r="M52" s="385">
        <f>SUM(AP52:AR52)</f>
        <v>9352.48</v>
      </c>
      <c r="N52" s="385">
        <f>SUM(AS52:AU52)</f>
        <v>13781.719999999996</v>
      </c>
      <c r="O52" s="385"/>
      <c r="P52" s="385">
        <f>SUM(AV52:AX52)</f>
        <v>-487.11999999999944</v>
      </c>
      <c r="Q52" s="385">
        <f>SUM(AY52:BA52)</f>
        <v>16698.060000000005</v>
      </c>
      <c r="R52" s="385">
        <f>SUM(BB52:BD52)</f>
        <v>88952.01999999999</v>
      </c>
      <c r="S52" s="385">
        <f>SUM(BE52:BG52)</f>
        <v>-50805.954916057439</v>
      </c>
      <c r="T52" s="393"/>
      <c r="U52" s="385">
        <f t="shared" ref="U52" si="294">SUM(BH52:BJ52)</f>
        <v>-48779.996514053506</v>
      </c>
      <c r="V52" s="385">
        <f>SUM(BK52:BM52)</f>
        <v>-66611.950447629832</v>
      </c>
      <c r="W52" s="385">
        <f t="shared" ref="W52" si="295">SUM(BN52:BP52)</f>
        <v>7131.5144510682167</v>
      </c>
      <c r="X52" s="385">
        <f t="shared" ref="X52" si="296">SUM(BQ52:BS52)</f>
        <v>-12089.682942527081</v>
      </c>
      <c r="Y52" s="385"/>
      <c r="Z52" s="385">
        <f t="shared" ref="Z52:Z56" si="297">SUM(BT52:BV52)</f>
        <v>7216.1587287898656</v>
      </c>
      <c r="AA52" s="385">
        <f t="shared" ref="AA52:AA56" si="298">SUM(BW52:BY52)</f>
        <v>843.01152594586711</v>
      </c>
      <c r="AB52" s="385">
        <f t="shared" ref="AB52:AB56" si="299">SUM(BZ52:CB52)</f>
        <v>-6560.175727632688</v>
      </c>
      <c r="AC52" s="385">
        <f>SUM(CC52:CE52)</f>
        <v>75059.97679025789</v>
      </c>
      <c r="AD52" s="385"/>
      <c r="AE52" s="385">
        <f t="shared" ref="AE52:AE56" si="300">SUM(CF52:CH52)</f>
        <v>-18831.36086745968</v>
      </c>
      <c r="AF52" s="385">
        <f t="shared" ref="AF52:AF56" si="301">SUM(CI52:CK52)</f>
        <v>-52007.464049001872</v>
      </c>
      <c r="AG52" s="385">
        <f t="shared" ref="AG52:AG56" si="302">SUM(CL52:CN52)</f>
        <v>9700.4361665860743</v>
      </c>
      <c r="AH52" s="385">
        <f t="shared" ref="AH52:AH56" si="303">SUM(CO52:CQ52)</f>
        <v>-19817.295631838235</v>
      </c>
      <c r="AI52" s="393"/>
      <c r="AJ52" s="385">
        <v>-8965.4299999999985</v>
      </c>
      <c r="AK52" s="385">
        <v>-18593.64</v>
      </c>
      <c r="AL52" s="385">
        <v>-2747.0600000000004</v>
      </c>
      <c r="AM52" s="385">
        <v>4765.9499999999989</v>
      </c>
      <c r="AN52" s="385">
        <v>-15798.45</v>
      </c>
      <c r="AO52" s="385">
        <v>-10252.06</v>
      </c>
      <c r="AP52" s="385">
        <v>-7852.880000000001</v>
      </c>
      <c r="AQ52" s="385">
        <v>7760.7499999999991</v>
      </c>
      <c r="AR52" s="385">
        <v>9444.61</v>
      </c>
      <c r="AS52" s="20">
        <v>-9299.1200000000008</v>
      </c>
      <c r="AT52" s="20">
        <v>29793.03</v>
      </c>
      <c r="AU52" s="20">
        <v>-6712.1900000000005</v>
      </c>
      <c r="AV52" s="20">
        <v>-4631.1499999999996</v>
      </c>
      <c r="AW52" s="20">
        <v>3143.66</v>
      </c>
      <c r="AX52" s="20">
        <v>1000.3700000000003</v>
      </c>
      <c r="AY52" s="20">
        <v>-6333.9500000000007</v>
      </c>
      <c r="AZ52" s="20">
        <f>'Financial statements'!DR63</f>
        <v>839.79999999999984</v>
      </c>
      <c r="BA52" s="20">
        <f>'Financial statements'!DS63</f>
        <v>22192.210000000006</v>
      </c>
      <c r="BB52" s="20">
        <f>'Financial statements'!DT63</f>
        <v>-6587.1100000000006</v>
      </c>
      <c r="BC52" s="20">
        <f>'Financial statements'!DU63</f>
        <v>23164.1</v>
      </c>
      <c r="BD52" s="20">
        <f>'Financial statements'!DV63</f>
        <v>72375.03</v>
      </c>
      <c r="BE52" s="20">
        <f>'Financial statements'!DW63</f>
        <v>-40261.889999999992</v>
      </c>
      <c r="BF52" s="20">
        <f>'Financial statements'!DX63</f>
        <v>-47764.360000000015</v>
      </c>
      <c r="BG52" s="20">
        <f>'Financial statements'!DY63</f>
        <v>37220.295083942561</v>
      </c>
      <c r="BH52" s="20">
        <f>'Financial statements'!DZ63</f>
        <v>-48444.336707824834</v>
      </c>
      <c r="BI52" s="20">
        <f>'Financial statements'!EA63</f>
        <v>35949.63252733674</v>
      </c>
      <c r="BJ52" s="20">
        <f>'Financial statements'!EB63</f>
        <v>-36285.292333565412</v>
      </c>
      <c r="BK52" s="20">
        <f>'Financial statements'!EC63</f>
        <v>-14274.150515340645</v>
      </c>
      <c r="BL52" s="20">
        <f>'Financial statements'!ED63</f>
        <v>-5198.7797635365187</v>
      </c>
      <c r="BM52" s="20">
        <f>'Financial statements'!EE63</f>
        <v>-47139.020168752671</v>
      </c>
      <c r="BN52" s="20">
        <f>'Financial statements'!EF63</f>
        <v>-17518.631299392677</v>
      </c>
      <c r="BO52" s="20">
        <f>'Financial statements'!EG63</f>
        <v>18986.702203607074</v>
      </c>
      <c r="BP52" s="20">
        <f>'Financial statements'!EH63</f>
        <v>5663.4435468538195</v>
      </c>
      <c r="BQ52" s="20">
        <f>'Financial statements'!EI63</f>
        <v>23503.73475027005</v>
      </c>
      <c r="BR52" s="20">
        <f>'Financial statements'!EJ63</f>
        <v>-17911.878315045131</v>
      </c>
      <c r="BS52" s="20">
        <f>'Financial statements'!EK63</f>
        <v>-17681.539377752</v>
      </c>
      <c r="BT52" s="469">
        <f>'Financial statements'!EL63</f>
        <v>-1499.8562062010405</v>
      </c>
      <c r="BU52" s="20">
        <f>'Financial statements'!EM63</f>
        <v>8154.5284332397923</v>
      </c>
      <c r="BV52" s="20">
        <f>'Financial statements'!EN63</f>
        <v>561.48650175111402</v>
      </c>
      <c r="BW52" s="20">
        <f>'Financial statements'!EO63</f>
        <v>8200.3760468986438</v>
      </c>
      <c r="BX52" s="20">
        <f>'Financial statements'!EP63</f>
        <v>-6769.9377700854593</v>
      </c>
      <c r="BY52" s="20">
        <f>'Financial statements'!EQ63</f>
        <v>-587.42675086731742</v>
      </c>
      <c r="BZ52" s="20">
        <f>'Financial statements'!ER63</f>
        <v>5747.552807114248</v>
      </c>
      <c r="CA52" s="20">
        <f>'Financial statements'!ES63</f>
        <v>-14244.809829096161</v>
      </c>
      <c r="CB52" s="20">
        <f>'Financial statements'!ET63</f>
        <v>1937.081294349226</v>
      </c>
      <c r="CC52" s="20">
        <f>'Financial statements'!EU63</f>
        <v>9792.0153269169678</v>
      </c>
      <c r="CD52" s="20">
        <f>'Financial statements'!EV63</f>
        <v>-29909.378536658984</v>
      </c>
      <c r="CE52" s="20">
        <f>'Financial statements'!EW63</f>
        <v>95177.339999999909</v>
      </c>
      <c r="CF52" s="20">
        <f>'Financial statements'!EX63</f>
        <v>7978.5587024188435</v>
      </c>
      <c r="CG52" s="20">
        <f>'Financial statements'!EY63</f>
        <v>-15360.503341813692</v>
      </c>
      <c r="CH52" s="20">
        <f>'Financial statements'!EZ63</f>
        <v>-11449.416228064831</v>
      </c>
      <c r="CI52" s="20">
        <f>'Financial statements'!FA63</f>
        <v>-30555.527581122282</v>
      </c>
      <c r="CJ52" s="20">
        <f>'Financial statements'!FB63</f>
        <v>-6035.0713235013645</v>
      </c>
      <c r="CK52" s="20">
        <f>'Financial statements'!FC63</f>
        <v>-15416.86514437822</v>
      </c>
      <c r="CL52" s="20">
        <f>'Financial statements'!FD63</f>
        <v>13059.365707532517</v>
      </c>
      <c r="CM52" s="20">
        <f>'Financial statements'!FE63</f>
        <v>-7937.8412038173583</v>
      </c>
      <c r="CN52" s="20">
        <f>'Financial statements'!FF63</f>
        <v>4578.9116628709144</v>
      </c>
      <c r="CO52" s="20">
        <f>'Financial statements'!FG63</f>
        <v>-6422.4535937916507</v>
      </c>
      <c r="CP52" s="20">
        <f>'Financial statements'!FH63</f>
        <v>24816.439505283321</v>
      </c>
      <c r="CQ52" s="20">
        <f>'Financial statements'!FI63</f>
        <v>-38211.281543329904</v>
      </c>
      <c r="CR52" s="20">
        <f>'Financial statements'!FJ63</f>
        <v>-29962.83523099919</v>
      </c>
      <c r="CS52" s="746">
        <f>'Financial statements'!FK63</f>
        <v>22035.151582014034</v>
      </c>
      <c r="CT52" s="20"/>
      <c r="CU52"/>
      <c r="DG52" s="416"/>
      <c r="DH52" s="416"/>
      <c r="DI52" s="416"/>
      <c r="DJ52" s="416"/>
      <c r="DK52" s="416"/>
      <c r="DL52" s="416"/>
      <c r="DM52" s="416"/>
      <c r="DN52" s="416"/>
      <c r="DO52" s="416"/>
      <c r="DP52" s="416"/>
      <c r="DQ52" s="416"/>
      <c r="DR52" s="416"/>
      <c r="DS52" s="54"/>
      <c r="DT52" s="54"/>
      <c r="DU52" s="54"/>
      <c r="DV52" s="54"/>
      <c r="DW52" s="416"/>
      <c r="DX52" s="54"/>
      <c r="DY52" s="54"/>
      <c r="DZ52" s="54"/>
      <c r="EA52" s="416"/>
      <c r="EB52" s="54"/>
      <c r="EC52" s="416"/>
      <c r="ED52" s="416"/>
      <c r="EG52"/>
      <c r="EH52"/>
      <c r="EI52"/>
      <c r="EJ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</row>
    <row r="53" spans="2:160" x14ac:dyDescent="0.35">
      <c r="C53" s="398"/>
      <c r="D53" s="113" t="s">
        <v>125</v>
      </c>
      <c r="F53" s="387">
        <f>SUM(K53:N53)</f>
        <v>0</v>
      </c>
      <c r="G53" s="387">
        <f>SUM(P53:S53)</f>
        <v>-367128</v>
      </c>
      <c r="H53" s="387">
        <f>SUM(U53:X53)</f>
        <v>-1099734.9604141484</v>
      </c>
      <c r="I53" s="387">
        <f t="shared" ref="I53:I56" si="304">SUM(Z53:AC53)</f>
        <v>-699346.61799031228</v>
      </c>
      <c r="J53" s="385"/>
      <c r="K53" s="385">
        <f>SUM(AJ53:AL53)</f>
        <v>0</v>
      </c>
      <c r="L53" s="385">
        <f>SUM(AM53:AO53)</f>
        <v>0</v>
      </c>
      <c r="M53" s="385">
        <f>SUM(AP53:AR53)</f>
        <v>0</v>
      </c>
      <c r="N53" s="385">
        <f>SUM(AS53:AU53)</f>
        <v>0</v>
      </c>
      <c r="O53" s="385"/>
      <c r="P53" s="385">
        <f>SUM(AV53:AX53)</f>
        <v>0</v>
      </c>
      <c r="Q53" s="385">
        <f>SUM(AY53:BA53)</f>
        <v>0</v>
      </c>
      <c r="R53" s="385">
        <f>SUM(BB53:BD53)</f>
        <v>0</v>
      </c>
      <c r="S53" s="385">
        <f>SUM(BE53:BG53)</f>
        <v>-367128</v>
      </c>
      <c r="T53" s="393"/>
      <c r="U53" s="385">
        <f t="shared" ref="U53:U56" si="305">SUM(BH53:BJ53)</f>
        <v>-192044.5616070879</v>
      </c>
      <c r="V53" s="385">
        <f>SUM(BK53:BM53)</f>
        <v>-132335.33000000002</v>
      </c>
      <c r="W53" s="385">
        <f t="shared" ref="W53:W56" si="306">SUM(BN53:BP53)</f>
        <v>-36272</v>
      </c>
      <c r="X53" s="385">
        <f t="shared" ref="X53:X56" si="307">SUM(BQ53:BS53)</f>
        <v>-739083.06880706048</v>
      </c>
      <c r="Y53" s="385"/>
      <c r="Z53" s="385">
        <f t="shared" si="297"/>
        <v>-196090.13</v>
      </c>
      <c r="AA53" s="385">
        <f t="shared" si="298"/>
        <v>-31400.009999999995</v>
      </c>
      <c r="AB53" s="385">
        <f t="shared" si="299"/>
        <v>-466.65</v>
      </c>
      <c r="AC53" s="385">
        <f t="shared" ref="AC53:AC56" si="308">SUM(CC53:CE53)</f>
        <v>-471389.82799031225</v>
      </c>
      <c r="AD53" s="385"/>
      <c r="AE53" s="385">
        <f t="shared" si="300"/>
        <v>-36002.672562550855</v>
      </c>
      <c r="AF53" s="385">
        <f t="shared" si="301"/>
        <v>-15313.84</v>
      </c>
      <c r="AG53" s="385">
        <f t="shared" si="302"/>
        <v>-33334</v>
      </c>
      <c r="AH53" s="385">
        <f t="shared" si="303"/>
        <v>-113553.69568299504</v>
      </c>
      <c r="AI53" s="393"/>
      <c r="AJ53" s="385">
        <v>0</v>
      </c>
      <c r="AK53" s="385">
        <v>0</v>
      </c>
      <c r="AL53" s="385">
        <v>0</v>
      </c>
      <c r="AM53" s="385">
        <v>0</v>
      </c>
      <c r="AN53" s="385">
        <v>0</v>
      </c>
      <c r="AO53" s="385">
        <v>0</v>
      </c>
      <c r="AP53" s="385">
        <v>0</v>
      </c>
      <c r="AQ53" s="385">
        <v>0</v>
      </c>
      <c r="AR53" s="388">
        <v>0</v>
      </c>
      <c r="AS53" s="388"/>
      <c r="AT53" s="388"/>
      <c r="AU53" s="388"/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f>'Financial statements'!DY64</f>
        <v>-367128</v>
      </c>
      <c r="BH53" s="20">
        <f>'Financial statements'!DZ64</f>
        <v>0</v>
      </c>
      <c r="BI53" s="20">
        <f>'Financial statements'!EA64</f>
        <v>-50000</v>
      </c>
      <c r="BJ53" s="20">
        <f>'Financial statements'!EB64</f>
        <v>-142044.5616070879</v>
      </c>
      <c r="BK53" s="20">
        <f>'Financial statements'!EC64</f>
        <v>0</v>
      </c>
      <c r="BL53" s="20">
        <f>'Financial statements'!ED64</f>
        <v>-6002</v>
      </c>
      <c r="BM53" s="20">
        <f>'Financial statements'!EE64</f>
        <v>-126333.33</v>
      </c>
      <c r="BN53" s="20">
        <f>'Financial statements'!EF64</f>
        <v>-25000</v>
      </c>
      <c r="BO53" s="20">
        <f>'Financial statements'!EG64</f>
        <v>0</v>
      </c>
      <c r="BP53" s="20">
        <f>'Financial statements'!EH64</f>
        <v>-11272</v>
      </c>
      <c r="BQ53" s="20">
        <f>'Financial statements'!EI64</f>
        <v>-30519.5</v>
      </c>
      <c r="BR53" s="20">
        <f>'Financial statements'!EJ64</f>
        <v>-26284.45751290409</v>
      </c>
      <c r="BS53" s="20">
        <f>'Financial statements'!EK64</f>
        <v>-682279.11129415641</v>
      </c>
      <c r="BT53" s="469">
        <f>'Financial statements'!EL64</f>
        <v>0</v>
      </c>
      <c r="BU53" s="20">
        <f>'Financial statements'!EM64</f>
        <v>-16000</v>
      </c>
      <c r="BV53" s="20">
        <f>'Financial statements'!EN64</f>
        <v>-180090.13</v>
      </c>
      <c r="BW53" s="20">
        <f>'Financial statements'!EO64</f>
        <v>-30466.67</v>
      </c>
      <c r="BX53" s="20">
        <f>'Financial statements'!EP64</f>
        <v>-466.67</v>
      </c>
      <c r="BY53" s="20">
        <f>'Financial statements'!EQ64</f>
        <v>-466.67</v>
      </c>
      <c r="BZ53" s="20">
        <f>'Financial statements'!ER64</f>
        <v>-466.65</v>
      </c>
      <c r="CA53" s="20">
        <f>'Financial statements'!ES64</f>
        <v>0</v>
      </c>
      <c r="CB53" s="20">
        <f>'Financial statements'!ET64</f>
        <v>0</v>
      </c>
      <c r="CC53" s="20">
        <f>'Financial statements'!EU64</f>
        <v>-75000</v>
      </c>
      <c r="CD53" s="20">
        <f>'Financial statements'!EV64</f>
        <v>-161332.57799031222</v>
      </c>
      <c r="CE53" s="20">
        <f>'Financial statements'!EW64</f>
        <v>-235057.25</v>
      </c>
      <c r="CF53" s="20">
        <f>'Financial statements'!EX64</f>
        <v>0</v>
      </c>
      <c r="CG53" s="20">
        <f>'Financial statements'!EY64</f>
        <v>-25918.14</v>
      </c>
      <c r="CH53" s="20">
        <f>'Financial statements'!EZ64</f>
        <v>-10084.532562550852</v>
      </c>
      <c r="CI53" s="20">
        <f>'Financial statements'!FA64</f>
        <v>-15313.84</v>
      </c>
      <c r="CJ53" s="20">
        <f>'Financial statements'!FB64</f>
        <v>0</v>
      </c>
      <c r="CK53" s="20">
        <f>'Financial statements'!FC64</f>
        <v>0</v>
      </c>
      <c r="CL53" s="20">
        <f>'Financial statements'!FD64</f>
        <v>0</v>
      </c>
      <c r="CM53" s="20">
        <f>'Financial statements'!FE64</f>
        <v>-33334</v>
      </c>
      <c r="CN53" s="20">
        <f>'Financial statements'!FF64</f>
        <v>0</v>
      </c>
      <c r="CO53" s="20">
        <f>'Financial statements'!FG64</f>
        <v>-17750</v>
      </c>
      <c r="CP53" s="20">
        <f>'Financial statements'!FH64</f>
        <v>-62470.695682995036</v>
      </c>
      <c r="CQ53" s="20">
        <f>'Financial statements'!FI64</f>
        <v>-33333</v>
      </c>
      <c r="CR53" s="20">
        <f>'Financial statements'!FJ64</f>
        <v>0</v>
      </c>
      <c r="CS53" s="746">
        <f>'Financial statements'!FK64</f>
        <v>0</v>
      </c>
      <c r="CT53" s="20"/>
      <c r="CU53"/>
      <c r="DG53" s="416"/>
      <c r="DH53" s="416"/>
      <c r="DI53" s="416"/>
      <c r="DJ53" s="416"/>
      <c r="DK53" s="416"/>
      <c r="DL53" s="416"/>
      <c r="DM53" s="416"/>
      <c r="DN53" s="416"/>
      <c r="DO53" s="416"/>
      <c r="DP53" s="416"/>
      <c r="DQ53" s="416"/>
      <c r="DR53" s="416"/>
      <c r="DS53" s="54"/>
      <c r="DT53" s="54"/>
      <c r="DU53" s="54"/>
      <c r="DV53" s="54"/>
      <c r="DW53" s="416"/>
      <c r="DX53" s="54"/>
      <c r="DY53" s="54"/>
      <c r="DZ53" s="54"/>
      <c r="EA53" s="416"/>
      <c r="EB53" s="54"/>
      <c r="EC53" s="416"/>
      <c r="ED53" s="416"/>
      <c r="EG53"/>
      <c r="EH53"/>
      <c r="EI53"/>
      <c r="EJ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</row>
    <row r="54" spans="2:160" x14ac:dyDescent="0.35">
      <c r="C54" s="398"/>
      <c r="D54" s="113" t="s">
        <v>126</v>
      </c>
      <c r="F54" s="387"/>
      <c r="G54" s="387"/>
      <c r="H54" s="387">
        <f t="shared" ref="H54:H56" si="309">SUM(U54:X54)</f>
        <v>0</v>
      </c>
      <c r="I54" s="387">
        <f t="shared" si="304"/>
        <v>0</v>
      </c>
      <c r="J54" s="385"/>
      <c r="K54" s="385"/>
      <c r="L54" s="385"/>
      <c r="M54" s="385"/>
      <c r="N54" s="385"/>
      <c r="O54" s="385"/>
      <c r="P54" s="385"/>
      <c r="Q54" s="385"/>
      <c r="R54" s="385"/>
      <c r="S54" s="385"/>
      <c r="T54" s="393"/>
      <c r="U54" s="385">
        <f t="shared" si="305"/>
        <v>0</v>
      </c>
      <c r="V54" s="385">
        <f t="shared" ref="V54" si="310">SUM(BK54:BM54)</f>
        <v>0</v>
      </c>
      <c r="W54" s="385">
        <f t="shared" si="306"/>
        <v>0</v>
      </c>
      <c r="X54" s="385">
        <f t="shared" si="307"/>
        <v>0</v>
      </c>
      <c r="Y54" s="385"/>
      <c r="Z54" s="385">
        <f t="shared" si="297"/>
        <v>0</v>
      </c>
      <c r="AA54" s="385">
        <f t="shared" si="298"/>
        <v>0</v>
      </c>
      <c r="AB54" s="385">
        <f t="shared" si="299"/>
        <v>0</v>
      </c>
      <c r="AC54" s="385">
        <f t="shared" si="308"/>
        <v>0</v>
      </c>
      <c r="AD54" s="385"/>
      <c r="AE54" s="385">
        <f t="shared" si="300"/>
        <v>0</v>
      </c>
      <c r="AF54" s="385">
        <f t="shared" si="301"/>
        <v>0</v>
      </c>
      <c r="AG54" s="385">
        <f t="shared" si="302"/>
        <v>0</v>
      </c>
      <c r="AH54" s="385">
        <f t="shared" si="303"/>
        <v>0</v>
      </c>
      <c r="AI54" s="393"/>
      <c r="AJ54" s="385"/>
      <c r="AK54" s="385"/>
      <c r="AL54" s="385"/>
      <c r="AM54" s="385"/>
      <c r="AN54" s="385"/>
      <c r="AO54" s="385"/>
      <c r="AP54" s="385"/>
      <c r="AQ54" s="385"/>
      <c r="AR54" s="388"/>
      <c r="AS54" s="388"/>
      <c r="AT54" s="388"/>
      <c r="AU54" s="388"/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-50711.68</v>
      </c>
      <c r="BG54" s="20">
        <f>'Financial statements'!DY65</f>
        <v>50711.807888008094</v>
      </c>
      <c r="BH54" s="20">
        <f>'Financial statements'!DZ65</f>
        <v>0</v>
      </c>
      <c r="BI54" s="20">
        <f>'Financial statements'!EA65</f>
        <v>0</v>
      </c>
      <c r="BJ54" s="20">
        <f>'Financial statements'!EB65</f>
        <v>0</v>
      </c>
      <c r="BK54" s="20">
        <f>'Financial statements'!EC65</f>
        <v>0</v>
      </c>
      <c r="BL54" s="20">
        <f>'Financial statements'!ED65</f>
        <v>0</v>
      </c>
      <c r="BM54" s="20">
        <f>'Financial statements'!EE65</f>
        <v>0</v>
      </c>
      <c r="BN54" s="20">
        <f>'Financial statements'!EF65</f>
        <v>0</v>
      </c>
      <c r="BO54" s="20">
        <f>'Financial statements'!EG65</f>
        <v>0</v>
      </c>
      <c r="BP54" s="20">
        <f>'Financial statements'!EH65</f>
        <v>0</v>
      </c>
      <c r="BQ54" s="20">
        <f>'Financial statements'!EI65</f>
        <v>0</v>
      </c>
      <c r="BR54" s="20">
        <f>'Financial statements'!EJ65</f>
        <v>0</v>
      </c>
      <c r="BS54" s="20">
        <f>'Financial statements'!EK65</f>
        <v>0</v>
      </c>
      <c r="BT54" s="469">
        <f>'Financial statements'!EL65</f>
        <v>0</v>
      </c>
      <c r="BU54" s="20">
        <f>'Financial statements'!EM65</f>
        <v>0</v>
      </c>
      <c r="BV54" s="20">
        <f>'Financial statements'!EN65</f>
        <v>0</v>
      </c>
      <c r="BW54" s="20">
        <f>'Financial statements'!EO65</f>
        <v>0</v>
      </c>
      <c r="BX54" s="20">
        <f>'Financial statements'!EP65</f>
        <v>0</v>
      </c>
      <c r="BY54" s="20">
        <f>'Financial statements'!EQ65</f>
        <v>0</v>
      </c>
      <c r="BZ54" s="20">
        <f>'Financial statements'!ER65</f>
        <v>0</v>
      </c>
      <c r="CA54" s="20">
        <f>'Financial statements'!ES65</f>
        <v>0</v>
      </c>
      <c r="CB54" s="20">
        <f>'Financial statements'!ET65</f>
        <v>0</v>
      </c>
      <c r="CC54" s="20">
        <f>'Financial statements'!EU65</f>
        <v>0</v>
      </c>
      <c r="CD54" s="20">
        <f>'Financial statements'!EV65</f>
        <v>0</v>
      </c>
      <c r="CE54" s="20">
        <f>'Financial statements'!EW65</f>
        <v>0</v>
      </c>
      <c r="CF54" s="20">
        <f>'Financial statements'!EX65</f>
        <v>0</v>
      </c>
      <c r="CG54" s="20">
        <f>'Financial statements'!EY65</f>
        <v>0</v>
      </c>
      <c r="CH54" s="20">
        <f>'Financial statements'!EZ65</f>
        <v>0</v>
      </c>
      <c r="CI54" s="20">
        <f>'Financial statements'!FA65</f>
        <v>0</v>
      </c>
      <c r="CJ54" s="20">
        <f>'Financial statements'!FB65</f>
        <v>0</v>
      </c>
      <c r="CK54" s="20">
        <f>'Financial statements'!FC65</f>
        <v>0</v>
      </c>
      <c r="CL54" s="20">
        <f>'Financial statements'!FD65</f>
        <v>0</v>
      </c>
      <c r="CM54" s="20">
        <f>'Financial statements'!FE65</f>
        <v>0</v>
      </c>
      <c r="CN54" s="20">
        <f>'Financial statements'!FF65</f>
        <v>0</v>
      </c>
      <c r="CO54" s="20">
        <f>'Financial statements'!FG65</f>
        <v>0</v>
      </c>
      <c r="CP54" s="20">
        <f>'Financial statements'!FH65</f>
        <v>0</v>
      </c>
      <c r="CQ54" s="20">
        <f>'Financial statements'!FI65</f>
        <v>0</v>
      </c>
      <c r="CR54" s="20">
        <f>'Financial statements'!FJ65</f>
        <v>0</v>
      </c>
      <c r="CS54" s="746">
        <f>'Financial statements'!FK65</f>
        <v>0</v>
      </c>
      <c r="CT54" s="20"/>
      <c r="CU54"/>
      <c r="DG54" s="416"/>
      <c r="DH54" s="416"/>
      <c r="DI54" s="416"/>
      <c r="DJ54" s="416"/>
      <c r="DK54" s="416"/>
      <c r="DL54" s="416"/>
      <c r="DM54" s="416"/>
      <c r="DN54" s="416"/>
      <c r="DO54" s="416"/>
      <c r="DP54" s="416"/>
      <c r="DQ54" s="416"/>
      <c r="DR54" s="416"/>
      <c r="DS54" s="54"/>
      <c r="DT54" s="54"/>
      <c r="DU54" s="54"/>
      <c r="DV54" s="54"/>
      <c r="DW54" s="416"/>
      <c r="DX54" s="416"/>
      <c r="DY54" s="54"/>
      <c r="DZ54" s="54"/>
      <c r="EA54" s="416"/>
      <c r="EB54" s="54"/>
      <c r="EC54" s="416"/>
      <c r="ED54" s="416"/>
      <c r="EH54"/>
      <c r="EI54"/>
      <c r="EJ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</row>
    <row r="55" spans="2:160" x14ac:dyDescent="0.35">
      <c r="C55" s="398"/>
      <c r="D55" s="113" t="s">
        <v>127</v>
      </c>
      <c r="F55" s="387">
        <f>SUM(K55:N55)</f>
        <v>-1429139.06</v>
      </c>
      <c r="G55" s="387">
        <f>SUM(P55:S55)</f>
        <v>-2054155.7148153712</v>
      </c>
      <c r="H55" s="387">
        <f t="shared" si="309"/>
        <v>-2573506.1197758447</v>
      </c>
      <c r="I55" s="387">
        <f t="shared" si="304"/>
        <v>-3279886.5920353271</v>
      </c>
      <c r="J55" s="385"/>
      <c r="K55" s="385">
        <f>SUM(AJ55:AL55)</f>
        <v>-325752.95999999996</v>
      </c>
      <c r="L55" s="385">
        <f>SUM(AM55:AO55)</f>
        <v>-343184.19999999995</v>
      </c>
      <c r="M55" s="385">
        <f>SUM(AP55:AR55)</f>
        <v>-369221.14</v>
      </c>
      <c r="N55" s="385">
        <f>SUM(AS55:AU55)</f>
        <v>-390980.76</v>
      </c>
      <c r="O55" s="385"/>
      <c r="P55" s="385">
        <f>SUM(AV55:AX55)</f>
        <v>-441673.97</v>
      </c>
      <c r="Q55" s="385">
        <f>SUM(AY55:BA55)</f>
        <v>-479490.86</v>
      </c>
      <c r="R55" s="385">
        <f>SUM(BB55:BD55)</f>
        <v>-550514.90000000014</v>
      </c>
      <c r="S55" s="385">
        <f>SUM(BE55:BG55)</f>
        <v>-582475.98481537134</v>
      </c>
      <c r="T55" s="393"/>
      <c r="U55" s="385">
        <f t="shared" si="305"/>
        <v>-590394.80114286009</v>
      </c>
      <c r="V55" s="385">
        <f>SUM(BK55:BM55)</f>
        <v>-631153.57077397127</v>
      </c>
      <c r="W55" s="385">
        <f t="shared" si="306"/>
        <v>-654278.52672102186</v>
      </c>
      <c r="X55" s="385">
        <f t="shared" si="307"/>
        <v>-697679.22113799164</v>
      </c>
      <c r="Y55" s="385"/>
      <c r="Z55" s="385">
        <f t="shared" si="297"/>
        <v>-729418.07964542927</v>
      </c>
      <c r="AA55" s="385">
        <f t="shared" si="298"/>
        <v>-763474.50174164725</v>
      </c>
      <c r="AB55" s="385">
        <f t="shared" si="299"/>
        <v>-863981.41162361274</v>
      </c>
      <c r="AC55" s="385">
        <f t="shared" si="308"/>
        <v>-923012.59902463784</v>
      </c>
      <c r="AD55" s="385"/>
      <c r="AE55" s="385">
        <f t="shared" si="300"/>
        <v>-914229.83149562147</v>
      </c>
      <c r="AF55" s="385">
        <f t="shared" si="301"/>
        <v>-916705.98489516473</v>
      </c>
      <c r="AG55" s="385">
        <f t="shared" si="302"/>
        <v>-903836.22708417499</v>
      </c>
      <c r="AH55" s="385">
        <f t="shared" si="303"/>
        <v>-928074.92173612118</v>
      </c>
      <c r="AI55" s="393"/>
      <c r="AJ55" s="385">
        <v>-114870.51999999999</v>
      </c>
      <c r="AK55" s="385">
        <v>-102081.56999999999</v>
      </c>
      <c r="AL55" s="385">
        <v>-108800.87</v>
      </c>
      <c r="AM55" s="385">
        <v>-106479.68000000001</v>
      </c>
      <c r="AN55" s="385">
        <v>-110580.22999999998</v>
      </c>
      <c r="AO55" s="385">
        <v>-126124.29000000001</v>
      </c>
      <c r="AP55" s="385">
        <v>-126828.09</v>
      </c>
      <c r="AQ55" s="385">
        <v>-123800.88999999998</v>
      </c>
      <c r="AR55" s="385">
        <v>-118592.16</v>
      </c>
      <c r="AS55" s="385">
        <v>-129145.8</v>
      </c>
      <c r="AT55" s="385">
        <v>-127123.76</v>
      </c>
      <c r="AU55" s="385">
        <v>-134711.19999999998</v>
      </c>
      <c r="AV55" s="20">
        <v>-141089.88999999998</v>
      </c>
      <c r="AW55" s="20">
        <v>-143302.88</v>
      </c>
      <c r="AX55" s="20">
        <v>-157281.19999999998</v>
      </c>
      <c r="AY55" s="20">
        <v>-179765.24</v>
      </c>
      <c r="AZ55" s="20">
        <f>'Financial statements'!DR66</f>
        <v>-171720.19</v>
      </c>
      <c r="BA55" s="20">
        <f>'Financial statements'!DS66</f>
        <v>-128005.43000000001</v>
      </c>
      <c r="BB55" s="20">
        <f>'Financial statements'!DT66</f>
        <v>-174088.15000000005</v>
      </c>
      <c r="BC55" s="20">
        <f>'Financial statements'!DU66</f>
        <v>-182972.95</v>
      </c>
      <c r="BD55" s="20">
        <f>'Financial statements'!DV66</f>
        <v>-193453.8</v>
      </c>
      <c r="BE55" s="20">
        <f>'Financial statements'!DW66</f>
        <v>-185347.71000000002</v>
      </c>
      <c r="BF55" s="20">
        <f>'Financial statements'!DX66</f>
        <v>-191985.71999999997</v>
      </c>
      <c r="BG55" s="20">
        <f>'Financial statements'!DY66</f>
        <v>-205142.55481537138</v>
      </c>
      <c r="BH55" s="20">
        <f>'Financial statements'!DZ66</f>
        <v>-192349.00828594371</v>
      </c>
      <c r="BI55" s="20">
        <f>'Financial statements'!EA66</f>
        <v>-198190.6909111939</v>
      </c>
      <c r="BJ55" s="20">
        <f>'Financial statements'!EB66</f>
        <v>-199855.10194572245</v>
      </c>
      <c r="BK55" s="20">
        <f>'Financial statements'!EC66</f>
        <v>-202972.51652468694</v>
      </c>
      <c r="BL55" s="20">
        <f>'Financial statements'!ED66</f>
        <v>-212823.54771043037</v>
      </c>
      <c r="BM55" s="20">
        <f>'Financial statements'!EE66</f>
        <v>-215357.50653885395</v>
      </c>
      <c r="BN55" s="20">
        <f>'Financial statements'!EF66</f>
        <v>-214424.97781360743</v>
      </c>
      <c r="BO55" s="20">
        <f>'Financial statements'!EG66</f>
        <v>-221220.21792803367</v>
      </c>
      <c r="BP55" s="20">
        <f>'Financial statements'!EH66</f>
        <v>-218633.3309793807</v>
      </c>
      <c r="BQ55" s="20">
        <f>'Financial statements'!EI66</f>
        <v>-223571.39455298462</v>
      </c>
      <c r="BR55" s="20">
        <f>'Financial statements'!EJ66</f>
        <v>-224469.21169091927</v>
      </c>
      <c r="BS55" s="20">
        <f>'Financial statements'!EK66</f>
        <v>-249638.6148940878</v>
      </c>
      <c r="BT55" s="469">
        <f>'Financial statements'!EL66</f>
        <v>-240383.15262568003</v>
      </c>
      <c r="BU55" s="20">
        <f>'Financial statements'!EM66</f>
        <v>-245052.97356646557</v>
      </c>
      <c r="BV55" s="20">
        <f>'Financial statements'!EN66</f>
        <v>-243981.95345328364</v>
      </c>
      <c r="BW55" s="20">
        <f>'Financial statements'!EO66</f>
        <v>-250904.328525427</v>
      </c>
      <c r="BX55" s="20">
        <f>'Financial statements'!EP66</f>
        <v>-253890.83447204114</v>
      </c>
      <c r="BY55" s="20">
        <f>'Financial statements'!EQ66</f>
        <v>-258679.33874417905</v>
      </c>
      <c r="BZ55" s="20">
        <f>'Financial statements'!ER66</f>
        <v>-265045.89479368762</v>
      </c>
      <c r="CA55" s="20">
        <f>'Financial statements'!ES66</f>
        <v>-264074.90552110848</v>
      </c>
      <c r="CB55" s="20">
        <f>'Financial statements'!ET66</f>
        <v>-334860.61130881665</v>
      </c>
      <c r="CC55" s="20">
        <f>'Financial statements'!EU66</f>
        <v>-281085.30785293767</v>
      </c>
      <c r="CD55" s="20">
        <f>'Financial statements'!EV66</f>
        <v>-316436.73117170011</v>
      </c>
      <c r="CE55" s="20">
        <f>'Financial statements'!EW66</f>
        <v>-325490.56</v>
      </c>
      <c r="CF55" s="20">
        <f>'Financial statements'!EX66</f>
        <v>-303191.99086209544</v>
      </c>
      <c r="CG55" s="20">
        <f>'Financial statements'!EY66</f>
        <v>-304469.69359879353</v>
      </c>
      <c r="CH55" s="20">
        <f>'Financial statements'!EZ66</f>
        <v>-306568.14703473245</v>
      </c>
      <c r="CI55" s="20">
        <f>'Financial statements'!FA66</f>
        <v>-300742.96764150308</v>
      </c>
      <c r="CJ55" s="20">
        <f>'Financial statements'!FB66</f>
        <v>-315057.80354686524</v>
      </c>
      <c r="CK55" s="20">
        <f>'Financial statements'!FC66</f>
        <v>-300905.21370679641</v>
      </c>
      <c r="CL55" s="20">
        <f>'Financial statements'!FD66</f>
        <v>-298099.03383783193</v>
      </c>
      <c r="CM55" s="20">
        <f>'Financial statements'!FE66</f>
        <v>-301095.95663950354</v>
      </c>
      <c r="CN55" s="20">
        <f>'Financial statements'!FF66</f>
        <v>-304641.23660683952</v>
      </c>
      <c r="CO55" s="20">
        <f>'Financial statements'!FG66</f>
        <v>-305261.94782524294</v>
      </c>
      <c r="CP55" s="20">
        <f>'Financial statements'!FH66</f>
        <v>-310756.54336211673</v>
      </c>
      <c r="CQ55" s="20">
        <f>'Financial statements'!FI66</f>
        <v>-312056.43054876156</v>
      </c>
      <c r="CR55" s="20">
        <f>'Financial statements'!FJ66</f>
        <v>-315263.58637864131</v>
      </c>
      <c r="CS55" s="746">
        <f>'Financial statements'!FK66</f>
        <v>-317075.38787470956</v>
      </c>
      <c r="CT55" s="20"/>
      <c r="CU55"/>
      <c r="DG55" s="416"/>
      <c r="DH55" s="416"/>
      <c r="DI55" s="416"/>
      <c r="DJ55" s="416"/>
      <c r="DK55" s="416"/>
      <c r="DL55" s="416"/>
      <c r="DM55" s="416"/>
      <c r="DN55" s="416"/>
      <c r="DO55" s="416"/>
      <c r="DP55" s="416"/>
      <c r="DQ55" s="416"/>
      <c r="DR55" s="416"/>
      <c r="DS55" s="54"/>
      <c r="DT55" s="54"/>
      <c r="DU55" s="54"/>
      <c r="DV55" s="54"/>
      <c r="DW55" s="416"/>
      <c r="DX55" s="416"/>
      <c r="DY55" s="54"/>
      <c r="DZ55" s="54"/>
      <c r="EA55" s="416"/>
      <c r="EB55" s="54"/>
      <c r="EC55" s="416"/>
      <c r="ED55" s="416"/>
      <c r="EI55"/>
      <c r="EJ55"/>
      <c r="EL55"/>
      <c r="EM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</row>
    <row r="56" spans="2:160" x14ac:dyDescent="0.35">
      <c r="C56" s="398"/>
      <c r="D56" s="113" t="s">
        <v>128</v>
      </c>
      <c r="F56" s="387">
        <f>SUM(K56:N56)</f>
        <v>-371195.73</v>
      </c>
      <c r="G56" s="387">
        <f>SUM(P56:S56)</f>
        <v>-245677.80881473207</v>
      </c>
      <c r="H56" s="387">
        <f t="shared" si="309"/>
        <v>-699035.13993208332</v>
      </c>
      <c r="I56" s="387">
        <f t="shared" si="304"/>
        <v>-625155.53594414366</v>
      </c>
      <c r="J56" s="385"/>
      <c r="K56" s="385">
        <f>SUM(AJ56:AL56)</f>
        <v>-102986</v>
      </c>
      <c r="L56" s="385">
        <f>SUM(AM56:AO56)</f>
        <v>-99051.12</v>
      </c>
      <c r="M56" s="385">
        <f>SUM(AP56:AR56)</f>
        <v>-85741.709999999992</v>
      </c>
      <c r="N56" s="385">
        <f>SUM(AS56:AU56)</f>
        <v>-83416.899999999994</v>
      </c>
      <c r="O56" s="385"/>
      <c r="P56" s="385">
        <f>SUM(AV56:AX56)</f>
        <v>-70536.67</v>
      </c>
      <c r="Q56" s="385">
        <f>SUM(AY56:BA56)</f>
        <v>-101619.23999999999</v>
      </c>
      <c r="R56" s="385">
        <f>SUM(BB56:BD56)</f>
        <v>-101032.48</v>
      </c>
      <c r="S56" s="385">
        <f>SUM(BE56:BG56)</f>
        <v>27510.581185267903</v>
      </c>
      <c r="T56" s="393"/>
      <c r="U56" s="385">
        <f t="shared" si="305"/>
        <v>-121194.01563736804</v>
      </c>
      <c r="V56" s="385">
        <f>SUM(BK56:BM56)</f>
        <v>-122456.98562203789</v>
      </c>
      <c r="W56" s="385">
        <f t="shared" si="306"/>
        <v>-112361.59545473891</v>
      </c>
      <c r="X56" s="385">
        <f t="shared" si="307"/>
        <v>-343022.54321793851</v>
      </c>
      <c r="Y56" s="385"/>
      <c r="Z56" s="385">
        <f t="shared" si="297"/>
        <v>-124756.30840113957</v>
      </c>
      <c r="AA56" s="385">
        <f t="shared" si="298"/>
        <v>-151604.04685147532</v>
      </c>
      <c r="AB56" s="385">
        <f t="shared" si="299"/>
        <v>-206649.76150082183</v>
      </c>
      <c r="AC56" s="385">
        <f t="shared" si="308"/>
        <v>-142145.41919070692</v>
      </c>
      <c r="AD56" s="385"/>
      <c r="AE56" s="385">
        <f t="shared" si="300"/>
        <v>-296053.70579809631</v>
      </c>
      <c r="AF56" s="385">
        <f t="shared" si="301"/>
        <v>-296200.31546021061</v>
      </c>
      <c r="AG56" s="385">
        <f t="shared" si="302"/>
        <v>-344035.64650829829</v>
      </c>
      <c r="AH56" s="385">
        <f t="shared" si="303"/>
        <v>-374015.99242307723</v>
      </c>
      <c r="AI56" s="393"/>
      <c r="AJ56" s="385">
        <v>-65187.060000000005</v>
      </c>
      <c r="AK56" s="385">
        <v>-3027.68</v>
      </c>
      <c r="AL56" s="385">
        <v>-34771.26</v>
      </c>
      <c r="AM56" s="385">
        <v>-33844.800000000003</v>
      </c>
      <c r="AN56" s="385">
        <v>-33048.230000000003</v>
      </c>
      <c r="AO56" s="385">
        <v>-32158.090000000004</v>
      </c>
      <c r="AP56" s="385">
        <v>-32371.640000000003</v>
      </c>
      <c r="AQ56" s="385">
        <v>-24183.89</v>
      </c>
      <c r="AR56" s="385">
        <v>-29186.18</v>
      </c>
      <c r="AS56" s="385">
        <v>-27453.140000000003</v>
      </c>
      <c r="AT56" s="385">
        <v>-24662.940000000002</v>
      </c>
      <c r="AU56" s="385">
        <v>-31300.82</v>
      </c>
      <c r="AV56" s="20">
        <v>-29725.760000000002</v>
      </c>
      <c r="AW56" s="20">
        <v>-20978.04</v>
      </c>
      <c r="AX56" s="20">
        <v>-19832.869999999995</v>
      </c>
      <c r="AY56" s="20">
        <v>-17184.940000000002</v>
      </c>
      <c r="AZ56" s="20">
        <f>'Financial statements'!DR67</f>
        <v>-13186.2</v>
      </c>
      <c r="BA56" s="20">
        <f>'Financial statements'!DS67</f>
        <v>-71248.099999999991</v>
      </c>
      <c r="BB56" s="20">
        <f>'Financial statements'!DT67</f>
        <v>-12826.909999999998</v>
      </c>
      <c r="BC56" s="20">
        <f>'Financial statements'!DU67</f>
        <v>-12661.76</v>
      </c>
      <c r="BD56" s="20">
        <f>'Financial statements'!DV67</f>
        <v>-75543.81</v>
      </c>
      <c r="BE56" s="20">
        <f>'Financial statements'!DW67</f>
        <v>-45461.869999999995</v>
      </c>
      <c r="BF56" s="20">
        <f>'Financial statements'!DX67</f>
        <v>-46869</v>
      </c>
      <c r="BG56" s="20">
        <f>'Financial statements'!DY67</f>
        <v>119841.4511852679</v>
      </c>
      <c r="BH56" s="20">
        <f>'Financial statements'!DZ67</f>
        <v>-42405.348601207763</v>
      </c>
      <c r="BI56" s="20">
        <f>'Financial statements'!EA67</f>
        <v>-37295.450214616503</v>
      </c>
      <c r="BJ56" s="20">
        <f>'Financial statements'!EB67</f>
        <v>-41493.21682154377</v>
      </c>
      <c r="BK56" s="20">
        <f>'Financial statements'!EC67</f>
        <v>-40066.531333743857</v>
      </c>
      <c r="BL56" s="20">
        <f>'Financial statements'!ED67</f>
        <v>-43678.452161275913</v>
      </c>
      <c r="BM56" s="20">
        <f>'Financial statements'!EE67</f>
        <v>-38712.002127018117</v>
      </c>
      <c r="BN56" s="20">
        <f>'Financial statements'!EF67</f>
        <v>-41282.10231932543</v>
      </c>
      <c r="BO56" s="20">
        <f>'Financial statements'!EG67</f>
        <v>-37187.547379595038</v>
      </c>
      <c r="BP56" s="20">
        <f>'Financial statements'!EH67</f>
        <v>-33891.945755818451</v>
      </c>
      <c r="BQ56" s="20">
        <f>'Financial statements'!EI67</f>
        <v>-31818.436073738161</v>
      </c>
      <c r="BR56" s="20">
        <f>'Financial statements'!EJ67</f>
        <v>-51998.222060437074</v>
      </c>
      <c r="BS56" s="20">
        <f>'Financial statements'!EK67</f>
        <v>-259205.88508376331</v>
      </c>
      <c r="BT56" s="469">
        <f>'Financial statements'!EL67</f>
        <v>-36285.624779992984</v>
      </c>
      <c r="BU56" s="20">
        <f>'Financial statements'!EM67</f>
        <v>-41645.07878249546</v>
      </c>
      <c r="BV56" s="20">
        <f>'Financial statements'!EN67</f>
        <v>-46825.604838651125</v>
      </c>
      <c r="BW56" s="20">
        <f>'Financial statements'!EO67</f>
        <v>-45991.592036960748</v>
      </c>
      <c r="BX56" s="20">
        <f>'Financial statements'!EP67</f>
        <v>-55228.674270731994</v>
      </c>
      <c r="BY56" s="20">
        <f>'Financial statements'!EQ67</f>
        <v>-50383.780543782566</v>
      </c>
      <c r="BZ56" s="20">
        <f>'Financial statements'!ER67</f>
        <v>-56606.466986188418</v>
      </c>
      <c r="CA56" s="20">
        <f>'Financial statements'!ES67</f>
        <v>-62250.155009885588</v>
      </c>
      <c r="CB56" s="20">
        <f>'Financial statements'!ET67</f>
        <v>-87793.139504747814</v>
      </c>
      <c r="CC56" s="20">
        <f>'Financial statements'!EU67</f>
        <v>-76849.24248223193</v>
      </c>
      <c r="CD56" s="20">
        <f>'Financial statements'!EV67</f>
        <v>-83599.066708475017</v>
      </c>
      <c r="CE56" s="20">
        <f>'Financial statements'!EW67</f>
        <v>18302.890000000003</v>
      </c>
      <c r="CF56" s="20">
        <f>'Financial statements'!EX67</f>
        <v>-102373.48908876024</v>
      </c>
      <c r="CG56" s="20">
        <f>'Financial statements'!EY67</f>
        <v>-98227.282136806549</v>
      </c>
      <c r="CH56" s="20">
        <f>'Financial statements'!EZ67</f>
        <v>-95452.934572529528</v>
      </c>
      <c r="CI56" s="20">
        <f>'Financial statements'!FA67</f>
        <v>-100790.74234977065</v>
      </c>
      <c r="CJ56" s="20">
        <f>'Financial statements'!FB67</f>
        <v>-105364.82658970675</v>
      </c>
      <c r="CK56" s="20">
        <f>'Financial statements'!FC67</f>
        <v>-90044.746520733243</v>
      </c>
      <c r="CL56" s="20">
        <f>'Financial statements'!FD67</f>
        <v>-102751.76080198189</v>
      </c>
      <c r="CM56" s="20">
        <f>'Financial statements'!FE67</f>
        <v>-135658.07981477317</v>
      </c>
      <c r="CN56" s="20">
        <f>'Financial statements'!FF67</f>
        <v>-105625.8058915432</v>
      </c>
      <c r="CO56" s="20">
        <f>'Financial statements'!FG67</f>
        <v>-129790.2987263059</v>
      </c>
      <c r="CP56" s="20">
        <f>'Financial statements'!FH67</f>
        <v>-117575.49824657099</v>
      </c>
      <c r="CQ56" s="20">
        <f>'Financial statements'!FI67</f>
        <v>-126650.19545020038</v>
      </c>
      <c r="CR56" s="20">
        <f>'Financial statements'!FJ67</f>
        <v>-119271.02180284655</v>
      </c>
      <c r="CS56" s="746">
        <f>'Financial statements'!FK67</f>
        <v>-45841.107317807378</v>
      </c>
      <c r="CT56" s="20"/>
      <c r="CU56"/>
      <c r="DG56" s="416"/>
      <c r="DH56" s="416"/>
      <c r="DI56" s="416"/>
      <c r="DJ56" s="416"/>
      <c r="DK56" s="416"/>
      <c r="DL56" s="416"/>
      <c r="DM56" s="416"/>
      <c r="DN56" s="416"/>
      <c r="DO56" s="416"/>
      <c r="DP56" s="416"/>
      <c r="DQ56" s="416"/>
      <c r="DR56" s="416"/>
      <c r="DS56" s="54"/>
      <c r="DT56" s="54"/>
      <c r="DU56" s="54"/>
      <c r="DV56" s="54"/>
      <c r="DW56" s="416"/>
      <c r="DX56" s="416"/>
      <c r="DY56" s="54"/>
      <c r="DZ56" s="54"/>
      <c r="EA56" s="416"/>
      <c r="EB56" s="54"/>
      <c r="EC56" s="416"/>
      <c r="ED56" s="416"/>
      <c r="EI56"/>
      <c r="EJ56"/>
      <c r="EL56"/>
      <c r="EM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</row>
    <row r="57" spans="2:160" x14ac:dyDescent="0.35">
      <c r="C57" s="401" t="s">
        <v>129</v>
      </c>
      <c r="D57" s="402"/>
      <c r="E57" s="402"/>
      <c r="F57" s="390">
        <f>SUM(F51:F56)</f>
        <v>-4834315.2215865813</v>
      </c>
      <c r="G57" s="390">
        <f>SUM(G51:G56)</f>
        <v>-5852297.072997814</v>
      </c>
      <c r="H57" s="390">
        <f>SUM(H51:H56)</f>
        <v>-4928703.4729389949</v>
      </c>
      <c r="I57" s="390">
        <f>SUM(I51:I56)</f>
        <v>-4404006.141377422</v>
      </c>
      <c r="J57" s="391"/>
      <c r="K57" s="391">
        <f>SUM(K51:K56)</f>
        <v>-1028073.8539552361</v>
      </c>
      <c r="L57" s="391">
        <f>SUM(L51:L56)</f>
        <v>-1142819.4829193391</v>
      </c>
      <c r="M57" s="391">
        <f>SUM(M51:M56)</f>
        <v>-1280822.2647120068</v>
      </c>
      <c r="N57" s="391">
        <f>SUM(N51:N56)</f>
        <v>-1382599.6199999999</v>
      </c>
      <c r="O57" s="391"/>
      <c r="P57" s="391">
        <f>SUM(P51:P56)</f>
        <v>-1625482.7262755961</v>
      </c>
      <c r="Q57" s="391">
        <f>SUM(Q51:Q56)</f>
        <v>-1583909.2338499988</v>
      </c>
      <c r="R57" s="391">
        <f>SUM(R51:R56)</f>
        <v>-1403066.112054487</v>
      </c>
      <c r="S57" s="391">
        <f>SUM(S51:S56)</f>
        <v>-1239839.0008177313</v>
      </c>
      <c r="T57" s="391"/>
      <c r="U57" s="391">
        <f t="shared" ref="U57:AH57" si="311">SUM(U51:U56)</f>
        <v>-1123112.598777761</v>
      </c>
      <c r="V57" s="391">
        <f t="shared" si="311"/>
        <v>-1141804.8225850628</v>
      </c>
      <c r="W57" s="391">
        <f t="shared" si="311"/>
        <v>-954076.45511136751</v>
      </c>
      <c r="X57" s="391">
        <f t="shared" si="311"/>
        <v>-1709709.596464803</v>
      </c>
      <c r="Y57" s="391"/>
      <c r="Z57" s="391">
        <f t="shared" si="311"/>
        <v>-1481858.0934107918</v>
      </c>
      <c r="AA57" s="391">
        <f t="shared" si="311"/>
        <v>-1140503.5134696851</v>
      </c>
      <c r="AB57" s="391">
        <f t="shared" si="311"/>
        <v>-848627.99833287264</v>
      </c>
      <c r="AC57" s="391">
        <f t="shared" si="311"/>
        <v>-933016.53616407001</v>
      </c>
      <c r="AD57" s="391">
        <f t="shared" si="311"/>
        <v>3125394.781640349</v>
      </c>
      <c r="AE57" s="391">
        <f t="shared" si="311"/>
        <v>-1089745.194043363</v>
      </c>
      <c r="AF57" s="391">
        <f t="shared" si="311"/>
        <v>-1092079.4256986897</v>
      </c>
      <c r="AG57" s="391">
        <f t="shared" si="311"/>
        <v>-1183315.7411920959</v>
      </c>
      <c r="AH57" s="391">
        <f t="shared" si="311"/>
        <v>-1381794.670746244</v>
      </c>
      <c r="AI57" s="403"/>
      <c r="AJ57" s="391">
        <f>SUM(AJ51:AJ56)</f>
        <v>-323797.86472858116</v>
      </c>
      <c r="AK57" s="391">
        <f t="shared" ref="AK57:AR57" si="312">SUM(AK51:AK56)</f>
        <v>-330840.05500058155</v>
      </c>
      <c r="AL57" s="391">
        <f t="shared" si="312"/>
        <v>-373435.93422607373</v>
      </c>
      <c r="AM57" s="391">
        <f t="shared" si="312"/>
        <v>-369017.01752243022</v>
      </c>
      <c r="AN57" s="391">
        <f t="shared" si="312"/>
        <v>-393358.80208498676</v>
      </c>
      <c r="AO57" s="391">
        <f t="shared" si="312"/>
        <v>-380443.66331192193</v>
      </c>
      <c r="AP57" s="391">
        <f t="shared" si="312"/>
        <v>-406388.4705544993</v>
      </c>
      <c r="AQ57" s="391">
        <f t="shared" si="312"/>
        <v>-410980.43281614897</v>
      </c>
      <c r="AR57" s="391">
        <f t="shared" si="312"/>
        <v>-463453.36134135834</v>
      </c>
      <c r="AS57" s="391">
        <f t="shared" ref="AS57:AY57" si="313">SUM(AS51:AS56)</f>
        <v>-499024.89999999997</v>
      </c>
      <c r="AT57" s="391">
        <f t="shared" si="313"/>
        <v>-448641.75000000006</v>
      </c>
      <c r="AU57" s="391">
        <f t="shared" si="313"/>
        <v>-434932.97000000015</v>
      </c>
      <c r="AV57" s="24">
        <f t="shared" si="313"/>
        <v>-537436.98360459448</v>
      </c>
      <c r="AW57" s="24">
        <f t="shared" si="313"/>
        <v>-608563.95399613515</v>
      </c>
      <c r="AX57" s="24">
        <f t="shared" si="313"/>
        <v>-479481.78867486655</v>
      </c>
      <c r="AY57" s="24">
        <f t="shared" si="313"/>
        <v>-577227.55901254737</v>
      </c>
      <c r="AZ57" s="24">
        <f t="shared" ref="AZ57:BA57" si="314">SUM(AZ51:AZ56)</f>
        <v>-486279.55595702812</v>
      </c>
      <c r="BA57" s="24">
        <f t="shared" si="314"/>
        <v>-520402.11888042348</v>
      </c>
      <c r="BB57" s="24">
        <f t="shared" ref="BB57:BC57" si="315">SUM(BB51:BB56)</f>
        <v>-589956.93554214493</v>
      </c>
      <c r="BC57" s="24">
        <f t="shared" si="315"/>
        <v>-432853.47651234223</v>
      </c>
      <c r="BD57" s="24">
        <f t="shared" ref="BD57:BI57" si="316">SUM(BD51:BD56)</f>
        <v>-380255.69999999943</v>
      </c>
      <c r="BE57" s="24">
        <f t="shared" si="316"/>
        <v>-475971.90262494213</v>
      </c>
      <c r="BF57" s="24">
        <f t="shared" si="316"/>
        <v>-411287.28843330266</v>
      </c>
      <c r="BG57" s="24">
        <f>SUM(BG51:BG56)</f>
        <v>-352579.68187147938</v>
      </c>
      <c r="BH57" s="24">
        <f t="shared" si="316"/>
        <v>-393601.76173039107</v>
      </c>
      <c r="BI57" s="24">
        <f t="shared" si="316"/>
        <v>-316429.32445992716</v>
      </c>
      <c r="BJ57" s="24">
        <f t="shared" ref="BJ57:BK57" si="317">SUM(BJ51:BJ56)</f>
        <v>-413081.51258744288</v>
      </c>
      <c r="BK57" s="24">
        <f t="shared" si="317"/>
        <v>-297164.106552866</v>
      </c>
      <c r="BL57" s="24">
        <f t="shared" ref="BL57" si="318">SUM(BL51:BL56)</f>
        <v>-345543.12475051533</v>
      </c>
      <c r="BM57" s="24">
        <f t="shared" ref="BM57:BN57" si="319">SUM(BM51:BM56)</f>
        <v>-499097.59128168126</v>
      </c>
      <c r="BN57" s="24">
        <f t="shared" si="319"/>
        <v>-423093.91822972137</v>
      </c>
      <c r="BO57" s="24">
        <f t="shared" ref="BO57:BP57" si="320">SUM(BO51:BO56)</f>
        <v>-296110.67942685675</v>
      </c>
      <c r="BP57" s="24">
        <f t="shared" si="320"/>
        <v>-234871.85745478902</v>
      </c>
      <c r="BQ57" s="24">
        <f t="shared" ref="BQ57:BR57" si="321">SUM(BQ51:BQ56)</f>
        <v>-304222.66307913733</v>
      </c>
      <c r="BR57" s="24">
        <f t="shared" si="321"/>
        <v>-330558.42188814178</v>
      </c>
      <c r="BS57" s="24">
        <f t="shared" ref="BS57:BT57" si="322">SUM(BS51:BS56)</f>
        <v>-1074928.5114975246</v>
      </c>
      <c r="BT57" s="548">
        <f t="shared" si="322"/>
        <v>-336937.18703753018</v>
      </c>
      <c r="BU57" s="24">
        <f t="shared" ref="BU57:BV57" si="323">SUM(BU51:BU56)</f>
        <v>-361309.4050658833</v>
      </c>
      <c r="BV57" s="24">
        <f t="shared" si="323"/>
        <v>-414142.5145070221</v>
      </c>
      <c r="BW57" s="24">
        <f t="shared" ref="BW57:BX57" si="324">SUM(BW51:BW56)</f>
        <v>-405886.03924178489</v>
      </c>
      <c r="BX57" s="24">
        <f t="shared" si="324"/>
        <v>-310124.15048131632</v>
      </c>
      <c r="BY57" s="24">
        <f t="shared" ref="BY57:BZ57" si="325">SUM(BY51:BY56)</f>
        <v>-396216.72784517333</v>
      </c>
      <c r="BZ57" s="24">
        <f t="shared" si="325"/>
        <v>-358419.06228183693</v>
      </c>
      <c r="CA57" s="24">
        <f t="shared" ref="CA57:CB57" si="326">SUM(CA51:CA56)</f>
        <v>-367568.56074327318</v>
      </c>
      <c r="CB57" s="24">
        <f t="shared" si="326"/>
        <v>-472868.0002629807</v>
      </c>
      <c r="CC57" s="24">
        <f t="shared" ref="CC57:CD57" si="327">SUM(CC51:CC56)</f>
        <v>-613398.05283695925</v>
      </c>
      <c r="CD57" s="24">
        <f t="shared" si="327"/>
        <v>-535598.88580876309</v>
      </c>
      <c r="CE57" s="24">
        <f t="shared" ref="CE57:CF57" si="328">SUM(CE51:CE56)</f>
        <v>-485468.18523322651</v>
      </c>
      <c r="CF57" s="24">
        <f t="shared" si="328"/>
        <v>-451897.08736677514</v>
      </c>
      <c r="CG57" s="24">
        <f t="shared" ref="CG57:CH57" si="329">SUM(CG51:CG56)</f>
        <v>-466704.48752837325</v>
      </c>
      <c r="CH57" s="24">
        <f t="shared" si="329"/>
        <v>-521714.13981445064</v>
      </c>
      <c r="CI57" s="24">
        <f t="shared" ref="CI57:CJ57" si="330">SUM(CI51:CI56)</f>
        <v>-515025.74461296771</v>
      </c>
      <c r="CJ57" s="24">
        <f t="shared" si="330"/>
        <v>-480402.06000402092</v>
      </c>
      <c r="CK57" s="24">
        <f t="shared" ref="CK57:CL57" si="331">SUM(CK51:CK56)</f>
        <v>-403348.86852597684</v>
      </c>
      <c r="CL57" s="24">
        <f t="shared" si="331"/>
        <v>-269112.34085067699</v>
      </c>
      <c r="CM57" s="24">
        <f t="shared" ref="CM57:CR57" si="332">SUM(CM51:CM56)</f>
        <v>-376175.44339030783</v>
      </c>
      <c r="CN57" s="24">
        <f t="shared" si="332"/>
        <v>-273762.80484076159</v>
      </c>
      <c r="CO57" s="24">
        <f t="shared" si="332"/>
        <v>-353291.34572513989</v>
      </c>
      <c r="CP57" s="24">
        <f t="shared" si="332"/>
        <v>-285615.16168762749</v>
      </c>
      <c r="CQ57" s="24">
        <f t="shared" si="332"/>
        <v>-325082.5234524876</v>
      </c>
      <c r="CR57" s="24">
        <f t="shared" si="332"/>
        <v>-430611.95305637515</v>
      </c>
      <c r="CS57" s="747">
        <f t="shared" ref="CS57" si="333">SUM(CS51:CS56)</f>
        <v>-225689.82327658881</v>
      </c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L57"/>
      <c r="EM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</row>
    <row r="58" spans="2:160" x14ac:dyDescent="0.35">
      <c r="AW58"/>
      <c r="AX58"/>
      <c r="BC58"/>
      <c r="BD58"/>
      <c r="BE58"/>
      <c r="BG58"/>
      <c r="BI58"/>
      <c r="BJ58"/>
      <c r="BK58"/>
      <c r="BL58"/>
      <c r="BM58"/>
      <c r="BN58"/>
      <c r="BO58"/>
      <c r="BP58"/>
      <c r="BQ58"/>
      <c r="BR58"/>
      <c r="BS58"/>
      <c r="BT58" s="487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U58"/>
      <c r="DV58"/>
      <c r="DY58"/>
      <c r="EB58"/>
      <c r="EL58"/>
      <c r="EM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</row>
    <row r="59" spans="2:160" x14ac:dyDescent="0.35">
      <c r="AX59"/>
      <c r="AY59"/>
      <c r="AZ59"/>
      <c r="BA59" s="54"/>
      <c r="BB59"/>
      <c r="BC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 s="487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U59"/>
      <c r="DV59"/>
      <c r="DY59"/>
      <c r="EB59"/>
      <c r="EL59"/>
      <c r="EM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</row>
    <row r="60" spans="2:160" x14ac:dyDescent="0.35">
      <c r="AX60"/>
      <c r="AY60"/>
      <c r="AZ60"/>
      <c r="BA60"/>
      <c r="BB60"/>
      <c r="BC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 s="116"/>
      <c r="BT60" s="552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U60"/>
      <c r="DV60"/>
      <c r="DY60"/>
      <c r="EB60"/>
      <c r="EL60"/>
      <c r="EM60"/>
    </row>
    <row r="61" spans="2:160" x14ac:dyDescent="0.35">
      <c r="AX61"/>
      <c r="AY61"/>
      <c r="AZ61"/>
      <c r="BA61"/>
      <c r="BB61"/>
      <c r="BC61"/>
      <c r="BE61"/>
      <c r="BF61"/>
      <c r="BG61"/>
      <c r="BH61"/>
      <c r="BI61"/>
      <c r="BJ61"/>
      <c r="BK61"/>
      <c r="BL61"/>
      <c r="BM61" s="54"/>
      <c r="BN61"/>
      <c r="BO61"/>
      <c r="BP61"/>
      <c r="BQ61"/>
      <c r="BR61"/>
      <c r="BS61"/>
      <c r="BT61" s="487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U61" s="54"/>
      <c r="CV61" s="54"/>
      <c r="CW61" s="54"/>
      <c r="CX61" s="54"/>
      <c r="CY61" s="416"/>
      <c r="CZ61" s="416"/>
      <c r="DA61" s="416"/>
      <c r="DB61" s="416"/>
      <c r="DC61" s="416"/>
      <c r="DD61" s="416"/>
      <c r="DE61" s="416"/>
      <c r="DF61" s="416"/>
      <c r="DV61"/>
      <c r="DY61"/>
      <c r="EB61"/>
      <c r="EL61"/>
      <c r="EM61"/>
    </row>
    <row r="62" spans="2:160" x14ac:dyDescent="0.35">
      <c r="AX62"/>
      <c r="AY62"/>
      <c r="AZ62"/>
      <c r="BA62"/>
      <c r="BB62"/>
      <c r="BC62"/>
      <c r="BE62" s="118"/>
      <c r="BF62"/>
      <c r="BG62"/>
      <c r="BH62"/>
      <c r="BI62"/>
      <c r="BJ62" s="225"/>
      <c r="BK62"/>
      <c r="BL62"/>
      <c r="BM62"/>
      <c r="BN62" s="207"/>
      <c r="BO62" s="421"/>
      <c r="BP62" s="421"/>
      <c r="BQ62" s="207"/>
      <c r="BR62" s="421"/>
      <c r="BS62" s="207"/>
      <c r="BT62" s="553"/>
      <c r="BU62" s="421"/>
      <c r="BV62" s="207"/>
      <c r="BW62" s="421"/>
      <c r="BX62" s="421"/>
      <c r="BY62" s="207"/>
      <c r="BZ62" s="207"/>
      <c r="CA62" s="207"/>
      <c r="CB62" s="421"/>
      <c r="CC62" s="207"/>
      <c r="CD62" s="207"/>
      <c r="CE62" s="421"/>
      <c r="CF62" s="207"/>
      <c r="CG62" s="207"/>
      <c r="CH62" s="207"/>
      <c r="CI62" s="421"/>
      <c r="CJ62" s="421"/>
      <c r="CK62" s="207"/>
      <c r="CL62" s="207"/>
      <c r="CM62" s="207"/>
      <c r="CN62" s="207"/>
      <c r="CO62" s="207"/>
      <c r="CP62" s="207"/>
      <c r="CQ62" s="421"/>
      <c r="CR62" s="421"/>
      <c r="CS62" s="421"/>
      <c r="CT62" s="207"/>
      <c r="CU62" s="421"/>
      <c r="CV62" s="475"/>
      <c r="CW62" s="475"/>
      <c r="CX62" s="475"/>
      <c r="CY62" s="475"/>
      <c r="CZ62" s="475"/>
      <c r="DA62" s="475"/>
      <c r="DB62" s="475"/>
      <c r="DC62" s="475"/>
      <c r="DD62" s="475"/>
      <c r="DE62" s="475"/>
      <c r="DF62" s="475"/>
      <c r="DV62"/>
      <c r="DY62"/>
      <c r="EB62"/>
      <c r="EL62"/>
      <c r="EM62"/>
    </row>
    <row r="63" spans="2:160" x14ac:dyDescent="0.35">
      <c r="AX63" s="422"/>
      <c r="AY63"/>
      <c r="AZ63"/>
      <c r="BA63"/>
      <c r="BB63"/>
      <c r="BC63"/>
      <c r="BE63"/>
      <c r="BF63"/>
      <c r="BG63"/>
      <c r="BH63"/>
      <c r="BI63"/>
      <c r="BJ63"/>
      <c r="BK63"/>
      <c r="BL63"/>
      <c r="BM63"/>
      <c r="BN63" s="207"/>
      <c r="BO63" s="421"/>
      <c r="BP63" s="421"/>
      <c r="BQ63" s="207"/>
      <c r="BR63" s="421"/>
      <c r="BS63" s="207"/>
      <c r="BT63" s="553"/>
      <c r="BU63" s="421"/>
      <c r="BV63" s="207"/>
      <c r="BW63" s="421"/>
      <c r="BX63" s="421"/>
      <c r="BY63" s="207"/>
      <c r="BZ63" s="421"/>
      <c r="CA63" s="207"/>
      <c r="CB63" s="421"/>
      <c r="CC63" s="207"/>
      <c r="CD63" s="421"/>
      <c r="CE63" s="421"/>
      <c r="CF63" s="207"/>
      <c r="CG63" s="207"/>
      <c r="CH63" s="207"/>
      <c r="CI63" s="421"/>
      <c r="CJ63" s="421"/>
      <c r="CK63" s="207"/>
      <c r="CL63" s="207"/>
      <c r="CM63" s="207"/>
      <c r="CN63" s="207"/>
      <c r="CO63" s="207"/>
      <c r="CP63" s="207"/>
      <c r="CQ63" s="421"/>
      <c r="CR63" s="421"/>
      <c r="CS63" s="421"/>
      <c r="CT63" s="207"/>
      <c r="CU63" s="421"/>
      <c r="CV63" s="475"/>
      <c r="CW63" s="475"/>
      <c r="CX63" s="475"/>
      <c r="CY63" s="475"/>
      <c r="CZ63" s="475"/>
      <c r="DA63" s="475"/>
      <c r="DB63" s="475"/>
      <c r="DC63" s="475"/>
      <c r="DD63" s="475"/>
      <c r="DE63" s="475"/>
      <c r="DF63" s="475"/>
      <c r="DV63"/>
      <c r="DY63"/>
      <c r="EB63"/>
      <c r="EL63"/>
      <c r="EM63"/>
    </row>
    <row r="64" spans="2:160" x14ac:dyDescent="0.35">
      <c r="AX64"/>
      <c r="AY64"/>
      <c r="AZ64"/>
      <c r="BA64"/>
      <c r="BB64"/>
      <c r="BC64"/>
      <c r="BE64"/>
      <c r="BF64"/>
      <c r="BG64"/>
      <c r="BH64"/>
      <c r="BI64"/>
      <c r="BJ64"/>
      <c r="BK64"/>
      <c r="BL64" s="54"/>
      <c r="BM64"/>
      <c r="BN64"/>
      <c r="BO64"/>
      <c r="BP64"/>
      <c r="BQ64"/>
      <c r="BR64"/>
      <c r="BS64"/>
      <c r="BT64" s="487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U64"/>
      <c r="DY64"/>
      <c r="EB64"/>
      <c r="EL64"/>
      <c r="EM64"/>
    </row>
    <row r="65" spans="50:143" x14ac:dyDescent="0.35">
      <c r="AX65" s="83"/>
      <c r="AY65"/>
      <c r="AZ65"/>
      <c r="BA65"/>
      <c r="BB65"/>
      <c r="BC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 s="487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U65"/>
      <c r="DY65"/>
      <c r="EB65"/>
      <c r="EL65"/>
      <c r="EM65"/>
    </row>
    <row r="66" spans="50:143" x14ac:dyDescent="0.35">
      <c r="BL66"/>
      <c r="BM66"/>
      <c r="BN66"/>
      <c r="BQ66"/>
      <c r="BT66" s="487"/>
      <c r="BV66"/>
      <c r="BY66"/>
      <c r="CA66"/>
      <c r="CC66"/>
      <c r="CK66"/>
      <c r="CM66"/>
      <c r="CN66"/>
      <c r="CO66"/>
      <c r="CP66"/>
      <c r="DY66"/>
      <c r="EB66"/>
      <c r="EL66"/>
      <c r="EM66"/>
    </row>
    <row r="67" spans="50:143" x14ac:dyDescent="0.35">
      <c r="BL67"/>
      <c r="BM67"/>
      <c r="BN67"/>
      <c r="BQ67"/>
      <c r="BT67" s="487"/>
      <c r="BV67"/>
      <c r="BY67"/>
      <c r="CA67"/>
      <c r="CC67"/>
      <c r="CK67"/>
      <c r="CM67"/>
      <c r="CN67"/>
      <c r="CO67"/>
      <c r="CP67"/>
      <c r="DY67"/>
      <c r="EB67"/>
      <c r="EL67"/>
      <c r="EM67"/>
    </row>
    <row r="68" spans="50:143" x14ac:dyDescent="0.35">
      <c r="BL68"/>
      <c r="BM68"/>
      <c r="BN68"/>
      <c r="BQ68"/>
      <c r="BT68" s="487"/>
      <c r="BV68"/>
      <c r="BY68"/>
      <c r="CA68"/>
      <c r="CC68"/>
      <c r="CK68"/>
      <c r="CM68"/>
      <c r="CN68"/>
      <c r="CO68"/>
      <c r="CP68"/>
      <c r="DY68"/>
      <c r="EB68"/>
      <c r="EL68"/>
      <c r="EM68"/>
    </row>
    <row r="69" spans="50:143" x14ac:dyDescent="0.35">
      <c r="BL69"/>
      <c r="BM69"/>
      <c r="BN69"/>
      <c r="BQ69"/>
      <c r="BT69" s="487"/>
      <c r="BV69"/>
      <c r="BY69"/>
      <c r="CA69"/>
      <c r="CC69"/>
      <c r="CK69"/>
      <c r="CM69"/>
      <c r="CN69"/>
      <c r="CO69"/>
      <c r="CP69"/>
      <c r="DY69"/>
      <c r="EB69"/>
      <c r="EL69"/>
      <c r="EM69"/>
    </row>
    <row r="70" spans="50:143" x14ac:dyDescent="0.35">
      <c r="BL70"/>
      <c r="BM70"/>
      <c r="BN70"/>
      <c r="BQ70"/>
      <c r="BT70" s="487"/>
      <c r="BV70"/>
      <c r="BY70"/>
      <c r="CA70"/>
      <c r="CC70"/>
      <c r="CK70"/>
      <c r="CM70"/>
      <c r="CN70"/>
      <c r="CO70"/>
      <c r="CP70"/>
      <c r="DY70"/>
      <c r="EB70"/>
      <c r="EL70"/>
      <c r="EM70"/>
    </row>
    <row r="71" spans="50:143" x14ac:dyDescent="0.35">
      <c r="BL71"/>
      <c r="BM71"/>
      <c r="BN71"/>
      <c r="BQ71"/>
      <c r="BT71" s="487"/>
      <c r="BV71"/>
      <c r="BY71"/>
      <c r="CA71"/>
      <c r="CC71"/>
      <c r="CK71"/>
      <c r="CM71"/>
      <c r="CN71"/>
      <c r="CO71"/>
      <c r="CP71"/>
      <c r="DY71"/>
      <c r="EB71"/>
      <c r="EL71"/>
      <c r="EM71"/>
    </row>
    <row r="72" spans="50:143" x14ac:dyDescent="0.35">
      <c r="BL72"/>
      <c r="BM72"/>
      <c r="BN72"/>
      <c r="BQ72"/>
      <c r="BT72" s="487"/>
      <c r="BV72"/>
      <c r="BY72"/>
      <c r="CA72"/>
      <c r="CC72"/>
      <c r="CK72"/>
      <c r="CM72"/>
      <c r="CN72"/>
      <c r="CO72"/>
      <c r="DY72"/>
      <c r="EB72"/>
      <c r="EL72"/>
      <c r="EM72"/>
    </row>
    <row r="73" spans="50:143" x14ac:dyDescent="0.35">
      <c r="BL73"/>
      <c r="BM73"/>
      <c r="BN73"/>
      <c r="BQ73"/>
      <c r="BT73" s="487"/>
      <c r="BV73"/>
      <c r="BY73"/>
      <c r="CA73"/>
      <c r="CC73"/>
      <c r="CK73"/>
      <c r="CM73"/>
      <c r="CN73"/>
      <c r="CO73"/>
      <c r="DY73"/>
      <c r="EB73"/>
      <c r="EL73"/>
      <c r="EM73"/>
    </row>
    <row r="74" spans="50:143" x14ac:dyDescent="0.35">
      <c r="BL74"/>
      <c r="BM74"/>
      <c r="BN74"/>
      <c r="BQ74"/>
      <c r="BT74" s="487"/>
      <c r="BV74"/>
      <c r="BY74"/>
      <c r="CA74"/>
      <c r="CC74"/>
      <c r="CK74"/>
      <c r="CM74"/>
      <c r="CN74"/>
      <c r="CO74"/>
      <c r="DY74"/>
      <c r="EB74"/>
      <c r="EM74"/>
    </row>
    <row r="75" spans="50:143" x14ac:dyDescent="0.35">
      <c r="BL75"/>
      <c r="BM75"/>
      <c r="BN75"/>
      <c r="BQ75"/>
      <c r="BT75" s="487"/>
      <c r="BV75"/>
      <c r="BY75"/>
      <c r="CA75"/>
      <c r="CC75"/>
      <c r="CK75"/>
      <c r="CM75"/>
      <c r="CN75"/>
      <c r="CO75"/>
      <c r="DY75"/>
      <c r="EB75"/>
      <c r="EM75"/>
    </row>
    <row r="76" spans="50:143" x14ac:dyDescent="0.35">
      <c r="BL76"/>
      <c r="BM76"/>
      <c r="BN76"/>
      <c r="BQ76"/>
      <c r="BT76" s="487"/>
      <c r="BV76"/>
      <c r="BY76"/>
      <c r="CA76"/>
      <c r="CC76"/>
      <c r="CK76"/>
      <c r="CM76"/>
      <c r="CN76"/>
      <c r="CO76"/>
      <c r="EB76"/>
      <c r="EM76"/>
    </row>
    <row r="77" spans="50:143" x14ac:dyDescent="0.35">
      <c r="BL77"/>
      <c r="BM77"/>
      <c r="BN77"/>
      <c r="BQ77"/>
      <c r="BT77" s="487"/>
      <c r="BV77"/>
      <c r="BY77"/>
      <c r="CA77"/>
      <c r="CC77"/>
      <c r="CK77"/>
      <c r="CM77"/>
      <c r="CN77"/>
      <c r="CO77"/>
      <c r="EB77"/>
      <c r="EM77"/>
    </row>
    <row r="78" spans="50:143" x14ac:dyDescent="0.35">
      <c r="BL78"/>
      <c r="BM78"/>
      <c r="BN78"/>
      <c r="BQ78"/>
      <c r="BT78" s="487"/>
      <c r="BV78"/>
      <c r="BY78"/>
      <c r="CA78"/>
      <c r="CC78"/>
      <c r="CK78"/>
      <c r="CM78"/>
      <c r="CN78"/>
      <c r="CO78"/>
      <c r="EB78"/>
      <c r="EM78"/>
    </row>
    <row r="79" spans="50:143" x14ac:dyDescent="0.35">
      <c r="BL79"/>
      <c r="BM79"/>
      <c r="BN79"/>
      <c r="BQ79"/>
      <c r="BT79" s="487"/>
      <c r="BV79"/>
      <c r="BY79"/>
      <c r="CA79"/>
      <c r="CC79"/>
      <c r="CK79"/>
      <c r="CM79"/>
      <c r="CN79"/>
      <c r="CO79"/>
      <c r="EB79"/>
      <c r="EM79"/>
    </row>
    <row r="80" spans="50:143" x14ac:dyDescent="0.35">
      <c r="BL80"/>
      <c r="BM80"/>
      <c r="BN80"/>
      <c r="BQ80"/>
      <c r="BT80" s="487"/>
      <c r="BV80"/>
      <c r="BY80"/>
      <c r="CA80"/>
      <c r="CC80"/>
      <c r="CK80"/>
      <c r="CM80"/>
      <c r="CN80"/>
      <c r="CO80"/>
      <c r="EB80"/>
      <c r="EM80"/>
    </row>
    <row r="81" spans="9:132" x14ac:dyDescent="0.35">
      <c r="BL81"/>
      <c r="BM81"/>
      <c r="BN81"/>
      <c r="BQ81"/>
      <c r="BT81" s="487"/>
      <c r="BV81"/>
      <c r="BY81"/>
      <c r="CA81"/>
      <c r="CC81"/>
      <c r="CK81"/>
      <c r="CM81"/>
      <c r="CN81"/>
      <c r="CO81"/>
      <c r="EB81"/>
    </row>
    <row r="82" spans="9:132" x14ac:dyDescent="0.35">
      <c r="BL82"/>
      <c r="BM82"/>
      <c r="BN82"/>
      <c r="BQ82"/>
      <c r="BT82" s="487"/>
      <c r="BV82"/>
      <c r="BY82"/>
      <c r="CA82"/>
      <c r="CC82"/>
      <c r="CK82"/>
      <c r="CM82"/>
      <c r="CN82"/>
      <c r="EB82"/>
    </row>
    <row r="83" spans="9:132" x14ac:dyDescent="0.35">
      <c r="BL83"/>
      <c r="BM83"/>
      <c r="BN83"/>
      <c r="BQ83"/>
      <c r="BT83" s="487"/>
      <c r="BV83"/>
      <c r="BY83"/>
      <c r="CA83"/>
      <c r="CC83"/>
      <c r="CK83"/>
      <c r="CM83"/>
      <c r="CN83"/>
      <c r="EB83"/>
    </row>
    <row r="84" spans="9:132" x14ac:dyDescent="0.35">
      <c r="BL84"/>
      <c r="BM84"/>
      <c r="BN84"/>
      <c r="BQ84"/>
      <c r="BT84" s="487"/>
      <c r="BV84"/>
      <c r="BY84"/>
      <c r="CA84"/>
      <c r="CC84"/>
      <c r="CK84"/>
      <c r="CM84"/>
      <c r="CN84"/>
      <c r="EB84"/>
    </row>
    <row r="85" spans="9:132" x14ac:dyDescent="0.35">
      <c r="BL85"/>
      <c r="BM85"/>
      <c r="BN85"/>
      <c r="BQ85"/>
      <c r="BT85" s="487"/>
      <c r="BV85"/>
      <c r="BY85"/>
      <c r="CA85"/>
      <c r="CC85"/>
      <c r="CK85"/>
      <c r="CM85"/>
      <c r="CN85"/>
      <c r="EB85"/>
    </row>
    <row r="86" spans="9:132" x14ac:dyDescent="0.35">
      <c r="BL86"/>
      <c r="BM86"/>
      <c r="BN86"/>
      <c r="BQ86"/>
      <c r="BT86" s="487"/>
      <c r="BV86"/>
      <c r="BY86"/>
      <c r="CA86"/>
      <c r="CC86"/>
      <c r="CK86"/>
      <c r="CM86"/>
      <c r="CN86"/>
      <c r="EB86"/>
    </row>
    <row r="87" spans="9:132" x14ac:dyDescent="0.35">
      <c r="BL87"/>
      <c r="BM87"/>
      <c r="BN87"/>
      <c r="BQ87"/>
      <c r="BT87" s="487"/>
      <c r="BV87"/>
      <c r="BY87"/>
      <c r="CA87"/>
      <c r="CC87"/>
      <c r="CK87"/>
      <c r="CM87"/>
      <c r="CN87"/>
      <c r="EB87"/>
    </row>
    <row r="88" spans="9:132" x14ac:dyDescent="0.35">
      <c r="BL88"/>
      <c r="BM88"/>
      <c r="BN88"/>
      <c r="BQ88"/>
      <c r="BT88" s="487"/>
      <c r="BV88"/>
      <c r="BY88"/>
      <c r="CA88"/>
      <c r="CC88"/>
      <c r="CK88"/>
      <c r="CM88"/>
      <c r="CN88"/>
      <c r="EB88"/>
    </row>
    <row r="89" spans="9:132" x14ac:dyDescent="0.35">
      <c r="BL89"/>
      <c r="BM89"/>
      <c r="BN89"/>
      <c r="BQ89"/>
      <c r="BT89" s="487"/>
      <c r="BV89"/>
      <c r="BY89"/>
      <c r="CA89"/>
      <c r="CC89"/>
      <c r="CK89"/>
      <c r="CM89"/>
      <c r="CN89"/>
      <c r="EB89"/>
    </row>
    <row r="90" spans="9:132" x14ac:dyDescent="0.35">
      <c r="BL90"/>
      <c r="BM90"/>
      <c r="BN90"/>
      <c r="BQ90"/>
      <c r="BT90" s="487"/>
      <c r="BV90"/>
      <c r="BY90"/>
      <c r="CA90"/>
      <c r="CC90"/>
      <c r="CK90"/>
      <c r="CM90"/>
      <c r="CN90"/>
      <c r="EB90"/>
    </row>
    <row r="91" spans="9:132" x14ac:dyDescent="0.35">
      <c r="BL91"/>
      <c r="BM91"/>
      <c r="BQ91"/>
      <c r="BT91" s="487"/>
      <c r="BV91"/>
      <c r="BY91"/>
      <c r="CA91"/>
      <c r="CC91"/>
      <c r="CK91"/>
      <c r="CM91"/>
      <c r="CN91"/>
      <c r="EB91"/>
    </row>
    <row r="92" spans="9:132" x14ac:dyDescent="0.35">
      <c r="BL92"/>
      <c r="BM92"/>
      <c r="BQ92"/>
      <c r="BT92" s="487"/>
      <c r="BV92"/>
      <c r="BY92"/>
      <c r="CA92"/>
      <c r="CC92"/>
      <c r="CK92"/>
      <c r="CM92"/>
      <c r="CN92"/>
      <c r="EB92"/>
    </row>
    <row r="93" spans="9:132" x14ac:dyDescent="0.35">
      <c r="I93" s="385"/>
      <c r="J93" s="385"/>
      <c r="BL93"/>
      <c r="BM93"/>
      <c r="BQ93"/>
      <c r="BT93" s="487"/>
      <c r="BV93"/>
      <c r="BY93"/>
      <c r="CA93"/>
      <c r="CC93"/>
      <c r="CK93"/>
      <c r="CM93"/>
      <c r="CN93"/>
      <c r="EB93"/>
    </row>
    <row r="94" spans="9:132" x14ac:dyDescent="0.35">
      <c r="I94" s="385"/>
      <c r="J94" s="385"/>
      <c r="BL94"/>
      <c r="BM94"/>
      <c r="BQ94"/>
      <c r="BT94" s="487"/>
      <c r="BV94"/>
      <c r="BY94"/>
      <c r="CA94"/>
      <c r="CC94"/>
      <c r="CK94"/>
      <c r="CM94"/>
      <c r="CN94"/>
      <c r="EB94"/>
    </row>
    <row r="95" spans="9:132" x14ac:dyDescent="0.35">
      <c r="I95" s="385"/>
      <c r="J95" s="385"/>
      <c r="BL95"/>
      <c r="BM95"/>
      <c r="BQ95"/>
      <c r="BT95" s="487"/>
      <c r="BV95"/>
      <c r="BY95"/>
      <c r="CA95"/>
      <c r="CC95"/>
      <c r="CK95"/>
      <c r="CM95"/>
      <c r="CN95"/>
      <c r="EB95"/>
    </row>
    <row r="96" spans="9:132" x14ac:dyDescent="0.35">
      <c r="I96" s="388"/>
      <c r="J96" s="388"/>
      <c r="BL96"/>
      <c r="BM96"/>
      <c r="BQ96"/>
      <c r="BT96" s="487"/>
      <c r="BV96"/>
      <c r="BY96"/>
      <c r="CA96"/>
      <c r="CC96"/>
      <c r="CK96"/>
      <c r="CM96"/>
      <c r="CN96"/>
      <c r="EB96"/>
    </row>
    <row r="97" spans="9:132" x14ac:dyDescent="0.35">
      <c r="I97" s="385"/>
      <c r="J97" s="385"/>
      <c r="BL97"/>
      <c r="BM97"/>
      <c r="BQ97"/>
      <c r="BT97" s="487"/>
      <c r="BY97"/>
      <c r="CA97"/>
      <c r="CC97"/>
      <c r="CK97"/>
      <c r="CM97"/>
      <c r="CN97"/>
      <c r="EB97"/>
    </row>
    <row r="98" spans="9:132" x14ac:dyDescent="0.35">
      <c r="I98" s="385"/>
      <c r="J98" s="385"/>
      <c r="BM98"/>
      <c r="BQ98"/>
      <c r="BT98" s="487"/>
      <c r="BY98"/>
      <c r="CA98"/>
      <c r="CC98"/>
      <c r="CK98"/>
      <c r="CM98"/>
      <c r="CN98"/>
      <c r="EB98"/>
    </row>
    <row r="99" spans="9:132" x14ac:dyDescent="0.35">
      <c r="I99" s="385"/>
      <c r="J99" s="385"/>
      <c r="BM99"/>
      <c r="BQ99"/>
      <c r="BT99" s="487"/>
      <c r="BY99"/>
      <c r="CA99"/>
      <c r="CC99"/>
      <c r="CK99"/>
      <c r="CM99"/>
      <c r="CN99"/>
      <c r="EB99"/>
    </row>
    <row r="100" spans="9:132" x14ac:dyDescent="0.35">
      <c r="I100" s="385"/>
      <c r="J100" s="385"/>
      <c r="BM100"/>
      <c r="BQ100"/>
      <c r="BT100" s="487"/>
      <c r="BY100"/>
      <c r="CA100"/>
      <c r="CC100"/>
      <c r="CK100"/>
      <c r="CM100"/>
      <c r="CN100"/>
      <c r="EB100"/>
    </row>
    <row r="101" spans="9:132" x14ac:dyDescent="0.35">
      <c r="I101" s="385"/>
      <c r="J101" s="385"/>
      <c r="BM101"/>
      <c r="BQ101"/>
      <c r="BT101" s="487"/>
      <c r="BY101"/>
      <c r="CA101"/>
      <c r="CC101"/>
      <c r="CK101"/>
      <c r="CM101"/>
      <c r="CN101"/>
      <c r="EB101"/>
    </row>
    <row r="102" spans="9:132" x14ac:dyDescent="0.35">
      <c r="I102" s="385"/>
      <c r="J102" s="385"/>
      <c r="BM102"/>
      <c r="BT102" s="487"/>
      <c r="BY102"/>
      <c r="CA102"/>
      <c r="CC102"/>
      <c r="CK102"/>
      <c r="CM102"/>
      <c r="CN102"/>
      <c r="EB102"/>
    </row>
    <row r="103" spans="9:132" x14ac:dyDescent="0.35">
      <c r="I103" s="385"/>
      <c r="J103" s="385"/>
      <c r="BM103"/>
      <c r="BT103" s="487"/>
      <c r="BY103"/>
      <c r="CA103"/>
      <c r="CC103"/>
      <c r="CK103"/>
      <c r="CM103"/>
      <c r="CN103"/>
      <c r="EB103"/>
    </row>
    <row r="104" spans="9:132" x14ac:dyDescent="0.35">
      <c r="I104" s="385"/>
      <c r="J104" s="385"/>
      <c r="BM104"/>
      <c r="BT104" s="487"/>
      <c r="BY104"/>
      <c r="CA104"/>
      <c r="CC104"/>
      <c r="CK104"/>
      <c r="CM104"/>
      <c r="CN104"/>
      <c r="EB104"/>
    </row>
    <row r="105" spans="9:132" x14ac:dyDescent="0.35">
      <c r="I105" s="385"/>
      <c r="J105" s="385"/>
      <c r="BM105"/>
      <c r="BT105" s="487"/>
      <c r="BY105"/>
      <c r="CA105"/>
      <c r="CC105"/>
      <c r="CK105"/>
      <c r="CM105"/>
      <c r="CN105"/>
      <c r="EB105"/>
    </row>
    <row r="106" spans="9:132" x14ac:dyDescent="0.35">
      <c r="I106" s="385"/>
      <c r="J106" s="385"/>
      <c r="BM106"/>
      <c r="BT106" s="487"/>
      <c r="BY106"/>
      <c r="CA106"/>
      <c r="CC106"/>
      <c r="CK106"/>
      <c r="CM106"/>
      <c r="CN106"/>
      <c r="EB106"/>
    </row>
    <row r="107" spans="9:132" x14ac:dyDescent="0.35">
      <c r="I107" s="385"/>
      <c r="J107" s="385"/>
      <c r="BM107"/>
      <c r="BT107" s="487"/>
      <c r="BY107"/>
      <c r="CA107"/>
      <c r="CC107"/>
      <c r="CK107"/>
      <c r="CM107"/>
      <c r="CN107"/>
      <c r="EB107"/>
    </row>
    <row r="108" spans="9:132" x14ac:dyDescent="0.35">
      <c r="I108" s="385"/>
      <c r="J108" s="385"/>
      <c r="BM108"/>
      <c r="BT108" s="487"/>
      <c r="CA108"/>
      <c r="CC108"/>
      <c r="CK108"/>
      <c r="CN108"/>
      <c r="EB108"/>
    </row>
    <row r="109" spans="9:132" x14ac:dyDescent="0.35">
      <c r="I109" s="385"/>
      <c r="J109" s="385"/>
      <c r="BM109"/>
      <c r="BT109" s="487"/>
      <c r="CA109"/>
      <c r="CC109"/>
      <c r="CK109"/>
      <c r="CN109"/>
      <c r="EB109"/>
    </row>
    <row r="110" spans="9:132" x14ac:dyDescent="0.35">
      <c r="I110" s="385"/>
      <c r="J110" s="385"/>
      <c r="BM110"/>
      <c r="CA110"/>
      <c r="CC110"/>
      <c r="CK110"/>
      <c r="CN110"/>
      <c r="EB110"/>
    </row>
    <row r="111" spans="9:132" x14ac:dyDescent="0.35">
      <c r="I111" s="394"/>
      <c r="J111" s="394"/>
      <c r="BM111"/>
      <c r="CA111"/>
      <c r="CC111"/>
      <c r="CK111"/>
      <c r="CN111"/>
      <c r="EB111"/>
    </row>
    <row r="112" spans="9:132" x14ac:dyDescent="0.35">
      <c r="I112" s="394"/>
      <c r="J112" s="394"/>
      <c r="BM112"/>
      <c r="CA112"/>
      <c r="CC112"/>
      <c r="CK112"/>
      <c r="CN112"/>
      <c r="EB112"/>
    </row>
    <row r="113" spans="9:132" x14ac:dyDescent="0.35">
      <c r="I113" s="394"/>
      <c r="J113" s="394"/>
      <c r="BM113"/>
      <c r="CA113"/>
      <c r="CC113"/>
      <c r="CK113"/>
      <c r="CN113"/>
      <c r="EB113"/>
    </row>
    <row r="114" spans="9:132" x14ac:dyDescent="0.35">
      <c r="I114" s="394"/>
      <c r="J114" s="394"/>
      <c r="BM114"/>
      <c r="CA114"/>
      <c r="CC114"/>
      <c r="CK114"/>
      <c r="CN114"/>
      <c r="EB114"/>
    </row>
    <row r="115" spans="9:132" x14ac:dyDescent="0.35">
      <c r="I115" s="394"/>
      <c r="J115" s="394"/>
      <c r="CA115"/>
      <c r="CC115"/>
      <c r="CK115"/>
      <c r="CN115"/>
      <c r="EB115"/>
    </row>
    <row r="116" spans="9:132" x14ac:dyDescent="0.35">
      <c r="I116" s="394"/>
      <c r="J116" s="394"/>
      <c r="CC116"/>
      <c r="CK116"/>
      <c r="CN116"/>
      <c r="EB116"/>
    </row>
    <row r="117" spans="9:132" x14ac:dyDescent="0.35">
      <c r="CC117"/>
      <c r="CK117"/>
      <c r="CN117"/>
      <c r="EB117"/>
    </row>
    <row r="118" spans="9:132" x14ac:dyDescent="0.35">
      <c r="CC118"/>
      <c r="CK118"/>
    </row>
    <row r="119" spans="9:132" x14ac:dyDescent="0.35">
      <c r="CC119"/>
      <c r="CK119"/>
    </row>
    <row r="120" spans="9:132" x14ac:dyDescent="0.35">
      <c r="CK120"/>
    </row>
    <row r="121" spans="9:132" x14ac:dyDescent="0.35">
      <c r="CK121"/>
    </row>
    <row r="122" spans="9:132" x14ac:dyDescent="0.35">
      <c r="I122" s="394"/>
      <c r="J122" s="394"/>
      <c r="CK122"/>
    </row>
    <row r="123" spans="9:132" x14ac:dyDescent="0.35">
      <c r="I123" s="394"/>
      <c r="J123" s="394"/>
      <c r="CK123"/>
    </row>
    <row r="124" spans="9:132" x14ac:dyDescent="0.35">
      <c r="I124" s="394"/>
      <c r="J124" s="394"/>
    </row>
    <row r="125" spans="9:132" x14ac:dyDescent="0.35">
      <c r="I125" s="394"/>
      <c r="J125" s="394"/>
    </row>
    <row r="126" spans="9:132" x14ac:dyDescent="0.35">
      <c r="I126" s="394"/>
      <c r="J126" s="394"/>
    </row>
    <row r="127" spans="9:132" x14ac:dyDescent="0.35">
      <c r="I127" s="394"/>
      <c r="J127" s="394"/>
    </row>
    <row r="128" spans="9:132" x14ac:dyDescent="0.35">
      <c r="I128" s="394"/>
      <c r="J128" s="394"/>
    </row>
    <row r="129" spans="9:10" x14ac:dyDescent="0.35">
      <c r="I129" s="394"/>
      <c r="J129" s="394"/>
    </row>
  </sheetData>
  <phoneticPr fontId="39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478E-4445-44AF-BCFC-40C61E2D74AE}">
  <sheetPr>
    <pageSetUpPr fitToPage="1"/>
  </sheetPr>
  <dimension ref="A1:DI94"/>
  <sheetViews>
    <sheetView topLeftCell="B2" zoomScaleNormal="100" workbookViewId="0">
      <selection activeCell="DJ34" sqref="DJ34"/>
    </sheetView>
  </sheetViews>
  <sheetFormatPr defaultRowHeight="14.5" outlineLevelCol="1" x14ac:dyDescent="0.35"/>
  <cols>
    <col min="1" max="1" width="0" hidden="1" customWidth="1"/>
    <col min="2" max="2" width="21" customWidth="1"/>
    <col min="3" max="5" width="0" hidden="1" customWidth="1" outlineLevel="1"/>
    <col min="6" max="20" width="0" style="44" hidden="1" customWidth="1" outlineLevel="1"/>
    <col min="21" max="32" width="0" hidden="1" customWidth="1" outlineLevel="1"/>
    <col min="33" max="33" width="0" style="44" hidden="1" customWidth="1" outlineLevel="1"/>
    <col min="34" max="44" width="0" hidden="1" customWidth="1" outlineLevel="1"/>
    <col min="45" max="45" width="9" customWidth="1" collapsed="1"/>
    <col min="46" max="46" width="3.453125" style="44" customWidth="1"/>
    <col min="47" max="57" width="0" hidden="1" customWidth="1" outlineLevel="1"/>
    <col min="58" max="58" width="9" customWidth="1" collapsed="1"/>
    <col min="59" max="59" width="3.453125" style="44" customWidth="1"/>
    <col min="60" max="70" width="0" hidden="1" customWidth="1" outlineLevel="1"/>
    <col min="71" max="71" width="11" customWidth="1" collapsed="1"/>
    <col min="72" max="72" width="3.453125" style="44" customWidth="1"/>
    <col min="73" max="83" width="0" hidden="1" customWidth="1" outlineLevel="1"/>
    <col min="84" max="84" width="9" bestFit="1" customWidth="1" collapsed="1"/>
    <col min="85" max="85" width="3.453125" customWidth="1"/>
    <col min="86" max="87" width="9" hidden="1" customWidth="1" outlineLevel="1"/>
    <col min="88" max="88" width="11" hidden="1" customWidth="1" outlineLevel="1"/>
    <col min="89" max="90" width="9" hidden="1" customWidth="1" outlineLevel="1"/>
    <col min="91" max="91" width="9.453125" hidden="1" customWidth="1" outlineLevel="1"/>
    <col min="92" max="96" width="0" hidden="1" customWidth="1" outlineLevel="1"/>
    <col min="97" max="97" width="8.453125" customWidth="1" collapsed="1"/>
    <col min="98" max="98" width="3.453125" customWidth="1"/>
    <col min="99" max="99" width="9.08984375" hidden="1" customWidth="1" outlineLevel="1"/>
    <col min="100" max="100" width="9.81640625" hidden="1" customWidth="1" outlineLevel="1"/>
    <col min="101" max="101" width="9.54296875" hidden="1" customWidth="1" outlineLevel="1"/>
    <col min="102" max="106" width="9.08984375" hidden="1" customWidth="1" outlineLevel="1"/>
    <col min="107" max="107" width="9.81640625" hidden="1" customWidth="1" outlineLevel="1"/>
    <col min="108" max="109" width="9.08984375" hidden="1" customWidth="1" outlineLevel="1"/>
    <col min="110" max="110" width="9.08984375" customWidth="1" collapsed="1"/>
    <col min="111" max="111" width="3.36328125" customWidth="1"/>
  </cols>
  <sheetData>
    <row r="1" spans="1:113" hidden="1" x14ac:dyDescent="0.35">
      <c r="A1" t="s">
        <v>0</v>
      </c>
    </row>
    <row r="2" spans="1:113" x14ac:dyDescent="0.35">
      <c r="B2" s="112"/>
      <c r="C2" s="70">
        <v>41974</v>
      </c>
      <c r="D2" s="70">
        <v>42339</v>
      </c>
      <c r="E2" s="70">
        <v>42705</v>
      </c>
      <c r="F2" s="70">
        <v>43070</v>
      </c>
      <c r="G2" s="263"/>
      <c r="H2" s="70">
        <v>43101</v>
      </c>
      <c r="I2" s="70">
        <v>43132</v>
      </c>
      <c r="J2" s="70">
        <v>43160</v>
      </c>
      <c r="K2" s="70">
        <v>43191</v>
      </c>
      <c r="L2" s="70">
        <v>43221</v>
      </c>
      <c r="M2" s="70">
        <v>43252</v>
      </c>
      <c r="N2" s="70">
        <v>43282</v>
      </c>
      <c r="O2" s="70">
        <v>43313</v>
      </c>
      <c r="P2" s="70">
        <v>43344</v>
      </c>
      <c r="Q2" s="70">
        <v>43374</v>
      </c>
      <c r="R2" s="70">
        <v>43405</v>
      </c>
      <c r="S2" s="70">
        <v>43435</v>
      </c>
      <c r="T2" s="227"/>
      <c r="U2" s="70">
        <v>43466</v>
      </c>
      <c r="V2" s="70">
        <v>43497</v>
      </c>
      <c r="W2" s="70">
        <v>43525</v>
      </c>
      <c r="X2" s="70">
        <v>43556</v>
      </c>
      <c r="Y2" s="70">
        <v>43586</v>
      </c>
      <c r="Z2" s="70">
        <v>43617</v>
      </c>
      <c r="AA2" s="70">
        <v>43647</v>
      </c>
      <c r="AB2" s="70">
        <v>43678</v>
      </c>
      <c r="AC2" s="70">
        <v>43709</v>
      </c>
      <c r="AD2" s="70">
        <v>43739</v>
      </c>
      <c r="AE2" s="70">
        <v>43770</v>
      </c>
      <c r="AF2" s="70">
        <v>43800</v>
      </c>
      <c r="AG2" s="227"/>
      <c r="AH2" s="70">
        <v>43831</v>
      </c>
      <c r="AI2" s="70">
        <v>43862</v>
      </c>
      <c r="AJ2" s="70">
        <v>43891</v>
      </c>
      <c r="AK2" s="70">
        <v>43922</v>
      </c>
      <c r="AL2" s="70">
        <v>43952</v>
      </c>
      <c r="AM2" s="70">
        <v>43983</v>
      </c>
      <c r="AN2" s="70">
        <v>44013</v>
      </c>
      <c r="AO2" s="70">
        <v>44044</v>
      </c>
      <c r="AP2" s="70">
        <v>44075</v>
      </c>
      <c r="AQ2" s="70">
        <v>44105</v>
      </c>
      <c r="AR2" s="70">
        <v>44136</v>
      </c>
      <c r="AS2" s="70">
        <v>44166</v>
      </c>
      <c r="AT2" s="227"/>
      <c r="AU2" s="70">
        <v>44197</v>
      </c>
      <c r="AV2" s="70">
        <v>44228</v>
      </c>
      <c r="AW2" s="70">
        <v>44256</v>
      </c>
      <c r="AX2" s="70">
        <v>44287</v>
      </c>
      <c r="AY2" s="70">
        <v>44317</v>
      </c>
      <c r="AZ2" s="70">
        <v>44348</v>
      </c>
      <c r="BA2" s="70">
        <v>44378</v>
      </c>
      <c r="BB2" s="70">
        <v>44409</v>
      </c>
      <c r="BC2" s="70">
        <v>44440</v>
      </c>
      <c r="BD2" s="70">
        <v>44470</v>
      </c>
      <c r="BE2" s="70">
        <v>44501</v>
      </c>
      <c r="BF2" s="70">
        <v>44531</v>
      </c>
      <c r="BG2" s="227"/>
      <c r="BH2" s="70">
        <v>44562</v>
      </c>
      <c r="BI2" s="70">
        <v>44593</v>
      </c>
      <c r="BJ2" s="70">
        <v>44621</v>
      </c>
      <c r="BK2" s="70">
        <v>44652</v>
      </c>
      <c r="BL2" s="70">
        <v>44682</v>
      </c>
      <c r="BM2" s="70">
        <v>44713</v>
      </c>
      <c r="BN2" s="70">
        <v>44743</v>
      </c>
      <c r="BO2" s="70">
        <v>44774</v>
      </c>
      <c r="BP2" s="70">
        <v>44805</v>
      </c>
      <c r="BQ2" s="70">
        <v>44835</v>
      </c>
      <c r="BR2" s="70">
        <v>44866</v>
      </c>
      <c r="BS2" s="70">
        <v>44896</v>
      </c>
      <c r="BT2" s="227"/>
      <c r="BU2" s="70">
        <v>44927</v>
      </c>
      <c r="BV2" s="70">
        <v>44958</v>
      </c>
      <c r="BW2" s="70">
        <v>44986</v>
      </c>
      <c r="BX2" s="70">
        <v>45017</v>
      </c>
      <c r="BY2" s="70">
        <v>45047</v>
      </c>
      <c r="BZ2" s="70">
        <v>45078</v>
      </c>
      <c r="CA2" s="70">
        <v>45108</v>
      </c>
      <c r="CB2" s="70">
        <v>45139</v>
      </c>
      <c r="CC2" s="70">
        <v>45170</v>
      </c>
      <c r="CD2" s="70">
        <v>45200</v>
      </c>
      <c r="CE2" s="70">
        <v>45231</v>
      </c>
      <c r="CF2" s="70">
        <v>45261</v>
      </c>
      <c r="CH2" s="70">
        <v>45292</v>
      </c>
      <c r="CI2" s="70">
        <v>45323</v>
      </c>
      <c r="CJ2" s="70">
        <v>45352</v>
      </c>
      <c r="CK2" s="70">
        <v>45383</v>
      </c>
      <c r="CL2" s="70">
        <v>45413</v>
      </c>
      <c r="CM2" s="70">
        <v>45444</v>
      </c>
      <c r="CN2" s="70">
        <v>45474</v>
      </c>
      <c r="CO2" s="70">
        <v>45505</v>
      </c>
      <c r="CP2" s="70">
        <v>45536</v>
      </c>
      <c r="CQ2" s="70">
        <v>45566</v>
      </c>
      <c r="CR2" s="70">
        <v>45597</v>
      </c>
      <c r="CS2" s="70">
        <v>45627</v>
      </c>
      <c r="CU2" s="70">
        <v>45658</v>
      </c>
      <c r="CV2" s="70">
        <v>45689</v>
      </c>
      <c r="CW2" s="70">
        <v>45717</v>
      </c>
      <c r="CX2" s="70">
        <v>45748</v>
      </c>
      <c r="CY2" s="70">
        <v>45778</v>
      </c>
      <c r="CZ2" s="70">
        <v>45809</v>
      </c>
      <c r="DA2" s="70">
        <v>45839</v>
      </c>
      <c r="DB2" s="70">
        <v>45870</v>
      </c>
      <c r="DC2" s="70">
        <v>45901</v>
      </c>
      <c r="DD2" s="70">
        <v>45931</v>
      </c>
      <c r="DE2" s="70">
        <v>45962</v>
      </c>
      <c r="DF2" s="70">
        <v>45992</v>
      </c>
      <c r="DG2" s="227"/>
      <c r="DH2" s="70">
        <v>46023</v>
      </c>
      <c r="DI2" s="70">
        <v>46054</v>
      </c>
    </row>
    <row r="3" spans="1:113" x14ac:dyDescent="0.35">
      <c r="B3" s="112"/>
      <c r="C3" s="70"/>
      <c r="D3" s="70"/>
      <c r="E3" s="70"/>
      <c r="F3" s="361">
        <v>1.3946210000000001</v>
      </c>
      <c r="G3" s="362">
        <v>1.7910509999999999</v>
      </c>
      <c r="H3" s="362">
        <v>1.7910509999999999</v>
      </c>
      <c r="I3" s="361">
        <v>1.3946210000000001</v>
      </c>
      <c r="J3" s="361">
        <v>149.78867399999999</v>
      </c>
      <c r="K3" s="361">
        <v>1.3946210000000001</v>
      </c>
      <c r="L3" s="361">
        <v>19.874269000000002</v>
      </c>
      <c r="M3" s="361">
        <v>103.297979</v>
      </c>
      <c r="N3" s="361">
        <v>103.297979</v>
      </c>
      <c r="O3" s="361">
        <v>7.5081980000000001</v>
      </c>
      <c r="P3" s="361">
        <v>7.5081980000000001</v>
      </c>
      <c r="Q3" s="361">
        <v>7.5081980000000001</v>
      </c>
      <c r="R3" s="361">
        <v>7.5081980000000001</v>
      </c>
      <c r="S3" s="361">
        <v>7.5081980000000001</v>
      </c>
      <c r="T3" s="361"/>
      <c r="U3" s="361">
        <v>1.2683899999999999</v>
      </c>
      <c r="V3" s="361">
        <v>1.150212</v>
      </c>
      <c r="W3" s="361">
        <v>11.465287999999999</v>
      </c>
      <c r="X3" s="361"/>
      <c r="Y3" s="75" t="s">
        <v>221</v>
      </c>
      <c r="Z3" s="75" t="s">
        <v>221</v>
      </c>
      <c r="AA3" s="75" t="s">
        <v>221</v>
      </c>
      <c r="AB3" s="75" t="s">
        <v>221</v>
      </c>
      <c r="AC3" s="75" t="s">
        <v>221</v>
      </c>
      <c r="AD3" s="75" t="s">
        <v>221</v>
      </c>
      <c r="AE3" s="75" t="s">
        <v>221</v>
      </c>
      <c r="AF3" s="75" t="s">
        <v>221</v>
      </c>
      <c r="AG3" s="228"/>
      <c r="AH3" s="75" t="s">
        <v>221</v>
      </c>
      <c r="AI3" s="75" t="s">
        <v>221</v>
      </c>
      <c r="AJ3" s="75" t="s">
        <v>221</v>
      </c>
      <c r="AK3" s="75" t="s">
        <v>221</v>
      </c>
      <c r="AL3" s="75" t="s">
        <v>221</v>
      </c>
      <c r="AM3" s="75" t="s">
        <v>221</v>
      </c>
      <c r="AN3" s="75" t="s">
        <v>221</v>
      </c>
      <c r="AO3" s="75" t="s">
        <v>221</v>
      </c>
      <c r="AP3" s="75" t="s">
        <v>221</v>
      </c>
      <c r="AQ3" s="75" t="s">
        <v>221</v>
      </c>
      <c r="AR3" s="75" t="s">
        <v>221</v>
      </c>
      <c r="AS3" s="75" t="s">
        <v>221</v>
      </c>
      <c r="AT3" s="228"/>
      <c r="AU3" s="75" t="s">
        <v>221</v>
      </c>
      <c r="AV3" s="75" t="s">
        <v>221</v>
      </c>
      <c r="AW3" s="75" t="s">
        <v>221</v>
      </c>
      <c r="AX3" s="75" t="s">
        <v>221</v>
      </c>
      <c r="AY3" s="75" t="s">
        <v>221</v>
      </c>
      <c r="AZ3" s="75" t="s">
        <v>221</v>
      </c>
      <c r="BA3" s="75" t="s">
        <v>221</v>
      </c>
      <c r="BB3" s="75" t="s">
        <v>221</v>
      </c>
      <c r="BC3" s="75" t="s">
        <v>221</v>
      </c>
      <c r="BD3" s="75" t="s">
        <v>221</v>
      </c>
      <c r="BE3" s="75" t="s">
        <v>221</v>
      </c>
      <c r="BF3" s="75" t="s">
        <v>221</v>
      </c>
      <c r="BG3" s="228"/>
      <c r="BH3" s="75" t="s">
        <v>221</v>
      </c>
      <c r="BI3" s="75" t="s">
        <v>221</v>
      </c>
      <c r="BJ3" s="75" t="s">
        <v>221</v>
      </c>
      <c r="BK3" s="75" t="s">
        <v>221</v>
      </c>
      <c r="BL3" s="75" t="s">
        <v>221</v>
      </c>
      <c r="BM3" s="75" t="s">
        <v>221</v>
      </c>
      <c r="BN3" s="75" t="s">
        <v>221</v>
      </c>
      <c r="BO3" s="75" t="s">
        <v>221</v>
      </c>
      <c r="BP3" s="75" t="s">
        <v>221</v>
      </c>
      <c r="BQ3" s="75" t="s">
        <v>221</v>
      </c>
      <c r="BR3" s="75" t="s">
        <v>221</v>
      </c>
      <c r="BS3" s="75" t="s">
        <v>221</v>
      </c>
      <c r="BT3" s="228"/>
      <c r="BU3" s="75" t="s">
        <v>221</v>
      </c>
      <c r="BV3" s="75" t="s">
        <v>221</v>
      </c>
      <c r="BW3" s="75" t="s">
        <v>221</v>
      </c>
      <c r="BX3" s="75" t="s">
        <v>221</v>
      </c>
      <c r="BY3" s="75" t="s">
        <v>221</v>
      </c>
      <c r="BZ3" s="75" t="s">
        <v>221</v>
      </c>
      <c r="CA3" s="75" t="s">
        <v>221</v>
      </c>
      <c r="CB3" s="75" t="s">
        <v>221</v>
      </c>
      <c r="CC3" s="75" t="s">
        <v>221</v>
      </c>
      <c r="CD3" s="75" t="s">
        <v>221</v>
      </c>
      <c r="CE3" s="75" t="s">
        <v>221</v>
      </c>
      <c r="CF3" s="75" t="s">
        <v>221</v>
      </c>
      <c r="CH3" s="75" t="s">
        <v>221</v>
      </c>
      <c r="CI3" s="75" t="s">
        <v>221</v>
      </c>
      <c r="CJ3" s="75" t="s">
        <v>221</v>
      </c>
      <c r="CK3" s="75" t="s">
        <v>221</v>
      </c>
      <c r="CL3" s="75" t="s">
        <v>221</v>
      </c>
      <c r="CM3" s="75" t="s">
        <v>221</v>
      </c>
      <c r="CN3" s="75" t="s">
        <v>221</v>
      </c>
      <c r="CO3" s="75" t="s">
        <v>221</v>
      </c>
      <c r="CP3" s="75" t="s">
        <v>221</v>
      </c>
      <c r="CQ3" s="75" t="s">
        <v>221</v>
      </c>
      <c r="CR3" s="75" t="s">
        <v>221</v>
      </c>
      <c r="CS3" s="75" t="s">
        <v>221</v>
      </c>
      <c r="CU3" s="75" t="s">
        <v>221</v>
      </c>
      <c r="CV3" s="75" t="s">
        <v>221</v>
      </c>
      <c r="CW3" s="75" t="s">
        <v>221</v>
      </c>
      <c r="CX3" s="75" t="s">
        <v>221</v>
      </c>
      <c r="CY3" s="75" t="s">
        <v>221</v>
      </c>
      <c r="CZ3" s="75" t="s">
        <v>221</v>
      </c>
      <c r="DA3" s="75" t="s">
        <v>221</v>
      </c>
      <c r="DB3" s="75" t="s">
        <v>221</v>
      </c>
      <c r="DC3" s="75" t="s">
        <v>221</v>
      </c>
      <c r="DD3" s="75" t="s">
        <v>221</v>
      </c>
      <c r="DE3" s="75" t="s">
        <v>221</v>
      </c>
      <c r="DF3" s="75" t="s">
        <v>221</v>
      </c>
      <c r="DG3" s="228"/>
      <c r="DH3" s="75" t="s">
        <v>221</v>
      </c>
      <c r="DI3" s="75" t="s">
        <v>221</v>
      </c>
    </row>
    <row r="4" spans="1:113" x14ac:dyDescent="0.35">
      <c r="B4" s="10" t="s">
        <v>222</v>
      </c>
      <c r="C4" t="s">
        <v>223</v>
      </c>
      <c r="G4" s="55"/>
      <c r="U4" s="44"/>
      <c r="V4" s="44"/>
      <c r="W4" s="44" t="s">
        <v>224</v>
      </c>
      <c r="X4" s="44" t="s">
        <v>225</v>
      </c>
      <c r="Y4" s="44"/>
      <c r="Z4" s="44"/>
      <c r="AA4" s="44"/>
      <c r="AB4" s="44"/>
      <c r="AC4" s="44"/>
      <c r="AD4" s="44"/>
      <c r="AE4" s="44"/>
      <c r="AF4" s="44"/>
      <c r="AP4" s="44"/>
      <c r="AQ4" s="44"/>
      <c r="AW4" s="44"/>
      <c r="BL4" s="44"/>
      <c r="BN4" s="44"/>
      <c r="CH4" s="535"/>
      <c r="CS4" s="651"/>
      <c r="DI4" s="79"/>
    </row>
    <row r="5" spans="1:113" x14ac:dyDescent="0.35">
      <c r="B5" t="s">
        <v>226</v>
      </c>
      <c r="C5" s="264">
        <f>12+17+15+11+8</f>
        <v>63</v>
      </c>
      <c r="D5" s="264">
        <v>88</v>
      </c>
      <c r="E5" s="264">
        <v>106</v>
      </c>
      <c r="F5" s="93">
        <f>113</f>
        <v>113</v>
      </c>
      <c r="G5" s="93"/>
      <c r="H5" s="93">
        <v>118</v>
      </c>
      <c r="I5" s="93">
        <v>106</v>
      </c>
      <c r="J5" s="93">
        <v>90</v>
      </c>
      <c r="K5" s="265">
        <v>91</v>
      </c>
      <c r="L5" s="265">
        <v>123</v>
      </c>
      <c r="M5" s="265">
        <v>227</v>
      </c>
      <c r="N5" s="265">
        <v>228</v>
      </c>
      <c r="O5" s="265">
        <v>237</v>
      </c>
      <c r="P5" s="265">
        <v>236</v>
      </c>
      <c r="Q5" s="265">
        <v>203</v>
      </c>
      <c r="R5" s="44">
        <v>187</v>
      </c>
      <c r="S5" s="44">
        <v>156</v>
      </c>
      <c r="U5" s="265">
        <v>116</v>
      </c>
      <c r="V5" s="265">
        <v>112</v>
      </c>
      <c r="W5" s="265">
        <v>156</v>
      </c>
      <c r="X5" s="265">
        <f>121</f>
        <v>121</v>
      </c>
      <c r="Y5" s="265">
        <v>109</v>
      </c>
      <c r="Z5" s="265">
        <v>92</v>
      </c>
      <c r="AA5" s="265">
        <v>133</v>
      </c>
      <c r="AB5" s="265">
        <v>117</v>
      </c>
      <c r="AC5" s="265">
        <v>132</v>
      </c>
      <c r="AD5" s="265">
        <v>140</v>
      </c>
      <c r="AE5" s="265">
        <v>102</v>
      </c>
      <c r="AF5" s="265">
        <v>99</v>
      </c>
      <c r="AH5" s="265">
        <v>76</v>
      </c>
      <c r="AI5" s="265">
        <v>74</v>
      </c>
      <c r="AJ5" s="265">
        <v>106</v>
      </c>
      <c r="AK5" s="265">
        <v>49</v>
      </c>
      <c r="AL5" s="44">
        <v>58</v>
      </c>
      <c r="AM5" s="44">
        <v>50</v>
      </c>
      <c r="AN5" s="44">
        <v>45</v>
      </c>
      <c r="AO5" s="44">
        <v>47</v>
      </c>
      <c r="AP5" s="44">
        <v>18</v>
      </c>
      <c r="AQ5" s="44">
        <v>80</v>
      </c>
      <c r="AR5" s="44">
        <v>129</v>
      </c>
      <c r="AS5" s="44">
        <v>143</v>
      </c>
      <c r="AU5" s="44">
        <v>157</v>
      </c>
      <c r="AV5" s="44">
        <v>221</v>
      </c>
      <c r="AW5" s="44">
        <f>376-3</f>
        <v>373</v>
      </c>
      <c r="AX5" s="44">
        <v>395</v>
      </c>
      <c r="AY5" s="44">
        <v>427</v>
      </c>
      <c r="AZ5" s="44">
        <v>451</v>
      </c>
      <c r="BA5" s="44">
        <v>535</v>
      </c>
      <c r="BB5" s="44">
        <v>668</v>
      </c>
      <c r="BC5" s="44">
        <v>721</v>
      </c>
      <c r="BD5" s="44">
        <v>849</v>
      </c>
      <c r="BE5" s="44">
        <v>824</v>
      </c>
      <c r="BF5" s="44">
        <v>903</v>
      </c>
      <c r="BH5" s="44">
        <v>922</v>
      </c>
      <c r="BI5" s="44">
        <v>957</v>
      </c>
      <c r="BJ5" s="44">
        <v>966</v>
      </c>
      <c r="BK5" s="44">
        <v>1155</v>
      </c>
      <c r="BL5" s="376">
        <v>1100</v>
      </c>
      <c r="BM5" s="376">
        <v>1010</v>
      </c>
      <c r="BN5" s="44">
        <v>960</v>
      </c>
      <c r="BO5" s="44">
        <v>905</v>
      </c>
      <c r="BP5" s="44">
        <v>1071</v>
      </c>
      <c r="BQ5" s="44">
        <v>1036</v>
      </c>
      <c r="BR5" s="44">
        <v>922</v>
      </c>
      <c r="BS5" s="44">
        <v>994</v>
      </c>
      <c r="BU5" s="44">
        <v>1004</v>
      </c>
      <c r="BV5" s="446">
        <v>988</v>
      </c>
      <c r="BW5" s="44">
        <v>910</v>
      </c>
      <c r="BX5" s="44">
        <v>909</v>
      </c>
      <c r="BY5" s="44">
        <v>881</v>
      </c>
      <c r="BZ5" s="44">
        <v>833</v>
      </c>
      <c r="CA5" s="44">
        <v>744</v>
      </c>
      <c r="CB5" s="44">
        <v>794</v>
      </c>
      <c r="CC5" s="44">
        <v>745</v>
      </c>
      <c r="CD5" s="44">
        <v>777</v>
      </c>
      <c r="CE5" s="44">
        <v>739</v>
      </c>
      <c r="CF5" s="433">
        <f>704715/1000</f>
        <v>704.71500000000003</v>
      </c>
      <c r="CG5" s="243"/>
      <c r="CH5" s="538">
        <f>744863.2/1000</f>
        <v>744.86320000000001</v>
      </c>
      <c r="CI5" s="521">
        <f>807904.75/1000</f>
        <v>807.90475000000004</v>
      </c>
      <c r="CJ5" s="243">
        <f>735013.08/1000</f>
        <v>735.01307999999995</v>
      </c>
      <c r="CK5" s="243">
        <f>792129/1000</f>
        <v>792.12900000000002</v>
      </c>
      <c r="CL5" s="243">
        <f>737156.23/1000</f>
        <v>737.15622999999994</v>
      </c>
      <c r="CM5" s="243">
        <f>674200.15/1000</f>
        <v>674.20015000000001</v>
      </c>
      <c r="CN5" s="243">
        <f>631088.17/1000</f>
        <v>631.08816999999999</v>
      </c>
      <c r="CO5" s="243">
        <f>554947.25/1000</f>
        <v>554.94725000000005</v>
      </c>
      <c r="CP5" s="243">
        <f>493574.9/1000</f>
        <v>493.57490000000001</v>
      </c>
      <c r="CQ5" s="243">
        <f>532088.42/1000</f>
        <v>532.08842000000004</v>
      </c>
      <c r="CR5" s="243">
        <f>477874.29/1000</f>
        <v>477.87428999999997</v>
      </c>
      <c r="CS5" s="651">
        <v>407</v>
      </c>
      <c r="CU5" s="243">
        <f>506558.09/1000</f>
        <v>506.55809000000005</v>
      </c>
      <c r="CV5" s="243">
        <f>492288.33/1000</f>
        <v>492.28833000000003</v>
      </c>
      <c r="CW5" s="243">
        <f>542208.18/1000</f>
        <v>542.20818000000008</v>
      </c>
      <c r="CX5" s="243">
        <f>458348.94/1000</f>
        <v>458.34894000000003</v>
      </c>
      <c r="CY5" s="243">
        <f>454468.14/1000</f>
        <v>454.46814000000001</v>
      </c>
      <c r="CZ5" s="243">
        <f>401754.2/1000</f>
        <v>401.75420000000003</v>
      </c>
      <c r="DA5" s="243">
        <f>419565.83/1000</f>
        <v>419.56583000000001</v>
      </c>
      <c r="DB5" s="243">
        <f>368979.85/1000</f>
        <v>368.97985</v>
      </c>
      <c r="DC5" s="243">
        <f>385624.3/1000</f>
        <v>385.62430000000001</v>
      </c>
      <c r="DD5" s="243">
        <f>262738.62/1000+1</f>
        <v>263.73861999999997</v>
      </c>
      <c r="DE5" s="243">
        <f>305465.48/1000</f>
        <v>305.46547999999996</v>
      </c>
      <c r="DF5" s="243">
        <f>264207.65/1000</f>
        <v>264.20765</v>
      </c>
      <c r="DG5" s="243"/>
      <c r="DH5" s="243">
        <f>276713.75/1000</f>
        <v>276.71375</v>
      </c>
      <c r="DI5" s="557">
        <f>258765.77/1000</f>
        <v>258.76576999999997</v>
      </c>
    </row>
    <row r="6" spans="1:113" x14ac:dyDescent="0.35">
      <c r="B6" t="s">
        <v>227</v>
      </c>
      <c r="C6" s="264">
        <v>11986678.050000001</v>
      </c>
      <c r="D6" s="264"/>
      <c r="E6" s="264">
        <v>4</v>
      </c>
      <c r="F6" s="93">
        <v>2</v>
      </c>
      <c r="G6" s="93"/>
      <c r="H6" s="93">
        <v>2</v>
      </c>
      <c r="I6" s="93">
        <v>2</v>
      </c>
      <c r="J6" s="93">
        <v>2</v>
      </c>
      <c r="K6" s="265">
        <v>2</v>
      </c>
      <c r="L6" s="265">
        <v>2</v>
      </c>
      <c r="M6" s="265">
        <v>2</v>
      </c>
      <c r="N6" s="265">
        <v>1</v>
      </c>
      <c r="O6" s="265">
        <v>1</v>
      </c>
      <c r="P6" s="265">
        <v>1</v>
      </c>
      <c r="Q6" s="265">
        <v>2</v>
      </c>
      <c r="R6" s="265">
        <v>1</v>
      </c>
      <c r="S6" s="265">
        <v>1</v>
      </c>
      <c r="T6" s="265"/>
      <c r="U6" s="265">
        <v>3</v>
      </c>
      <c r="V6" s="265">
        <v>3</v>
      </c>
      <c r="W6" s="265">
        <v>4</v>
      </c>
      <c r="X6" s="265">
        <v>4</v>
      </c>
      <c r="Y6" s="265">
        <v>4</v>
      </c>
      <c r="Z6" s="265">
        <v>6</v>
      </c>
      <c r="AA6" s="265">
        <v>5</v>
      </c>
      <c r="AB6" s="265">
        <v>4</v>
      </c>
      <c r="AC6" s="265">
        <v>4</v>
      </c>
      <c r="AD6" s="265">
        <v>4</v>
      </c>
      <c r="AE6" s="265">
        <v>5</v>
      </c>
      <c r="AF6" s="265">
        <v>6</v>
      </c>
      <c r="AG6" s="265"/>
      <c r="AH6" s="265">
        <v>6</v>
      </c>
      <c r="AI6" s="265">
        <v>4</v>
      </c>
      <c r="AJ6" s="265">
        <v>4</v>
      </c>
      <c r="AK6" s="265">
        <v>3</v>
      </c>
      <c r="AL6" s="44">
        <v>3</v>
      </c>
      <c r="AM6" s="44">
        <v>3</v>
      </c>
      <c r="AN6" s="44">
        <v>3</v>
      </c>
      <c r="AO6" s="44">
        <v>3</v>
      </c>
      <c r="AP6" s="44">
        <v>3</v>
      </c>
      <c r="AQ6" s="44">
        <v>1</v>
      </c>
      <c r="AR6" s="44">
        <v>3</v>
      </c>
      <c r="AS6" s="44">
        <v>2</v>
      </c>
      <c r="AT6" s="265"/>
      <c r="AU6" s="44">
        <v>4</v>
      </c>
      <c r="AV6" s="44">
        <v>3</v>
      </c>
      <c r="AW6" s="44">
        <v>3</v>
      </c>
      <c r="AX6" s="44">
        <v>28</v>
      </c>
      <c r="AY6" s="44">
        <v>19</v>
      </c>
      <c r="AZ6" s="44">
        <v>15</v>
      </c>
      <c r="BA6" s="44">
        <v>31</v>
      </c>
      <c r="BB6" s="44">
        <v>25</v>
      </c>
      <c r="BC6" s="44">
        <v>24</v>
      </c>
      <c r="BD6" s="44">
        <v>21</v>
      </c>
      <c r="BE6" s="44">
        <v>21</v>
      </c>
      <c r="BF6" s="44">
        <v>18</v>
      </c>
      <c r="BG6" s="265"/>
      <c r="BH6" s="44">
        <v>17</v>
      </c>
      <c r="BI6" s="44">
        <v>18</v>
      </c>
      <c r="BJ6" s="44">
        <v>19</v>
      </c>
      <c r="BK6" s="44">
        <v>18</v>
      </c>
      <c r="BL6" s="44">
        <v>17</v>
      </c>
      <c r="BM6" s="44">
        <v>17</v>
      </c>
      <c r="BN6" s="44">
        <v>17</v>
      </c>
      <c r="BO6" s="44">
        <v>17</v>
      </c>
      <c r="BP6" s="44">
        <v>16</v>
      </c>
      <c r="BQ6" s="44">
        <v>16</v>
      </c>
      <c r="BR6" s="44">
        <v>16</v>
      </c>
      <c r="BS6" s="44">
        <v>18</v>
      </c>
      <c r="BT6" s="265"/>
      <c r="BU6" s="44">
        <v>18</v>
      </c>
      <c r="BV6" s="446">
        <v>1</v>
      </c>
      <c r="BW6" s="44">
        <v>1</v>
      </c>
      <c r="BX6" s="44">
        <v>1</v>
      </c>
      <c r="BY6" s="44">
        <v>1</v>
      </c>
      <c r="BZ6" s="226">
        <f>13850.83/23.728854/1000</f>
        <v>0.58371255518703091</v>
      </c>
      <c r="CA6" s="433">
        <v>1</v>
      </c>
      <c r="CB6" s="44">
        <v>1</v>
      </c>
      <c r="CC6" s="44">
        <v>1</v>
      </c>
      <c r="CD6" s="44">
        <v>1</v>
      </c>
      <c r="CE6" s="44">
        <v>1</v>
      </c>
      <c r="CF6" s="433">
        <f>880/1000</f>
        <v>0.88</v>
      </c>
      <c r="CH6" s="538">
        <f>863/1000</f>
        <v>0.86299999999999999</v>
      </c>
      <c r="CI6" s="521">
        <f>846/1000</f>
        <v>0.84599999999999997</v>
      </c>
      <c r="CJ6" s="243">
        <f>863/1000</f>
        <v>0.86299999999999999</v>
      </c>
      <c r="CK6" s="243">
        <f>879/1000</f>
        <v>0.879</v>
      </c>
      <c r="CL6" s="243">
        <f>864/1000</f>
        <v>0.86399999999999999</v>
      </c>
      <c r="CM6" s="243">
        <f>895/1000</f>
        <v>0.89500000000000002</v>
      </c>
      <c r="CN6" s="243">
        <f>881/1000</f>
        <v>0.88100000000000001</v>
      </c>
      <c r="CO6" s="243">
        <f>722/1000</f>
        <v>0.72199999999999998</v>
      </c>
      <c r="CP6" s="243">
        <f>735/1000</f>
        <v>0.73499999999999999</v>
      </c>
      <c r="CQ6" s="243">
        <f>737/1000</f>
        <v>0.73699999999999999</v>
      </c>
      <c r="CR6" s="243">
        <f>735/1000</f>
        <v>0.73499999999999999</v>
      </c>
      <c r="CS6" s="651">
        <v>1</v>
      </c>
      <c r="CU6" s="243">
        <f>544/1000</f>
        <v>0.54400000000000004</v>
      </c>
      <c r="CV6" s="243">
        <f>541/1000</f>
        <v>0.54100000000000004</v>
      </c>
      <c r="CW6" s="243">
        <f>883/1000</f>
        <v>0.88300000000000001</v>
      </c>
      <c r="CX6" s="243">
        <f>841/1000</f>
        <v>0.84099999999999997</v>
      </c>
      <c r="CY6" s="243">
        <f>1813/1000</f>
        <v>1.8129999999999999</v>
      </c>
      <c r="CZ6" s="243">
        <f>1799/1000</f>
        <v>1.7989999999999999</v>
      </c>
      <c r="DA6" s="243">
        <f>1830/1000</f>
        <v>1.83</v>
      </c>
      <c r="DB6" s="243">
        <f>872/1000</f>
        <v>0.872</v>
      </c>
      <c r="DC6" s="243">
        <f>894/1000</f>
        <v>0.89400000000000002</v>
      </c>
      <c r="DD6" s="243">
        <f>912/1000</f>
        <v>0.91200000000000003</v>
      </c>
      <c r="DE6" s="243">
        <f>1330/1000</f>
        <v>1.33</v>
      </c>
      <c r="DF6" s="243">
        <f>983/1000</f>
        <v>0.98299999999999998</v>
      </c>
      <c r="DG6" s="243"/>
      <c r="DH6" s="243">
        <f>997/1000</f>
        <v>0.997</v>
      </c>
      <c r="DI6" s="557">
        <f>803/1000</f>
        <v>0.80300000000000005</v>
      </c>
    </row>
    <row r="7" spans="1:113" x14ac:dyDescent="0.35">
      <c r="B7" t="s">
        <v>228</v>
      </c>
      <c r="C7" s="264">
        <v>39833.68</v>
      </c>
      <c r="D7" s="264"/>
      <c r="E7" s="264"/>
      <c r="F7" s="93">
        <v>45</v>
      </c>
      <c r="G7" s="93"/>
      <c r="H7" s="93">
        <v>42</v>
      </c>
      <c r="I7" s="93">
        <v>40</v>
      </c>
      <c r="J7" s="93">
        <v>33</v>
      </c>
      <c r="K7" s="265">
        <v>14</v>
      </c>
      <c r="L7" s="265">
        <v>76</v>
      </c>
      <c r="M7" s="265">
        <v>60</v>
      </c>
      <c r="N7" s="265">
        <v>39</v>
      </c>
      <c r="O7" s="265">
        <v>49</v>
      </c>
      <c r="P7" s="265">
        <v>48</v>
      </c>
      <c r="Q7" s="265">
        <v>40</v>
      </c>
      <c r="R7" s="265">
        <v>52</v>
      </c>
      <c r="S7" s="265">
        <v>67</v>
      </c>
      <c r="T7" s="265"/>
      <c r="U7" s="265">
        <v>62</v>
      </c>
      <c r="V7" s="265">
        <v>56</v>
      </c>
      <c r="W7" s="265">
        <v>64</v>
      </c>
      <c r="X7" s="265">
        <v>98</v>
      </c>
      <c r="Y7" s="265">
        <v>98</v>
      </c>
      <c r="Z7" s="265">
        <v>95</v>
      </c>
      <c r="AA7" s="265">
        <v>81</v>
      </c>
      <c r="AB7" s="265">
        <v>57</v>
      </c>
      <c r="AC7" s="265">
        <v>117</v>
      </c>
      <c r="AD7" s="265">
        <v>181</v>
      </c>
      <c r="AE7" s="265">
        <v>185</v>
      </c>
      <c r="AF7" s="265">
        <v>155</v>
      </c>
      <c r="AG7" s="265"/>
      <c r="AH7" s="265">
        <v>136</v>
      </c>
      <c r="AI7" s="265">
        <v>124</v>
      </c>
      <c r="AJ7" s="265">
        <v>95</v>
      </c>
      <c r="AK7" s="265">
        <v>88</v>
      </c>
      <c r="AL7" s="44">
        <v>79</v>
      </c>
      <c r="AM7" s="44">
        <v>79</v>
      </c>
      <c r="AN7" s="44">
        <v>49</v>
      </c>
      <c r="AO7" s="44">
        <v>34</v>
      </c>
      <c r="AP7" s="44">
        <v>91</v>
      </c>
      <c r="AQ7" s="44">
        <v>69</v>
      </c>
      <c r="AR7" s="44">
        <v>127</v>
      </c>
      <c r="AS7" s="44">
        <v>116</v>
      </c>
      <c r="AT7" s="265"/>
      <c r="AU7" s="44">
        <v>99</v>
      </c>
      <c r="AV7" s="44">
        <v>88</v>
      </c>
      <c r="AW7" s="44">
        <v>79</v>
      </c>
      <c r="AX7" s="44">
        <v>72</v>
      </c>
      <c r="AY7" s="44">
        <v>126</v>
      </c>
      <c r="AZ7" s="44">
        <v>134</v>
      </c>
      <c r="BA7" s="44">
        <v>118</v>
      </c>
      <c r="BB7" s="44">
        <v>98</v>
      </c>
      <c r="BC7" s="44">
        <v>85</v>
      </c>
      <c r="BD7" s="44">
        <v>164</v>
      </c>
      <c r="BE7" s="44">
        <v>147</v>
      </c>
      <c r="BF7" s="44">
        <v>127</v>
      </c>
      <c r="BG7" s="265"/>
      <c r="BH7" s="44">
        <v>125</v>
      </c>
      <c r="BI7" s="44">
        <v>113</v>
      </c>
      <c r="BJ7" s="44">
        <v>104</v>
      </c>
      <c r="BK7" s="44">
        <v>93</v>
      </c>
      <c r="BL7" s="44">
        <v>146</v>
      </c>
      <c r="BM7" s="44">
        <v>110</v>
      </c>
      <c r="BN7" s="44">
        <v>89</v>
      </c>
      <c r="BO7" s="44">
        <v>67</v>
      </c>
      <c r="BP7" s="44">
        <v>126</v>
      </c>
      <c r="BQ7" s="44">
        <v>101</v>
      </c>
      <c r="BR7" s="44">
        <v>72</v>
      </c>
      <c r="BS7" s="44">
        <v>83</v>
      </c>
      <c r="BT7" s="265"/>
      <c r="BU7" s="44">
        <v>63</v>
      </c>
      <c r="BV7" s="446">
        <v>37</v>
      </c>
      <c r="BW7" s="44">
        <v>114</v>
      </c>
      <c r="BX7" s="44">
        <v>99</v>
      </c>
      <c r="BY7" s="44">
        <v>84</v>
      </c>
      <c r="BZ7" s="226">
        <v>91</v>
      </c>
      <c r="CA7" s="433">
        <v>120</v>
      </c>
      <c r="CB7" s="44">
        <v>89</v>
      </c>
      <c r="CC7" s="44">
        <v>68</v>
      </c>
      <c r="CD7" s="44">
        <v>116</v>
      </c>
      <c r="CE7" s="44">
        <v>81</v>
      </c>
      <c r="CF7" s="433">
        <f>51877/1000</f>
        <v>51.877000000000002</v>
      </c>
      <c r="CG7" s="243"/>
      <c r="CH7" s="538">
        <f>35763/1000</f>
        <v>35.762999999999998</v>
      </c>
      <c r="CI7" s="521">
        <f>40640/1000</f>
        <v>40.64</v>
      </c>
      <c r="CJ7" s="243">
        <f>29422/1000</f>
        <v>29.422000000000001</v>
      </c>
      <c r="CK7" s="243">
        <f>56394/1000</f>
        <v>56.393999999999998</v>
      </c>
      <c r="CL7" s="243">
        <f>35985/1000</f>
        <v>35.984999999999999</v>
      </c>
      <c r="CM7" s="243">
        <f>69647/1000</f>
        <v>69.647000000000006</v>
      </c>
      <c r="CN7" s="243">
        <f>47036/1000</f>
        <v>47.036000000000001</v>
      </c>
      <c r="CO7" s="243">
        <f>75149/1000</f>
        <v>75.149000000000001</v>
      </c>
      <c r="CP7" s="243">
        <f>88900/1000</f>
        <v>88.9</v>
      </c>
      <c r="CQ7" s="243">
        <f>79489/1000</f>
        <v>79.489000000000004</v>
      </c>
      <c r="CR7" s="243">
        <f>47147/1000</f>
        <v>47.146999999999998</v>
      </c>
      <c r="CS7" s="651">
        <v>108</v>
      </c>
      <c r="CU7" s="243">
        <f>77631/1000</f>
        <v>77.631</v>
      </c>
      <c r="CV7" s="243">
        <f>62928/1000</f>
        <v>62.927999999999997</v>
      </c>
      <c r="CW7" s="243">
        <f>106469/1000</f>
        <v>106.46899999999999</v>
      </c>
      <c r="CX7" s="243">
        <f>105165/1000</f>
        <v>105.16500000000001</v>
      </c>
      <c r="CY7" s="243">
        <f>73542/1000</f>
        <v>73.542000000000002</v>
      </c>
      <c r="CZ7" s="243">
        <f>155955/1000</f>
        <v>155.95500000000001</v>
      </c>
      <c r="DA7" s="243">
        <f>131631/1000</f>
        <v>131.631</v>
      </c>
      <c r="DB7" s="243">
        <f>99727/1000</f>
        <v>99.727000000000004</v>
      </c>
      <c r="DC7" s="243">
        <f>200526/1000</f>
        <v>200.52600000000001</v>
      </c>
      <c r="DD7" s="243">
        <f>172357/1000</f>
        <v>172.357</v>
      </c>
      <c r="DE7" s="243">
        <f>148634/1000</f>
        <v>148.63399999999999</v>
      </c>
      <c r="DF7" s="243">
        <f>122805/1000</f>
        <v>122.80500000000001</v>
      </c>
      <c r="DG7" s="243"/>
      <c r="DH7" s="243">
        <f>273852/1000</f>
        <v>273.85199999999998</v>
      </c>
      <c r="DI7" s="557">
        <f>270576/1000</f>
        <v>270.57600000000002</v>
      </c>
    </row>
    <row r="8" spans="1:113" x14ac:dyDescent="0.35">
      <c r="B8" t="s">
        <v>229</v>
      </c>
      <c r="C8" s="264"/>
      <c r="D8" s="264"/>
      <c r="E8" s="264"/>
      <c r="F8" s="93">
        <v>1</v>
      </c>
      <c r="G8" s="93"/>
      <c r="H8" s="93">
        <v>2</v>
      </c>
      <c r="I8" s="93">
        <v>2</v>
      </c>
      <c r="J8" s="93">
        <v>1</v>
      </c>
      <c r="K8" s="265">
        <v>1</v>
      </c>
      <c r="L8" s="265">
        <v>3</v>
      </c>
      <c r="M8" s="265">
        <v>6</v>
      </c>
      <c r="N8" s="265">
        <v>4</v>
      </c>
      <c r="O8" s="265">
        <v>3</v>
      </c>
      <c r="P8" s="265">
        <v>2</v>
      </c>
      <c r="Q8" s="265">
        <v>2</v>
      </c>
      <c r="R8" s="265">
        <v>2</v>
      </c>
      <c r="S8" s="265">
        <v>9</v>
      </c>
      <c r="T8" s="265"/>
      <c r="U8" s="265">
        <v>8</v>
      </c>
      <c r="V8" s="265">
        <v>8</v>
      </c>
      <c r="W8" s="265">
        <v>8</v>
      </c>
      <c r="X8" s="265">
        <v>8</v>
      </c>
      <c r="Y8" s="265">
        <v>8</v>
      </c>
      <c r="Z8" s="265">
        <v>8</v>
      </c>
      <c r="AA8" s="265">
        <v>8</v>
      </c>
      <c r="AB8" s="265">
        <v>8</v>
      </c>
      <c r="AC8" s="265">
        <v>9</v>
      </c>
      <c r="AD8" s="265">
        <v>10</v>
      </c>
      <c r="AE8" s="265">
        <v>10</v>
      </c>
      <c r="AF8" s="265">
        <v>7</v>
      </c>
      <c r="AG8" s="265"/>
      <c r="AH8" s="265">
        <v>8</v>
      </c>
      <c r="AI8" s="265">
        <v>8</v>
      </c>
      <c r="AJ8" s="265">
        <v>8</v>
      </c>
      <c r="AK8" s="265">
        <v>8</v>
      </c>
      <c r="AL8" s="44">
        <v>8</v>
      </c>
      <c r="AM8" s="44">
        <v>6</v>
      </c>
      <c r="AN8" s="44">
        <v>6</v>
      </c>
      <c r="AO8" s="44">
        <v>5</v>
      </c>
      <c r="AP8" s="44">
        <v>6</v>
      </c>
      <c r="AQ8" s="44">
        <v>-2</v>
      </c>
      <c r="AR8" s="44">
        <v>6</v>
      </c>
      <c r="AS8" s="44">
        <v>5</v>
      </c>
      <c r="AT8" s="265"/>
      <c r="AU8" s="44">
        <v>6</v>
      </c>
      <c r="AV8" s="44">
        <v>3</v>
      </c>
      <c r="AW8" s="44">
        <v>3</v>
      </c>
      <c r="AX8" s="44">
        <v>3</v>
      </c>
      <c r="AY8" s="44">
        <v>4</v>
      </c>
      <c r="AZ8" s="44">
        <v>3</v>
      </c>
      <c r="BA8" s="44">
        <v>3</v>
      </c>
      <c r="BB8" s="44">
        <v>3</v>
      </c>
      <c r="BC8" s="44">
        <v>3</v>
      </c>
      <c r="BD8" s="44">
        <v>3</v>
      </c>
      <c r="BE8" s="44">
        <v>2</v>
      </c>
      <c r="BF8" s="44">
        <v>1</v>
      </c>
      <c r="BG8" s="265"/>
      <c r="BH8" s="44">
        <v>1</v>
      </c>
      <c r="BI8" s="44">
        <v>1</v>
      </c>
      <c r="BJ8" s="44">
        <v>1</v>
      </c>
      <c r="BK8" s="44">
        <v>1</v>
      </c>
      <c r="BL8" s="44">
        <v>2</v>
      </c>
      <c r="BM8" s="44">
        <v>1</v>
      </c>
      <c r="BN8" s="44">
        <v>-1</v>
      </c>
      <c r="BO8" s="44">
        <v>-2</v>
      </c>
      <c r="BP8" s="44">
        <v>0</v>
      </c>
      <c r="BQ8" s="44">
        <v>0</v>
      </c>
      <c r="BR8" s="44">
        <v>0</v>
      </c>
      <c r="BS8" s="44">
        <v>0</v>
      </c>
      <c r="BT8" s="265"/>
      <c r="BU8" s="44">
        <v>1</v>
      </c>
      <c r="BV8" s="446">
        <v>1</v>
      </c>
      <c r="BW8" s="44">
        <v>1</v>
      </c>
      <c r="BX8" s="44">
        <v>1</v>
      </c>
      <c r="BY8" s="44">
        <v>1</v>
      </c>
      <c r="BZ8" s="226">
        <v>1</v>
      </c>
      <c r="CA8" s="433">
        <v>1</v>
      </c>
      <c r="CB8" s="44">
        <v>1</v>
      </c>
      <c r="CC8" s="44">
        <v>1</v>
      </c>
      <c r="CD8" s="44">
        <v>1</v>
      </c>
      <c r="CE8" s="44">
        <v>2</v>
      </c>
      <c r="CF8" s="433">
        <f>817/1000</f>
        <v>0.81699999999999995</v>
      </c>
      <c r="CH8" s="538">
        <f>763/1000</f>
        <v>0.76300000000000001</v>
      </c>
      <c r="CI8" s="521">
        <f>(6119-5466)/1000</f>
        <v>0.65300000000000002</v>
      </c>
      <c r="CJ8" s="243">
        <f>616/1000</f>
        <v>0.61599999999999999</v>
      </c>
      <c r="CK8" s="243">
        <f>138/1000</f>
        <v>0.13800000000000001</v>
      </c>
      <c r="CL8" s="243">
        <f>-22/1000</f>
        <v>-2.1999999999999999E-2</v>
      </c>
      <c r="CM8" s="243">
        <f>748/1000</f>
        <v>0.748</v>
      </c>
      <c r="CN8" s="243">
        <f>1228/1000</f>
        <v>1.228</v>
      </c>
      <c r="CO8" s="243">
        <f>434/1000</f>
        <v>0.434</v>
      </c>
      <c r="CP8" s="243">
        <f>3554/1000</f>
        <v>3.5539999999999998</v>
      </c>
      <c r="CQ8" s="243">
        <f>7042/1000</f>
        <v>7.0419999999999998</v>
      </c>
      <c r="CR8" s="243">
        <f>17083/1000</f>
        <v>17.082999999999998</v>
      </c>
      <c r="CS8" s="651">
        <v>7</v>
      </c>
      <c r="CU8" s="243">
        <f>6762/1000</f>
        <v>6.7619999999999996</v>
      </c>
      <c r="CV8" s="243">
        <f>6670/1000</f>
        <v>6.67</v>
      </c>
      <c r="CW8" s="243">
        <f>6486/1000</f>
        <v>6.4859999999999998</v>
      </c>
      <c r="CX8" s="243">
        <f>6269/1000</f>
        <v>6.2690000000000001</v>
      </c>
      <c r="CY8" s="243">
        <f>6229/1000</f>
        <v>6.2290000000000001</v>
      </c>
      <c r="CZ8" s="243">
        <f>6111/1000</f>
        <v>6.1109999999999998</v>
      </c>
      <c r="DA8" s="243">
        <f>7195/1000</f>
        <v>7.1950000000000003</v>
      </c>
      <c r="DB8" s="243">
        <f>7061/1000</f>
        <v>7.0609999999999999</v>
      </c>
      <c r="DC8" s="243">
        <f>7087/1000</f>
        <v>7.0869999999999997</v>
      </c>
      <c r="DD8" s="243">
        <f>7253/1000</f>
        <v>7.2530000000000001</v>
      </c>
      <c r="DE8" s="243">
        <f>7182/1000</f>
        <v>7.1820000000000004</v>
      </c>
      <c r="DF8" s="243">
        <f>7095/1000</f>
        <v>7.0949999999999998</v>
      </c>
      <c r="DG8" s="243"/>
      <c r="DH8" s="243">
        <f>6945/1000</f>
        <v>6.9450000000000003</v>
      </c>
      <c r="DI8" s="557">
        <f>7081/1000</f>
        <v>7.0810000000000004</v>
      </c>
    </row>
    <row r="9" spans="1:113" x14ac:dyDescent="0.35">
      <c r="B9" t="s">
        <v>230</v>
      </c>
      <c r="C9" s="264">
        <v>7</v>
      </c>
      <c r="D9" s="264">
        <v>29</v>
      </c>
      <c r="E9" s="264">
        <v>0</v>
      </c>
      <c r="F9" s="93">
        <v>2</v>
      </c>
      <c r="G9" s="93"/>
      <c r="H9" s="93">
        <v>2</v>
      </c>
      <c r="I9" s="93">
        <v>2</v>
      </c>
      <c r="J9" s="93">
        <v>2</v>
      </c>
      <c r="K9" s="265">
        <v>2</v>
      </c>
      <c r="L9" s="265">
        <v>4</v>
      </c>
      <c r="M9" s="265">
        <v>6</v>
      </c>
      <c r="N9" s="265">
        <v>5</v>
      </c>
      <c r="O9" s="265">
        <v>15</v>
      </c>
      <c r="P9" s="265">
        <v>2</v>
      </c>
      <c r="Q9" s="265">
        <v>2</v>
      </c>
      <c r="R9" s="265">
        <v>3</v>
      </c>
      <c r="S9" s="265">
        <v>3</v>
      </c>
      <c r="T9" s="265"/>
      <c r="U9" s="265">
        <v>4</v>
      </c>
      <c r="V9" s="265">
        <v>4</v>
      </c>
      <c r="W9" s="265">
        <v>7</v>
      </c>
      <c r="X9" s="265">
        <v>9</v>
      </c>
      <c r="Y9" s="265">
        <v>9</v>
      </c>
      <c r="Z9" s="265">
        <v>0</v>
      </c>
      <c r="AA9" s="265">
        <v>2</v>
      </c>
      <c r="AB9" s="265">
        <v>0</v>
      </c>
      <c r="AC9" s="265">
        <v>0</v>
      </c>
      <c r="AD9" s="265">
        <v>0</v>
      </c>
      <c r="AE9" s="265">
        <v>3</v>
      </c>
      <c r="AF9" s="265">
        <v>4</v>
      </c>
      <c r="AG9" s="265"/>
      <c r="AH9" s="265">
        <v>0</v>
      </c>
      <c r="AI9" s="265">
        <v>7</v>
      </c>
      <c r="AJ9" s="265">
        <v>7</v>
      </c>
      <c r="AK9" s="265">
        <v>7</v>
      </c>
      <c r="AL9" s="44">
        <v>7</v>
      </c>
      <c r="AM9" s="44">
        <v>7</v>
      </c>
      <c r="AN9" s="44">
        <v>8</v>
      </c>
      <c r="AO9" s="44">
        <v>8</v>
      </c>
      <c r="AP9" s="44">
        <v>8</v>
      </c>
      <c r="AQ9" s="44">
        <v>8</v>
      </c>
      <c r="AR9" s="44"/>
      <c r="AS9" s="44"/>
      <c r="AT9" s="265"/>
      <c r="AU9" s="44"/>
      <c r="AV9" s="44"/>
      <c r="AW9" s="44"/>
      <c r="BA9" s="44">
        <v>5</v>
      </c>
      <c r="BB9" s="44">
        <v>6</v>
      </c>
      <c r="BC9" s="44">
        <v>6</v>
      </c>
      <c r="BD9" s="44">
        <v>1</v>
      </c>
      <c r="BE9" s="44"/>
      <c r="BF9" s="44"/>
      <c r="BG9" s="265"/>
      <c r="BH9" s="44"/>
      <c r="BI9" s="44"/>
      <c r="BL9" s="44"/>
      <c r="BM9" s="44"/>
      <c r="BN9" s="44"/>
      <c r="BO9" s="44"/>
      <c r="BP9" s="44"/>
      <c r="BQ9" s="44"/>
      <c r="BR9" s="44">
        <v>2</v>
      </c>
      <c r="BS9" s="44">
        <v>2</v>
      </c>
      <c r="BT9" s="265"/>
      <c r="BU9" s="44">
        <v>2</v>
      </c>
      <c r="BV9" s="446">
        <v>2</v>
      </c>
      <c r="BW9" s="44">
        <v>13</v>
      </c>
      <c r="BX9" s="44">
        <v>13</v>
      </c>
      <c r="BY9" s="44">
        <v>13</v>
      </c>
      <c r="BZ9" s="433">
        <f>13613/1000</f>
        <v>13.613</v>
      </c>
      <c r="CA9" s="433">
        <f>13613/1000</f>
        <v>13.613</v>
      </c>
      <c r="CB9" s="44">
        <v>14</v>
      </c>
      <c r="CC9" s="44">
        <v>14</v>
      </c>
      <c r="CD9" s="44">
        <v>14</v>
      </c>
      <c r="CE9" s="44">
        <v>14</v>
      </c>
      <c r="CF9" s="433">
        <f>13638/1000</f>
        <v>13.638</v>
      </c>
      <c r="CH9" s="538">
        <f>14912/1000</f>
        <v>14.912000000000001</v>
      </c>
      <c r="CI9" s="521">
        <f>15878/1000</f>
        <v>15.878</v>
      </c>
      <c r="CJ9" s="243">
        <f>17421/1000</f>
        <v>17.420999999999999</v>
      </c>
      <c r="CK9" s="243">
        <f>19968/1000</f>
        <v>19.968</v>
      </c>
      <c r="CL9" s="243">
        <f>21596/1000</f>
        <v>21.596</v>
      </c>
      <c r="CM9" s="521">
        <f>26022/1000</f>
        <v>26.021999999999998</v>
      </c>
      <c r="CN9" s="521">
        <f>33950/1000</f>
        <v>33.950000000000003</v>
      </c>
      <c r="CO9" s="243">
        <f>47102/1000</f>
        <v>47.101999999999997</v>
      </c>
      <c r="CP9" s="243">
        <f>59368/1000</f>
        <v>59.368000000000002</v>
      </c>
      <c r="CQ9" s="243">
        <f>63271/1000</f>
        <v>63.271000000000001</v>
      </c>
      <c r="CR9" s="243">
        <f>72226/1000</f>
        <v>72.225999999999999</v>
      </c>
      <c r="CS9" s="651">
        <v>72</v>
      </c>
      <c r="CU9" s="243">
        <f>74355/1000</f>
        <v>74.355000000000004</v>
      </c>
      <c r="CV9" s="243">
        <f>80808/1000</f>
        <v>80.808000000000007</v>
      </c>
      <c r="CW9" s="243">
        <f>88699/1000</f>
        <v>88.698999999999998</v>
      </c>
      <c r="CX9" s="243">
        <f>95948/1000</f>
        <v>95.947999999999993</v>
      </c>
      <c r="CY9" s="243">
        <f>95789/1000</f>
        <v>95.789000000000001</v>
      </c>
      <c r="CZ9" s="243">
        <f>95292/1000</f>
        <v>95.292000000000002</v>
      </c>
      <c r="DA9" s="243">
        <f>97987/1000</f>
        <v>97.986999999999995</v>
      </c>
      <c r="DB9" s="243">
        <f>97460/1000</f>
        <v>97.46</v>
      </c>
      <c r="DC9" s="243">
        <f>97603/1000</f>
        <v>97.602999999999994</v>
      </c>
      <c r="DD9" s="243">
        <f>79960/1000</f>
        <v>79.959999999999994</v>
      </c>
      <c r="DE9" s="243">
        <f>79889/1000</f>
        <v>79.888999999999996</v>
      </c>
      <c r="DF9" s="243">
        <f>79704/1000</f>
        <v>79.703999999999994</v>
      </c>
      <c r="DG9" s="243"/>
      <c r="DH9" s="243">
        <f>79497/1000</f>
        <v>79.497</v>
      </c>
      <c r="DI9" s="557">
        <f>79698/1000</f>
        <v>79.697999999999993</v>
      </c>
    </row>
    <row r="10" spans="1:113" x14ac:dyDescent="0.35">
      <c r="B10" t="s">
        <v>231</v>
      </c>
      <c r="C10" s="264">
        <v>1677.92</v>
      </c>
      <c r="D10" s="264"/>
      <c r="E10" s="264"/>
      <c r="F10" s="93"/>
      <c r="G10" s="93"/>
      <c r="H10" s="93"/>
      <c r="I10" s="93"/>
      <c r="J10" s="93"/>
      <c r="K10" s="265"/>
      <c r="L10" s="265"/>
      <c r="M10" s="265"/>
      <c r="N10" s="265"/>
      <c r="O10" s="265"/>
      <c r="P10" s="265"/>
      <c r="Q10" s="265"/>
      <c r="R10" s="265"/>
      <c r="S10" s="265"/>
      <c r="T10" s="265"/>
      <c r="U10" s="265"/>
      <c r="V10" s="363">
        <v>1929.96</v>
      </c>
      <c r="W10" s="265"/>
      <c r="X10" s="265"/>
      <c r="Y10" s="265"/>
      <c r="Z10" s="265"/>
      <c r="AA10" s="265"/>
      <c r="AB10" s="265"/>
      <c r="AC10" s="265"/>
      <c r="AD10" s="265"/>
      <c r="AE10" s="265"/>
      <c r="AF10" s="265"/>
      <c r="AG10" s="265"/>
      <c r="AH10" s="265"/>
      <c r="AI10" s="265"/>
      <c r="AJ10" s="265"/>
      <c r="AK10" s="265"/>
      <c r="AL10" s="44"/>
      <c r="AM10" s="44"/>
      <c r="AN10" s="44"/>
      <c r="AO10" s="44"/>
      <c r="AP10" s="44"/>
      <c r="AQ10" s="44"/>
      <c r="AR10" s="44"/>
      <c r="AS10" s="44"/>
      <c r="AT10" s="265"/>
      <c r="AU10" s="44"/>
      <c r="AV10" s="44"/>
      <c r="AW10" s="44"/>
      <c r="BA10" s="44"/>
      <c r="BB10" s="44"/>
      <c r="BC10" s="44"/>
      <c r="BD10" s="44"/>
      <c r="BE10" s="44"/>
      <c r="BF10" s="44"/>
      <c r="BG10" s="265"/>
      <c r="BH10" s="44"/>
      <c r="BL10" s="44"/>
      <c r="BM10" s="44"/>
      <c r="BN10" s="44"/>
      <c r="BO10" s="44"/>
      <c r="BP10" s="44"/>
      <c r="BQ10" s="44"/>
      <c r="BT10" s="265"/>
      <c r="BV10" s="446"/>
      <c r="BX10" s="44"/>
      <c r="BY10" s="44"/>
      <c r="BZ10" s="44"/>
      <c r="CF10" s="243"/>
      <c r="CH10" s="538"/>
      <c r="CI10" s="521"/>
      <c r="CM10" s="521"/>
      <c r="CN10" s="521"/>
      <c r="CQ10" s="257"/>
      <c r="CS10" s="651"/>
      <c r="DI10" s="79"/>
    </row>
    <row r="11" spans="1:113" x14ac:dyDescent="0.35">
      <c r="B11" t="s">
        <v>232</v>
      </c>
      <c r="C11" s="264">
        <v>214</v>
      </c>
      <c r="D11" s="264">
        <v>2</v>
      </c>
      <c r="E11" s="264"/>
      <c r="F11" s="93">
        <v>0</v>
      </c>
      <c r="G11" s="93"/>
      <c r="H11" s="93">
        <v>0</v>
      </c>
      <c r="I11" s="93">
        <v>0</v>
      </c>
      <c r="J11" s="93">
        <v>0</v>
      </c>
      <c r="K11" s="265"/>
      <c r="L11" s="265"/>
      <c r="M11" s="265"/>
      <c r="N11" s="265"/>
      <c r="O11" s="265"/>
      <c r="P11" s="265"/>
      <c r="Q11" s="265"/>
      <c r="R11" s="265"/>
      <c r="S11" s="265"/>
      <c r="T11" s="363">
        <v>33.840000000000003</v>
      </c>
      <c r="U11" s="363">
        <v>228.69</v>
      </c>
      <c r="V11" s="265"/>
      <c r="W11" s="265"/>
      <c r="X11" s="265"/>
      <c r="Y11" s="265"/>
      <c r="Z11" s="265"/>
      <c r="AA11" s="265"/>
      <c r="AB11" s="265"/>
      <c r="AC11" s="265"/>
      <c r="AD11" s="265"/>
      <c r="AE11" s="265"/>
      <c r="AF11" s="265"/>
      <c r="AG11" s="265"/>
      <c r="AH11" s="265"/>
      <c r="AI11" s="265"/>
      <c r="AJ11" s="265"/>
      <c r="AK11" s="265"/>
      <c r="AL11" s="44"/>
      <c r="AM11" s="44"/>
      <c r="AN11" s="44"/>
      <c r="AO11" s="44"/>
      <c r="AP11" s="44"/>
      <c r="AQ11" s="44"/>
      <c r="AR11" s="44"/>
      <c r="AS11" s="44"/>
      <c r="AT11" s="265"/>
      <c r="AU11" s="44"/>
      <c r="AV11" s="44"/>
      <c r="AW11" s="44"/>
      <c r="BA11" s="44"/>
      <c r="BB11" s="44"/>
      <c r="BC11" s="44"/>
      <c r="BD11" s="44"/>
      <c r="BE11" s="44"/>
      <c r="BF11" s="44"/>
      <c r="BG11" s="265"/>
      <c r="BH11" s="44"/>
      <c r="BL11" s="44"/>
      <c r="BM11" s="44"/>
      <c r="BN11" s="44"/>
      <c r="BO11" s="44"/>
      <c r="BP11" s="44"/>
      <c r="BQ11" s="44"/>
      <c r="BT11" s="265"/>
      <c r="BV11" s="446"/>
      <c r="BX11" s="44"/>
      <c r="BY11" s="44"/>
      <c r="BZ11" s="44"/>
      <c r="CF11" s="243"/>
      <c r="CH11" s="224"/>
      <c r="CI11" s="521"/>
      <c r="CM11" s="521"/>
      <c r="CN11" s="521"/>
      <c r="CQ11" s="257"/>
      <c r="CS11" s="651"/>
      <c r="DI11" s="79"/>
    </row>
    <row r="12" spans="1:113" x14ac:dyDescent="0.35">
      <c r="B12" t="s">
        <v>185</v>
      </c>
      <c r="C12" s="264">
        <f>424704.5+39876</f>
        <v>464580.5</v>
      </c>
      <c r="D12" s="264">
        <v>8</v>
      </c>
      <c r="E12" s="264">
        <v>94</v>
      </c>
      <c r="F12" s="93">
        <f>15+1</f>
        <v>16</v>
      </c>
      <c r="G12" s="93"/>
      <c r="H12" s="93">
        <v>18</v>
      </c>
      <c r="I12" s="93">
        <v>17</v>
      </c>
      <c r="J12" s="93">
        <v>31</v>
      </c>
      <c r="K12" s="265">
        <v>11</v>
      </c>
      <c r="L12" s="265">
        <v>15</v>
      </c>
      <c r="M12" s="265">
        <v>13</v>
      </c>
      <c r="N12" s="265">
        <v>10</v>
      </c>
      <c r="O12" s="363">
        <v>12</v>
      </c>
      <c r="P12" s="363">
        <v>3113489.35</v>
      </c>
      <c r="Q12" s="265">
        <v>12</v>
      </c>
      <c r="R12" s="265">
        <v>11</v>
      </c>
      <c r="S12" s="265">
        <v>16</v>
      </c>
      <c r="T12" s="265"/>
      <c r="U12" s="265">
        <v>25</v>
      </c>
      <c r="V12" s="265">
        <v>28</v>
      </c>
      <c r="W12" s="265">
        <v>26</v>
      </c>
      <c r="X12" s="265">
        <v>26</v>
      </c>
      <c r="Y12" s="265">
        <v>23</v>
      </c>
      <c r="Z12" s="265">
        <v>24</v>
      </c>
      <c r="AA12" s="265">
        <v>24</v>
      </c>
      <c r="AB12" s="265">
        <v>25</v>
      </c>
      <c r="AC12" s="265">
        <v>27</v>
      </c>
      <c r="AD12" s="265">
        <v>29</v>
      </c>
      <c r="AE12" s="265">
        <v>29</v>
      </c>
      <c r="AF12" s="265">
        <v>27</v>
      </c>
      <c r="AG12" s="265"/>
      <c r="AH12" s="265">
        <v>32</v>
      </c>
      <c r="AI12" s="265">
        <v>32</v>
      </c>
      <c r="AJ12" s="265">
        <v>30</v>
      </c>
      <c r="AK12" s="265">
        <v>29</v>
      </c>
      <c r="AL12" s="44">
        <v>32</v>
      </c>
      <c r="AM12" s="44">
        <v>19</v>
      </c>
      <c r="AN12" s="44">
        <v>26</v>
      </c>
      <c r="AO12" s="44">
        <v>25</v>
      </c>
      <c r="AP12" s="44">
        <v>26</v>
      </c>
      <c r="AQ12" s="44">
        <v>28</v>
      </c>
      <c r="AR12" s="44">
        <v>26</v>
      </c>
      <c r="AS12" s="44">
        <v>30</v>
      </c>
      <c r="AT12" s="265"/>
      <c r="AU12" s="44">
        <v>14</v>
      </c>
      <c r="AV12" s="44">
        <v>22</v>
      </c>
      <c r="AW12" s="44">
        <v>39</v>
      </c>
      <c r="AX12" s="44">
        <v>16</v>
      </c>
      <c r="AY12" s="44">
        <v>19</v>
      </c>
      <c r="AZ12" s="44">
        <v>15</v>
      </c>
      <c r="BA12" s="44">
        <v>17</v>
      </c>
      <c r="BB12" s="44">
        <v>17</v>
      </c>
      <c r="BC12" s="44">
        <v>15</v>
      </c>
      <c r="BD12" s="44">
        <v>17</v>
      </c>
      <c r="BE12" s="44">
        <v>12</v>
      </c>
      <c r="BF12" s="44">
        <v>5</v>
      </c>
      <c r="BG12" s="265"/>
      <c r="BH12" s="44">
        <v>4</v>
      </c>
      <c r="BL12" s="44">
        <v>9</v>
      </c>
      <c r="BM12" s="44">
        <v>19</v>
      </c>
      <c r="BN12" s="44">
        <v>14</v>
      </c>
      <c r="BO12" s="44">
        <v>11</v>
      </c>
      <c r="BP12" s="44">
        <v>13</v>
      </c>
      <c r="BQ12" s="44">
        <v>8</v>
      </c>
      <c r="BR12" s="44">
        <v>45</v>
      </c>
      <c r="BS12" s="44">
        <v>25</v>
      </c>
      <c r="BT12" s="265"/>
      <c r="BU12" s="44">
        <v>25</v>
      </c>
      <c r="BV12" s="446">
        <v>41</v>
      </c>
      <c r="BW12" s="446">
        <v>38</v>
      </c>
      <c r="BX12" s="44">
        <v>39</v>
      </c>
      <c r="BY12" s="44">
        <v>33</v>
      </c>
      <c r="BZ12" s="433">
        <f>858874/1000-BZ5</f>
        <v>25.874000000000024</v>
      </c>
      <c r="CA12" s="433">
        <f>769151/1000-CA5</f>
        <v>25.150999999999954</v>
      </c>
      <c r="CB12" s="433">
        <f>818601/1000-CB5</f>
        <v>24.600999999999999</v>
      </c>
      <c r="CC12" s="433">
        <f>769-CC5</f>
        <v>24</v>
      </c>
      <c r="CD12" s="433">
        <f>801-CD5</f>
        <v>24</v>
      </c>
      <c r="CE12" s="44">
        <f>763-CE5</f>
        <v>24</v>
      </c>
      <c r="CF12" s="433">
        <f>795285/1000-CF5</f>
        <v>90.569999999999936</v>
      </c>
      <c r="CH12" s="539">
        <f>774368/1000-CH5</f>
        <v>29.504800000000046</v>
      </c>
      <c r="CI12" s="521">
        <f>838666/1000-CI5</f>
        <v>30.761250000000018</v>
      </c>
      <c r="CJ12" s="243">
        <f>765756/1000-CJ5</f>
        <v>30.742920000000026</v>
      </c>
      <c r="CK12" s="243">
        <f>24028.01/1000</f>
        <v>24.028009999999998</v>
      </c>
      <c r="CL12" s="243">
        <f>22322/1000</f>
        <v>22.321999999999999</v>
      </c>
      <c r="CM12" s="521">
        <f>22320.85/1000</f>
        <v>22.32085</v>
      </c>
      <c r="CN12" s="521">
        <f>20239.83/1000</f>
        <v>20.239830000000001</v>
      </c>
      <c r="CO12" s="243">
        <f>20235.75/1000</f>
        <v>20.235749999999999</v>
      </c>
      <c r="CP12" s="243">
        <f>19081.1/1000</f>
        <v>19.081099999999999</v>
      </c>
      <c r="CQ12" s="243">
        <f>21872/1000</f>
        <v>21.872</v>
      </c>
      <c r="CR12" s="243">
        <f>20577.71/1000</f>
        <v>20.57771</v>
      </c>
      <c r="CS12" s="651">
        <v>41</v>
      </c>
      <c r="CU12" s="243">
        <f>38935.91/1000</f>
        <v>38.935910000000007</v>
      </c>
      <c r="CV12" s="243">
        <f>33127/1000</f>
        <v>33.127000000000002</v>
      </c>
      <c r="CW12" s="243">
        <f>30114.8/1000+0.4</f>
        <v>30.514799999999997</v>
      </c>
      <c r="CX12" s="243">
        <f>24038.06/1000</f>
        <v>24.038060000000002</v>
      </c>
      <c r="CY12" s="243">
        <f>26852.44/1000</f>
        <v>26.852439999999998</v>
      </c>
      <c r="CZ12" s="243">
        <f>26815.8/1000</f>
        <v>26.815799999999999</v>
      </c>
      <c r="DA12" s="243">
        <f>(25002.17-321)/1000</f>
        <v>24.681169999999998</v>
      </c>
      <c r="DB12" s="243">
        <f>24326.71/1000</f>
        <v>24.326709999999999</v>
      </c>
      <c r="DC12" s="243">
        <f>23651.68/1000</f>
        <v>23.651679999999999</v>
      </c>
      <c r="DD12" s="243">
        <f>18334/1000</f>
        <v>18.334</v>
      </c>
      <c r="DE12" s="243">
        <f>18578.94/1000</f>
        <v>18.578939999999999</v>
      </c>
      <c r="DF12" s="243">
        <f>22008.78/1000</f>
        <v>22.008779999999998</v>
      </c>
      <c r="DG12" s="243"/>
      <c r="DH12" s="243">
        <f>21807.25/1000</f>
        <v>21.80725</v>
      </c>
      <c r="DI12" s="557">
        <f>21592.23/1000</f>
        <v>21.592230000000001</v>
      </c>
    </row>
    <row r="13" spans="1:113" x14ac:dyDescent="0.35">
      <c r="C13" s="266">
        <v>8760.7199999999993</v>
      </c>
      <c r="D13" s="266">
        <f>SUM(D5:D12)</f>
        <v>127</v>
      </c>
      <c r="E13" s="266">
        <v>135</v>
      </c>
      <c r="F13" s="364">
        <f>SUM(F5:F12)</f>
        <v>179</v>
      </c>
      <c r="G13" s="365">
        <v>7561.64</v>
      </c>
      <c r="H13" s="364">
        <v>7403.26</v>
      </c>
      <c r="I13" s="267">
        <f t="shared" ref="I13:S13" si="0">SUM(I5:I12)</f>
        <v>169</v>
      </c>
      <c r="J13" s="267">
        <f t="shared" si="0"/>
        <v>159</v>
      </c>
      <c r="K13" s="268">
        <f t="shared" si="0"/>
        <v>121</v>
      </c>
      <c r="L13" s="268">
        <f t="shared" si="0"/>
        <v>223</v>
      </c>
      <c r="M13" s="268">
        <f t="shared" si="0"/>
        <v>314</v>
      </c>
      <c r="N13" s="268">
        <f t="shared" si="0"/>
        <v>287</v>
      </c>
      <c r="O13" s="268">
        <f t="shared" si="0"/>
        <v>317</v>
      </c>
      <c r="P13" s="268">
        <f t="shared" si="0"/>
        <v>3113778.35</v>
      </c>
      <c r="Q13" s="268">
        <f t="shared" si="0"/>
        <v>261</v>
      </c>
      <c r="R13" s="268">
        <f t="shared" si="0"/>
        <v>256</v>
      </c>
      <c r="S13" s="268">
        <f t="shared" si="0"/>
        <v>252</v>
      </c>
      <c r="T13" s="265"/>
      <c r="U13" s="268">
        <f t="shared" ref="U13:AF13" si="1">SUM(U5:U12)</f>
        <v>446.69</v>
      </c>
      <c r="V13" s="268">
        <f t="shared" si="1"/>
        <v>2140.96</v>
      </c>
      <c r="W13" s="268">
        <f t="shared" si="1"/>
        <v>265</v>
      </c>
      <c r="X13" s="268">
        <f t="shared" si="1"/>
        <v>266</v>
      </c>
      <c r="Y13" s="268">
        <f t="shared" si="1"/>
        <v>251</v>
      </c>
      <c r="Z13" s="268">
        <f t="shared" si="1"/>
        <v>225</v>
      </c>
      <c r="AA13" s="268">
        <f t="shared" si="1"/>
        <v>253</v>
      </c>
      <c r="AB13" s="268">
        <f t="shared" si="1"/>
        <v>211</v>
      </c>
      <c r="AC13" s="268">
        <f t="shared" si="1"/>
        <v>289</v>
      </c>
      <c r="AD13" s="268">
        <f t="shared" si="1"/>
        <v>364</v>
      </c>
      <c r="AE13" s="268">
        <f t="shared" si="1"/>
        <v>334</v>
      </c>
      <c r="AF13" s="268">
        <f t="shared" si="1"/>
        <v>298</v>
      </c>
      <c r="AG13" s="265"/>
      <c r="AH13" s="268">
        <f t="shared" ref="AH13:AS13" si="2">SUM(AH5:AH12)</f>
        <v>258</v>
      </c>
      <c r="AI13" s="268">
        <f t="shared" si="2"/>
        <v>249</v>
      </c>
      <c r="AJ13" s="268">
        <f t="shared" si="2"/>
        <v>250</v>
      </c>
      <c r="AK13" s="268">
        <f t="shared" si="2"/>
        <v>184</v>
      </c>
      <c r="AL13" s="268">
        <f t="shared" si="2"/>
        <v>187</v>
      </c>
      <c r="AM13" s="268">
        <f t="shared" si="2"/>
        <v>164</v>
      </c>
      <c r="AN13" s="268">
        <f t="shared" si="2"/>
        <v>137</v>
      </c>
      <c r="AO13" s="268">
        <f t="shared" si="2"/>
        <v>122</v>
      </c>
      <c r="AP13" s="268">
        <f t="shared" si="2"/>
        <v>152</v>
      </c>
      <c r="AQ13" s="268">
        <f t="shared" si="2"/>
        <v>184</v>
      </c>
      <c r="AR13" s="268">
        <f t="shared" si="2"/>
        <v>291</v>
      </c>
      <c r="AS13" s="268">
        <f t="shared" si="2"/>
        <v>296</v>
      </c>
      <c r="AT13" s="265"/>
      <c r="AU13" s="268">
        <f t="shared" ref="AU13:BF13" si="3">SUM(AU5:AU12)</f>
        <v>280</v>
      </c>
      <c r="AV13" s="268">
        <f t="shared" si="3"/>
        <v>337</v>
      </c>
      <c r="AW13" s="268">
        <f t="shared" si="3"/>
        <v>497</v>
      </c>
      <c r="AX13" s="268">
        <f t="shared" si="3"/>
        <v>514</v>
      </c>
      <c r="AY13" s="268">
        <f t="shared" si="3"/>
        <v>595</v>
      </c>
      <c r="AZ13" s="268">
        <f t="shared" si="3"/>
        <v>618</v>
      </c>
      <c r="BA13" s="268">
        <f t="shared" si="3"/>
        <v>709</v>
      </c>
      <c r="BB13" s="268">
        <f t="shared" si="3"/>
        <v>817</v>
      </c>
      <c r="BC13" s="268">
        <f t="shared" si="3"/>
        <v>854</v>
      </c>
      <c r="BD13" s="268">
        <f t="shared" si="3"/>
        <v>1055</v>
      </c>
      <c r="BE13" s="268">
        <f t="shared" si="3"/>
        <v>1006</v>
      </c>
      <c r="BF13" s="268">
        <f t="shared" si="3"/>
        <v>1054</v>
      </c>
      <c r="BG13" s="265"/>
      <c r="BH13" s="268">
        <f t="shared" ref="BH13:BS13" si="4">SUM(BH5:BH12)</f>
        <v>1069</v>
      </c>
      <c r="BI13" s="268">
        <f t="shared" si="4"/>
        <v>1089</v>
      </c>
      <c r="BJ13" s="268">
        <f t="shared" si="4"/>
        <v>1090</v>
      </c>
      <c r="BK13" s="268">
        <f t="shared" si="4"/>
        <v>1267</v>
      </c>
      <c r="BL13" s="268">
        <f t="shared" si="4"/>
        <v>1274</v>
      </c>
      <c r="BM13" s="268">
        <f t="shared" si="4"/>
        <v>1157</v>
      </c>
      <c r="BN13" s="268">
        <f t="shared" si="4"/>
        <v>1079</v>
      </c>
      <c r="BO13" s="268">
        <f t="shared" si="4"/>
        <v>998</v>
      </c>
      <c r="BP13" s="268">
        <f t="shared" si="4"/>
        <v>1226</v>
      </c>
      <c r="BQ13" s="268">
        <f t="shared" si="4"/>
        <v>1161</v>
      </c>
      <c r="BR13" s="268">
        <f t="shared" si="4"/>
        <v>1057</v>
      </c>
      <c r="BS13" s="268">
        <f t="shared" si="4"/>
        <v>1122</v>
      </c>
      <c r="BT13" s="265"/>
      <c r="BU13" s="268">
        <f t="shared" ref="BU13:CF13" si="5">SUM(BU5:BU12)</f>
        <v>1113</v>
      </c>
      <c r="BV13" s="268">
        <f t="shared" si="5"/>
        <v>1070</v>
      </c>
      <c r="BW13" s="268">
        <f t="shared" si="5"/>
        <v>1077</v>
      </c>
      <c r="BX13" s="268">
        <f t="shared" si="5"/>
        <v>1062</v>
      </c>
      <c r="BY13" s="268">
        <f t="shared" si="5"/>
        <v>1013</v>
      </c>
      <c r="BZ13" s="268">
        <f t="shared" si="5"/>
        <v>965.07071255518713</v>
      </c>
      <c r="CA13" s="268">
        <f t="shared" si="5"/>
        <v>904.76400000000001</v>
      </c>
      <c r="CB13" s="268">
        <f t="shared" si="5"/>
        <v>923.601</v>
      </c>
      <c r="CC13" s="268">
        <f t="shared" si="5"/>
        <v>853</v>
      </c>
      <c r="CD13" s="268">
        <f t="shared" si="5"/>
        <v>933</v>
      </c>
      <c r="CE13" s="268">
        <f t="shared" si="5"/>
        <v>861</v>
      </c>
      <c r="CF13" s="533">
        <f t="shared" si="5"/>
        <v>862.49699999999996</v>
      </c>
      <c r="CH13" s="540">
        <f t="shared" ref="CH13:CR13" si="6">SUM(CH5:CH12)</f>
        <v>826.66900000000021</v>
      </c>
      <c r="CI13" s="540">
        <f t="shared" si="6"/>
        <v>896.68300000000011</v>
      </c>
      <c r="CJ13" s="540">
        <f t="shared" si="6"/>
        <v>814.07800000000009</v>
      </c>
      <c r="CK13" s="540">
        <f t="shared" si="6"/>
        <v>893.53601000000003</v>
      </c>
      <c r="CL13" s="540">
        <f t="shared" si="6"/>
        <v>817.90122999999994</v>
      </c>
      <c r="CM13" s="540">
        <f t="shared" si="6"/>
        <v>793.83300000000008</v>
      </c>
      <c r="CN13" s="540">
        <f t="shared" si="6"/>
        <v>734.42299999999989</v>
      </c>
      <c r="CO13" s="540">
        <f t="shared" si="6"/>
        <v>698.59</v>
      </c>
      <c r="CP13" s="540">
        <f t="shared" si="6"/>
        <v>665.21300000000008</v>
      </c>
      <c r="CQ13" s="540">
        <f t="shared" si="6"/>
        <v>704.49941999999999</v>
      </c>
      <c r="CR13" s="540">
        <f t="shared" si="6"/>
        <v>635.64300000000003</v>
      </c>
      <c r="CS13" s="652">
        <v>636</v>
      </c>
      <c r="CU13" s="608">
        <f t="shared" ref="CU13:CZ13" si="7">SUM(CU5:CU12)</f>
        <v>704.78600000000006</v>
      </c>
      <c r="CV13" s="608">
        <f t="shared" si="7"/>
        <v>676.36232999999993</v>
      </c>
      <c r="CW13" s="608">
        <f t="shared" si="7"/>
        <v>775.25998000000016</v>
      </c>
      <c r="CX13" s="608">
        <f t="shared" si="7"/>
        <v>690.61</v>
      </c>
      <c r="CY13" s="608">
        <f t="shared" si="7"/>
        <v>658.69358</v>
      </c>
      <c r="CZ13" s="608">
        <f t="shared" si="7"/>
        <v>687.72699999999998</v>
      </c>
      <c r="DA13" s="608">
        <f t="shared" ref="DA13:DD13" si="8">SUM(DA5:DA12)</f>
        <v>682.89</v>
      </c>
      <c r="DB13" s="608">
        <f t="shared" si="8"/>
        <v>598.42655999999999</v>
      </c>
      <c r="DC13" s="608">
        <f t="shared" si="8"/>
        <v>715.38598000000002</v>
      </c>
      <c r="DD13" s="608">
        <f t="shared" si="8"/>
        <v>542.55461999999989</v>
      </c>
      <c r="DE13" s="608">
        <f t="shared" ref="DE13:DH13" si="9">SUM(DE5:DE12)</f>
        <v>561.07941999999991</v>
      </c>
      <c r="DF13" s="608">
        <f t="shared" si="9"/>
        <v>496.80343000000005</v>
      </c>
      <c r="DG13" s="608"/>
      <c r="DH13" s="608">
        <f t="shared" si="9"/>
        <v>659.81200000000001</v>
      </c>
      <c r="DI13" s="647">
        <f t="shared" ref="DI13" si="10">SUM(DI5:DI12)</f>
        <v>638.51599999999996</v>
      </c>
    </row>
    <row r="14" spans="1:113" x14ac:dyDescent="0.35">
      <c r="C14" s="366">
        <v>57169.65</v>
      </c>
      <c r="D14" s="366"/>
      <c r="E14" s="264"/>
      <c r="F14" s="93"/>
      <c r="G14" s="93"/>
      <c r="H14" s="93"/>
      <c r="I14" s="93"/>
      <c r="J14" s="93"/>
      <c r="K14" s="265"/>
      <c r="L14" s="265"/>
      <c r="M14" s="265"/>
      <c r="N14" s="265"/>
      <c r="O14" s="265"/>
      <c r="P14" s="265"/>
      <c r="Q14" s="265"/>
      <c r="R14" s="265"/>
      <c r="S14" s="265"/>
      <c r="T14" s="265"/>
      <c r="U14" s="265"/>
      <c r="V14" s="265"/>
      <c r="W14" s="265"/>
      <c r="X14" s="265"/>
      <c r="Y14" s="265"/>
      <c r="Z14" s="265"/>
      <c r="AA14" s="265"/>
      <c r="AB14" s="265"/>
      <c r="AC14" s="265"/>
      <c r="AD14" s="44"/>
      <c r="AE14" s="44"/>
      <c r="AF14" s="265"/>
      <c r="AG14" s="265"/>
      <c r="AH14" s="265"/>
      <c r="AI14" s="265"/>
      <c r="AJ14" s="265"/>
      <c r="AL14" s="44"/>
      <c r="AM14" s="44"/>
      <c r="AN14" s="44"/>
      <c r="AO14" s="44"/>
      <c r="AP14" s="44"/>
      <c r="AQ14" s="44"/>
      <c r="AR14" s="44"/>
      <c r="AS14" s="44"/>
      <c r="AT14" s="265"/>
      <c r="AU14" s="44"/>
      <c r="AV14" s="44"/>
      <c r="BA14" s="44"/>
      <c r="BB14" s="44"/>
      <c r="BG14" s="265"/>
      <c r="BT14" s="265"/>
      <c r="CH14" s="224"/>
      <c r="CQ14" s="257"/>
      <c r="CS14" s="651"/>
      <c r="DI14" s="79"/>
    </row>
    <row r="15" spans="1:113" x14ac:dyDescent="0.35">
      <c r="B15" t="s">
        <v>233</v>
      </c>
      <c r="C15" s="264">
        <v>24695.45</v>
      </c>
      <c r="D15" s="264">
        <v>17</v>
      </c>
      <c r="E15" s="264"/>
      <c r="F15" s="93">
        <v>7</v>
      </c>
      <c r="G15" s="93"/>
      <c r="H15" s="93">
        <v>7</v>
      </c>
      <c r="I15" s="93">
        <v>7</v>
      </c>
      <c r="J15" s="365">
        <v>3693743.75</v>
      </c>
      <c r="K15" s="363">
        <v>49.86</v>
      </c>
      <c r="L15" s="265">
        <v>7</v>
      </c>
      <c r="M15" s="265">
        <v>7</v>
      </c>
      <c r="N15" s="265">
        <v>7</v>
      </c>
      <c r="O15" s="265">
        <v>7</v>
      </c>
      <c r="P15" s="265">
        <v>7</v>
      </c>
      <c r="Q15" s="265">
        <v>9</v>
      </c>
      <c r="R15" s="265">
        <v>9</v>
      </c>
      <c r="S15" s="265">
        <v>11</v>
      </c>
      <c r="T15" s="265"/>
      <c r="U15" s="265">
        <v>11</v>
      </c>
      <c r="V15" s="265">
        <v>1</v>
      </c>
      <c r="W15" s="265">
        <v>1</v>
      </c>
      <c r="X15" s="265">
        <v>1</v>
      </c>
      <c r="Y15" s="265">
        <v>1</v>
      </c>
      <c r="Z15" s="265">
        <v>1</v>
      </c>
      <c r="AA15" s="265">
        <v>1</v>
      </c>
      <c r="AB15" s="265">
        <v>1</v>
      </c>
      <c r="AC15" s="265">
        <v>1</v>
      </c>
      <c r="AD15" s="265">
        <v>1</v>
      </c>
      <c r="AE15" s="265">
        <v>1</v>
      </c>
      <c r="AF15" s="265">
        <v>1</v>
      </c>
      <c r="AG15" s="265"/>
      <c r="AH15" s="265">
        <v>1</v>
      </c>
      <c r="AI15" s="265">
        <v>1</v>
      </c>
      <c r="AJ15" s="265">
        <v>1</v>
      </c>
      <c r="AK15" s="265">
        <v>1</v>
      </c>
      <c r="AL15" s="265">
        <v>1</v>
      </c>
      <c r="AM15" s="265">
        <v>1</v>
      </c>
      <c r="AN15" s="265">
        <v>1</v>
      </c>
      <c r="AO15" s="265">
        <v>1</v>
      </c>
      <c r="AP15" s="265">
        <v>1</v>
      </c>
      <c r="AQ15" s="265">
        <v>1</v>
      </c>
      <c r="AR15" s="265">
        <v>1</v>
      </c>
      <c r="AS15" s="265">
        <v>1</v>
      </c>
      <c r="AT15" s="265"/>
      <c r="AU15" s="265">
        <v>1</v>
      </c>
      <c r="AV15" s="265">
        <v>1</v>
      </c>
      <c r="AW15" s="265">
        <v>1</v>
      </c>
      <c r="AX15" s="265">
        <v>1</v>
      </c>
      <c r="AY15" s="265">
        <v>1</v>
      </c>
      <c r="AZ15" s="265">
        <v>1</v>
      </c>
      <c r="BA15" s="265">
        <v>1</v>
      </c>
      <c r="BB15" s="265">
        <v>1</v>
      </c>
      <c r="BC15" s="265">
        <v>1</v>
      </c>
      <c r="BD15" s="265">
        <v>1</v>
      </c>
      <c r="BE15" s="265">
        <v>1</v>
      </c>
      <c r="BF15" s="265">
        <v>1</v>
      </c>
      <c r="BG15" s="265"/>
      <c r="BH15" s="265">
        <v>1</v>
      </c>
      <c r="BI15" s="265">
        <v>1</v>
      </c>
      <c r="BJ15" s="265">
        <v>1</v>
      </c>
      <c r="BK15" s="265">
        <v>1</v>
      </c>
      <c r="BL15" s="265">
        <v>1</v>
      </c>
      <c r="BM15" s="265">
        <v>1</v>
      </c>
      <c r="BN15" s="265">
        <v>1</v>
      </c>
      <c r="BO15" s="265">
        <v>1</v>
      </c>
      <c r="BP15" s="265">
        <v>1</v>
      </c>
      <c r="BQ15" s="265">
        <v>1</v>
      </c>
      <c r="BR15" s="265">
        <v>1</v>
      </c>
      <c r="BS15" s="265">
        <v>1</v>
      </c>
      <c r="BT15" s="265"/>
      <c r="BU15" s="265">
        <v>1</v>
      </c>
      <c r="BV15" s="265">
        <v>1</v>
      </c>
      <c r="BW15" s="44">
        <v>1</v>
      </c>
      <c r="BX15" s="44">
        <v>1</v>
      </c>
      <c r="BY15" s="44">
        <v>1</v>
      </c>
      <c r="BZ15" s="44">
        <v>1</v>
      </c>
      <c r="CA15" s="44">
        <v>1</v>
      </c>
      <c r="CB15" s="44">
        <v>1</v>
      </c>
      <c r="CC15" s="44">
        <v>1</v>
      </c>
      <c r="CD15" s="44">
        <v>1</v>
      </c>
      <c r="CE15" s="44">
        <v>1</v>
      </c>
      <c r="CF15" s="44">
        <v>1</v>
      </c>
      <c r="CG15" s="44"/>
      <c r="CH15" s="224">
        <v>1</v>
      </c>
      <c r="CI15" s="224">
        <v>1</v>
      </c>
      <c r="CJ15" s="224">
        <v>1</v>
      </c>
      <c r="CK15" s="224">
        <v>1</v>
      </c>
      <c r="CL15" s="224">
        <v>1</v>
      </c>
      <c r="CM15" s="224">
        <v>1</v>
      </c>
      <c r="CN15" s="224">
        <v>1</v>
      </c>
      <c r="CO15" s="224">
        <v>1</v>
      </c>
      <c r="CP15" s="224">
        <v>1</v>
      </c>
      <c r="CQ15" s="624">
        <v>1</v>
      </c>
      <c r="CR15" s="224">
        <v>1</v>
      </c>
      <c r="CS15" s="651">
        <v>1</v>
      </c>
      <c r="CU15" s="243">
        <v>1</v>
      </c>
      <c r="CV15" s="243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H15">
        <v>1</v>
      </c>
      <c r="DI15" s="79">
        <v>1</v>
      </c>
    </row>
    <row r="16" spans="1:113" x14ac:dyDescent="0.35">
      <c r="B16" s="270" t="s">
        <v>234</v>
      </c>
      <c r="C16">
        <v>75997.070000000007</v>
      </c>
      <c r="D16" t="e">
        <f>E16+(F16/F$3)+(G16/G$3)+(H16/H$3)+(I16/I$3)+(J16/J$3)+(K16/K$3)+(L16/L$3)+(M16/M$3)+(N16/N$3)+(O16/O$3)+(P16/P$3)+(Q16/Q$3)+(R16/R$3)+(S16/S$3)+(T16/T$3)+(U16/U$3)+(V16/V$3)+(W16/W$3)</f>
        <v>#DIV/0!</v>
      </c>
      <c r="F16" s="93"/>
      <c r="G16" s="271"/>
      <c r="H16" s="93"/>
      <c r="I16" s="93"/>
      <c r="J16" s="93"/>
      <c r="L16" s="362">
        <v>1510386.21</v>
      </c>
      <c r="U16" s="44"/>
      <c r="V16" s="44"/>
      <c r="W16" s="44"/>
      <c r="X16" s="44"/>
      <c r="Y16" s="91"/>
      <c r="Z16" s="91"/>
      <c r="AA16" s="91"/>
      <c r="AB16" s="91"/>
      <c r="AC16" s="91"/>
      <c r="AD16" s="44"/>
      <c r="AE16" s="44"/>
      <c r="AF16" s="44"/>
      <c r="AG16" s="265"/>
      <c r="AL16" s="44"/>
      <c r="AM16" s="44"/>
      <c r="AN16" s="44"/>
      <c r="AO16" s="44"/>
      <c r="AP16" s="44"/>
      <c r="AQ16" s="44"/>
      <c r="AR16" s="44"/>
      <c r="AS16" s="44"/>
      <c r="AT16" s="265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265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T16" s="265"/>
      <c r="CQ16" s="257"/>
      <c r="CR16" s="243"/>
      <c r="CS16" s="651"/>
      <c r="DI16" s="79"/>
    </row>
    <row r="17" spans="2:113" x14ac:dyDescent="0.35">
      <c r="C17" s="266">
        <v>2392.0500000000002</v>
      </c>
      <c r="D17" s="266" t="e">
        <f>SUM(D15:D16)</f>
        <v>#DIV/0!</v>
      </c>
      <c r="E17" s="266">
        <v>14</v>
      </c>
      <c r="F17" s="267">
        <v>7</v>
      </c>
      <c r="G17" s="93"/>
      <c r="H17" s="267">
        <f>SUM(H15:H16)</f>
        <v>7</v>
      </c>
      <c r="I17" s="364">
        <v>3336.01</v>
      </c>
      <c r="J17" s="267">
        <f t="shared" ref="J17:S17" si="11">SUM(J15:J16)</f>
        <v>3693743.75</v>
      </c>
      <c r="K17" s="268">
        <f t="shared" si="11"/>
        <v>49.86</v>
      </c>
      <c r="L17" s="268">
        <f t="shared" si="11"/>
        <v>1510393.21</v>
      </c>
      <c r="M17" s="268">
        <f t="shared" si="11"/>
        <v>7</v>
      </c>
      <c r="N17" s="268">
        <f t="shared" si="11"/>
        <v>7</v>
      </c>
      <c r="O17" s="268">
        <f t="shared" si="11"/>
        <v>7</v>
      </c>
      <c r="P17" s="268">
        <f t="shared" si="11"/>
        <v>7</v>
      </c>
      <c r="Q17" s="268">
        <f t="shared" si="11"/>
        <v>9</v>
      </c>
      <c r="R17" s="268">
        <f t="shared" si="11"/>
        <v>9</v>
      </c>
      <c r="S17" s="268">
        <f t="shared" si="11"/>
        <v>11</v>
      </c>
      <c r="T17" s="265"/>
      <c r="U17" s="268"/>
      <c r="V17" s="268"/>
      <c r="W17" s="268"/>
      <c r="X17" s="268"/>
      <c r="Y17" s="269"/>
      <c r="Z17" s="269"/>
      <c r="AA17" s="269"/>
      <c r="AB17" s="269"/>
      <c r="AC17" s="269"/>
      <c r="AD17" s="268"/>
      <c r="AE17" s="268"/>
      <c r="AF17" s="268"/>
      <c r="AG17" s="265"/>
      <c r="AL17" s="44"/>
      <c r="AM17" s="44"/>
      <c r="AN17" s="44"/>
      <c r="AO17" s="44"/>
      <c r="AP17" s="44"/>
      <c r="AQ17" s="44"/>
      <c r="AR17" s="44"/>
      <c r="AS17" s="44"/>
      <c r="AT17" s="265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265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T17" s="265"/>
      <c r="CH17" s="224"/>
      <c r="CQ17" s="257"/>
      <c r="CS17" s="651"/>
      <c r="DI17" s="79"/>
    </row>
    <row r="18" spans="2:113" x14ac:dyDescent="0.35">
      <c r="B18" t="s">
        <v>235</v>
      </c>
      <c r="C18" s="366">
        <v>92315.66</v>
      </c>
      <c r="D18" s="366" t="e">
        <f>E18+(F18/F$3)+(G18/G$3)+(H18/H$3)+(I18/I$3)+(J18/J$3)+(K18/K$3)+(L18/L$3)+(M18/M$3)+(N18/N$3)+(O18/O$3)+(P18/P$3)+(Q18/Q$3)+(R18/R$3)+(S18/S$3)+(T18/T$3)+(U18/U$3)+(V18/V$3)+(W18/W$3)+(X18/X$3)</f>
        <v>#DIV/0!</v>
      </c>
      <c r="E18" s="264">
        <v>-5</v>
      </c>
      <c r="F18" s="93">
        <v>-36</v>
      </c>
      <c r="G18" s="93"/>
      <c r="H18" s="93">
        <v>-36</v>
      </c>
      <c r="I18" s="93">
        <v>-36</v>
      </c>
      <c r="J18" s="93">
        <v>-36</v>
      </c>
      <c r="K18" s="265">
        <v>-36</v>
      </c>
      <c r="L18" s="265">
        <v>-36</v>
      </c>
      <c r="M18" s="265">
        <v>-36</v>
      </c>
      <c r="N18" s="265">
        <v>-36</v>
      </c>
      <c r="O18" s="265">
        <v>-36</v>
      </c>
      <c r="P18" s="265">
        <v>-36</v>
      </c>
      <c r="Q18" s="265">
        <v>-36</v>
      </c>
      <c r="R18" s="265">
        <v>-36</v>
      </c>
      <c r="S18" s="265">
        <v>-36</v>
      </c>
      <c r="T18" s="265"/>
      <c r="U18" s="265">
        <v>-36</v>
      </c>
      <c r="V18" s="265">
        <v>-27</v>
      </c>
      <c r="W18" s="265">
        <v>-27</v>
      </c>
      <c r="X18" s="268">
        <v>71000</v>
      </c>
      <c r="Y18" s="265">
        <v>-27</v>
      </c>
      <c r="Z18" s="265">
        <v>-27</v>
      </c>
      <c r="AA18" s="265">
        <v>-27</v>
      </c>
      <c r="AB18" s="265">
        <v>-27</v>
      </c>
      <c r="AC18" s="265">
        <v>-27</v>
      </c>
      <c r="AD18" s="265">
        <v>-27</v>
      </c>
      <c r="AE18" s="265">
        <v>-27</v>
      </c>
      <c r="AF18" s="265">
        <v>-27</v>
      </c>
      <c r="AG18" s="265"/>
      <c r="AH18" s="265">
        <v>-29</v>
      </c>
      <c r="AI18" s="265">
        <v>-29</v>
      </c>
      <c r="AJ18" s="265">
        <v>-29</v>
      </c>
      <c r="AK18" s="265">
        <v>-29</v>
      </c>
      <c r="AL18" s="265">
        <v>-27</v>
      </c>
      <c r="AM18" s="265">
        <v>-29</v>
      </c>
      <c r="AN18" s="265">
        <v>-29</v>
      </c>
      <c r="AO18" s="265">
        <v>-29</v>
      </c>
      <c r="AP18" s="265">
        <v>-29</v>
      </c>
      <c r="AQ18" s="265">
        <v>-29</v>
      </c>
      <c r="AR18" s="265">
        <v>-29</v>
      </c>
      <c r="AS18" s="265">
        <v>-29</v>
      </c>
      <c r="AT18" s="265"/>
      <c r="AU18" s="265">
        <v>-7</v>
      </c>
      <c r="AV18" s="265">
        <v>-7</v>
      </c>
      <c r="AW18" s="265">
        <v>-7</v>
      </c>
      <c r="AX18" s="265">
        <v>-7</v>
      </c>
      <c r="AY18" s="265">
        <v>-7</v>
      </c>
      <c r="AZ18" s="265">
        <v>-7</v>
      </c>
      <c r="BA18" s="265">
        <v>-7</v>
      </c>
      <c r="BB18" s="265">
        <v>-7</v>
      </c>
      <c r="BC18" s="265">
        <v>-7</v>
      </c>
      <c r="BD18" s="265">
        <v>-7</v>
      </c>
      <c r="BE18" s="265">
        <v>-7</v>
      </c>
      <c r="BF18" s="265">
        <v>-7</v>
      </c>
      <c r="BG18" s="265"/>
      <c r="BH18" s="265">
        <v>-7</v>
      </c>
      <c r="BI18" s="265">
        <v>-2</v>
      </c>
      <c r="BJ18" s="265">
        <v>-6</v>
      </c>
      <c r="BK18" s="265">
        <v>-7</v>
      </c>
      <c r="BL18" s="265">
        <v>-7</v>
      </c>
      <c r="BM18" s="265">
        <v>-7</v>
      </c>
      <c r="BN18" s="265">
        <v>-7</v>
      </c>
      <c r="BO18" s="265">
        <v>-7</v>
      </c>
      <c r="BP18" s="265">
        <v>-7</v>
      </c>
      <c r="BQ18" s="265">
        <v>-7</v>
      </c>
      <c r="BR18" s="265"/>
      <c r="BS18" s="265">
        <v>-48</v>
      </c>
      <c r="BT18" s="265"/>
      <c r="BU18" s="265">
        <v>-48</v>
      </c>
      <c r="BV18" s="265">
        <v>-49</v>
      </c>
      <c r="BW18" s="265">
        <v>-49</v>
      </c>
      <c r="BX18" s="265">
        <v>-49</v>
      </c>
      <c r="BY18" s="265">
        <v>-50</v>
      </c>
      <c r="BZ18" s="265">
        <f>-49685/1000</f>
        <v>-49.685000000000002</v>
      </c>
      <c r="CA18" s="265">
        <f>-50685/1000</f>
        <v>-50.685000000000002</v>
      </c>
      <c r="CB18" s="265">
        <f>-50685/1000</f>
        <v>-50.685000000000002</v>
      </c>
      <c r="CC18" s="265">
        <f>-50685/1000</f>
        <v>-50.685000000000002</v>
      </c>
      <c r="CD18" s="265">
        <f>-50685/1000</f>
        <v>-50.685000000000002</v>
      </c>
      <c r="CE18" s="265">
        <v>-51</v>
      </c>
      <c r="CF18" s="265">
        <f>-42282.85/1000</f>
        <v>-42.282849999999996</v>
      </c>
      <c r="CH18" s="537">
        <f t="shared" ref="CH18:CQ18" si="12">-42283/1000</f>
        <v>-42.283000000000001</v>
      </c>
      <c r="CI18" s="537">
        <f t="shared" si="12"/>
        <v>-42.283000000000001</v>
      </c>
      <c r="CJ18" s="264">
        <f t="shared" si="12"/>
        <v>-42.283000000000001</v>
      </c>
      <c r="CK18" s="264">
        <f t="shared" si="12"/>
        <v>-42.283000000000001</v>
      </c>
      <c r="CL18" s="264">
        <f t="shared" si="12"/>
        <v>-42.283000000000001</v>
      </c>
      <c r="CM18" s="264">
        <f t="shared" si="12"/>
        <v>-42.283000000000001</v>
      </c>
      <c r="CN18" s="264">
        <f t="shared" si="12"/>
        <v>-42.283000000000001</v>
      </c>
      <c r="CO18" s="264">
        <f t="shared" si="12"/>
        <v>-42.283000000000001</v>
      </c>
      <c r="CP18" s="264">
        <f t="shared" si="12"/>
        <v>-42.283000000000001</v>
      </c>
      <c r="CQ18" s="264">
        <f t="shared" si="12"/>
        <v>-42.283000000000001</v>
      </c>
      <c r="CR18" s="264">
        <f>-42283/1000</f>
        <v>-42.283000000000001</v>
      </c>
      <c r="CS18" s="264">
        <f>-82461/1000</f>
        <v>-82.460999999999999</v>
      </c>
      <c r="CU18" s="264">
        <f t="shared" ref="CU18:CZ18" si="13">-82461/1000</f>
        <v>-82.460999999999999</v>
      </c>
      <c r="CV18" s="264">
        <f t="shared" si="13"/>
        <v>-82.460999999999999</v>
      </c>
      <c r="CW18" s="264">
        <f t="shared" si="13"/>
        <v>-82.460999999999999</v>
      </c>
      <c r="CX18" s="264">
        <f t="shared" si="13"/>
        <v>-82.460999999999999</v>
      </c>
      <c r="CY18" s="264">
        <f t="shared" si="13"/>
        <v>-82.460999999999999</v>
      </c>
      <c r="CZ18" s="264">
        <f t="shared" si="13"/>
        <v>-82.460999999999999</v>
      </c>
      <c r="DA18" s="264">
        <f t="shared" ref="DA18:DF18" si="14">-82461/1000</f>
        <v>-82.460999999999999</v>
      </c>
      <c r="DB18" s="264">
        <f t="shared" si="14"/>
        <v>-82.460999999999999</v>
      </c>
      <c r="DC18" s="264">
        <f t="shared" si="14"/>
        <v>-82.460999999999999</v>
      </c>
      <c r="DD18" s="264">
        <f t="shared" si="14"/>
        <v>-82.460999999999999</v>
      </c>
      <c r="DE18" s="264">
        <f t="shared" si="14"/>
        <v>-82.460999999999999</v>
      </c>
      <c r="DF18" s="264">
        <f t="shared" si="14"/>
        <v>-82.460999999999999</v>
      </c>
      <c r="DG18" s="264"/>
      <c r="DH18" s="264">
        <f>-82461/1000</f>
        <v>-82.460999999999999</v>
      </c>
      <c r="DI18" s="558">
        <f>-82461/1000</f>
        <v>-82.460999999999999</v>
      </c>
    </row>
    <row r="19" spans="2:113" s="10" customFormat="1" ht="15" thickBot="1" x14ac:dyDescent="0.4">
      <c r="B19" s="10" t="s">
        <v>236</v>
      </c>
      <c r="C19" s="71">
        <f>+C13+C17+C18</f>
        <v>103468.43000000001</v>
      </c>
      <c r="D19" s="71" t="e">
        <f>+D13+D17+D18</f>
        <v>#DIV/0!</v>
      </c>
      <c r="E19" s="71">
        <v>144</v>
      </c>
      <c r="F19" s="103">
        <f>F13+F17+F18</f>
        <v>150</v>
      </c>
      <c r="G19" s="62"/>
      <c r="H19" s="103">
        <f t="shared" ref="H19:S19" si="15">+H13+H17+H18</f>
        <v>7374.26</v>
      </c>
      <c r="I19" s="103">
        <f t="shared" si="15"/>
        <v>3469.01</v>
      </c>
      <c r="J19" s="103">
        <f t="shared" si="15"/>
        <v>3693866.75</v>
      </c>
      <c r="K19" s="272">
        <f t="shared" si="15"/>
        <v>134.86000000000001</v>
      </c>
      <c r="L19" s="272">
        <f t="shared" si="15"/>
        <v>1510580.21</v>
      </c>
      <c r="M19" s="272">
        <f t="shared" si="15"/>
        <v>285</v>
      </c>
      <c r="N19" s="272">
        <f t="shared" si="15"/>
        <v>258</v>
      </c>
      <c r="O19" s="272">
        <f t="shared" si="15"/>
        <v>288</v>
      </c>
      <c r="P19" s="272">
        <f t="shared" si="15"/>
        <v>3113749.35</v>
      </c>
      <c r="Q19" s="272">
        <f t="shared" si="15"/>
        <v>234</v>
      </c>
      <c r="R19" s="272">
        <f t="shared" si="15"/>
        <v>229</v>
      </c>
      <c r="S19" s="272">
        <f t="shared" si="15"/>
        <v>227</v>
      </c>
      <c r="T19" s="273"/>
      <c r="U19" s="272">
        <f t="shared" ref="U19:AF19" si="16">+U13+U17+U18</f>
        <v>410.69</v>
      </c>
      <c r="V19" s="272">
        <f t="shared" si="16"/>
        <v>2113.96</v>
      </c>
      <c r="W19" s="272">
        <f t="shared" si="16"/>
        <v>238</v>
      </c>
      <c r="X19" s="272">
        <f t="shared" si="16"/>
        <v>71266</v>
      </c>
      <c r="Y19" s="272">
        <f t="shared" si="16"/>
        <v>224</v>
      </c>
      <c r="Z19" s="272">
        <f t="shared" si="16"/>
        <v>198</v>
      </c>
      <c r="AA19" s="272">
        <f t="shared" si="16"/>
        <v>226</v>
      </c>
      <c r="AB19" s="272">
        <f t="shared" si="16"/>
        <v>184</v>
      </c>
      <c r="AC19" s="272">
        <f t="shared" si="16"/>
        <v>262</v>
      </c>
      <c r="AD19" s="272">
        <f t="shared" si="16"/>
        <v>337</v>
      </c>
      <c r="AE19" s="272">
        <f t="shared" si="16"/>
        <v>307</v>
      </c>
      <c r="AF19" s="272">
        <f t="shared" si="16"/>
        <v>271</v>
      </c>
      <c r="AG19" s="265"/>
      <c r="AH19" s="272">
        <f t="shared" ref="AH19:AS19" si="17">+AH13+AH17+AH18</f>
        <v>229</v>
      </c>
      <c r="AI19" s="272">
        <f t="shared" si="17"/>
        <v>220</v>
      </c>
      <c r="AJ19" s="272">
        <f t="shared" si="17"/>
        <v>221</v>
      </c>
      <c r="AK19" s="272">
        <f t="shared" si="17"/>
        <v>155</v>
      </c>
      <c r="AL19" s="272">
        <f t="shared" si="17"/>
        <v>160</v>
      </c>
      <c r="AM19" s="272">
        <f t="shared" si="17"/>
        <v>135</v>
      </c>
      <c r="AN19" s="272">
        <f t="shared" si="17"/>
        <v>108</v>
      </c>
      <c r="AO19" s="272">
        <f t="shared" si="17"/>
        <v>93</v>
      </c>
      <c r="AP19" s="272">
        <f t="shared" si="17"/>
        <v>123</v>
      </c>
      <c r="AQ19" s="272">
        <f t="shared" si="17"/>
        <v>155</v>
      </c>
      <c r="AR19" s="272">
        <f t="shared" si="17"/>
        <v>262</v>
      </c>
      <c r="AS19" s="272">
        <f t="shared" si="17"/>
        <v>267</v>
      </c>
      <c r="AT19" s="265"/>
      <c r="AU19" s="272">
        <f t="shared" ref="AU19:BF19" si="18">+AU13+AU17+AU18</f>
        <v>273</v>
      </c>
      <c r="AV19" s="272">
        <f t="shared" si="18"/>
        <v>330</v>
      </c>
      <c r="AW19" s="272">
        <f t="shared" si="18"/>
        <v>490</v>
      </c>
      <c r="AX19" s="272">
        <f t="shared" si="18"/>
        <v>507</v>
      </c>
      <c r="AY19" s="272">
        <f t="shared" si="18"/>
        <v>588</v>
      </c>
      <c r="AZ19" s="272">
        <f t="shared" si="18"/>
        <v>611</v>
      </c>
      <c r="BA19" s="272">
        <f t="shared" si="18"/>
        <v>702</v>
      </c>
      <c r="BB19" s="272">
        <f t="shared" si="18"/>
        <v>810</v>
      </c>
      <c r="BC19" s="272">
        <f t="shared" si="18"/>
        <v>847</v>
      </c>
      <c r="BD19" s="272">
        <f t="shared" si="18"/>
        <v>1048</v>
      </c>
      <c r="BE19" s="272">
        <f t="shared" si="18"/>
        <v>999</v>
      </c>
      <c r="BF19" s="272">
        <f t="shared" si="18"/>
        <v>1047</v>
      </c>
      <c r="BG19" s="265"/>
      <c r="BH19" s="272">
        <f t="shared" ref="BH19:BS19" si="19">+BH13+BH17+BH18</f>
        <v>1062</v>
      </c>
      <c r="BI19" s="272">
        <f t="shared" si="19"/>
        <v>1087</v>
      </c>
      <c r="BJ19" s="272">
        <f t="shared" si="19"/>
        <v>1084</v>
      </c>
      <c r="BK19" s="272">
        <f t="shared" si="19"/>
        <v>1260</v>
      </c>
      <c r="BL19" s="272">
        <f t="shared" si="19"/>
        <v>1267</v>
      </c>
      <c r="BM19" s="272">
        <f t="shared" si="19"/>
        <v>1150</v>
      </c>
      <c r="BN19" s="272">
        <f t="shared" si="19"/>
        <v>1072</v>
      </c>
      <c r="BO19" s="272">
        <f t="shared" si="19"/>
        <v>991</v>
      </c>
      <c r="BP19" s="272">
        <f t="shared" si="19"/>
        <v>1219</v>
      </c>
      <c r="BQ19" s="272">
        <f t="shared" si="19"/>
        <v>1154</v>
      </c>
      <c r="BR19" s="272">
        <f t="shared" si="19"/>
        <v>1057</v>
      </c>
      <c r="BS19" s="272">
        <f t="shared" si="19"/>
        <v>1074</v>
      </c>
      <c r="BT19" s="265"/>
      <c r="BU19" s="272">
        <f t="shared" ref="BU19:CF19" si="20">+BU13+BU17+BU18</f>
        <v>1065</v>
      </c>
      <c r="BV19" s="272">
        <f t="shared" si="20"/>
        <v>1021</v>
      </c>
      <c r="BW19" s="272">
        <f t="shared" si="20"/>
        <v>1028</v>
      </c>
      <c r="BX19" s="272">
        <f t="shared" si="20"/>
        <v>1013</v>
      </c>
      <c r="BY19" s="272">
        <f t="shared" si="20"/>
        <v>963</v>
      </c>
      <c r="BZ19" s="272">
        <f t="shared" si="20"/>
        <v>915.38571255518718</v>
      </c>
      <c r="CA19" s="272">
        <f t="shared" si="20"/>
        <v>854.07899999999995</v>
      </c>
      <c r="CB19" s="272">
        <f t="shared" si="20"/>
        <v>872.91599999999994</v>
      </c>
      <c r="CC19" s="272">
        <f t="shared" si="20"/>
        <v>802.31500000000005</v>
      </c>
      <c r="CD19" s="272">
        <f t="shared" si="20"/>
        <v>882.31500000000005</v>
      </c>
      <c r="CE19" s="272">
        <f t="shared" si="20"/>
        <v>810</v>
      </c>
      <c r="CF19" s="272">
        <f t="shared" si="20"/>
        <v>820.21415000000002</v>
      </c>
      <c r="CG19"/>
      <c r="CH19" s="541">
        <f t="shared" ref="CH19:CR19" si="21">+CH13+CH17+CH18</f>
        <v>784.38600000000019</v>
      </c>
      <c r="CI19" s="541">
        <f t="shared" si="21"/>
        <v>854.40000000000009</v>
      </c>
      <c r="CJ19" s="541">
        <f t="shared" si="21"/>
        <v>771.79500000000007</v>
      </c>
      <c r="CK19" s="541">
        <f t="shared" si="21"/>
        <v>851.25301000000002</v>
      </c>
      <c r="CL19" s="541">
        <f t="shared" si="21"/>
        <v>775.61822999999993</v>
      </c>
      <c r="CM19" s="541">
        <f t="shared" si="21"/>
        <v>751.55000000000007</v>
      </c>
      <c r="CN19" s="541">
        <f t="shared" si="21"/>
        <v>692.13999999999987</v>
      </c>
      <c r="CO19" s="541">
        <f t="shared" si="21"/>
        <v>656.30700000000002</v>
      </c>
      <c r="CP19" s="541">
        <f t="shared" si="21"/>
        <v>622.93000000000006</v>
      </c>
      <c r="CQ19" s="541">
        <f t="shared" si="21"/>
        <v>662.21641999999997</v>
      </c>
      <c r="CR19" s="541">
        <f t="shared" si="21"/>
        <v>593.36</v>
      </c>
      <c r="CS19" s="653">
        <v>590</v>
      </c>
      <c r="CT19"/>
      <c r="CU19" s="71">
        <f t="shared" ref="CU19:CZ19" si="22">+CU13+CU17+CU18</f>
        <v>622.32500000000005</v>
      </c>
      <c r="CV19" s="71">
        <f t="shared" si="22"/>
        <v>593.90132999999992</v>
      </c>
      <c r="CW19" s="71">
        <f t="shared" si="22"/>
        <v>692.79898000000014</v>
      </c>
      <c r="CX19" s="71">
        <f t="shared" si="22"/>
        <v>608.149</v>
      </c>
      <c r="CY19" s="71">
        <f t="shared" si="22"/>
        <v>576.23257999999998</v>
      </c>
      <c r="CZ19" s="71">
        <f t="shared" si="22"/>
        <v>605.26599999999996</v>
      </c>
      <c r="DA19" s="71">
        <f t="shared" ref="DA19:DD19" si="23">+DA13+DA17+DA18</f>
        <v>600.42899999999997</v>
      </c>
      <c r="DB19" s="71">
        <f t="shared" si="23"/>
        <v>515.96555999999998</v>
      </c>
      <c r="DC19" s="71">
        <f t="shared" si="23"/>
        <v>632.92498000000001</v>
      </c>
      <c r="DD19" s="71">
        <f t="shared" si="23"/>
        <v>460.09361999999987</v>
      </c>
      <c r="DE19" s="71">
        <f t="shared" ref="DE19:DH19" si="24">+DE13+DE17+DE18</f>
        <v>478.6184199999999</v>
      </c>
      <c r="DF19" s="71">
        <f t="shared" si="24"/>
        <v>414.34243000000004</v>
      </c>
      <c r="DG19" s="71"/>
      <c r="DH19" s="71">
        <f t="shared" si="24"/>
        <v>577.351</v>
      </c>
      <c r="DI19" s="648">
        <f t="shared" ref="DI19" si="25">+DI13+DI17+DI18</f>
        <v>556.05499999999995</v>
      </c>
    </row>
    <row r="20" spans="2:113" ht="15" thickTop="1" x14ac:dyDescent="0.35">
      <c r="F20" s="93"/>
      <c r="G20" s="93"/>
      <c r="H20" s="93"/>
      <c r="I20" s="93"/>
      <c r="J20" s="93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265"/>
      <c r="AL20" s="44"/>
      <c r="AM20" s="44"/>
      <c r="AN20" s="44"/>
      <c r="AO20" s="44"/>
      <c r="AP20" s="44"/>
      <c r="AQ20" s="44"/>
      <c r="AT20" s="265"/>
      <c r="BA20" s="44"/>
      <c r="BB20" s="44"/>
      <c r="BG20" s="265"/>
      <c r="BT20" s="265"/>
      <c r="CH20" s="44"/>
      <c r="CQ20" s="257"/>
      <c r="CS20" s="651"/>
      <c r="DI20" s="79"/>
    </row>
    <row r="21" spans="2:113" x14ac:dyDescent="0.35">
      <c r="B21" s="10" t="s">
        <v>237</v>
      </c>
      <c r="F21" s="93"/>
      <c r="G21" s="62"/>
      <c r="H21" s="93"/>
      <c r="I21" s="93"/>
      <c r="J21" s="93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265"/>
      <c r="AL21" s="44"/>
      <c r="AM21" s="44"/>
      <c r="AN21" s="44"/>
      <c r="AO21" s="44"/>
      <c r="AP21" s="44"/>
      <c r="AQ21" s="44"/>
      <c r="AT21" s="265"/>
      <c r="BA21" s="44"/>
      <c r="BB21" s="44"/>
      <c r="BG21" s="265"/>
      <c r="BT21" s="265"/>
      <c r="CH21" s="44"/>
      <c r="CQ21" s="257"/>
      <c r="CS21" s="651"/>
      <c r="CU21" s="10"/>
      <c r="CV21" s="10"/>
      <c r="DI21" s="79"/>
    </row>
    <row r="22" spans="2:113" x14ac:dyDescent="0.35">
      <c r="B22" t="s">
        <v>238</v>
      </c>
      <c r="C22" s="264">
        <v>140</v>
      </c>
      <c r="D22" s="264">
        <v>156</v>
      </c>
      <c r="E22" s="264">
        <v>168</v>
      </c>
      <c r="F22" s="93">
        <f>116</f>
        <v>116</v>
      </c>
      <c r="G22" s="93"/>
      <c r="H22" s="93">
        <v>190</v>
      </c>
      <c r="I22" s="93">
        <v>176</v>
      </c>
      <c r="J22" s="93">
        <f>172+1</f>
        <v>173</v>
      </c>
      <c r="K22" s="265">
        <v>172</v>
      </c>
      <c r="L22" s="265">
        <v>148</v>
      </c>
      <c r="M22" s="265">
        <v>152</v>
      </c>
      <c r="N22" s="265">
        <f>152+22</f>
        <v>174</v>
      </c>
      <c r="O22" s="265">
        <f>152+20</f>
        <v>172</v>
      </c>
      <c r="P22" s="265">
        <v>148</v>
      </c>
      <c r="Q22" s="265">
        <v>149</v>
      </c>
      <c r="R22" s="265">
        <f>160-2</f>
        <v>158</v>
      </c>
      <c r="S22" s="265">
        <v>151</v>
      </c>
      <c r="T22" s="265"/>
      <c r="U22" s="265">
        <v>153</v>
      </c>
      <c r="V22" s="265">
        <f>152-6</f>
        <v>146</v>
      </c>
      <c r="W22" s="265">
        <f>145-3</f>
        <v>142</v>
      </c>
      <c r="X22" s="265">
        <f>146-4</f>
        <v>142</v>
      </c>
      <c r="Y22" s="265">
        <f>160-4</f>
        <v>156</v>
      </c>
      <c r="Z22" s="265">
        <f>157+4</f>
        <v>161</v>
      </c>
      <c r="AA22" s="265">
        <f>158+5</f>
        <v>163</v>
      </c>
      <c r="AB22" s="265">
        <f>159+2</f>
        <v>161</v>
      </c>
      <c r="AC22" s="265">
        <v>153</v>
      </c>
      <c r="AD22" s="265">
        <v>156</v>
      </c>
      <c r="AE22" s="265">
        <v>163</v>
      </c>
      <c r="AF22" s="265">
        <v>176</v>
      </c>
      <c r="AG22" s="265"/>
      <c r="AH22" s="265">
        <f>160-2</f>
        <v>158</v>
      </c>
      <c r="AI22" s="265">
        <v>170</v>
      </c>
      <c r="AJ22" s="265">
        <v>167</v>
      </c>
      <c r="AK22" s="265">
        <v>157</v>
      </c>
      <c r="AL22" s="265">
        <v>152</v>
      </c>
      <c r="AM22" s="265">
        <v>164</v>
      </c>
      <c r="AN22" s="265">
        <v>164</v>
      </c>
      <c r="AO22" s="44">
        <v>165</v>
      </c>
      <c r="AP22" s="44">
        <v>161</v>
      </c>
      <c r="AQ22" s="265">
        <v>161</v>
      </c>
      <c r="AR22" s="44">
        <v>153</v>
      </c>
      <c r="AS22" s="44">
        <v>154</v>
      </c>
      <c r="AT22" s="265"/>
      <c r="AU22" s="44">
        <v>161</v>
      </c>
      <c r="AV22" s="44">
        <v>167</v>
      </c>
      <c r="AW22" s="44">
        <v>183</v>
      </c>
      <c r="AX22" s="44">
        <v>184</v>
      </c>
      <c r="AY22" s="44">
        <v>220</v>
      </c>
      <c r="AZ22" s="44">
        <v>171</v>
      </c>
      <c r="BA22" s="44">
        <v>177</v>
      </c>
      <c r="BB22" s="44">
        <v>165</v>
      </c>
      <c r="BC22" s="376">
        <v>171</v>
      </c>
      <c r="BD22" s="376">
        <v>170</v>
      </c>
      <c r="BE22" s="376">
        <v>170</v>
      </c>
      <c r="BF22" s="376">
        <v>170</v>
      </c>
      <c r="BG22" s="265"/>
      <c r="BH22" s="44">
        <v>188</v>
      </c>
      <c r="BI22" s="44">
        <v>225</v>
      </c>
      <c r="BJ22" s="376">
        <v>236</v>
      </c>
      <c r="BK22" s="376">
        <v>198</v>
      </c>
      <c r="BL22" s="376">
        <v>193</v>
      </c>
      <c r="BM22" s="376">
        <v>193</v>
      </c>
      <c r="BN22" s="376">
        <v>193</v>
      </c>
      <c r="BO22" s="376">
        <v>221</v>
      </c>
      <c r="BP22" s="44">
        <v>198</v>
      </c>
      <c r="BQ22" s="44">
        <v>199</v>
      </c>
      <c r="BR22" s="44">
        <v>228</v>
      </c>
      <c r="BS22" s="44">
        <v>204</v>
      </c>
      <c r="BT22" s="265"/>
      <c r="BU22" s="44">
        <v>116</v>
      </c>
      <c r="BV22" s="44">
        <v>91</v>
      </c>
      <c r="BW22" s="44">
        <v>130</v>
      </c>
      <c r="BX22" s="376">
        <v>153</v>
      </c>
      <c r="BY22" s="376">
        <v>147</v>
      </c>
      <c r="BZ22">
        <v>146</v>
      </c>
      <c r="CA22">
        <v>141</v>
      </c>
      <c r="CB22">
        <v>133</v>
      </c>
      <c r="CC22" s="265">
        <f>134+1</f>
        <v>135</v>
      </c>
      <c r="CD22" s="44">
        <v>135</v>
      </c>
      <c r="CE22" s="44">
        <v>58</v>
      </c>
      <c r="CF22" s="44">
        <v>47</v>
      </c>
      <c r="CG22" s="44"/>
      <c r="CH22" s="224">
        <v>46</v>
      </c>
      <c r="CI22" s="224">
        <v>46</v>
      </c>
      <c r="CJ22" s="431">
        <v>46</v>
      </c>
      <c r="CK22">
        <v>45</v>
      </c>
      <c r="CL22">
        <v>45</v>
      </c>
      <c r="CM22">
        <v>43</v>
      </c>
      <c r="CN22" s="264">
        <v>43</v>
      </c>
      <c r="CO22">
        <v>36</v>
      </c>
      <c r="CP22">
        <v>31</v>
      </c>
      <c r="CQ22" s="243">
        <v>22</v>
      </c>
      <c r="CR22">
        <v>30</v>
      </c>
      <c r="CS22" s="651">
        <v>31</v>
      </c>
      <c r="CU22">
        <v>30</v>
      </c>
      <c r="CV22">
        <v>26</v>
      </c>
      <c r="CW22">
        <v>22</v>
      </c>
      <c r="CX22">
        <v>22</v>
      </c>
      <c r="CY22">
        <v>22</v>
      </c>
      <c r="CZ22">
        <v>22</v>
      </c>
      <c r="DA22">
        <v>19</v>
      </c>
      <c r="DB22">
        <v>16</v>
      </c>
      <c r="DC22">
        <v>16</v>
      </c>
      <c r="DD22">
        <v>21</v>
      </c>
      <c r="DE22">
        <v>29</v>
      </c>
      <c r="DF22">
        <v>27</v>
      </c>
      <c r="DH22">
        <v>28</v>
      </c>
      <c r="DI22" s="79">
        <v>28</v>
      </c>
    </row>
    <row r="23" spans="2:113" x14ac:dyDescent="0.35">
      <c r="B23" t="s">
        <v>239</v>
      </c>
      <c r="C23" s="264">
        <v>0</v>
      </c>
      <c r="D23" s="264">
        <v>0</v>
      </c>
      <c r="E23" s="264">
        <v>0</v>
      </c>
      <c r="F23" s="93"/>
      <c r="G23" s="93"/>
      <c r="H23" s="93"/>
      <c r="I23" s="93"/>
      <c r="J23" s="93"/>
      <c r="K23" s="265"/>
      <c r="L23" s="265"/>
      <c r="M23" s="265"/>
      <c r="N23" s="265"/>
      <c r="O23" s="265"/>
      <c r="P23" s="265"/>
      <c r="Q23" s="265"/>
      <c r="R23" s="265"/>
      <c r="S23" s="265"/>
      <c r="T23" s="265"/>
      <c r="U23" s="265"/>
      <c r="V23" s="265"/>
      <c r="W23" s="265"/>
      <c r="X23" s="265"/>
      <c r="Y23" s="265"/>
      <c r="Z23" s="265"/>
      <c r="AA23" s="265"/>
      <c r="AB23" s="265"/>
      <c r="AC23" s="265"/>
      <c r="AD23" s="265"/>
      <c r="AE23" s="265"/>
      <c r="AF23" s="265"/>
      <c r="AG23" s="265"/>
      <c r="AL23" s="44"/>
      <c r="AM23" s="44"/>
      <c r="AN23" s="44"/>
      <c r="AO23" s="44"/>
      <c r="AP23" s="44"/>
      <c r="AQ23" s="44"/>
      <c r="AT23" s="265"/>
      <c r="BA23" s="44"/>
      <c r="BB23" s="44"/>
      <c r="BG23" s="265"/>
      <c r="BT23" s="265"/>
      <c r="BU23" s="44"/>
      <c r="BV23" s="44"/>
      <c r="BW23" s="44"/>
      <c r="BX23" s="376"/>
      <c r="BY23" s="376"/>
      <c r="CB23">
        <v>124</v>
      </c>
      <c r="CC23" s="265">
        <v>124</v>
      </c>
      <c r="CD23" s="44">
        <v>124</v>
      </c>
      <c r="CE23" s="44">
        <v>124</v>
      </c>
      <c r="CF23" s="44">
        <v>124</v>
      </c>
      <c r="CG23" s="44"/>
      <c r="CH23" s="224">
        <v>124</v>
      </c>
      <c r="CI23" s="224">
        <v>124</v>
      </c>
      <c r="CJ23" s="431">
        <v>124</v>
      </c>
      <c r="CK23">
        <v>124</v>
      </c>
      <c r="CL23">
        <v>124</v>
      </c>
      <c r="CM23">
        <v>124</v>
      </c>
      <c r="CN23" s="264">
        <v>111</v>
      </c>
      <c r="CO23">
        <v>111</v>
      </c>
      <c r="CP23">
        <v>64</v>
      </c>
      <c r="CQ23" s="243">
        <v>50</v>
      </c>
      <c r="CR23">
        <v>50</v>
      </c>
      <c r="CS23" s="651">
        <v>50</v>
      </c>
      <c r="CU23">
        <v>50</v>
      </c>
      <c r="CV23">
        <v>50</v>
      </c>
      <c r="CW23">
        <v>50</v>
      </c>
      <c r="CX23">
        <v>50</v>
      </c>
      <c r="CY23">
        <v>50</v>
      </c>
      <c r="CZ23">
        <v>50</v>
      </c>
      <c r="DA23">
        <v>50</v>
      </c>
      <c r="DB23">
        <v>50</v>
      </c>
      <c r="DC23">
        <v>50</v>
      </c>
      <c r="DD23">
        <v>50</v>
      </c>
      <c r="DE23">
        <v>50</v>
      </c>
      <c r="DF23">
        <v>50</v>
      </c>
      <c r="DH23">
        <v>50</v>
      </c>
      <c r="DI23" s="79">
        <v>50</v>
      </c>
    </row>
    <row r="24" spans="2:113" x14ac:dyDescent="0.35">
      <c r="B24" t="s">
        <v>240</v>
      </c>
      <c r="C24" s="264">
        <v>9</v>
      </c>
      <c r="D24" s="264">
        <v>0</v>
      </c>
      <c r="E24" s="264">
        <v>0</v>
      </c>
      <c r="F24" s="93"/>
      <c r="G24" s="93"/>
      <c r="H24" s="93"/>
      <c r="I24" s="93"/>
      <c r="J24" s="93"/>
      <c r="K24" s="265"/>
      <c r="L24" s="265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  <c r="AA24" s="265"/>
      <c r="AB24" s="265"/>
      <c r="AC24" s="265"/>
      <c r="AD24" s="265"/>
      <c r="AE24" s="265"/>
      <c r="AF24" s="265"/>
      <c r="AG24" s="265"/>
      <c r="AL24" s="44"/>
      <c r="AM24" s="44"/>
      <c r="AN24" s="44"/>
      <c r="AO24" s="44"/>
      <c r="AP24" s="44"/>
      <c r="AQ24" s="44"/>
      <c r="AT24" s="265"/>
      <c r="BA24" s="44"/>
      <c r="BB24" s="44"/>
      <c r="BG24" s="265"/>
      <c r="BT24" s="265"/>
      <c r="BU24" s="44">
        <v>94</v>
      </c>
      <c r="BV24" s="44">
        <v>94</v>
      </c>
      <c r="BW24" s="44">
        <v>55</v>
      </c>
      <c r="BX24" s="376">
        <v>55</v>
      </c>
      <c r="BY24" s="376">
        <v>58</v>
      </c>
      <c r="BZ24">
        <v>58</v>
      </c>
      <c r="CA24">
        <v>58</v>
      </c>
      <c r="CB24">
        <v>58</v>
      </c>
      <c r="CC24" s="265">
        <v>58</v>
      </c>
      <c r="CD24" s="44">
        <v>58</v>
      </c>
      <c r="CE24" s="44">
        <v>0</v>
      </c>
      <c r="CF24" s="44">
        <v>0</v>
      </c>
      <c r="CG24" s="44"/>
      <c r="CH24" s="224">
        <v>4</v>
      </c>
      <c r="CI24" s="224">
        <v>4</v>
      </c>
      <c r="CJ24" s="431">
        <v>4</v>
      </c>
      <c r="CK24">
        <v>4</v>
      </c>
      <c r="CL24">
        <v>4</v>
      </c>
      <c r="CM24">
        <v>4</v>
      </c>
      <c r="CN24" s="264">
        <v>4</v>
      </c>
      <c r="CO24">
        <v>4</v>
      </c>
      <c r="CP24">
        <v>4</v>
      </c>
      <c r="CQ24" s="243">
        <v>4</v>
      </c>
      <c r="CR24">
        <v>4</v>
      </c>
      <c r="CS24" s="651">
        <v>4</v>
      </c>
      <c r="CU24">
        <v>4</v>
      </c>
      <c r="CV24">
        <v>4</v>
      </c>
      <c r="CW24" s="36">
        <v>4</v>
      </c>
      <c r="CX24">
        <v>4</v>
      </c>
      <c r="CY24">
        <v>4</v>
      </c>
      <c r="CZ24">
        <v>4</v>
      </c>
      <c r="DA24">
        <v>4</v>
      </c>
      <c r="DB24">
        <v>4</v>
      </c>
      <c r="DC24">
        <v>4</v>
      </c>
      <c r="DD24">
        <v>4</v>
      </c>
      <c r="DE24">
        <v>4</v>
      </c>
      <c r="DF24">
        <v>4</v>
      </c>
      <c r="DH24">
        <v>4</v>
      </c>
      <c r="DI24" s="79">
        <v>4</v>
      </c>
    </row>
    <row r="25" spans="2:113" x14ac:dyDescent="0.35">
      <c r="C25" s="266">
        <f>SUM(C22:C24)</f>
        <v>149</v>
      </c>
      <c r="D25" s="266">
        <f>SUM(D22:D24)</f>
        <v>156</v>
      </c>
      <c r="E25" s="266">
        <v>168</v>
      </c>
      <c r="F25" s="267">
        <f>F22+F23+F24</f>
        <v>116</v>
      </c>
      <c r="G25" s="93"/>
      <c r="H25" s="267">
        <f t="shared" ref="H25:S25" si="26">SUM(H22:H24)</f>
        <v>190</v>
      </c>
      <c r="I25" s="267">
        <f t="shared" si="26"/>
        <v>176</v>
      </c>
      <c r="J25" s="267">
        <f t="shared" si="26"/>
        <v>173</v>
      </c>
      <c r="K25" s="268">
        <f t="shared" si="26"/>
        <v>172</v>
      </c>
      <c r="L25" s="268">
        <f t="shared" si="26"/>
        <v>148</v>
      </c>
      <c r="M25" s="268">
        <f t="shared" si="26"/>
        <v>152</v>
      </c>
      <c r="N25" s="268">
        <f t="shared" si="26"/>
        <v>174</v>
      </c>
      <c r="O25" s="268">
        <f t="shared" si="26"/>
        <v>172</v>
      </c>
      <c r="P25" s="268">
        <f t="shared" si="26"/>
        <v>148</v>
      </c>
      <c r="Q25" s="268">
        <f t="shared" si="26"/>
        <v>149</v>
      </c>
      <c r="R25" s="268">
        <f t="shared" si="26"/>
        <v>158</v>
      </c>
      <c r="S25" s="268">
        <f t="shared" si="26"/>
        <v>151</v>
      </c>
      <c r="T25" s="265"/>
      <c r="U25" s="268">
        <f t="shared" ref="U25:AF25" si="27">SUM(U22:U24)</f>
        <v>153</v>
      </c>
      <c r="V25" s="268">
        <f t="shared" si="27"/>
        <v>146</v>
      </c>
      <c r="W25" s="268">
        <f t="shared" si="27"/>
        <v>142</v>
      </c>
      <c r="X25" s="268">
        <f t="shared" si="27"/>
        <v>142</v>
      </c>
      <c r="Y25" s="268">
        <f t="shared" si="27"/>
        <v>156</v>
      </c>
      <c r="Z25" s="268">
        <f t="shared" si="27"/>
        <v>161</v>
      </c>
      <c r="AA25" s="268">
        <f t="shared" si="27"/>
        <v>163</v>
      </c>
      <c r="AB25" s="268">
        <f t="shared" si="27"/>
        <v>161</v>
      </c>
      <c r="AC25" s="268">
        <f t="shared" si="27"/>
        <v>153</v>
      </c>
      <c r="AD25" s="268">
        <f t="shared" si="27"/>
        <v>156</v>
      </c>
      <c r="AE25" s="268">
        <f t="shared" si="27"/>
        <v>163</v>
      </c>
      <c r="AF25" s="268">
        <f t="shared" si="27"/>
        <v>176</v>
      </c>
      <c r="AG25" s="265"/>
      <c r="AH25" s="268">
        <f t="shared" ref="AH25:AS25" si="28">SUM(AH22:AH24)</f>
        <v>158</v>
      </c>
      <c r="AI25" s="268">
        <f t="shared" si="28"/>
        <v>170</v>
      </c>
      <c r="AJ25" s="268">
        <f t="shared" si="28"/>
        <v>167</v>
      </c>
      <c r="AK25" s="268">
        <f t="shared" si="28"/>
        <v>157</v>
      </c>
      <c r="AL25" s="268">
        <f t="shared" si="28"/>
        <v>152</v>
      </c>
      <c r="AM25" s="268">
        <f t="shared" si="28"/>
        <v>164</v>
      </c>
      <c r="AN25" s="268">
        <f t="shared" si="28"/>
        <v>164</v>
      </c>
      <c r="AO25" s="268">
        <f t="shared" si="28"/>
        <v>165</v>
      </c>
      <c r="AP25" s="268">
        <f t="shared" si="28"/>
        <v>161</v>
      </c>
      <c r="AQ25" s="268">
        <f t="shared" si="28"/>
        <v>161</v>
      </c>
      <c r="AR25" s="268">
        <f t="shared" si="28"/>
        <v>153</v>
      </c>
      <c r="AS25" s="268">
        <f t="shared" si="28"/>
        <v>154</v>
      </c>
      <c r="AT25" s="265"/>
      <c r="AU25" s="268">
        <f t="shared" ref="AU25:BF25" si="29">SUM(AU22:AU24)</f>
        <v>161</v>
      </c>
      <c r="AV25" s="268">
        <f t="shared" si="29"/>
        <v>167</v>
      </c>
      <c r="AW25" s="268">
        <f t="shared" si="29"/>
        <v>183</v>
      </c>
      <c r="AX25" s="268">
        <f t="shared" si="29"/>
        <v>184</v>
      </c>
      <c r="AY25" s="268">
        <f t="shared" si="29"/>
        <v>220</v>
      </c>
      <c r="AZ25" s="268">
        <f t="shared" si="29"/>
        <v>171</v>
      </c>
      <c r="BA25" s="268">
        <f t="shared" si="29"/>
        <v>177</v>
      </c>
      <c r="BB25" s="268">
        <f t="shared" si="29"/>
        <v>165</v>
      </c>
      <c r="BC25" s="268">
        <f t="shared" si="29"/>
        <v>171</v>
      </c>
      <c r="BD25" s="268">
        <f t="shared" si="29"/>
        <v>170</v>
      </c>
      <c r="BE25" s="268">
        <f t="shared" si="29"/>
        <v>170</v>
      </c>
      <c r="BF25" s="268">
        <f t="shared" si="29"/>
        <v>170</v>
      </c>
      <c r="BG25" s="265"/>
      <c r="BH25" s="268">
        <f t="shared" ref="BH25:BS25" si="30">SUM(BH22:BH24)</f>
        <v>188</v>
      </c>
      <c r="BI25" s="268">
        <f t="shared" si="30"/>
        <v>225</v>
      </c>
      <c r="BJ25" s="268">
        <f t="shared" si="30"/>
        <v>236</v>
      </c>
      <c r="BK25" s="268">
        <f t="shared" si="30"/>
        <v>198</v>
      </c>
      <c r="BL25" s="268">
        <f t="shared" si="30"/>
        <v>193</v>
      </c>
      <c r="BM25" s="268">
        <f t="shared" si="30"/>
        <v>193</v>
      </c>
      <c r="BN25" s="268">
        <f t="shared" si="30"/>
        <v>193</v>
      </c>
      <c r="BO25" s="268">
        <f t="shared" si="30"/>
        <v>221</v>
      </c>
      <c r="BP25" s="268">
        <f t="shared" si="30"/>
        <v>198</v>
      </c>
      <c r="BQ25" s="268">
        <f t="shared" si="30"/>
        <v>199</v>
      </c>
      <c r="BR25" s="268">
        <f t="shared" si="30"/>
        <v>228</v>
      </c>
      <c r="BS25" s="268">
        <f t="shared" si="30"/>
        <v>204</v>
      </c>
      <c r="BT25" s="265"/>
      <c r="BU25" s="268">
        <f t="shared" ref="BU25:CF25" si="31">SUM(BU22:BU24)</f>
        <v>210</v>
      </c>
      <c r="BV25" s="268">
        <f t="shared" si="31"/>
        <v>185</v>
      </c>
      <c r="BW25" s="268">
        <f t="shared" si="31"/>
        <v>185</v>
      </c>
      <c r="BX25" s="268">
        <f t="shared" si="31"/>
        <v>208</v>
      </c>
      <c r="BY25" s="268">
        <f t="shared" si="31"/>
        <v>205</v>
      </c>
      <c r="BZ25" s="232">
        <f t="shared" si="31"/>
        <v>204</v>
      </c>
      <c r="CA25" s="232">
        <f t="shared" si="31"/>
        <v>199</v>
      </c>
      <c r="CB25" s="232">
        <f t="shared" si="31"/>
        <v>315</v>
      </c>
      <c r="CC25" s="268">
        <f t="shared" si="31"/>
        <v>317</v>
      </c>
      <c r="CD25" s="268">
        <f t="shared" si="31"/>
        <v>317</v>
      </c>
      <c r="CE25" s="268">
        <f t="shared" si="31"/>
        <v>182</v>
      </c>
      <c r="CF25" s="268">
        <f t="shared" si="31"/>
        <v>171</v>
      </c>
      <c r="CG25" s="44"/>
      <c r="CH25" s="542">
        <v>174</v>
      </c>
      <c r="CI25" s="542">
        <v>174</v>
      </c>
      <c r="CJ25" s="566">
        <v>174</v>
      </c>
      <c r="CK25" s="232">
        <v>173</v>
      </c>
      <c r="CL25" s="232">
        <v>173</v>
      </c>
      <c r="CM25" s="232">
        <v>171</v>
      </c>
      <c r="CN25" s="232">
        <v>158</v>
      </c>
      <c r="CO25" s="232">
        <v>151</v>
      </c>
      <c r="CP25" s="232">
        <v>99</v>
      </c>
      <c r="CQ25" s="608">
        <v>76</v>
      </c>
      <c r="CR25" s="232">
        <v>84</v>
      </c>
      <c r="CS25" s="652">
        <v>85</v>
      </c>
      <c r="CU25" s="232">
        <v>84</v>
      </c>
      <c r="CV25" s="232">
        <v>80</v>
      </c>
      <c r="CW25">
        <v>76</v>
      </c>
      <c r="CX25" s="232">
        <v>76</v>
      </c>
      <c r="CY25" s="232">
        <v>76</v>
      </c>
      <c r="CZ25" s="232">
        <v>76</v>
      </c>
      <c r="DA25" s="232">
        <v>73</v>
      </c>
      <c r="DB25" s="232">
        <v>70</v>
      </c>
      <c r="DC25" s="232">
        <v>70</v>
      </c>
      <c r="DD25" s="232">
        <v>75</v>
      </c>
      <c r="DE25" s="232">
        <v>83</v>
      </c>
      <c r="DF25" s="232">
        <v>81</v>
      </c>
      <c r="DG25" s="232"/>
      <c r="DH25" s="232">
        <v>82</v>
      </c>
      <c r="DI25" s="691">
        <v>82</v>
      </c>
    </row>
    <row r="26" spans="2:113" x14ac:dyDescent="0.35">
      <c r="C26" s="264"/>
      <c r="D26" s="264"/>
      <c r="E26" s="264"/>
      <c r="F26" s="93"/>
      <c r="G26" s="93"/>
      <c r="H26" s="93"/>
      <c r="I26" s="93"/>
      <c r="J26" s="93"/>
      <c r="K26" s="265"/>
      <c r="L26" s="265"/>
      <c r="M26" s="265"/>
      <c r="N26" s="265"/>
      <c r="O26" s="265"/>
      <c r="P26" s="265"/>
      <c r="Q26" s="265"/>
      <c r="R26" s="265"/>
      <c r="S26" s="265"/>
      <c r="T26" s="265"/>
      <c r="U26" s="265"/>
      <c r="V26" s="265"/>
      <c r="W26" s="265"/>
      <c r="X26" s="265"/>
      <c r="Y26" s="265"/>
      <c r="Z26" s="265"/>
      <c r="AA26" s="265"/>
      <c r="AB26" s="265"/>
      <c r="AC26" s="265"/>
      <c r="AD26" s="265"/>
      <c r="AE26" s="265"/>
      <c r="AF26" s="265"/>
      <c r="AG26" s="265"/>
      <c r="AH26" s="265"/>
      <c r="AI26" s="265"/>
      <c r="AJ26" s="265"/>
      <c r="AL26" s="44"/>
      <c r="AM26" s="44"/>
      <c r="AN26" s="44"/>
      <c r="AO26" s="44"/>
      <c r="AP26" s="44"/>
      <c r="AQ26" s="44"/>
      <c r="AT26" s="265"/>
      <c r="BA26" s="44"/>
      <c r="BB26" s="44"/>
      <c r="BG26" s="265"/>
      <c r="BT26" s="265"/>
      <c r="CC26" s="44"/>
      <c r="CF26" s="44"/>
      <c r="CG26" s="44"/>
      <c r="CH26" s="224"/>
      <c r="CI26" s="44"/>
      <c r="CQ26" s="243"/>
      <c r="CS26" s="651"/>
      <c r="DI26" s="79"/>
    </row>
    <row r="27" spans="2:113" x14ac:dyDescent="0.35">
      <c r="B27" t="s">
        <v>241</v>
      </c>
      <c r="C27" s="264">
        <v>31</v>
      </c>
      <c r="D27" s="264">
        <v>55</v>
      </c>
      <c r="E27" s="264">
        <v>24</v>
      </c>
      <c r="F27" s="93">
        <v>22</v>
      </c>
      <c r="G27" s="93"/>
      <c r="H27" s="93">
        <v>22</v>
      </c>
      <c r="I27" s="93">
        <v>9</v>
      </c>
      <c r="J27" s="93">
        <v>9</v>
      </c>
      <c r="K27" s="265">
        <v>9</v>
      </c>
      <c r="L27" s="265">
        <v>9</v>
      </c>
      <c r="M27" s="265">
        <v>9</v>
      </c>
      <c r="N27" s="93">
        <v>0</v>
      </c>
      <c r="O27" s="93">
        <v>0</v>
      </c>
      <c r="P27" s="93">
        <v>0</v>
      </c>
      <c r="Q27" s="93">
        <v>0</v>
      </c>
      <c r="R27" s="93">
        <v>0</v>
      </c>
      <c r="S27" s="93"/>
      <c r="T27" s="93"/>
      <c r="U27" s="265"/>
      <c r="V27" s="265"/>
      <c r="W27" s="265"/>
      <c r="X27" s="265"/>
      <c r="Y27" s="265"/>
      <c r="Z27" s="265"/>
      <c r="AA27" s="265"/>
      <c r="AB27" s="265"/>
      <c r="AC27" s="265"/>
      <c r="AD27" s="265"/>
      <c r="AE27" s="265"/>
      <c r="AF27" s="265"/>
      <c r="AG27" s="265"/>
      <c r="AH27" s="265"/>
      <c r="AI27" s="265"/>
      <c r="AJ27" s="265"/>
      <c r="AL27" s="44"/>
      <c r="AM27" s="44"/>
      <c r="AN27" s="44"/>
      <c r="AO27" s="44"/>
      <c r="AP27" s="44"/>
      <c r="AQ27" s="44"/>
      <c r="AR27" s="44"/>
      <c r="AT27" s="265"/>
      <c r="BA27" s="44"/>
      <c r="BB27" s="44"/>
      <c r="BG27" s="265"/>
      <c r="BT27" s="265"/>
      <c r="CC27" s="44"/>
      <c r="CF27" s="44"/>
      <c r="CG27" s="44"/>
      <c r="CH27" s="224"/>
      <c r="CI27" s="44"/>
      <c r="CQ27" s="257"/>
      <c r="CS27" s="651"/>
      <c r="DI27" s="79"/>
    </row>
    <row r="28" spans="2:113" x14ac:dyDescent="0.35">
      <c r="B28" t="s">
        <v>242</v>
      </c>
      <c r="C28" s="264">
        <v>0</v>
      </c>
      <c r="D28" s="264">
        <v>18</v>
      </c>
      <c r="E28" s="264">
        <v>37</v>
      </c>
      <c r="F28" s="93">
        <v>3</v>
      </c>
      <c r="G28" s="93"/>
      <c r="H28" s="93">
        <f>30-30</f>
        <v>0</v>
      </c>
      <c r="I28" s="93">
        <v>0</v>
      </c>
      <c r="J28" s="93">
        <v>0</v>
      </c>
      <c r="K28" s="93">
        <v>0</v>
      </c>
      <c r="L28" s="93">
        <v>0</v>
      </c>
      <c r="M28" s="93">
        <v>0</v>
      </c>
      <c r="N28" s="93">
        <v>0</v>
      </c>
      <c r="O28" s="93">
        <v>0</v>
      </c>
      <c r="P28" s="93">
        <v>0</v>
      </c>
      <c r="Q28" s="93">
        <v>0</v>
      </c>
      <c r="R28" s="93">
        <v>0</v>
      </c>
      <c r="S28" s="93"/>
      <c r="T28" s="93"/>
      <c r="U28" s="265"/>
      <c r="V28" s="265"/>
      <c r="W28" s="265"/>
      <c r="X28" s="265"/>
      <c r="Y28" s="265"/>
      <c r="Z28" s="265"/>
      <c r="AA28" s="265"/>
      <c r="AB28" s="265"/>
      <c r="AC28" s="265"/>
      <c r="AD28" s="265"/>
      <c r="AE28" s="265"/>
      <c r="AF28" s="265"/>
      <c r="AG28" s="265"/>
      <c r="AH28" s="265"/>
      <c r="AI28" s="265"/>
      <c r="AJ28" s="265"/>
      <c r="AL28" s="44"/>
      <c r="AM28" s="44"/>
      <c r="AN28" s="44"/>
      <c r="AO28" s="44"/>
      <c r="AP28" s="44"/>
      <c r="AQ28" s="44"/>
      <c r="AR28" s="44"/>
      <c r="AT28" s="265"/>
      <c r="BA28" s="44"/>
      <c r="BB28" s="44"/>
      <c r="BG28" s="265"/>
      <c r="BT28" s="265"/>
      <c r="CC28" s="44"/>
      <c r="CF28" s="44"/>
      <c r="CG28" s="44"/>
      <c r="CH28" s="224"/>
      <c r="CI28" s="44"/>
      <c r="CQ28" s="257"/>
      <c r="CS28" s="651"/>
      <c r="DI28" s="79"/>
    </row>
    <row r="29" spans="2:113" x14ac:dyDescent="0.35">
      <c r="B29" s="270" t="s">
        <v>243</v>
      </c>
      <c r="C29" s="264">
        <v>68</v>
      </c>
      <c r="D29" s="264">
        <v>60</v>
      </c>
      <c r="E29" s="264"/>
      <c r="F29" s="93"/>
      <c r="G29" s="271"/>
      <c r="H29" s="93"/>
      <c r="I29" s="93"/>
      <c r="J29" s="93"/>
      <c r="K29" s="265"/>
      <c r="L29" s="265"/>
      <c r="M29" s="265"/>
      <c r="N29" s="265"/>
      <c r="O29" s="265"/>
      <c r="P29" s="265"/>
      <c r="Q29" s="265"/>
      <c r="R29" s="265"/>
      <c r="S29" s="265"/>
      <c r="T29" s="265"/>
      <c r="U29" s="265"/>
      <c r="V29" s="265"/>
      <c r="W29" s="265"/>
      <c r="X29" s="265"/>
      <c r="Y29" s="265"/>
      <c r="Z29" s="265"/>
      <c r="AA29" s="265"/>
      <c r="AB29" s="265"/>
      <c r="AC29" s="265"/>
      <c r="AD29" s="265"/>
      <c r="AE29" s="265"/>
      <c r="AF29" s="265"/>
      <c r="AG29" s="265"/>
      <c r="AL29" s="44"/>
      <c r="AM29" s="44"/>
      <c r="AN29" s="44"/>
      <c r="AO29" s="44"/>
      <c r="AQ29" s="44"/>
      <c r="AR29" s="44"/>
      <c r="AT29" s="265"/>
      <c r="BA29" s="44"/>
      <c r="BB29" s="44"/>
      <c r="BG29" s="265"/>
      <c r="BT29" s="265"/>
      <c r="CC29" s="44"/>
      <c r="CF29" s="44"/>
      <c r="CG29" s="44"/>
      <c r="CH29" s="224"/>
      <c r="CI29" s="44"/>
      <c r="CQ29" s="257"/>
      <c r="CS29" s="651"/>
      <c r="DI29" s="79"/>
    </row>
    <row r="30" spans="2:113" x14ac:dyDescent="0.35">
      <c r="B30" s="270" t="s">
        <v>244</v>
      </c>
      <c r="C30" s="264">
        <v>2</v>
      </c>
      <c r="D30" s="264">
        <v>1</v>
      </c>
      <c r="E30" s="264">
        <v>1</v>
      </c>
      <c r="F30" s="93">
        <v>0</v>
      </c>
      <c r="G30" s="271"/>
      <c r="H30" s="93"/>
      <c r="I30" s="93"/>
      <c r="J30" s="93"/>
      <c r="K30" s="265"/>
      <c r="L30" s="265"/>
      <c r="M30" s="265"/>
      <c r="N30" s="265"/>
      <c r="O30" s="265"/>
      <c r="P30" s="265"/>
      <c r="Q30" s="265"/>
      <c r="R30" s="265"/>
      <c r="S30" s="265"/>
      <c r="T30" s="265"/>
      <c r="U30" s="265"/>
      <c r="V30" s="265"/>
      <c r="W30" s="265"/>
      <c r="X30" s="265"/>
      <c r="Y30" s="265"/>
      <c r="Z30" s="265"/>
      <c r="AA30" s="265"/>
      <c r="AB30" s="265"/>
      <c r="AC30" s="265"/>
      <c r="AD30" s="265"/>
      <c r="AE30" s="265"/>
      <c r="AF30" s="265"/>
      <c r="AG30" s="265"/>
      <c r="AL30" s="44"/>
      <c r="AM30" s="44"/>
      <c r="AN30" s="44"/>
      <c r="AO30" s="44"/>
      <c r="AQ30" s="44"/>
      <c r="AR30" s="44"/>
      <c r="AT30" s="265"/>
      <c r="BA30" s="44"/>
      <c r="BB30" s="44"/>
      <c r="BG30" s="265"/>
      <c r="BT30" s="265"/>
      <c r="CC30" s="44"/>
      <c r="CF30" s="44"/>
      <c r="CG30" s="44"/>
      <c r="CH30" s="224"/>
      <c r="CI30" s="44"/>
      <c r="CQ30" s="257"/>
      <c r="CS30" s="651"/>
      <c r="DI30" s="79"/>
    </row>
    <row r="31" spans="2:113" x14ac:dyDescent="0.35">
      <c r="B31" s="270" t="s">
        <v>245</v>
      </c>
      <c r="C31" s="264">
        <v>1</v>
      </c>
      <c r="D31" s="264">
        <v>1</v>
      </c>
      <c r="E31" s="264">
        <v>2</v>
      </c>
      <c r="F31" s="93">
        <v>2</v>
      </c>
      <c r="G31" s="271"/>
      <c r="H31" s="93">
        <v>2</v>
      </c>
      <c r="I31" s="93">
        <v>2</v>
      </c>
      <c r="J31" s="93">
        <v>2</v>
      </c>
      <c r="K31" s="265">
        <v>2</v>
      </c>
      <c r="L31" s="265">
        <v>2</v>
      </c>
      <c r="M31" s="265">
        <v>2</v>
      </c>
      <c r="N31" s="265">
        <v>2</v>
      </c>
      <c r="O31" s="265">
        <v>2</v>
      </c>
      <c r="P31" s="265">
        <v>2</v>
      </c>
      <c r="Q31" s="265">
        <v>2</v>
      </c>
      <c r="R31" s="265">
        <v>2</v>
      </c>
      <c r="S31" s="265">
        <v>2</v>
      </c>
      <c r="T31" s="265"/>
      <c r="U31" s="265">
        <v>2</v>
      </c>
      <c r="V31" s="265">
        <v>2</v>
      </c>
      <c r="W31" s="265">
        <v>2</v>
      </c>
      <c r="X31" s="265">
        <v>2</v>
      </c>
      <c r="Y31" s="265">
        <v>2</v>
      </c>
      <c r="Z31" s="265">
        <v>2</v>
      </c>
      <c r="AA31" s="265">
        <v>2</v>
      </c>
      <c r="AB31" s="265">
        <v>2</v>
      </c>
      <c r="AC31" s="265">
        <v>2</v>
      </c>
      <c r="AD31" s="265">
        <v>2</v>
      </c>
      <c r="AE31" s="265">
        <v>2</v>
      </c>
      <c r="AF31" s="265">
        <v>2</v>
      </c>
      <c r="AG31" s="265"/>
      <c r="AH31" s="265">
        <v>2</v>
      </c>
      <c r="AI31" s="265">
        <v>2</v>
      </c>
      <c r="AJ31" s="265"/>
      <c r="AL31" s="44"/>
      <c r="AM31" s="44"/>
      <c r="AN31" s="44"/>
      <c r="AO31" s="44"/>
      <c r="AQ31" s="44"/>
      <c r="AR31" s="44"/>
      <c r="AT31" s="265"/>
      <c r="BA31" s="44"/>
      <c r="BB31" s="44"/>
      <c r="BG31" s="265"/>
      <c r="BI31" s="44"/>
      <c r="BT31" s="265"/>
      <c r="CC31" s="44"/>
      <c r="CF31" s="44"/>
      <c r="CG31" s="44"/>
      <c r="CH31" s="224"/>
      <c r="CI31" s="44"/>
      <c r="CQ31" s="257"/>
      <c r="CS31" s="651"/>
      <c r="DI31" s="79"/>
    </row>
    <row r="32" spans="2:113" x14ac:dyDescent="0.35">
      <c r="B32" s="274" t="s">
        <v>246</v>
      </c>
      <c r="C32" s="264"/>
      <c r="D32" s="264">
        <v>0</v>
      </c>
      <c r="E32" s="264"/>
      <c r="F32" s="93"/>
      <c r="G32" s="275"/>
      <c r="H32" s="93"/>
      <c r="I32" s="93"/>
      <c r="J32" s="93"/>
      <c r="K32" s="265"/>
      <c r="L32" s="265"/>
      <c r="M32" s="265"/>
      <c r="N32" s="265"/>
      <c r="O32" s="265"/>
      <c r="P32" s="265"/>
      <c r="Q32" s="265"/>
      <c r="R32" s="265"/>
      <c r="S32" s="265"/>
      <c r="T32" s="265"/>
      <c r="U32" s="265"/>
      <c r="V32" s="265"/>
      <c r="W32" s="265"/>
      <c r="X32" s="265"/>
      <c r="Y32" s="265"/>
      <c r="Z32" s="265"/>
      <c r="AA32" s="265"/>
      <c r="AB32" s="265"/>
      <c r="AC32" s="265"/>
      <c r="AD32" s="265"/>
      <c r="AE32" s="265"/>
      <c r="AF32" s="265"/>
      <c r="AG32" s="265"/>
      <c r="AL32" s="44"/>
      <c r="AM32" s="44"/>
      <c r="AN32" s="44"/>
      <c r="AO32" s="44"/>
      <c r="AQ32" s="44"/>
      <c r="AR32" s="44"/>
      <c r="AT32" s="265"/>
      <c r="BA32" s="44"/>
      <c r="BB32" s="44"/>
      <c r="BG32" s="265"/>
      <c r="BI32" s="44"/>
      <c r="BT32" s="265"/>
      <c r="CC32" s="44"/>
      <c r="CF32" s="44"/>
      <c r="CG32" s="44"/>
      <c r="CH32" s="224"/>
      <c r="CI32" s="44"/>
      <c r="CQ32" s="257"/>
      <c r="CS32" s="651"/>
      <c r="DI32" s="79"/>
    </row>
    <row r="33" spans="2:113" x14ac:dyDescent="0.35">
      <c r="B33" s="274" t="s">
        <v>247</v>
      </c>
      <c r="C33" s="264"/>
      <c r="D33" s="264">
        <v>1</v>
      </c>
      <c r="E33" s="264">
        <v>1</v>
      </c>
      <c r="F33" s="93">
        <v>1</v>
      </c>
      <c r="G33" s="275"/>
      <c r="H33" s="93">
        <v>1</v>
      </c>
      <c r="I33" s="93">
        <v>1</v>
      </c>
      <c r="J33" s="93">
        <v>1</v>
      </c>
      <c r="K33" s="265">
        <v>1</v>
      </c>
      <c r="L33" s="265">
        <v>1</v>
      </c>
      <c r="M33" s="265">
        <v>1</v>
      </c>
      <c r="N33" s="265">
        <v>1</v>
      </c>
      <c r="O33" s="265">
        <v>1</v>
      </c>
      <c r="P33" s="265">
        <v>1</v>
      </c>
      <c r="Q33" s="265">
        <v>1</v>
      </c>
      <c r="R33" s="265">
        <v>1</v>
      </c>
      <c r="S33" s="265">
        <v>1</v>
      </c>
      <c r="T33" s="265"/>
      <c r="U33" s="265">
        <v>1</v>
      </c>
      <c r="V33" s="265">
        <v>1</v>
      </c>
      <c r="W33" s="265">
        <v>1</v>
      </c>
      <c r="X33" s="265">
        <v>1</v>
      </c>
      <c r="Y33" s="265">
        <v>1</v>
      </c>
      <c r="Z33" s="265">
        <v>1</v>
      </c>
      <c r="AA33" s="265">
        <v>1</v>
      </c>
      <c r="AB33" s="265">
        <v>1</v>
      </c>
      <c r="AC33" s="265">
        <v>1</v>
      </c>
      <c r="AD33" s="265">
        <v>1</v>
      </c>
      <c r="AE33" s="265">
        <v>1</v>
      </c>
      <c r="AF33" s="265">
        <v>1</v>
      </c>
      <c r="AG33" s="265"/>
      <c r="AH33" s="265">
        <v>1</v>
      </c>
      <c r="AI33" s="265">
        <v>1</v>
      </c>
      <c r="AJ33" s="265"/>
      <c r="AL33" s="44"/>
      <c r="AM33" s="44"/>
      <c r="AN33" s="44"/>
      <c r="AO33" s="44"/>
      <c r="AP33" s="44"/>
      <c r="AQ33" s="44"/>
      <c r="AR33" s="44"/>
      <c r="AT33" s="265"/>
      <c r="BA33" s="44"/>
      <c r="BB33" s="44"/>
      <c r="BG33" s="265"/>
      <c r="BI33" s="44"/>
      <c r="BT33" s="265"/>
      <c r="CC33" s="44"/>
      <c r="CF33" s="44"/>
      <c r="CG33" s="44"/>
      <c r="CH33" s="224"/>
      <c r="CI33" s="44"/>
      <c r="CQ33" s="257"/>
      <c r="CS33" s="651"/>
      <c r="DI33" s="79"/>
    </row>
    <row r="34" spans="2:113" x14ac:dyDescent="0.35">
      <c r="B34" s="274" t="s">
        <v>248</v>
      </c>
      <c r="C34" s="264"/>
      <c r="D34" s="264"/>
      <c r="E34" s="264">
        <v>15</v>
      </c>
      <c r="F34" s="93">
        <v>15</v>
      </c>
      <c r="G34" s="275"/>
      <c r="H34" s="93">
        <v>15</v>
      </c>
      <c r="I34" s="93">
        <v>0</v>
      </c>
      <c r="J34" s="93">
        <v>0</v>
      </c>
      <c r="K34" s="93">
        <v>0</v>
      </c>
      <c r="L34" s="93">
        <v>0</v>
      </c>
      <c r="M34" s="93">
        <v>0</v>
      </c>
      <c r="N34" s="93">
        <v>0</v>
      </c>
      <c r="O34" s="93">
        <v>0</v>
      </c>
      <c r="P34" s="93">
        <v>0</v>
      </c>
      <c r="Q34" s="265"/>
      <c r="R34" s="265"/>
      <c r="S34" s="265"/>
      <c r="T34" s="265"/>
      <c r="U34" s="265"/>
      <c r="V34" s="265"/>
      <c r="W34" s="265"/>
      <c r="X34" s="265"/>
      <c r="Y34" s="265"/>
      <c r="Z34" s="265"/>
      <c r="AA34" s="265"/>
      <c r="AB34" s="265"/>
      <c r="AC34" s="265"/>
      <c r="AD34" s="265"/>
      <c r="AE34" s="265"/>
      <c r="AF34" s="265"/>
      <c r="AG34" s="265"/>
      <c r="AH34" s="265"/>
      <c r="AI34" s="265"/>
      <c r="AJ34" s="265"/>
      <c r="AL34" s="44"/>
      <c r="AM34" s="44"/>
      <c r="AN34" s="44"/>
      <c r="AO34" s="44"/>
      <c r="AP34" s="44"/>
      <c r="AQ34" s="44"/>
      <c r="AR34" s="44"/>
      <c r="AT34" s="265"/>
      <c r="BA34" s="44"/>
      <c r="BB34" s="44"/>
      <c r="BG34" s="265"/>
      <c r="BI34" s="44"/>
      <c r="BT34" s="265"/>
      <c r="CC34" s="44"/>
      <c r="CF34" s="44"/>
      <c r="CG34" s="44"/>
      <c r="CH34" s="224"/>
      <c r="CI34" s="44"/>
      <c r="CQ34" s="257"/>
      <c r="CS34" s="651"/>
      <c r="DI34" s="79"/>
    </row>
    <row r="35" spans="2:113" x14ac:dyDescent="0.35">
      <c r="B35" s="274" t="s">
        <v>249</v>
      </c>
      <c r="C35" s="264"/>
      <c r="D35" s="264"/>
      <c r="E35" s="264"/>
      <c r="F35" s="93"/>
      <c r="G35" s="275"/>
      <c r="H35" s="93"/>
      <c r="I35" s="93"/>
      <c r="J35" s="93"/>
      <c r="K35" s="265"/>
      <c r="L35" s="265"/>
      <c r="M35" s="265"/>
      <c r="N35" s="265"/>
      <c r="O35" s="265"/>
      <c r="P35" s="265"/>
      <c r="Q35" s="265"/>
      <c r="R35" s="265"/>
      <c r="S35" s="265"/>
      <c r="T35" s="265"/>
      <c r="U35" s="265"/>
      <c r="V35" s="265"/>
      <c r="W35" s="265"/>
      <c r="X35" s="265"/>
      <c r="Y35" s="265"/>
      <c r="Z35" s="265"/>
      <c r="AA35" s="265"/>
      <c r="AB35" s="265"/>
      <c r="AC35" s="265"/>
      <c r="AD35" s="265"/>
      <c r="AE35" s="265"/>
      <c r="AF35" s="265"/>
      <c r="AG35" s="265"/>
      <c r="AL35" s="44"/>
      <c r="AM35" s="44"/>
      <c r="AN35" s="44"/>
      <c r="AO35" s="44"/>
      <c r="AP35" s="44"/>
      <c r="AQ35" s="44"/>
      <c r="AR35" s="44"/>
      <c r="AT35" s="265"/>
      <c r="BA35" s="44"/>
      <c r="BB35" s="44"/>
      <c r="BG35" s="265"/>
      <c r="BI35" s="44"/>
      <c r="BT35" s="265"/>
      <c r="CC35" s="44"/>
      <c r="CF35" s="44"/>
      <c r="CG35" s="44"/>
      <c r="CH35" s="224"/>
      <c r="CI35" s="44"/>
      <c r="CQ35" s="257"/>
      <c r="CS35" s="651"/>
      <c r="DI35" s="79"/>
    </row>
    <row r="36" spans="2:113" x14ac:dyDescent="0.35">
      <c r="B36" s="274" t="s">
        <v>250</v>
      </c>
      <c r="C36" s="264"/>
      <c r="D36" s="264"/>
      <c r="E36" s="264"/>
      <c r="F36" s="93">
        <v>70</v>
      </c>
      <c r="G36" s="275"/>
      <c r="H36" s="93">
        <v>68</v>
      </c>
      <c r="I36" s="93">
        <v>67</v>
      </c>
      <c r="J36" s="93">
        <v>64</v>
      </c>
      <c r="K36" s="265">
        <v>65</v>
      </c>
      <c r="L36" s="265">
        <v>61</v>
      </c>
      <c r="M36" s="265">
        <v>61</v>
      </c>
      <c r="N36" s="265">
        <v>61</v>
      </c>
      <c r="O36" s="265">
        <v>61</v>
      </c>
      <c r="P36" s="265">
        <v>54</v>
      </c>
      <c r="Q36" s="265">
        <v>53</v>
      </c>
      <c r="R36" s="265">
        <v>53</v>
      </c>
      <c r="S36" s="265">
        <v>46</v>
      </c>
      <c r="T36" s="265"/>
      <c r="U36" s="265">
        <v>46</v>
      </c>
      <c r="V36" s="265">
        <v>46</v>
      </c>
      <c r="W36" s="265">
        <v>44</v>
      </c>
      <c r="X36" s="265">
        <v>44</v>
      </c>
      <c r="Y36" s="265">
        <v>44</v>
      </c>
      <c r="Z36" s="265">
        <v>44</v>
      </c>
      <c r="AA36" s="265">
        <v>44</v>
      </c>
      <c r="AB36" s="265">
        <v>24</v>
      </c>
      <c r="AC36" s="265">
        <v>0</v>
      </c>
      <c r="AD36" s="265"/>
      <c r="AE36" s="265"/>
      <c r="AF36" s="265"/>
      <c r="AG36" s="265"/>
      <c r="AH36" s="265"/>
      <c r="AI36" s="265"/>
      <c r="AJ36" s="265"/>
      <c r="AK36" s="265"/>
      <c r="AL36" s="44"/>
      <c r="AM36" s="44"/>
      <c r="AN36" s="44"/>
      <c r="AO36" s="44"/>
      <c r="AP36" s="44"/>
      <c r="AQ36" s="44"/>
      <c r="AR36" s="44"/>
      <c r="AT36" s="265"/>
      <c r="BA36" s="44"/>
      <c r="BB36" s="44"/>
      <c r="BG36" s="265"/>
      <c r="BI36" s="44"/>
      <c r="BT36" s="265"/>
      <c r="CC36" s="44"/>
      <c r="CF36" s="44"/>
      <c r="CG36" s="44"/>
      <c r="CH36" s="224"/>
      <c r="CI36" s="44"/>
      <c r="CQ36" s="257"/>
      <c r="CS36" s="651"/>
      <c r="DI36" s="79"/>
    </row>
    <row r="37" spans="2:113" x14ac:dyDescent="0.35">
      <c r="B37" s="274" t="s">
        <v>251</v>
      </c>
      <c r="C37" s="264">
        <v>0</v>
      </c>
      <c r="D37" s="264">
        <v>41</v>
      </c>
      <c r="E37" s="264">
        <v>1</v>
      </c>
      <c r="F37" s="93"/>
      <c r="G37" s="275"/>
      <c r="H37" s="93"/>
      <c r="I37" s="93"/>
      <c r="J37" s="93"/>
      <c r="K37" s="265"/>
      <c r="L37" s="265"/>
      <c r="M37" s="265"/>
      <c r="N37" s="265"/>
      <c r="O37" s="265"/>
      <c r="P37" s="265"/>
      <c r="Q37" s="265"/>
      <c r="R37" s="265"/>
      <c r="S37" s="265"/>
      <c r="T37" s="265"/>
      <c r="U37" s="265"/>
      <c r="V37" s="265"/>
      <c r="W37" s="265"/>
      <c r="X37" s="265"/>
      <c r="Y37" s="265"/>
      <c r="Z37" s="265"/>
      <c r="AA37" s="265"/>
      <c r="AB37" s="265"/>
      <c r="AC37" s="265"/>
      <c r="AD37" s="265"/>
      <c r="AE37" s="265"/>
      <c r="AF37" s="265"/>
      <c r="AG37" s="265"/>
      <c r="AK37" s="265"/>
      <c r="AL37" s="44"/>
      <c r="AM37" s="44"/>
      <c r="AN37" s="44"/>
      <c r="AO37" s="44"/>
      <c r="AP37" s="44"/>
      <c r="AQ37" s="44"/>
      <c r="AR37" s="44"/>
      <c r="AT37" s="265"/>
      <c r="BA37" s="44"/>
      <c r="BB37" s="44"/>
      <c r="BG37" s="265"/>
      <c r="BI37" s="44"/>
      <c r="BT37" s="265"/>
      <c r="CC37" s="44"/>
      <c r="CF37" s="44"/>
      <c r="CG37" s="44"/>
      <c r="CH37" s="224"/>
      <c r="CI37" s="44"/>
      <c r="CQ37" s="257"/>
      <c r="CS37" s="651"/>
      <c r="DI37" s="79"/>
    </row>
    <row r="38" spans="2:113" x14ac:dyDescent="0.35">
      <c r="B38" s="274" t="s">
        <v>252</v>
      </c>
      <c r="C38" s="264"/>
      <c r="D38" s="264"/>
      <c r="E38" s="264"/>
      <c r="F38" s="93"/>
      <c r="G38" s="275"/>
      <c r="H38" s="93"/>
      <c r="I38" s="93"/>
      <c r="J38" s="93"/>
      <c r="K38" s="265"/>
      <c r="L38" s="265"/>
      <c r="M38" s="265"/>
      <c r="N38" s="265"/>
      <c r="O38" s="265"/>
      <c r="P38" s="265"/>
      <c r="Q38" s="265"/>
      <c r="R38" s="265"/>
      <c r="S38" s="265"/>
      <c r="T38" s="265"/>
      <c r="U38" s="265"/>
      <c r="V38" s="265"/>
      <c r="W38" s="265"/>
      <c r="X38" s="265"/>
      <c r="Y38" s="265"/>
      <c r="Z38" s="265"/>
      <c r="AA38" s="265"/>
      <c r="AB38" s="265"/>
      <c r="AC38" s="265"/>
      <c r="AD38" s="265"/>
      <c r="AE38" s="265"/>
      <c r="AF38" s="265"/>
      <c r="AG38" s="265"/>
      <c r="AK38" s="265"/>
      <c r="AL38" s="44"/>
      <c r="AM38" s="44"/>
      <c r="AN38" s="44"/>
      <c r="AO38" s="44"/>
      <c r="AP38" s="44"/>
      <c r="AQ38" s="44"/>
      <c r="AR38" s="44"/>
      <c r="AT38" s="265"/>
      <c r="BA38" s="44"/>
      <c r="BB38" s="44"/>
      <c r="BG38" s="265"/>
      <c r="BI38" s="44"/>
      <c r="BT38" s="265"/>
      <c r="CC38" s="44"/>
      <c r="CF38" s="44"/>
      <c r="CG38" s="44"/>
      <c r="CH38" s="224"/>
      <c r="CI38" s="44"/>
      <c r="CQ38" s="257"/>
      <c r="CS38" s="651"/>
      <c r="DI38" s="79"/>
    </row>
    <row r="39" spans="2:113" x14ac:dyDescent="0.35">
      <c r="B39" s="274" t="s">
        <v>253</v>
      </c>
      <c r="C39" s="264"/>
      <c r="D39" s="264"/>
      <c r="E39" s="264">
        <v>169</v>
      </c>
      <c r="F39" s="93">
        <f>5</f>
        <v>5</v>
      </c>
      <c r="G39" s="275"/>
      <c r="H39" s="93">
        <v>65</v>
      </c>
      <c r="I39" s="93">
        <v>38</v>
      </c>
      <c r="J39" s="93">
        <v>61</v>
      </c>
      <c r="K39" s="265">
        <v>33</v>
      </c>
      <c r="L39" s="265">
        <v>76</v>
      </c>
      <c r="M39" s="265">
        <v>57</v>
      </c>
      <c r="N39" s="265">
        <v>45</v>
      </c>
      <c r="O39" s="265">
        <v>42</v>
      </c>
      <c r="P39" s="265">
        <v>112</v>
      </c>
      <c r="Q39" s="265">
        <v>102</v>
      </c>
      <c r="R39" s="265">
        <v>88</v>
      </c>
      <c r="S39" s="265">
        <v>80</v>
      </c>
      <c r="T39" s="265"/>
      <c r="U39" s="265">
        <v>71</v>
      </c>
      <c r="V39" s="265">
        <v>129</v>
      </c>
      <c r="W39" s="265">
        <v>114</v>
      </c>
      <c r="X39" s="265">
        <v>95</v>
      </c>
      <c r="Y39" s="265">
        <v>83</v>
      </c>
      <c r="Z39" s="265">
        <v>75</v>
      </c>
      <c r="AA39" s="265">
        <v>64</v>
      </c>
      <c r="AB39" s="265">
        <v>58</v>
      </c>
      <c r="AC39" s="265">
        <v>41</v>
      </c>
      <c r="AD39" s="265">
        <v>35</v>
      </c>
      <c r="AE39" s="265">
        <v>22</v>
      </c>
      <c r="AF39" s="265">
        <v>20</v>
      </c>
      <c r="AG39" s="265"/>
      <c r="AH39" s="265">
        <v>7</v>
      </c>
      <c r="AI39" s="265">
        <v>7</v>
      </c>
      <c r="AJ39" s="265">
        <v>1</v>
      </c>
      <c r="AK39" s="265">
        <v>1</v>
      </c>
      <c r="AL39" s="265">
        <v>1</v>
      </c>
      <c r="AM39" s="265">
        <v>1</v>
      </c>
      <c r="AN39" s="265">
        <v>1</v>
      </c>
      <c r="AO39" s="44">
        <v>1</v>
      </c>
      <c r="AP39" s="44">
        <v>1</v>
      </c>
      <c r="AQ39" s="265">
        <v>1</v>
      </c>
      <c r="AR39" s="44">
        <v>1</v>
      </c>
      <c r="AS39" s="44">
        <v>1</v>
      </c>
      <c r="AT39" s="265"/>
      <c r="AU39" s="44">
        <v>1</v>
      </c>
      <c r="AV39" s="44">
        <v>1</v>
      </c>
      <c r="AW39" s="44">
        <v>1</v>
      </c>
      <c r="AX39" s="44">
        <v>1</v>
      </c>
      <c r="AY39" s="44">
        <v>1</v>
      </c>
      <c r="AZ39" s="44">
        <v>1</v>
      </c>
      <c r="BA39" s="44">
        <v>1</v>
      </c>
      <c r="BB39" s="44">
        <v>1</v>
      </c>
      <c r="BC39" s="44">
        <v>1</v>
      </c>
      <c r="BD39" s="376">
        <v>1</v>
      </c>
      <c r="BE39" s="44">
        <v>1</v>
      </c>
      <c r="BF39" s="44">
        <v>1</v>
      </c>
      <c r="BG39" s="265"/>
      <c r="BH39" s="44">
        <v>1</v>
      </c>
      <c r="BI39" s="44">
        <v>1</v>
      </c>
      <c r="BJ39" s="44">
        <v>1</v>
      </c>
      <c r="BK39" s="44">
        <v>1</v>
      </c>
      <c r="BL39" s="44">
        <v>1</v>
      </c>
      <c r="BM39" s="376">
        <v>1</v>
      </c>
      <c r="BN39" s="44">
        <v>1</v>
      </c>
      <c r="BO39" s="44">
        <v>1</v>
      </c>
      <c r="BP39" s="44">
        <v>1</v>
      </c>
      <c r="BQ39" s="44">
        <v>1</v>
      </c>
      <c r="BR39" s="44">
        <v>1</v>
      </c>
      <c r="BS39" s="44">
        <v>1</v>
      </c>
      <c r="BT39" s="265"/>
      <c r="BU39" s="44">
        <v>1</v>
      </c>
      <c r="BV39" s="44">
        <v>1</v>
      </c>
      <c r="CC39" s="44"/>
      <c r="CF39" s="44"/>
      <c r="CG39" s="44"/>
      <c r="CH39" s="224"/>
      <c r="CI39" s="44"/>
      <c r="CQ39" s="257"/>
      <c r="CS39" s="651"/>
      <c r="DI39" s="79"/>
    </row>
    <row r="40" spans="2:113" x14ac:dyDescent="0.35">
      <c r="B40" s="274" t="s">
        <v>254</v>
      </c>
      <c r="C40" s="264"/>
      <c r="D40" s="264"/>
      <c r="E40" s="264"/>
      <c r="F40" s="93"/>
      <c r="G40" s="275"/>
      <c r="H40" s="93"/>
      <c r="I40" s="93"/>
      <c r="J40" s="93"/>
      <c r="K40" s="265"/>
      <c r="L40" s="265"/>
      <c r="M40" s="265"/>
      <c r="N40" s="265"/>
      <c r="O40" s="265"/>
      <c r="P40" s="265"/>
      <c r="Q40" s="265"/>
      <c r="R40" s="265"/>
      <c r="S40" s="347">
        <v>0</v>
      </c>
      <c r="T40" s="265"/>
      <c r="U40" s="347">
        <v>0</v>
      </c>
      <c r="V40" s="265">
        <v>69</v>
      </c>
      <c r="W40" s="265">
        <v>135</v>
      </c>
      <c r="X40" s="265">
        <v>0</v>
      </c>
      <c r="Y40" s="265">
        <v>0</v>
      </c>
      <c r="Z40" s="265">
        <v>0</v>
      </c>
      <c r="AA40" s="265"/>
      <c r="AB40" s="265"/>
      <c r="AC40" s="265"/>
      <c r="AD40" s="265"/>
      <c r="AE40" s="265"/>
      <c r="AF40" s="265"/>
      <c r="AG40" s="265"/>
      <c r="AH40" s="265"/>
      <c r="AI40" s="265"/>
      <c r="AJ40" s="265"/>
      <c r="AK40" s="265"/>
      <c r="AL40" s="44"/>
      <c r="AM40" s="44"/>
      <c r="AN40" s="44"/>
      <c r="AO40" s="44"/>
      <c r="AP40" s="44"/>
      <c r="AQ40" s="44"/>
      <c r="AR40" s="44"/>
      <c r="AS40" s="44"/>
      <c r="AT40" s="265"/>
      <c r="AU40" s="44"/>
      <c r="AV40" s="44"/>
      <c r="BA40" s="44"/>
      <c r="BB40" s="44"/>
      <c r="BC40" s="44"/>
      <c r="BD40" s="376"/>
      <c r="BE40" s="44"/>
      <c r="BF40" s="44"/>
      <c r="BG40" s="265"/>
      <c r="BH40" s="44"/>
      <c r="BI40" s="44"/>
      <c r="BJ40" s="44"/>
      <c r="BK40" s="44"/>
      <c r="BL40" s="44"/>
      <c r="BM40" s="376"/>
      <c r="BN40" s="44"/>
      <c r="BP40" s="44"/>
      <c r="BQ40" s="44"/>
      <c r="BR40" s="44"/>
      <c r="BS40" s="44"/>
      <c r="BT40" s="265"/>
      <c r="BU40" s="44"/>
      <c r="BV40" s="44"/>
      <c r="CC40" s="44"/>
      <c r="CF40" s="44"/>
      <c r="CG40" s="44"/>
      <c r="CH40" s="224"/>
      <c r="CI40" s="44"/>
      <c r="CQ40" s="257"/>
      <c r="CS40" s="651"/>
      <c r="DI40" s="79"/>
    </row>
    <row r="41" spans="2:113" x14ac:dyDescent="0.35">
      <c r="B41" s="274" t="s">
        <v>255</v>
      </c>
      <c r="C41" s="264"/>
      <c r="D41" s="264"/>
      <c r="E41" s="264"/>
      <c r="F41" s="93">
        <v>0</v>
      </c>
      <c r="G41" s="275"/>
      <c r="H41" s="93">
        <v>1</v>
      </c>
      <c r="I41" s="93">
        <v>1</v>
      </c>
      <c r="J41" s="93">
        <v>1</v>
      </c>
      <c r="K41" s="265">
        <v>1</v>
      </c>
      <c r="L41" s="265">
        <v>1</v>
      </c>
      <c r="M41" s="265">
        <v>1</v>
      </c>
      <c r="N41" s="265">
        <v>1</v>
      </c>
      <c r="O41" s="265">
        <v>1</v>
      </c>
      <c r="P41" s="265">
        <v>1</v>
      </c>
      <c r="Q41" s="265">
        <v>1</v>
      </c>
      <c r="R41" s="265">
        <v>1</v>
      </c>
      <c r="S41" s="265">
        <v>1</v>
      </c>
      <c r="T41" s="265"/>
      <c r="U41" s="265">
        <v>1</v>
      </c>
      <c r="V41" s="265">
        <v>1</v>
      </c>
      <c r="W41" s="265">
        <v>1</v>
      </c>
      <c r="X41" s="265">
        <v>1</v>
      </c>
      <c r="Y41" s="265">
        <v>1</v>
      </c>
      <c r="Z41" s="265">
        <v>50</v>
      </c>
      <c r="AA41" s="265">
        <v>1</v>
      </c>
      <c r="AB41" s="265">
        <v>1</v>
      </c>
      <c r="AC41" s="265">
        <v>1</v>
      </c>
      <c r="AD41" s="265">
        <v>0</v>
      </c>
      <c r="AE41" s="265">
        <v>1</v>
      </c>
      <c r="AF41" s="265">
        <v>1</v>
      </c>
      <c r="AG41" s="265"/>
      <c r="AH41" s="265">
        <v>1</v>
      </c>
      <c r="AI41" s="265">
        <v>1</v>
      </c>
      <c r="AJ41" s="265">
        <v>1</v>
      </c>
      <c r="AK41" s="265">
        <v>1</v>
      </c>
      <c r="AL41" s="265">
        <v>1</v>
      </c>
      <c r="AM41" s="265">
        <v>1</v>
      </c>
      <c r="AN41" s="265">
        <v>1</v>
      </c>
      <c r="AO41" s="44">
        <v>1</v>
      </c>
      <c r="AP41" s="44">
        <v>1</v>
      </c>
      <c r="AQ41" s="265">
        <v>1</v>
      </c>
      <c r="AR41" s="44">
        <v>1</v>
      </c>
      <c r="AS41" s="44">
        <v>1</v>
      </c>
      <c r="AT41" s="265"/>
      <c r="AU41" s="44">
        <v>1</v>
      </c>
      <c r="AV41" s="44">
        <v>1</v>
      </c>
      <c r="AW41" s="44">
        <v>1</v>
      </c>
      <c r="AX41" s="44">
        <v>1</v>
      </c>
      <c r="AY41" s="44">
        <v>1</v>
      </c>
      <c r="AZ41" s="44">
        <v>1</v>
      </c>
      <c r="BA41" s="44">
        <v>1</v>
      </c>
      <c r="BB41" s="44">
        <v>1</v>
      </c>
      <c r="BC41" s="44">
        <v>1</v>
      </c>
      <c r="BD41" s="376">
        <v>1</v>
      </c>
      <c r="BE41" s="44">
        <v>1</v>
      </c>
      <c r="BF41" s="44">
        <v>1</v>
      </c>
      <c r="BG41" s="265"/>
      <c r="BH41" s="44">
        <v>1</v>
      </c>
      <c r="BI41" s="44">
        <v>1</v>
      </c>
      <c r="BJ41" s="44">
        <v>1</v>
      </c>
      <c r="BK41" s="44">
        <v>1</v>
      </c>
      <c r="BL41" s="44">
        <v>0</v>
      </c>
      <c r="BM41" s="376">
        <v>0</v>
      </c>
      <c r="BN41" s="44">
        <v>0</v>
      </c>
      <c r="BP41" s="44"/>
      <c r="BQ41" s="44"/>
      <c r="BR41" s="44"/>
      <c r="BS41" s="44"/>
      <c r="BT41" s="265"/>
      <c r="BU41" s="44"/>
      <c r="BV41" s="44"/>
      <c r="CC41" s="44"/>
      <c r="CF41" s="44"/>
      <c r="CG41" s="44"/>
      <c r="CH41" s="224"/>
      <c r="CI41" s="44"/>
      <c r="CQ41" s="257"/>
      <c r="CS41" s="651"/>
      <c r="DI41" s="79"/>
    </row>
    <row r="42" spans="2:113" x14ac:dyDescent="0.35">
      <c r="B42" s="274" t="s">
        <v>254</v>
      </c>
      <c r="C42" s="264"/>
      <c r="D42" s="264"/>
      <c r="E42" s="264">
        <v>5</v>
      </c>
      <c r="F42" s="93"/>
      <c r="G42" s="275"/>
      <c r="H42" s="93"/>
      <c r="I42" s="93"/>
      <c r="J42" s="93"/>
      <c r="K42" s="265"/>
      <c r="L42" s="265"/>
      <c r="M42" s="265"/>
      <c r="N42" s="265"/>
      <c r="O42" s="265"/>
      <c r="P42" s="265"/>
      <c r="Q42" s="265"/>
      <c r="R42" s="265"/>
      <c r="S42" s="265"/>
      <c r="T42" s="265"/>
      <c r="U42" s="265"/>
      <c r="V42" s="265"/>
      <c r="W42" s="265"/>
      <c r="X42" s="265"/>
      <c r="Y42" s="265"/>
      <c r="Z42" s="265"/>
      <c r="AA42" s="265"/>
      <c r="AB42" s="265"/>
      <c r="AC42" s="265"/>
      <c r="AD42" s="265"/>
      <c r="AE42" s="265"/>
      <c r="AF42" s="265"/>
      <c r="AG42" s="265"/>
      <c r="AK42" s="265"/>
      <c r="AL42" s="44"/>
      <c r="AM42" s="44"/>
      <c r="AN42" s="44"/>
      <c r="AO42" s="44"/>
      <c r="AP42" s="44"/>
      <c r="AQ42" s="44"/>
      <c r="AR42" s="44"/>
      <c r="AS42" s="44"/>
      <c r="AT42" s="265"/>
      <c r="AU42" s="44"/>
      <c r="AV42" s="44"/>
      <c r="BA42" s="44"/>
      <c r="BB42" s="44"/>
      <c r="BC42" s="44"/>
      <c r="BD42" s="376"/>
      <c r="BE42" s="44"/>
      <c r="BF42" s="44"/>
      <c r="BG42" s="265"/>
      <c r="BH42" s="44"/>
      <c r="BI42" s="44"/>
      <c r="BJ42" s="44"/>
      <c r="BK42" s="44"/>
      <c r="BL42" s="44"/>
      <c r="BM42" s="376"/>
      <c r="BN42" s="44"/>
      <c r="BP42" s="44"/>
      <c r="BQ42" s="44"/>
      <c r="BR42" s="44"/>
      <c r="BS42" s="44"/>
      <c r="BT42" s="265"/>
      <c r="BU42" s="44"/>
      <c r="BV42" s="44"/>
      <c r="CC42" s="44"/>
      <c r="CF42" s="44"/>
      <c r="CG42" s="44"/>
      <c r="CH42" s="224"/>
      <c r="CI42" s="44"/>
      <c r="CQ42" s="257"/>
      <c r="CS42" s="651"/>
      <c r="DI42" s="79"/>
    </row>
    <row r="43" spans="2:113" x14ac:dyDescent="0.35">
      <c r="B43" s="274" t="s">
        <v>256</v>
      </c>
      <c r="C43" s="264"/>
      <c r="D43" s="264">
        <v>39</v>
      </c>
      <c r="E43" s="264">
        <v>36</v>
      </c>
      <c r="F43" s="93">
        <v>33</v>
      </c>
      <c r="G43" s="275"/>
      <c r="H43" s="93">
        <v>33</v>
      </c>
      <c r="I43" s="93">
        <v>33</v>
      </c>
      <c r="J43" s="93">
        <v>33</v>
      </c>
      <c r="K43" s="265">
        <v>33</v>
      </c>
      <c r="L43" s="265">
        <v>33</v>
      </c>
      <c r="M43" s="265">
        <v>33</v>
      </c>
      <c r="N43" s="265">
        <v>33</v>
      </c>
      <c r="O43" s="265">
        <v>33</v>
      </c>
      <c r="P43" s="265">
        <v>33</v>
      </c>
      <c r="Q43" s="265">
        <v>33</v>
      </c>
      <c r="R43" s="265">
        <v>33</v>
      </c>
      <c r="S43" s="265">
        <v>33</v>
      </c>
      <c r="T43" s="265"/>
      <c r="U43" s="265">
        <v>33</v>
      </c>
      <c r="V43" s="265">
        <v>33</v>
      </c>
      <c r="W43" s="265">
        <v>33</v>
      </c>
      <c r="X43" s="265">
        <v>33</v>
      </c>
      <c r="Y43" s="265">
        <v>33</v>
      </c>
      <c r="Z43" s="265">
        <v>33</v>
      </c>
      <c r="AA43" s="265">
        <v>33</v>
      </c>
      <c r="AB43" s="265">
        <v>33</v>
      </c>
      <c r="AC43" s="265">
        <v>33</v>
      </c>
      <c r="AD43" s="265">
        <v>33</v>
      </c>
      <c r="AE43" s="265">
        <v>33</v>
      </c>
      <c r="AF43" s="265">
        <v>33</v>
      </c>
      <c r="AG43" s="265"/>
      <c r="AH43" s="265">
        <v>33</v>
      </c>
      <c r="AI43" s="265">
        <v>33</v>
      </c>
      <c r="AJ43" s="265">
        <v>33</v>
      </c>
      <c r="AK43" s="265">
        <v>33</v>
      </c>
      <c r="AL43" s="265">
        <v>33</v>
      </c>
      <c r="AM43" s="265">
        <v>33</v>
      </c>
      <c r="AN43" s="265">
        <v>33</v>
      </c>
      <c r="AO43" s="44">
        <v>33</v>
      </c>
      <c r="AP43" s="44">
        <v>33</v>
      </c>
      <c r="AQ43" s="265">
        <v>33</v>
      </c>
      <c r="AR43" s="44">
        <v>33</v>
      </c>
      <c r="AS43" s="44">
        <v>33</v>
      </c>
      <c r="AT43" s="265"/>
      <c r="AU43" s="44">
        <v>33</v>
      </c>
      <c r="AV43" s="44">
        <v>33</v>
      </c>
      <c r="AW43" s="44">
        <v>33</v>
      </c>
      <c r="AX43" s="44">
        <v>33</v>
      </c>
      <c r="AY43" s="44">
        <v>33</v>
      </c>
      <c r="AZ43" s="44">
        <v>33</v>
      </c>
      <c r="BA43" s="44">
        <v>33</v>
      </c>
      <c r="BB43" s="44">
        <v>33</v>
      </c>
      <c r="BC43" s="44">
        <v>33</v>
      </c>
      <c r="BD43" s="376">
        <v>33</v>
      </c>
      <c r="BE43" s="44">
        <v>33</v>
      </c>
      <c r="BF43" s="44">
        <v>33</v>
      </c>
      <c r="BG43" s="265"/>
      <c r="BH43" s="44">
        <v>33</v>
      </c>
      <c r="BI43" s="44">
        <v>33</v>
      </c>
      <c r="BJ43" s="44">
        <v>33</v>
      </c>
      <c r="BK43" s="44">
        <v>33</v>
      </c>
      <c r="BL43" s="44">
        <v>0</v>
      </c>
      <c r="BM43" s="376">
        <v>0</v>
      </c>
      <c r="BN43" s="44">
        <v>0</v>
      </c>
      <c r="BP43" s="44"/>
      <c r="BQ43" s="44"/>
      <c r="BR43" s="44"/>
      <c r="BS43" s="44"/>
      <c r="BT43" s="265"/>
      <c r="BU43" s="44"/>
      <c r="BV43" s="44"/>
      <c r="CC43" s="44"/>
      <c r="CF43" s="44"/>
      <c r="CG43" s="44"/>
      <c r="CH43" s="224"/>
      <c r="CI43" s="44"/>
      <c r="CQ43" s="257"/>
      <c r="CS43" s="651"/>
      <c r="DI43" s="79"/>
    </row>
    <row r="44" spans="2:113" x14ac:dyDescent="0.35">
      <c r="B44" s="274" t="s">
        <v>257</v>
      </c>
      <c r="C44" s="264"/>
      <c r="D44" s="264"/>
      <c r="E44" s="264"/>
      <c r="F44" s="93"/>
      <c r="G44" s="275"/>
      <c r="H44" s="93"/>
      <c r="I44" s="93"/>
      <c r="J44" s="93"/>
      <c r="K44" s="265"/>
      <c r="L44" s="265"/>
      <c r="M44" s="265"/>
      <c r="N44" s="265"/>
      <c r="O44" s="265"/>
      <c r="P44" s="265"/>
      <c r="Q44" s="265"/>
      <c r="R44" s="265"/>
      <c r="S44" s="265"/>
      <c r="T44" s="265"/>
      <c r="U44" s="265"/>
      <c r="V44" s="265"/>
      <c r="W44" s="265"/>
      <c r="X44" s="265"/>
      <c r="Y44" s="265"/>
      <c r="Z44" s="265"/>
      <c r="AA44" s="265"/>
      <c r="AB44" s="265">
        <v>24</v>
      </c>
      <c r="AC44" s="265">
        <v>6</v>
      </c>
      <c r="AD44" s="265">
        <v>0</v>
      </c>
      <c r="AE44" s="265"/>
      <c r="AF44" s="265"/>
      <c r="AG44" s="265"/>
      <c r="AH44" s="265"/>
      <c r="AI44" s="265"/>
      <c r="AJ44" s="265"/>
      <c r="AK44" s="265"/>
      <c r="AL44" s="44"/>
      <c r="AM44" s="44"/>
      <c r="AN44" s="44"/>
      <c r="AO44" s="44"/>
      <c r="AP44" s="44"/>
      <c r="AQ44" s="44"/>
      <c r="AR44" s="44"/>
      <c r="AS44" s="44"/>
      <c r="AT44" s="265"/>
      <c r="AU44" s="44"/>
      <c r="AV44" s="44"/>
      <c r="BA44" s="44"/>
      <c r="BB44" s="44"/>
      <c r="BC44" s="44"/>
      <c r="BD44" s="376"/>
      <c r="BE44" s="44"/>
      <c r="BF44" s="44"/>
      <c r="BG44" s="265"/>
      <c r="BH44" s="44"/>
      <c r="BI44" s="44"/>
      <c r="BJ44" s="44"/>
      <c r="BK44" s="44"/>
      <c r="BL44" s="44"/>
      <c r="BM44" s="376"/>
      <c r="BN44" s="44"/>
      <c r="BP44" s="44"/>
      <c r="BQ44" s="44"/>
      <c r="BR44" s="44"/>
      <c r="BS44" s="44"/>
      <c r="BT44" s="265"/>
      <c r="BU44" s="44"/>
      <c r="BV44" s="44"/>
      <c r="BW44" s="44"/>
      <c r="CC44" s="44"/>
      <c r="CF44" s="44"/>
      <c r="CG44" s="44"/>
      <c r="CH44" s="224"/>
      <c r="CI44" s="44"/>
      <c r="CQ44" s="257"/>
      <c r="CS44" s="651"/>
      <c r="DI44" s="79"/>
    </row>
    <row r="45" spans="2:113" x14ac:dyDescent="0.35">
      <c r="B45" s="274" t="s">
        <v>258</v>
      </c>
      <c r="C45" s="264"/>
      <c r="D45" s="264"/>
      <c r="E45" s="264"/>
      <c r="F45" s="93"/>
      <c r="G45" s="275"/>
      <c r="H45" s="93"/>
      <c r="I45" s="93"/>
      <c r="J45" s="93"/>
      <c r="K45" s="265"/>
      <c r="L45" s="265"/>
      <c r="M45" s="265"/>
      <c r="N45" s="265"/>
      <c r="O45" s="265"/>
      <c r="P45" s="265"/>
      <c r="Q45" s="265"/>
      <c r="R45" s="265"/>
      <c r="S45" s="265"/>
      <c r="T45" s="265"/>
      <c r="U45" s="265"/>
      <c r="V45" s="265"/>
      <c r="W45" s="265"/>
      <c r="X45" s="265"/>
      <c r="Y45" s="265"/>
      <c r="Z45" s="265"/>
      <c r="AA45" s="265"/>
      <c r="AB45" s="265"/>
      <c r="AC45" s="265">
        <v>27</v>
      </c>
      <c r="AD45" s="265">
        <v>0</v>
      </c>
      <c r="AE45" s="265"/>
      <c r="AF45" s="265"/>
      <c r="AG45" s="265"/>
      <c r="AH45" s="265"/>
      <c r="AI45" s="265"/>
      <c r="AJ45" s="265"/>
      <c r="AK45" s="265"/>
      <c r="AL45" s="44"/>
      <c r="AM45" s="44"/>
      <c r="AN45" s="44"/>
      <c r="AO45" s="44"/>
      <c r="AP45" s="44"/>
      <c r="AQ45" s="44"/>
      <c r="AR45" s="44"/>
      <c r="AS45" s="44"/>
      <c r="AT45" s="265"/>
      <c r="AU45" s="44"/>
      <c r="AV45" s="44"/>
      <c r="AZ45" s="44">
        <v>75</v>
      </c>
      <c r="BA45" s="44">
        <v>0</v>
      </c>
      <c r="BB45" s="44"/>
      <c r="BC45" s="44"/>
      <c r="BD45" s="376"/>
      <c r="BE45" s="44"/>
      <c r="BF45" s="44"/>
      <c r="BG45" s="265"/>
      <c r="BH45" s="44"/>
      <c r="BI45" s="44"/>
      <c r="BJ45" s="44"/>
      <c r="BK45" s="44"/>
      <c r="BL45" s="44"/>
      <c r="BM45" s="376"/>
      <c r="BN45" s="44"/>
      <c r="BP45" s="44"/>
      <c r="BQ45" s="44"/>
      <c r="BR45" s="44"/>
      <c r="BS45" s="44"/>
      <c r="BT45" s="265"/>
      <c r="BU45" s="44"/>
      <c r="BV45" s="44"/>
      <c r="BW45" s="44"/>
      <c r="CC45" s="44"/>
      <c r="CF45" s="44"/>
      <c r="CG45" s="44"/>
      <c r="CH45" s="224"/>
      <c r="CI45" s="224"/>
      <c r="CQ45" s="257"/>
      <c r="CS45" s="651"/>
      <c r="DI45" s="79"/>
    </row>
    <row r="46" spans="2:113" x14ac:dyDescent="0.35">
      <c r="B46" s="274" t="s">
        <v>259</v>
      </c>
      <c r="C46" s="264"/>
      <c r="D46" s="264"/>
      <c r="E46" s="264"/>
      <c r="F46" s="93"/>
      <c r="G46" s="275"/>
      <c r="H46" s="93"/>
      <c r="I46" s="93"/>
      <c r="J46" s="93"/>
      <c r="K46" s="265"/>
      <c r="L46" s="265"/>
      <c r="M46" s="265"/>
      <c r="N46" s="265"/>
      <c r="O46" s="265"/>
      <c r="P46" s="265"/>
      <c r="Q46" s="265"/>
      <c r="R46" s="265"/>
      <c r="S46" s="265"/>
      <c r="T46" s="265"/>
      <c r="U46" s="265"/>
      <c r="V46" s="265"/>
      <c r="W46" s="265"/>
      <c r="X46" s="265"/>
      <c r="Y46" s="265"/>
      <c r="Z46" s="265"/>
      <c r="AA46" s="265"/>
      <c r="AB46" s="265"/>
      <c r="AC46" s="265">
        <v>76</v>
      </c>
      <c r="AD46" s="265">
        <v>75</v>
      </c>
      <c r="AE46" s="265">
        <v>73</v>
      </c>
      <c r="AF46" s="265">
        <v>73</v>
      </c>
      <c r="AG46" s="265"/>
      <c r="AH46" s="265">
        <v>36</v>
      </c>
      <c r="AI46" s="265">
        <v>36</v>
      </c>
      <c r="AJ46" s="265">
        <v>20</v>
      </c>
      <c r="AK46" s="265">
        <v>18</v>
      </c>
      <c r="AL46" s="265">
        <v>92</v>
      </c>
      <c r="AM46" s="265">
        <v>76</v>
      </c>
      <c r="AN46" s="265">
        <v>62</v>
      </c>
      <c r="AO46" s="44">
        <v>61</v>
      </c>
      <c r="AP46" s="44">
        <v>0</v>
      </c>
      <c r="AQ46" s="44"/>
      <c r="AR46" s="44">
        <v>131</v>
      </c>
      <c r="AS46" s="44">
        <v>119</v>
      </c>
      <c r="AT46" s="265"/>
      <c r="AU46" s="44">
        <v>72</v>
      </c>
      <c r="AV46" s="44">
        <v>62</v>
      </c>
      <c r="AW46" s="44">
        <v>104</v>
      </c>
      <c r="AX46" s="44">
        <v>97</v>
      </c>
      <c r="AY46" s="44">
        <v>90</v>
      </c>
      <c r="AZ46" s="44">
        <v>61</v>
      </c>
      <c r="BA46" s="44">
        <v>27</v>
      </c>
      <c r="BB46" s="44">
        <v>24</v>
      </c>
      <c r="BC46" s="44">
        <v>21</v>
      </c>
      <c r="BD46" s="376">
        <v>16</v>
      </c>
      <c r="BE46" s="44">
        <v>10</v>
      </c>
      <c r="BF46" s="44">
        <v>10</v>
      </c>
      <c r="BG46" s="265"/>
      <c r="BH46" s="44">
        <v>4</v>
      </c>
      <c r="BI46" s="44">
        <v>89</v>
      </c>
      <c r="BJ46" s="44">
        <v>88</v>
      </c>
      <c r="BK46" s="44">
        <v>84</v>
      </c>
      <c r="BL46" s="44">
        <v>79</v>
      </c>
      <c r="BM46" s="376">
        <v>78</v>
      </c>
      <c r="BN46" s="44">
        <v>76</v>
      </c>
      <c r="BO46" s="44">
        <v>76</v>
      </c>
      <c r="BP46" s="44">
        <v>75</v>
      </c>
      <c r="BQ46" s="44">
        <v>73</v>
      </c>
      <c r="BR46" s="44">
        <v>42</v>
      </c>
      <c r="BS46" s="44">
        <v>2</v>
      </c>
      <c r="BT46" s="265"/>
      <c r="BU46" s="44">
        <v>115</v>
      </c>
      <c r="BV46" s="44">
        <v>133</v>
      </c>
      <c r="BW46" s="44">
        <v>131</v>
      </c>
      <c r="BX46">
        <v>110</v>
      </c>
      <c r="BY46">
        <v>180</v>
      </c>
      <c r="BZ46" s="44">
        <v>176</v>
      </c>
      <c r="CA46">
        <v>175</v>
      </c>
      <c r="CB46">
        <v>263</v>
      </c>
      <c r="CC46" s="44">
        <v>262</v>
      </c>
      <c r="CD46" s="44">
        <v>189</v>
      </c>
      <c r="CE46">
        <v>189</v>
      </c>
      <c r="CF46" s="44">
        <v>277</v>
      </c>
      <c r="CG46" s="44"/>
      <c r="CH46" s="224">
        <v>269</v>
      </c>
      <c r="CI46" s="224">
        <v>253</v>
      </c>
      <c r="CJ46">
        <v>161</v>
      </c>
      <c r="CK46">
        <v>157</v>
      </c>
      <c r="CL46">
        <v>101</v>
      </c>
      <c r="CM46">
        <v>29</v>
      </c>
      <c r="CN46">
        <v>19</v>
      </c>
      <c r="CO46">
        <v>0</v>
      </c>
      <c r="CP46">
        <v>0</v>
      </c>
      <c r="CQ46" s="243">
        <v>0</v>
      </c>
      <c r="CR46">
        <v>0</v>
      </c>
      <c r="CS46" s="651">
        <v>0</v>
      </c>
      <c r="CU46">
        <v>0</v>
      </c>
      <c r="DI46" s="79"/>
    </row>
    <row r="47" spans="2:113" x14ac:dyDescent="0.35">
      <c r="B47" s="274" t="s">
        <v>260</v>
      </c>
      <c r="C47" s="264"/>
      <c r="D47" s="264"/>
      <c r="E47" s="264"/>
      <c r="F47" s="93"/>
      <c r="G47" s="275"/>
      <c r="H47" s="93"/>
      <c r="I47" s="93"/>
      <c r="J47" s="93"/>
      <c r="K47" s="265"/>
      <c r="L47" s="265"/>
      <c r="M47" s="265"/>
      <c r="N47" s="265"/>
      <c r="O47" s="265"/>
      <c r="P47" s="265"/>
      <c r="Q47" s="265"/>
      <c r="R47" s="265"/>
      <c r="S47" s="265"/>
      <c r="T47" s="265"/>
      <c r="U47" s="265"/>
      <c r="V47" s="265"/>
      <c r="W47" s="265"/>
      <c r="X47" s="265"/>
      <c r="Y47" s="265"/>
      <c r="Z47" s="265"/>
      <c r="AA47" s="265"/>
      <c r="AB47" s="265"/>
      <c r="AC47" s="265"/>
      <c r="AD47" s="265"/>
      <c r="AE47" s="265">
        <v>68</v>
      </c>
      <c r="AF47" s="265"/>
      <c r="AG47" s="265"/>
      <c r="AH47" s="265"/>
      <c r="AI47" s="265"/>
      <c r="AJ47" s="265"/>
      <c r="AK47" s="265">
        <v>146</v>
      </c>
      <c r="AL47" s="44">
        <v>0</v>
      </c>
      <c r="AM47" s="44"/>
      <c r="AN47" s="44"/>
      <c r="AO47" s="44"/>
      <c r="AP47" s="44"/>
      <c r="AQ47" s="44"/>
      <c r="AR47" s="44"/>
      <c r="AS47" s="44">
        <v>66</v>
      </c>
      <c r="AT47" s="265"/>
      <c r="AU47" s="44"/>
      <c r="AV47" s="44"/>
      <c r="AZ47" s="44">
        <v>78</v>
      </c>
      <c r="BA47" s="44">
        <v>0</v>
      </c>
      <c r="BB47" s="44"/>
      <c r="BC47" s="44"/>
      <c r="BD47" s="376"/>
      <c r="BE47" s="44"/>
      <c r="BF47" s="44"/>
      <c r="BG47" s="265"/>
      <c r="BH47" s="44"/>
      <c r="BI47" s="44"/>
      <c r="BJ47" s="44"/>
      <c r="BK47" s="44"/>
      <c r="BL47" s="44"/>
      <c r="BM47" s="376"/>
      <c r="BN47" s="44"/>
      <c r="BP47" s="44"/>
      <c r="BQ47" s="44"/>
      <c r="BR47" s="44"/>
      <c r="BS47" s="44"/>
      <c r="BT47" s="265"/>
      <c r="BU47" s="44"/>
      <c r="BV47" s="44"/>
      <c r="BW47" s="44"/>
      <c r="CC47" s="44"/>
      <c r="CD47" s="44"/>
      <c r="CF47" s="44"/>
      <c r="CG47" s="44"/>
      <c r="CH47" s="224"/>
      <c r="CI47" s="224"/>
      <c r="CQ47" s="257"/>
      <c r="CS47" s="651"/>
      <c r="DI47" s="79"/>
    </row>
    <row r="48" spans="2:113" x14ac:dyDescent="0.35">
      <c r="B48" s="274" t="s">
        <v>261</v>
      </c>
      <c r="C48" s="264"/>
      <c r="D48" s="264"/>
      <c r="E48" s="264"/>
      <c r="F48" s="93"/>
      <c r="G48" s="275"/>
      <c r="H48" s="93"/>
      <c r="I48" s="93"/>
      <c r="J48" s="93"/>
      <c r="K48" s="265"/>
      <c r="L48" s="265"/>
      <c r="M48" s="265"/>
      <c r="N48" s="265"/>
      <c r="O48" s="265"/>
      <c r="P48" s="265"/>
      <c r="Q48" s="265"/>
      <c r="R48" s="265"/>
      <c r="S48" s="265"/>
      <c r="T48" s="265"/>
      <c r="U48" s="265"/>
      <c r="V48" s="265"/>
      <c r="W48" s="265"/>
      <c r="X48" s="265"/>
      <c r="Y48" s="265"/>
      <c r="Z48" s="265"/>
      <c r="AA48" s="265"/>
      <c r="AB48" s="265"/>
      <c r="AC48" s="265"/>
      <c r="AD48" s="265"/>
      <c r="AE48" s="265"/>
      <c r="AF48" s="265"/>
      <c r="AG48" s="265"/>
      <c r="AH48" s="265"/>
      <c r="AI48" s="265"/>
      <c r="AJ48" s="265">
        <v>30</v>
      </c>
      <c r="AK48" s="265">
        <v>29</v>
      </c>
      <c r="AL48" s="44">
        <v>26</v>
      </c>
      <c r="AM48" s="44">
        <v>25</v>
      </c>
      <c r="AN48" s="44">
        <v>25</v>
      </c>
      <c r="AO48" s="44">
        <v>23</v>
      </c>
      <c r="AP48" s="44">
        <v>18</v>
      </c>
      <c r="AQ48" s="44">
        <v>3</v>
      </c>
      <c r="AR48" s="44">
        <v>2</v>
      </c>
      <c r="AS48" s="44"/>
      <c r="AT48" s="265"/>
      <c r="AU48" s="44">
        <v>68</v>
      </c>
      <c r="AV48" s="44">
        <v>68</v>
      </c>
      <c r="AW48" s="44">
        <v>68</v>
      </c>
      <c r="AX48" s="44">
        <v>68</v>
      </c>
      <c r="AY48" s="44">
        <v>68</v>
      </c>
      <c r="AZ48" s="44">
        <v>68</v>
      </c>
      <c r="BA48" s="44">
        <v>68</v>
      </c>
      <c r="BB48" s="44">
        <v>56</v>
      </c>
      <c r="BC48" s="44">
        <v>45</v>
      </c>
      <c r="BD48" s="376">
        <v>45</v>
      </c>
      <c r="BE48" s="44">
        <v>42</v>
      </c>
      <c r="BF48" s="44">
        <v>42</v>
      </c>
      <c r="BG48" s="265"/>
      <c r="BH48" s="44">
        <v>26</v>
      </c>
      <c r="BI48" s="44">
        <v>21</v>
      </c>
      <c r="BJ48" s="44">
        <v>20</v>
      </c>
      <c r="BK48" s="44">
        <v>19</v>
      </c>
      <c r="BL48" s="44">
        <v>15</v>
      </c>
      <c r="BM48" s="376">
        <v>13</v>
      </c>
      <c r="BN48" s="44">
        <v>13</v>
      </c>
      <c r="BO48" s="44">
        <v>11</v>
      </c>
      <c r="BP48" s="44">
        <v>3</v>
      </c>
      <c r="BQ48" s="44">
        <v>1</v>
      </c>
      <c r="BR48" s="44">
        <v>1</v>
      </c>
      <c r="BS48" s="44">
        <v>0</v>
      </c>
      <c r="BT48" s="265"/>
      <c r="BU48" s="44"/>
      <c r="BV48" s="44"/>
      <c r="BW48" s="44"/>
      <c r="CC48" s="44"/>
      <c r="CD48" s="44"/>
      <c r="CF48" s="44"/>
      <c r="CG48" s="44"/>
      <c r="CH48" s="224"/>
      <c r="CI48" s="224"/>
      <c r="CQ48" s="257"/>
      <c r="CS48" s="651"/>
      <c r="DI48" s="79"/>
    </row>
    <row r="49" spans="2:113" x14ac:dyDescent="0.35">
      <c r="B49" s="274" t="s">
        <v>262</v>
      </c>
      <c r="C49" s="264"/>
      <c r="D49" s="264"/>
      <c r="E49" s="264"/>
      <c r="F49" s="93"/>
      <c r="G49" s="275"/>
      <c r="H49" s="93"/>
      <c r="I49" s="93"/>
      <c r="J49" s="93"/>
      <c r="K49" s="265"/>
      <c r="L49" s="265"/>
      <c r="M49" s="265"/>
      <c r="N49" s="265"/>
      <c r="O49" s="265"/>
      <c r="P49" s="265"/>
      <c r="Q49" s="265"/>
      <c r="R49" s="265"/>
      <c r="S49" s="265"/>
      <c r="T49" s="265"/>
      <c r="U49" s="265"/>
      <c r="V49" s="265"/>
      <c r="W49" s="265"/>
      <c r="X49" s="265"/>
      <c r="Y49" s="265"/>
      <c r="Z49" s="265"/>
      <c r="AA49" s="265"/>
      <c r="AB49" s="265"/>
      <c r="AC49" s="265"/>
      <c r="AD49" s="265"/>
      <c r="AE49" s="265"/>
      <c r="AF49" s="265"/>
      <c r="AG49" s="265"/>
      <c r="AH49" s="265"/>
      <c r="AI49" s="265"/>
      <c r="AJ49" s="265">
        <v>68</v>
      </c>
      <c r="AK49" s="265"/>
      <c r="AL49" s="44"/>
      <c r="AM49" s="44"/>
      <c r="AN49" s="44"/>
      <c r="AO49" s="44"/>
      <c r="AP49" s="44"/>
      <c r="AQ49" s="44"/>
      <c r="AR49" s="44"/>
      <c r="AS49" s="44"/>
      <c r="AT49" s="265"/>
      <c r="AU49" s="44"/>
      <c r="AV49" s="44"/>
      <c r="BA49" s="44"/>
      <c r="BB49" s="44"/>
      <c r="BC49" s="44"/>
      <c r="BD49" s="376"/>
      <c r="BE49" s="44"/>
      <c r="BF49" s="44"/>
      <c r="BG49" s="265"/>
      <c r="BH49" s="44"/>
      <c r="BI49" s="44"/>
      <c r="BJ49" s="44"/>
      <c r="BK49" s="44"/>
      <c r="BL49" s="44"/>
      <c r="BM49" s="376"/>
      <c r="BN49" s="44"/>
      <c r="BP49" s="44"/>
      <c r="BQ49" s="44"/>
      <c r="BR49" s="44"/>
      <c r="BS49" s="44"/>
      <c r="BT49" s="265"/>
      <c r="BU49" s="44"/>
      <c r="BV49" s="44"/>
      <c r="BW49" s="44"/>
      <c r="CC49" s="44"/>
      <c r="CD49" s="44"/>
      <c r="CF49" s="44"/>
      <c r="CG49" s="44"/>
      <c r="CH49" s="224"/>
      <c r="CI49" s="224"/>
      <c r="CQ49" s="257"/>
      <c r="CS49" s="651"/>
      <c r="DI49" s="79"/>
    </row>
    <row r="50" spans="2:113" x14ac:dyDescent="0.35">
      <c r="B50" s="274" t="s">
        <v>263</v>
      </c>
      <c r="C50" s="264"/>
      <c r="D50" s="264"/>
      <c r="E50" s="264"/>
      <c r="F50" s="93"/>
      <c r="G50" s="275"/>
      <c r="H50" s="93"/>
      <c r="I50" s="93"/>
      <c r="J50" s="93"/>
      <c r="K50" s="265"/>
      <c r="L50" s="265"/>
      <c r="M50" s="265"/>
      <c r="N50" s="265"/>
      <c r="O50" s="265"/>
      <c r="P50" s="265"/>
      <c r="Q50" s="265"/>
      <c r="R50" s="265"/>
      <c r="S50" s="265"/>
      <c r="T50" s="265"/>
      <c r="U50" s="265"/>
      <c r="V50" s="265"/>
      <c r="W50" s="265"/>
      <c r="X50" s="265"/>
      <c r="Y50" s="265"/>
      <c r="Z50" s="265"/>
      <c r="AA50" s="265"/>
      <c r="AB50" s="265"/>
      <c r="AC50" s="265"/>
      <c r="AD50" s="265"/>
      <c r="AE50" s="265"/>
      <c r="AF50" s="265"/>
      <c r="AG50" s="265"/>
      <c r="AH50" s="265"/>
      <c r="AI50" s="265"/>
      <c r="AJ50" s="265"/>
      <c r="AK50" s="265">
        <v>36</v>
      </c>
      <c r="AL50" s="44">
        <v>36</v>
      </c>
      <c r="AM50" s="44">
        <v>68</v>
      </c>
      <c r="AN50" s="44">
        <v>68</v>
      </c>
      <c r="AO50" s="44">
        <v>68</v>
      </c>
      <c r="AP50" s="44">
        <v>69</v>
      </c>
      <c r="AQ50" s="44">
        <v>68</v>
      </c>
      <c r="AR50" s="44">
        <v>66</v>
      </c>
      <c r="AS50" s="44">
        <v>66</v>
      </c>
      <c r="AT50" s="265"/>
      <c r="AU50" s="44">
        <v>66</v>
      </c>
      <c r="AV50" s="44">
        <v>66</v>
      </c>
      <c r="AW50" s="44">
        <v>66</v>
      </c>
      <c r="AX50" s="44">
        <v>65</v>
      </c>
      <c r="AY50" s="44">
        <v>65</v>
      </c>
      <c r="AZ50" s="44">
        <v>65</v>
      </c>
      <c r="BA50" s="44">
        <v>65</v>
      </c>
      <c r="BB50" s="44">
        <v>65</v>
      </c>
      <c r="BC50" s="44">
        <v>65</v>
      </c>
      <c r="BD50" s="376">
        <v>65</v>
      </c>
      <c r="BE50" s="44">
        <v>36</v>
      </c>
      <c r="BF50" s="44">
        <v>24</v>
      </c>
      <c r="BG50" s="265"/>
      <c r="BH50" s="44">
        <v>28</v>
      </c>
      <c r="BI50" s="44">
        <v>28</v>
      </c>
      <c r="BJ50" s="44">
        <v>28</v>
      </c>
      <c r="BK50" s="44">
        <v>28</v>
      </c>
      <c r="BL50" s="44">
        <v>25</v>
      </c>
      <c r="BM50" s="376">
        <v>25</v>
      </c>
      <c r="BN50" s="44">
        <v>25</v>
      </c>
      <c r="BO50" s="44">
        <v>25</v>
      </c>
      <c r="BP50" s="44">
        <v>6</v>
      </c>
      <c r="BQ50" s="44">
        <v>6</v>
      </c>
      <c r="BR50" s="44">
        <v>6</v>
      </c>
      <c r="BS50" s="44">
        <v>6</v>
      </c>
      <c r="BT50" s="265"/>
      <c r="BU50" s="44">
        <v>6</v>
      </c>
      <c r="BV50" s="44">
        <v>6</v>
      </c>
      <c r="BW50" s="44">
        <v>6</v>
      </c>
      <c r="BX50">
        <v>6</v>
      </c>
      <c r="BY50">
        <v>6</v>
      </c>
      <c r="BZ50" s="44">
        <v>6</v>
      </c>
      <c r="CA50">
        <v>6</v>
      </c>
      <c r="CB50">
        <v>6</v>
      </c>
      <c r="CC50" s="44">
        <v>6</v>
      </c>
      <c r="CD50" s="44">
        <v>6</v>
      </c>
      <c r="CE50">
        <v>6</v>
      </c>
      <c r="CF50" s="44">
        <v>6</v>
      </c>
      <c r="CG50" s="44"/>
      <c r="CH50" s="224">
        <v>6</v>
      </c>
      <c r="CI50" s="224">
        <v>6</v>
      </c>
      <c r="CJ50">
        <v>6</v>
      </c>
      <c r="CK50">
        <v>6</v>
      </c>
      <c r="CL50">
        <v>6</v>
      </c>
      <c r="CM50">
        <v>6</v>
      </c>
      <c r="CN50">
        <v>6</v>
      </c>
      <c r="CO50">
        <v>6</v>
      </c>
      <c r="CP50">
        <v>6</v>
      </c>
      <c r="CQ50" s="243">
        <v>6</v>
      </c>
      <c r="CR50">
        <v>6</v>
      </c>
      <c r="CS50" s="651">
        <v>4</v>
      </c>
      <c r="CU50">
        <v>4</v>
      </c>
      <c r="CV50">
        <v>4</v>
      </c>
      <c r="CW50">
        <v>4</v>
      </c>
      <c r="CX50">
        <v>4</v>
      </c>
      <c r="CY50">
        <v>4</v>
      </c>
      <c r="CZ50">
        <v>4</v>
      </c>
      <c r="DA50">
        <v>4</v>
      </c>
      <c r="DB50">
        <v>4</v>
      </c>
      <c r="DC50">
        <v>4</v>
      </c>
      <c r="DD50">
        <v>4</v>
      </c>
      <c r="DE50">
        <v>4</v>
      </c>
      <c r="DF50">
        <v>4</v>
      </c>
      <c r="DH50">
        <v>4</v>
      </c>
      <c r="DI50" s="79">
        <v>4</v>
      </c>
    </row>
    <row r="51" spans="2:113" x14ac:dyDescent="0.35">
      <c r="B51" s="274" t="s">
        <v>264</v>
      </c>
      <c r="C51" s="264"/>
      <c r="D51" s="264"/>
      <c r="E51" s="264"/>
      <c r="F51" s="93"/>
      <c r="G51" s="275"/>
      <c r="H51" s="93"/>
      <c r="I51" s="93"/>
      <c r="J51" s="93"/>
      <c r="K51" s="265"/>
      <c r="L51" s="265"/>
      <c r="M51" s="265"/>
      <c r="N51" s="265"/>
      <c r="O51" s="265"/>
      <c r="P51" s="265"/>
      <c r="Q51" s="265"/>
      <c r="R51" s="265"/>
      <c r="S51" s="265"/>
      <c r="T51" s="265"/>
      <c r="U51" s="265"/>
      <c r="V51" s="265"/>
      <c r="W51" s="265"/>
      <c r="X51" s="265"/>
      <c r="Y51" s="265"/>
      <c r="Z51" s="265"/>
      <c r="AA51" s="265"/>
      <c r="AB51" s="265"/>
      <c r="AC51" s="265"/>
      <c r="AD51" s="265"/>
      <c r="AE51" s="265"/>
      <c r="AF51" s="265"/>
      <c r="AG51" s="265"/>
      <c r="AH51" s="265"/>
      <c r="AI51" s="265"/>
      <c r="AJ51" s="265"/>
      <c r="AK51" s="265">
        <v>35</v>
      </c>
      <c r="AL51" s="44">
        <v>37</v>
      </c>
      <c r="AM51" s="44">
        <v>37</v>
      </c>
      <c r="AN51" s="44">
        <v>37</v>
      </c>
      <c r="AO51" s="44">
        <v>36</v>
      </c>
      <c r="AP51" s="44">
        <v>36</v>
      </c>
      <c r="AQ51" s="44">
        <v>36</v>
      </c>
      <c r="AR51" s="44">
        <v>36</v>
      </c>
      <c r="AS51" s="44">
        <v>36</v>
      </c>
      <c r="AT51" s="265"/>
      <c r="AU51" s="44">
        <v>36</v>
      </c>
      <c r="AV51" s="44">
        <v>36</v>
      </c>
      <c r="AW51" s="44">
        <v>35</v>
      </c>
      <c r="AX51" s="44">
        <v>34</v>
      </c>
      <c r="AY51" s="44">
        <v>34</v>
      </c>
      <c r="AZ51" s="44">
        <v>34</v>
      </c>
      <c r="BA51" s="44">
        <v>33</v>
      </c>
      <c r="BB51" s="44">
        <v>33</v>
      </c>
      <c r="BC51" s="44">
        <v>33</v>
      </c>
      <c r="BD51" s="376">
        <v>33</v>
      </c>
      <c r="BE51" s="44">
        <v>32</v>
      </c>
      <c r="BF51" s="44">
        <v>32</v>
      </c>
      <c r="BG51" s="265"/>
      <c r="BH51" s="44">
        <v>32</v>
      </c>
      <c r="BI51" s="44">
        <v>32</v>
      </c>
      <c r="BJ51" s="44">
        <v>32</v>
      </c>
      <c r="BK51" s="44">
        <v>32</v>
      </c>
      <c r="BL51" s="44">
        <v>32</v>
      </c>
      <c r="BM51" s="376">
        <v>32</v>
      </c>
      <c r="BN51" s="44">
        <v>32</v>
      </c>
      <c r="BO51" s="44">
        <v>32</v>
      </c>
      <c r="BP51" s="44">
        <v>32</v>
      </c>
      <c r="BQ51" s="44">
        <v>32</v>
      </c>
      <c r="BR51" s="44">
        <v>32</v>
      </c>
      <c r="BS51" s="44">
        <v>31</v>
      </c>
      <c r="BT51" s="265"/>
      <c r="BU51" s="44">
        <v>31</v>
      </c>
      <c r="BV51" s="44">
        <v>31</v>
      </c>
      <c r="BW51" s="44">
        <v>22</v>
      </c>
      <c r="BX51">
        <v>20</v>
      </c>
      <c r="BY51">
        <v>20</v>
      </c>
      <c r="BZ51" s="44">
        <v>20</v>
      </c>
      <c r="CA51">
        <v>20</v>
      </c>
      <c r="CB51">
        <v>19</v>
      </c>
      <c r="CC51" s="44">
        <v>16</v>
      </c>
      <c r="CD51" s="44">
        <v>12</v>
      </c>
      <c r="CE51">
        <v>12</v>
      </c>
      <c r="CF51" s="44">
        <v>0</v>
      </c>
      <c r="CG51" s="44"/>
      <c r="CH51" s="224"/>
      <c r="CI51" s="224"/>
      <c r="CQ51" s="257"/>
      <c r="CS51" s="651"/>
      <c r="DI51" s="79"/>
    </row>
    <row r="52" spans="2:113" x14ac:dyDescent="0.35">
      <c r="B52" s="274" t="s">
        <v>265</v>
      </c>
      <c r="C52" s="264"/>
      <c r="D52" s="264"/>
      <c r="E52" s="264"/>
      <c r="F52" s="93"/>
      <c r="G52" s="275"/>
      <c r="H52" s="93"/>
      <c r="I52" s="93"/>
      <c r="J52" s="93"/>
      <c r="K52" s="265"/>
      <c r="L52" s="265"/>
      <c r="M52" s="265"/>
      <c r="N52" s="265"/>
      <c r="O52" s="265"/>
      <c r="P52" s="265"/>
      <c r="Q52" s="265"/>
      <c r="R52" s="265"/>
      <c r="S52" s="265"/>
      <c r="T52" s="265"/>
      <c r="U52" s="265"/>
      <c r="V52" s="265"/>
      <c r="W52" s="265"/>
      <c r="X52" s="265"/>
      <c r="Y52" s="265"/>
      <c r="Z52" s="265"/>
      <c r="AA52" s="265"/>
      <c r="AB52" s="265"/>
      <c r="AC52" s="265"/>
      <c r="AD52" s="265"/>
      <c r="AE52" s="265"/>
      <c r="AF52" s="265"/>
      <c r="AG52" s="265"/>
      <c r="AH52" s="265"/>
      <c r="AI52" s="265"/>
      <c r="AJ52" s="265"/>
      <c r="AK52" s="265">
        <v>66</v>
      </c>
      <c r="AL52" s="44"/>
      <c r="AM52" s="44"/>
      <c r="AN52" s="44"/>
      <c r="AO52" s="44"/>
      <c r="AP52" s="44"/>
      <c r="AQ52" s="44"/>
      <c r="AR52" s="44"/>
      <c r="AS52" s="44"/>
      <c r="AT52" s="265"/>
      <c r="AU52" s="44"/>
      <c r="AV52" s="44"/>
      <c r="BA52" s="44"/>
      <c r="BB52" s="44"/>
      <c r="BC52" s="44">
        <v>7</v>
      </c>
      <c r="BD52" s="376">
        <v>7</v>
      </c>
      <c r="BE52" s="44">
        <v>7</v>
      </c>
      <c r="BF52" s="44">
        <v>7</v>
      </c>
      <c r="BG52" s="265"/>
      <c r="BH52" s="44">
        <v>7</v>
      </c>
      <c r="BI52" s="44">
        <v>86</v>
      </c>
      <c r="BJ52" s="44">
        <v>7</v>
      </c>
      <c r="BK52" s="44">
        <v>7</v>
      </c>
      <c r="BL52" s="44">
        <v>7</v>
      </c>
      <c r="BM52" s="376">
        <v>7</v>
      </c>
      <c r="BN52" s="44">
        <v>7</v>
      </c>
      <c r="BO52" s="44">
        <v>7</v>
      </c>
      <c r="BP52" s="44">
        <v>7</v>
      </c>
      <c r="BQ52" s="44">
        <v>5</v>
      </c>
      <c r="BR52" s="44">
        <v>5</v>
      </c>
      <c r="BS52" s="44">
        <v>0</v>
      </c>
      <c r="BT52" s="265"/>
      <c r="BU52" s="44"/>
      <c r="BV52" s="44">
        <v>93</v>
      </c>
      <c r="CC52" s="44"/>
      <c r="CD52" s="44"/>
      <c r="CF52" s="44"/>
      <c r="CG52" s="44"/>
      <c r="CH52" s="224"/>
      <c r="CI52" s="224"/>
      <c r="CQ52" s="257"/>
      <c r="CS52" s="651"/>
      <c r="DI52" s="79"/>
    </row>
    <row r="53" spans="2:113" x14ac:dyDescent="0.35">
      <c r="B53" s="274" t="s">
        <v>266</v>
      </c>
      <c r="C53" s="264"/>
      <c r="D53" s="264"/>
      <c r="E53" s="264"/>
      <c r="F53" s="93"/>
      <c r="G53" s="275"/>
      <c r="H53" s="93"/>
      <c r="I53" s="93"/>
      <c r="J53" s="93"/>
      <c r="K53" s="265"/>
      <c r="L53" s="265"/>
      <c r="M53" s="265"/>
      <c r="N53" s="265"/>
      <c r="O53" s="265"/>
      <c r="P53" s="265"/>
      <c r="Q53" s="265"/>
      <c r="R53" s="265"/>
      <c r="S53" s="265"/>
      <c r="T53" s="265"/>
      <c r="U53" s="265"/>
      <c r="V53" s="265"/>
      <c r="W53" s="265"/>
      <c r="X53" s="265"/>
      <c r="Y53" s="265"/>
      <c r="Z53" s="265"/>
      <c r="AA53" s="265"/>
      <c r="AB53" s="265"/>
      <c r="AC53" s="265"/>
      <c r="AD53" s="265"/>
      <c r="AE53" s="265"/>
      <c r="AF53" s="265"/>
      <c r="AG53" s="265"/>
      <c r="AH53" s="265"/>
      <c r="AI53" s="265"/>
      <c r="AJ53" s="265"/>
      <c r="AK53" s="265"/>
      <c r="AL53" s="44"/>
      <c r="AM53" s="44"/>
      <c r="AN53" s="44"/>
      <c r="AO53" s="44"/>
      <c r="AP53" s="44"/>
      <c r="AQ53" s="44"/>
      <c r="AR53" s="44"/>
      <c r="AS53" s="44"/>
      <c r="AT53" s="265"/>
      <c r="AU53" s="44"/>
      <c r="AV53" s="44"/>
      <c r="BA53" s="44"/>
      <c r="BB53" s="44"/>
      <c r="BC53" s="44"/>
      <c r="BD53" s="376"/>
      <c r="BE53" s="44"/>
      <c r="BF53" s="44"/>
      <c r="BG53" s="265"/>
      <c r="BH53" s="44"/>
      <c r="BI53" s="44"/>
      <c r="BJ53" s="44"/>
      <c r="BK53" s="44"/>
      <c r="BL53" s="44"/>
      <c r="BM53" s="376"/>
      <c r="BN53" s="44"/>
      <c r="BO53" s="44"/>
      <c r="BP53" s="44"/>
      <c r="BQ53" s="44"/>
      <c r="BR53" s="44"/>
      <c r="BS53" s="44"/>
      <c r="BT53" s="265"/>
      <c r="BU53" s="44"/>
      <c r="BV53" s="44"/>
      <c r="CB53">
        <v>23</v>
      </c>
      <c r="CC53" s="44">
        <v>23</v>
      </c>
      <c r="CD53" s="44">
        <v>23</v>
      </c>
      <c r="CE53">
        <v>13</v>
      </c>
      <c r="CF53" s="44">
        <v>13</v>
      </c>
      <c r="CG53" s="44"/>
      <c r="CH53" s="224">
        <v>13</v>
      </c>
      <c r="CI53" s="224">
        <v>13</v>
      </c>
      <c r="CJ53">
        <v>13</v>
      </c>
      <c r="CK53">
        <v>12</v>
      </c>
      <c r="CL53">
        <v>12</v>
      </c>
      <c r="CM53">
        <v>12</v>
      </c>
      <c r="CN53">
        <v>12</v>
      </c>
      <c r="CO53">
        <v>12</v>
      </c>
      <c r="CP53">
        <v>12</v>
      </c>
      <c r="CQ53" s="243">
        <v>12</v>
      </c>
      <c r="CR53">
        <v>11</v>
      </c>
      <c r="CS53" s="651">
        <v>11</v>
      </c>
      <c r="CU53">
        <v>11</v>
      </c>
      <c r="CV53">
        <v>11</v>
      </c>
      <c r="CW53">
        <v>11</v>
      </c>
      <c r="CX53">
        <v>11</v>
      </c>
      <c r="CY53">
        <v>10</v>
      </c>
      <c r="CZ53">
        <v>10</v>
      </c>
      <c r="DA53">
        <v>10</v>
      </c>
      <c r="DB53">
        <v>8</v>
      </c>
      <c r="DC53">
        <v>8</v>
      </c>
      <c r="DD53">
        <v>8</v>
      </c>
      <c r="DE53">
        <v>8</v>
      </c>
      <c r="DF53">
        <v>7</v>
      </c>
      <c r="DH53">
        <v>7</v>
      </c>
      <c r="DI53" s="79">
        <v>7</v>
      </c>
    </row>
    <row r="54" spans="2:113" x14ac:dyDescent="0.35">
      <c r="B54" s="583" t="s">
        <v>267</v>
      </c>
      <c r="C54" s="264"/>
      <c r="D54" s="264"/>
      <c r="E54" s="264"/>
      <c r="F54" s="93"/>
      <c r="G54" s="275"/>
      <c r="H54" s="93"/>
      <c r="I54" s="93"/>
      <c r="J54" s="93"/>
      <c r="K54" s="265"/>
      <c r="L54" s="265"/>
      <c r="M54" s="265"/>
      <c r="N54" s="265"/>
      <c r="O54" s="265"/>
      <c r="P54" s="265"/>
      <c r="Q54" s="265"/>
      <c r="R54" s="265"/>
      <c r="S54" s="265"/>
      <c r="T54" s="265"/>
      <c r="U54" s="265"/>
      <c r="V54" s="265"/>
      <c r="W54" s="265"/>
      <c r="X54" s="265"/>
      <c r="Y54" s="265"/>
      <c r="Z54" s="265"/>
      <c r="AA54" s="265"/>
      <c r="AB54" s="265"/>
      <c r="AC54" s="265"/>
      <c r="AD54" s="265"/>
      <c r="AE54" s="265"/>
      <c r="AF54" s="265"/>
      <c r="AG54" s="265"/>
      <c r="AH54" s="265"/>
      <c r="AI54" s="265"/>
      <c r="AJ54" s="265"/>
      <c r="AK54" s="265"/>
      <c r="AL54" s="44"/>
      <c r="AM54" s="44"/>
      <c r="AN54" s="44"/>
      <c r="AO54" s="44"/>
      <c r="AP54" s="44"/>
      <c r="AQ54" s="44"/>
      <c r="AR54" s="44"/>
      <c r="AS54" s="44"/>
      <c r="AT54" s="265"/>
      <c r="AU54" s="44"/>
      <c r="AV54" s="44"/>
      <c r="BA54" s="44"/>
      <c r="BB54" s="44"/>
      <c r="BC54" s="44"/>
      <c r="BD54" s="376"/>
      <c r="BE54" s="44"/>
      <c r="BF54" s="44"/>
      <c r="BG54" s="265"/>
      <c r="BH54" s="44"/>
      <c r="BI54" s="44"/>
      <c r="BJ54" s="44"/>
      <c r="BK54" s="44"/>
      <c r="BL54" s="44"/>
      <c r="BM54" s="376"/>
      <c r="BN54" s="44"/>
      <c r="BO54" s="44"/>
      <c r="BP54" s="44"/>
      <c r="BQ54" s="44"/>
      <c r="BR54" s="44"/>
      <c r="BS54" s="44"/>
      <c r="BT54" s="265"/>
      <c r="BU54" s="44"/>
      <c r="BV54" s="44"/>
      <c r="CC54" s="44"/>
      <c r="CD54" s="44"/>
      <c r="CF54" s="44"/>
      <c r="CG54" s="44"/>
      <c r="CH54" s="224"/>
      <c r="CI54" s="224"/>
      <c r="CQ54" s="243"/>
      <c r="CS54" s="651"/>
      <c r="DI54" s="79"/>
    </row>
    <row r="55" spans="2:113" x14ac:dyDescent="0.35">
      <c r="B55" s="274" t="s">
        <v>268</v>
      </c>
      <c r="C55" s="264"/>
      <c r="D55" s="264"/>
      <c r="E55" s="264"/>
      <c r="F55" s="93"/>
      <c r="G55" s="275"/>
      <c r="H55" s="93"/>
      <c r="I55" s="93"/>
      <c r="J55" s="93"/>
      <c r="K55" s="265"/>
      <c r="L55" s="265"/>
      <c r="M55" s="265"/>
      <c r="N55" s="265"/>
      <c r="O55" s="265"/>
      <c r="P55" s="265"/>
      <c r="Q55" s="265"/>
      <c r="R55" s="265"/>
      <c r="S55" s="265"/>
      <c r="T55" s="265"/>
      <c r="U55" s="265"/>
      <c r="V55" s="265"/>
      <c r="W55" s="265"/>
      <c r="X55" s="265"/>
      <c r="Y55" s="265"/>
      <c r="Z55" s="265"/>
      <c r="AA55" s="265"/>
      <c r="AB55" s="265"/>
      <c r="AC55" s="265"/>
      <c r="AD55" s="265"/>
      <c r="AE55" s="265"/>
      <c r="AF55" s="265"/>
      <c r="AG55" s="265"/>
      <c r="AH55" s="265"/>
      <c r="AI55" s="265"/>
      <c r="AJ55" s="265"/>
      <c r="AK55" s="265"/>
      <c r="AL55" s="44"/>
      <c r="AM55" s="44"/>
      <c r="AN55" s="44"/>
      <c r="AO55" s="44"/>
      <c r="AP55" s="44"/>
      <c r="AQ55" s="44"/>
      <c r="AR55" s="44"/>
      <c r="AS55" s="44"/>
      <c r="AT55" s="265"/>
      <c r="AU55" s="44"/>
      <c r="AV55" s="44"/>
      <c r="BA55" s="44"/>
      <c r="BB55" s="44"/>
      <c r="BC55" s="44"/>
      <c r="BD55" s="376"/>
      <c r="BE55" s="44"/>
      <c r="BF55" s="44"/>
      <c r="BG55" s="265"/>
      <c r="BH55" s="44"/>
      <c r="BI55" s="44"/>
      <c r="BJ55" s="44"/>
      <c r="BK55" s="44"/>
      <c r="BL55" s="44"/>
      <c r="BM55" s="376"/>
      <c r="BN55" s="44"/>
      <c r="BO55" s="44"/>
      <c r="BP55" s="44"/>
      <c r="BQ55" s="44"/>
      <c r="BR55" s="44"/>
      <c r="BS55" s="44"/>
      <c r="BT55" s="265"/>
      <c r="BU55" s="44"/>
      <c r="BV55" s="44"/>
      <c r="CC55" s="44"/>
      <c r="CD55" s="44"/>
      <c r="CF55" s="44"/>
      <c r="CG55" s="44"/>
      <c r="CH55" s="224"/>
      <c r="CI55" s="224"/>
      <c r="CM55">
        <v>101</v>
      </c>
      <c r="CN55">
        <v>101</v>
      </c>
      <c r="CO55">
        <v>201</v>
      </c>
      <c r="CP55">
        <v>199</v>
      </c>
      <c r="CQ55" s="243">
        <v>299</v>
      </c>
      <c r="CR55">
        <v>296</v>
      </c>
      <c r="CS55" s="651">
        <v>295</v>
      </c>
      <c r="CU55">
        <v>292</v>
      </c>
      <c r="CV55">
        <v>291</v>
      </c>
      <c r="CW55">
        <v>289</v>
      </c>
      <c r="CX55">
        <v>285</v>
      </c>
      <c r="CY55">
        <v>170</v>
      </c>
      <c r="CZ55">
        <v>166</v>
      </c>
      <c r="DA55">
        <v>162</v>
      </c>
      <c r="DB55">
        <v>156</v>
      </c>
      <c r="DC55">
        <v>156</v>
      </c>
      <c r="DD55">
        <v>154</v>
      </c>
      <c r="DE55">
        <v>152</v>
      </c>
      <c r="DF55">
        <v>182</v>
      </c>
      <c r="DH55">
        <v>171</v>
      </c>
      <c r="DI55" s="79">
        <v>168</v>
      </c>
    </row>
    <row r="56" spans="2:113" x14ac:dyDescent="0.35">
      <c r="B56" s="618" t="s">
        <v>269</v>
      </c>
      <c r="C56" s="264"/>
      <c r="D56" s="264"/>
      <c r="E56" s="264"/>
      <c r="F56" s="93"/>
      <c r="G56" s="275"/>
      <c r="H56" s="93"/>
      <c r="I56" s="93"/>
      <c r="J56" s="93"/>
      <c r="K56" s="265"/>
      <c r="L56" s="265"/>
      <c r="M56" s="265"/>
      <c r="N56" s="265"/>
      <c r="O56" s="265"/>
      <c r="P56" s="265"/>
      <c r="Q56" s="265"/>
      <c r="R56" s="265"/>
      <c r="S56" s="265"/>
      <c r="T56" s="265"/>
      <c r="U56" s="265"/>
      <c r="V56" s="265"/>
      <c r="W56" s="265"/>
      <c r="X56" s="265"/>
      <c r="Y56" s="265"/>
      <c r="Z56" s="265"/>
      <c r="AA56" s="265"/>
      <c r="AB56" s="265"/>
      <c r="AC56" s="265"/>
      <c r="AD56" s="265"/>
      <c r="AE56" s="265"/>
      <c r="AF56" s="265"/>
      <c r="AG56" s="265"/>
      <c r="AH56" s="265"/>
      <c r="AI56" s="265"/>
      <c r="AJ56" s="265"/>
      <c r="AK56" s="265"/>
      <c r="AL56" s="44"/>
      <c r="AM56" s="44"/>
      <c r="AN56" s="44"/>
      <c r="AO56" s="44"/>
      <c r="AP56" s="44"/>
      <c r="AQ56" s="44"/>
      <c r="AR56" s="44"/>
      <c r="AS56" s="44"/>
      <c r="AT56" s="265"/>
      <c r="AU56" s="44"/>
      <c r="AV56" s="44"/>
      <c r="BA56" s="44"/>
      <c r="BB56" s="44"/>
      <c r="BC56" s="44"/>
      <c r="BD56" s="376"/>
      <c r="BE56" s="44"/>
      <c r="BF56" s="44"/>
      <c r="BG56" s="265"/>
      <c r="BH56" s="44"/>
      <c r="BI56" s="44"/>
      <c r="BJ56" s="44"/>
      <c r="BK56" s="44"/>
      <c r="BL56" s="44"/>
      <c r="BM56" s="376"/>
      <c r="BN56" s="44"/>
      <c r="BO56" s="44"/>
      <c r="BP56" s="44"/>
      <c r="BQ56" s="44"/>
      <c r="BR56" s="44"/>
      <c r="BS56" s="44"/>
      <c r="BT56" s="265"/>
      <c r="BU56" s="44"/>
      <c r="BV56" s="44"/>
      <c r="CC56" s="44"/>
      <c r="CD56" s="44"/>
      <c r="CF56" s="44"/>
      <c r="CG56" s="44"/>
      <c r="CH56" s="224"/>
      <c r="CI56" s="224"/>
      <c r="CO56">
        <v>2</v>
      </c>
      <c r="CP56">
        <v>2</v>
      </c>
      <c r="CQ56" s="243">
        <v>2</v>
      </c>
      <c r="CR56">
        <v>2</v>
      </c>
      <c r="CS56" s="651">
        <v>2</v>
      </c>
      <c r="CU56">
        <v>2</v>
      </c>
      <c r="CV56">
        <v>2</v>
      </c>
      <c r="CW56">
        <v>2</v>
      </c>
      <c r="CX56">
        <v>2</v>
      </c>
      <c r="CY56">
        <v>2</v>
      </c>
      <c r="CZ56">
        <v>2</v>
      </c>
      <c r="DA56">
        <v>2</v>
      </c>
      <c r="DB56">
        <v>2</v>
      </c>
      <c r="DC56">
        <v>2</v>
      </c>
      <c r="DD56">
        <v>2</v>
      </c>
      <c r="DE56">
        <v>2</v>
      </c>
      <c r="DF56">
        <v>2</v>
      </c>
      <c r="DH56">
        <v>2</v>
      </c>
      <c r="DI56" s="79">
        <v>2</v>
      </c>
    </row>
    <row r="57" spans="2:113" x14ac:dyDescent="0.35">
      <c r="B57" s="583" t="s">
        <v>270</v>
      </c>
      <c r="C57" s="264"/>
      <c r="D57" s="264"/>
      <c r="E57" s="264"/>
      <c r="F57" s="93"/>
      <c r="G57" s="275"/>
      <c r="H57" s="93"/>
      <c r="I57" s="93"/>
      <c r="J57" s="93"/>
      <c r="K57" s="265"/>
      <c r="L57" s="265"/>
      <c r="M57" s="265"/>
      <c r="N57" s="265"/>
      <c r="O57" s="265"/>
      <c r="P57" s="265"/>
      <c r="Q57" s="265"/>
      <c r="R57" s="265"/>
      <c r="S57" s="265"/>
      <c r="T57" s="265"/>
      <c r="U57" s="265"/>
      <c r="V57" s="265"/>
      <c r="W57" s="265"/>
      <c r="X57" s="265"/>
      <c r="Y57" s="265"/>
      <c r="Z57" s="265"/>
      <c r="AA57" s="265"/>
      <c r="AB57" s="265"/>
      <c r="AC57" s="265"/>
      <c r="AD57" s="265"/>
      <c r="AE57" s="265"/>
      <c r="AF57" s="265"/>
      <c r="AG57" s="265"/>
      <c r="AH57" s="265"/>
      <c r="AI57" s="265"/>
      <c r="AJ57" s="265"/>
      <c r="AK57" s="265"/>
      <c r="AL57" s="44"/>
      <c r="AM57" s="44"/>
      <c r="AN57" s="44"/>
      <c r="AO57" s="44"/>
      <c r="AP57" s="44"/>
      <c r="AQ57" s="44"/>
      <c r="AR57" s="44"/>
      <c r="AS57" s="44"/>
      <c r="AT57" s="265"/>
      <c r="AU57" s="44"/>
      <c r="AV57" s="44"/>
      <c r="BA57" s="44"/>
      <c r="BB57" s="44"/>
      <c r="BC57" s="44"/>
      <c r="BD57" s="376"/>
      <c r="BE57" s="44"/>
      <c r="BF57" s="44"/>
      <c r="BG57" s="265"/>
      <c r="BH57" s="44"/>
      <c r="BI57" s="44"/>
      <c r="BJ57" s="44"/>
      <c r="BK57" s="44"/>
      <c r="BL57" s="44"/>
      <c r="BM57" s="376"/>
      <c r="BN57" s="44"/>
      <c r="BO57" s="44"/>
      <c r="BP57" s="44"/>
      <c r="BQ57" s="44"/>
      <c r="BR57" s="44"/>
      <c r="BS57" s="44"/>
      <c r="BT57" s="265"/>
      <c r="BU57" s="44"/>
      <c r="BV57" s="44"/>
      <c r="CC57" s="44"/>
      <c r="CD57" s="44"/>
      <c r="CF57" s="44"/>
      <c r="CG57" s="44"/>
      <c r="CH57" s="224"/>
      <c r="CI57" s="224"/>
      <c r="CQ57" s="243"/>
      <c r="CR57">
        <v>28</v>
      </c>
      <c r="CS57" s="651">
        <v>28</v>
      </c>
      <c r="CU57">
        <v>28</v>
      </c>
      <c r="CV57">
        <v>28</v>
      </c>
      <c r="CW57">
        <v>26</v>
      </c>
      <c r="CX57">
        <v>26</v>
      </c>
      <c r="CY57">
        <v>20</v>
      </c>
      <c r="CZ57">
        <v>20</v>
      </c>
      <c r="DA57">
        <v>7</v>
      </c>
      <c r="DB57">
        <v>7</v>
      </c>
      <c r="DC57">
        <v>0</v>
      </c>
      <c r="DE57">
        <v>28</v>
      </c>
      <c r="DF57">
        <v>23</v>
      </c>
      <c r="DH57">
        <v>16</v>
      </c>
      <c r="DI57" s="79">
        <v>16</v>
      </c>
    </row>
    <row r="58" spans="2:113" x14ac:dyDescent="0.35">
      <c r="B58" s="618" t="s">
        <v>271</v>
      </c>
      <c r="C58" s="264"/>
      <c r="D58" s="264"/>
      <c r="E58" s="264"/>
      <c r="F58" s="93"/>
      <c r="G58" s="275"/>
      <c r="H58" s="93"/>
      <c r="I58" s="93"/>
      <c r="J58" s="93"/>
      <c r="K58" s="265"/>
      <c r="L58" s="265"/>
      <c r="M58" s="265"/>
      <c r="N58" s="265"/>
      <c r="O58" s="265"/>
      <c r="P58" s="265"/>
      <c r="Q58" s="265"/>
      <c r="R58" s="265"/>
      <c r="S58" s="265"/>
      <c r="T58" s="265"/>
      <c r="U58" s="265"/>
      <c r="V58" s="265"/>
      <c r="W58" s="265"/>
      <c r="X58" s="265"/>
      <c r="Y58" s="265"/>
      <c r="Z58" s="265"/>
      <c r="AA58" s="265"/>
      <c r="AB58" s="265"/>
      <c r="AC58" s="265"/>
      <c r="AD58" s="265"/>
      <c r="AE58" s="265"/>
      <c r="AF58" s="265"/>
      <c r="AG58" s="265"/>
      <c r="AH58" s="265"/>
      <c r="AI58" s="265"/>
      <c r="AJ58" s="265"/>
      <c r="AK58" s="265"/>
      <c r="AL58" s="44"/>
      <c r="AM58" s="44"/>
      <c r="AN58" s="44"/>
      <c r="AO58" s="44"/>
      <c r="AP58" s="44"/>
      <c r="AQ58" s="44"/>
      <c r="AR58" s="44"/>
      <c r="AS58" s="44"/>
      <c r="AT58" s="265"/>
      <c r="AU58" s="44"/>
      <c r="AV58" s="44"/>
      <c r="BA58" s="44"/>
      <c r="BB58" s="44"/>
      <c r="BC58" s="44"/>
      <c r="BD58" s="376"/>
      <c r="BE58" s="44"/>
      <c r="BF58" s="44"/>
      <c r="BG58" s="265"/>
      <c r="BH58" s="44"/>
      <c r="BI58" s="44"/>
      <c r="BJ58" s="44"/>
      <c r="BK58" s="44"/>
      <c r="BL58" s="44"/>
      <c r="BM58" s="376"/>
      <c r="BN58" s="44"/>
      <c r="BO58" s="44"/>
      <c r="BP58" s="44"/>
      <c r="BQ58" s="44"/>
      <c r="BR58" s="44"/>
      <c r="BS58" s="44"/>
      <c r="BT58" s="265"/>
      <c r="BU58" s="44"/>
      <c r="BV58" s="44"/>
      <c r="CC58" s="44"/>
      <c r="CD58" s="44"/>
      <c r="CF58" s="44"/>
      <c r="CG58" s="44"/>
      <c r="CH58" s="224"/>
      <c r="CI58" s="224"/>
      <c r="CO58">
        <v>9</v>
      </c>
      <c r="CP58">
        <v>0</v>
      </c>
      <c r="CQ58" s="243">
        <v>55</v>
      </c>
      <c r="CR58">
        <v>31</v>
      </c>
      <c r="CS58" s="651">
        <v>31</v>
      </c>
      <c r="CU58">
        <v>84</v>
      </c>
      <c r="CV58">
        <v>87</v>
      </c>
      <c r="CW58">
        <v>139</v>
      </c>
      <c r="CX58">
        <v>116</v>
      </c>
      <c r="CY58">
        <v>116</v>
      </c>
      <c r="CZ58">
        <v>116</v>
      </c>
      <c r="DA58">
        <v>118</v>
      </c>
      <c r="DB58">
        <v>118</v>
      </c>
      <c r="DC58">
        <v>118</v>
      </c>
      <c r="DD58">
        <v>118</v>
      </c>
      <c r="DE58">
        <v>118</v>
      </c>
      <c r="DF58">
        <v>118</v>
      </c>
      <c r="DH58">
        <v>117</v>
      </c>
      <c r="DI58" s="79">
        <v>117</v>
      </c>
    </row>
    <row r="59" spans="2:113" x14ac:dyDescent="0.35">
      <c r="B59" s="274" t="s">
        <v>272</v>
      </c>
      <c r="C59" s="264"/>
      <c r="D59" s="264"/>
      <c r="E59" s="264"/>
      <c r="F59" s="93"/>
      <c r="G59" s="275"/>
      <c r="H59" s="93"/>
      <c r="I59" s="93"/>
      <c r="J59" s="93"/>
      <c r="K59" s="265"/>
      <c r="L59" s="265"/>
      <c r="M59" s="265"/>
      <c r="N59" s="265"/>
      <c r="O59" s="265"/>
      <c r="P59" s="265"/>
      <c r="Q59" s="265"/>
      <c r="R59" s="265"/>
      <c r="S59" s="265"/>
      <c r="T59" s="265"/>
      <c r="U59" s="265"/>
      <c r="V59" s="265"/>
      <c r="W59" s="265"/>
      <c r="X59" s="265"/>
      <c r="Y59" s="265"/>
      <c r="Z59" s="265"/>
      <c r="AA59" s="265"/>
      <c r="AB59" s="265"/>
      <c r="AC59" s="265"/>
      <c r="AD59" s="265"/>
      <c r="AE59" s="265"/>
      <c r="AF59" s="265"/>
      <c r="AG59" s="265"/>
      <c r="AH59" s="265"/>
      <c r="AI59" s="265"/>
      <c r="AJ59" s="265"/>
      <c r="AK59" s="265"/>
      <c r="AL59" s="44">
        <v>65</v>
      </c>
      <c r="AM59" s="44">
        <v>0</v>
      </c>
      <c r="AN59" s="44"/>
      <c r="AO59" s="44"/>
      <c r="AP59" s="44"/>
      <c r="AQ59" s="44"/>
      <c r="AS59" s="44"/>
      <c r="AT59" s="265"/>
      <c r="AU59" s="44"/>
      <c r="AV59" s="44"/>
      <c r="BA59" s="44"/>
      <c r="BB59" s="44"/>
      <c r="BC59" s="44"/>
      <c r="BE59" s="44"/>
      <c r="BF59" s="44"/>
      <c r="BG59" s="265"/>
      <c r="BH59" s="44"/>
      <c r="BI59" s="44"/>
      <c r="BJ59" s="44"/>
      <c r="BK59" s="44"/>
      <c r="BL59" s="44"/>
      <c r="BS59" s="44"/>
      <c r="BT59" s="265"/>
      <c r="BU59" s="44"/>
      <c r="BV59" s="44"/>
      <c r="CC59" s="44"/>
      <c r="CD59" s="44"/>
      <c r="CF59" s="44"/>
      <c r="CG59" s="44"/>
      <c r="CH59" s="224"/>
      <c r="CI59" s="224"/>
      <c r="CQ59" s="257"/>
      <c r="CS59" s="651"/>
      <c r="DI59" s="79"/>
    </row>
    <row r="60" spans="2:113" x14ac:dyDescent="0.35">
      <c r="B60" s="274" t="s">
        <v>273</v>
      </c>
      <c r="C60" s="264"/>
      <c r="D60" s="264"/>
      <c r="E60" s="264"/>
      <c r="F60" s="93"/>
      <c r="G60" s="275"/>
      <c r="H60" s="93"/>
      <c r="I60" s="93"/>
      <c r="J60" s="93"/>
      <c r="K60" s="265"/>
      <c r="L60" s="265"/>
      <c r="M60" s="265"/>
      <c r="N60" s="265"/>
      <c r="O60" s="265"/>
      <c r="P60" s="265"/>
      <c r="Q60" s="265"/>
      <c r="R60" s="265"/>
      <c r="S60" s="265"/>
      <c r="T60" s="265"/>
      <c r="U60" s="265"/>
      <c r="V60" s="265"/>
      <c r="W60" s="265"/>
      <c r="X60" s="265"/>
      <c r="Y60" s="265"/>
      <c r="Z60" s="265"/>
      <c r="AA60" s="265"/>
      <c r="AB60" s="265"/>
      <c r="AC60" s="265"/>
      <c r="AD60" s="265"/>
      <c r="AE60" s="265"/>
      <c r="AF60" s="265"/>
      <c r="AG60" s="265"/>
      <c r="AH60" s="265"/>
      <c r="AI60" s="265"/>
      <c r="AJ60" s="265"/>
      <c r="AK60" s="265"/>
      <c r="AL60" s="44"/>
      <c r="AM60" s="44"/>
      <c r="AN60" s="44"/>
      <c r="AO60" s="44"/>
      <c r="AP60" s="44"/>
      <c r="AQ60" s="44"/>
      <c r="AS60" s="44"/>
      <c r="AT60" s="265"/>
      <c r="AU60" s="44"/>
      <c r="AV60" s="44"/>
      <c r="BA60" s="44"/>
      <c r="BB60" s="44"/>
      <c r="BC60" s="44"/>
      <c r="BE60" s="44">
        <v>30</v>
      </c>
      <c r="BF60" s="44">
        <v>30</v>
      </c>
      <c r="BG60" s="265"/>
      <c r="BH60" s="44">
        <v>37</v>
      </c>
      <c r="BI60" s="44">
        <v>37</v>
      </c>
      <c r="BJ60" s="44">
        <v>0</v>
      </c>
      <c r="BK60" s="44"/>
      <c r="BL60" s="44"/>
      <c r="BS60" s="44"/>
      <c r="BT60" s="265"/>
      <c r="BU60" s="44"/>
      <c r="BV60" s="44"/>
      <c r="CC60" s="44"/>
      <c r="CD60" s="44"/>
      <c r="CF60" s="44"/>
      <c r="CG60" s="44"/>
      <c r="CH60" s="224"/>
      <c r="CI60" s="44"/>
      <c r="CQ60" s="257"/>
      <c r="CS60" s="651"/>
      <c r="DI60" s="79"/>
    </row>
    <row r="61" spans="2:113" x14ac:dyDescent="0.35">
      <c r="B61" s="274" t="s">
        <v>274</v>
      </c>
      <c r="C61" s="264"/>
      <c r="D61" s="264"/>
      <c r="E61" s="264"/>
      <c r="F61" s="93"/>
      <c r="G61" s="275"/>
      <c r="H61" s="93"/>
      <c r="I61" s="93"/>
      <c r="J61" s="93"/>
      <c r="K61" s="265"/>
      <c r="L61" s="265"/>
      <c r="M61" s="265"/>
      <c r="N61" s="265"/>
      <c r="O61" s="265"/>
      <c r="P61" s="265"/>
      <c r="Q61" s="265"/>
      <c r="R61" s="265"/>
      <c r="S61" s="265"/>
      <c r="T61" s="265"/>
      <c r="U61" s="265"/>
      <c r="V61" s="265"/>
      <c r="W61" s="265"/>
      <c r="X61" s="265"/>
      <c r="Y61" s="265"/>
      <c r="Z61" s="265"/>
      <c r="AA61" s="265"/>
      <c r="AB61" s="265"/>
      <c r="AC61" s="265"/>
      <c r="AD61" s="265"/>
      <c r="AE61" s="265"/>
      <c r="AF61" s="265"/>
      <c r="AG61" s="265"/>
      <c r="AH61" s="265"/>
      <c r="AI61" s="265"/>
      <c r="AJ61" s="265"/>
      <c r="AO61" s="44"/>
      <c r="AP61" s="44">
        <v>74</v>
      </c>
      <c r="AQ61" s="44">
        <v>0</v>
      </c>
      <c r="AR61" s="44"/>
      <c r="AT61" s="265"/>
      <c r="BG61" s="265"/>
      <c r="BS61" s="44"/>
      <c r="BT61" s="265"/>
      <c r="BU61" s="44"/>
      <c r="BV61" s="44"/>
      <c r="CC61" s="44"/>
      <c r="CD61" s="55"/>
      <c r="CE61" s="10"/>
      <c r="CF61" s="44"/>
      <c r="CH61" s="224"/>
      <c r="CI61" s="44"/>
      <c r="CQ61" s="257"/>
      <c r="CS61" s="651"/>
      <c r="DI61" s="79"/>
    </row>
    <row r="62" spans="2:113" x14ac:dyDescent="0.35">
      <c r="B62" s="274" t="s">
        <v>275</v>
      </c>
      <c r="C62" s="264"/>
      <c r="D62" s="264"/>
      <c r="E62" s="264"/>
      <c r="F62" s="93"/>
      <c r="G62" s="275"/>
      <c r="H62" s="93"/>
      <c r="I62" s="93"/>
      <c r="J62" s="93"/>
      <c r="K62" s="265"/>
      <c r="L62" s="265"/>
      <c r="M62" s="265"/>
      <c r="N62" s="265"/>
      <c r="O62" s="265"/>
      <c r="P62" s="265"/>
      <c r="Q62" s="265"/>
      <c r="R62" s="265"/>
      <c r="S62" s="265"/>
      <c r="T62" s="265"/>
      <c r="U62" s="265"/>
      <c r="V62" s="265"/>
      <c r="W62" s="265"/>
      <c r="X62" s="265"/>
      <c r="Y62" s="265"/>
      <c r="Z62" s="265"/>
      <c r="AA62" s="265"/>
      <c r="AB62" s="265"/>
      <c r="AC62" s="265"/>
      <c r="AD62" s="265"/>
      <c r="AE62" s="265"/>
      <c r="AF62" s="265"/>
      <c r="AG62" s="265"/>
      <c r="AH62" s="265"/>
      <c r="AI62" s="265"/>
      <c r="AJ62" s="265"/>
      <c r="AO62" s="44"/>
      <c r="AP62" s="44"/>
      <c r="AQ62" s="44"/>
      <c r="AR62" s="44"/>
      <c r="AT62" s="265"/>
      <c r="BG62" s="265"/>
      <c r="BS62" s="44"/>
      <c r="BT62" s="265"/>
      <c r="BU62" s="44"/>
      <c r="BV62" s="44">
        <v>7</v>
      </c>
      <c r="CC62" s="44"/>
      <c r="CD62" s="55"/>
      <c r="CE62" s="10"/>
      <c r="CF62" s="44"/>
      <c r="CH62" s="224"/>
      <c r="CI62" s="44"/>
      <c r="CJ62" s="36"/>
      <c r="CK62" s="36"/>
      <c r="CL62" s="36"/>
      <c r="CM62" s="36"/>
      <c r="CN62" s="36"/>
      <c r="CO62" s="36"/>
      <c r="CP62" s="36"/>
      <c r="CQ62" s="623"/>
      <c r="CR62" s="36"/>
      <c r="CS62" s="654" t="s">
        <v>276</v>
      </c>
      <c r="DI62" s="79"/>
    </row>
    <row r="63" spans="2:113" x14ac:dyDescent="0.35">
      <c r="C63" s="266">
        <f>SUM(C27:C37)</f>
        <v>102</v>
      </c>
      <c r="D63" s="266">
        <f>SUM(D27:D43)</f>
        <v>216</v>
      </c>
      <c r="E63" s="266">
        <v>291</v>
      </c>
      <c r="F63" s="267">
        <f>SUM(F25:F43)</f>
        <v>267</v>
      </c>
      <c r="G63" s="93"/>
      <c r="H63" s="267">
        <f t="shared" ref="H63:S63" si="32">SUM(H27:H43)</f>
        <v>207</v>
      </c>
      <c r="I63" s="267">
        <f t="shared" si="32"/>
        <v>151</v>
      </c>
      <c r="J63" s="267">
        <f t="shared" si="32"/>
        <v>171</v>
      </c>
      <c r="K63" s="268">
        <f t="shared" si="32"/>
        <v>144</v>
      </c>
      <c r="L63" s="268">
        <f t="shared" si="32"/>
        <v>183</v>
      </c>
      <c r="M63" s="268">
        <f t="shared" si="32"/>
        <v>164</v>
      </c>
      <c r="N63" s="268">
        <f t="shared" si="32"/>
        <v>143</v>
      </c>
      <c r="O63" s="268">
        <f t="shared" si="32"/>
        <v>140</v>
      </c>
      <c r="P63" s="268">
        <f t="shared" si="32"/>
        <v>203</v>
      </c>
      <c r="Q63" s="268">
        <f t="shared" si="32"/>
        <v>192</v>
      </c>
      <c r="R63" s="268">
        <f t="shared" si="32"/>
        <v>178</v>
      </c>
      <c r="S63" s="268">
        <f t="shared" si="32"/>
        <v>163</v>
      </c>
      <c r="T63" s="265"/>
      <c r="U63" s="268">
        <f t="shared" ref="U63:AA63" si="33">SUM(U27:U43)</f>
        <v>154</v>
      </c>
      <c r="V63" s="268">
        <f t="shared" si="33"/>
        <v>281</v>
      </c>
      <c r="W63" s="268">
        <f t="shared" si="33"/>
        <v>330</v>
      </c>
      <c r="X63" s="268">
        <f t="shared" si="33"/>
        <v>176</v>
      </c>
      <c r="Y63" s="268">
        <f t="shared" si="33"/>
        <v>164</v>
      </c>
      <c r="Z63" s="268">
        <f t="shared" si="33"/>
        <v>205</v>
      </c>
      <c r="AA63" s="268">
        <f t="shared" si="33"/>
        <v>145</v>
      </c>
      <c r="AB63" s="268">
        <f>SUM(AB27:AB44)</f>
        <v>143</v>
      </c>
      <c r="AC63" s="268">
        <f>SUM(AC27:AC46)</f>
        <v>187</v>
      </c>
      <c r="AD63" s="268">
        <f>SUM(AD27:AD46)</f>
        <v>146</v>
      </c>
      <c r="AE63" s="268">
        <f>SUM(AE27:AE48)</f>
        <v>200</v>
      </c>
      <c r="AF63" s="268">
        <f>SUM(AF27:AF48)</f>
        <v>130</v>
      </c>
      <c r="AG63" s="265"/>
      <c r="AH63" s="268">
        <f>SUM(AH27:AH48)</f>
        <v>80</v>
      </c>
      <c r="AI63" s="268">
        <f>SUM(AI27:AI48)</f>
        <v>80</v>
      </c>
      <c r="AJ63" s="268">
        <f>SUM(AJ27:AJ49)</f>
        <v>153</v>
      </c>
      <c r="AK63" s="268">
        <f>SUM(AK27:AK52)</f>
        <v>365</v>
      </c>
      <c r="AL63" s="268">
        <f>SUM(AL27:AL59)</f>
        <v>291</v>
      </c>
      <c r="AM63" s="268">
        <f>SUM(AM27:AM59)</f>
        <v>241</v>
      </c>
      <c r="AN63" s="268">
        <f>SUM(AN27:AN59)</f>
        <v>227</v>
      </c>
      <c r="AO63" s="268">
        <f>SUM(AO27:AO59)</f>
        <v>223</v>
      </c>
      <c r="AP63" s="268">
        <f>SUM(AP27:AP61)</f>
        <v>232</v>
      </c>
      <c r="AQ63" s="268">
        <f>SUM(AQ27:AQ61)</f>
        <v>142</v>
      </c>
      <c r="AR63" s="268">
        <f>SUM(AR27:AR61)</f>
        <v>270</v>
      </c>
      <c r="AS63" s="268">
        <f>SUM(AS27:AS61)</f>
        <v>322</v>
      </c>
      <c r="AT63" s="265"/>
      <c r="AU63" s="268">
        <f t="shared" ref="AU63:BF63" si="34">SUM(AU27:AU61)</f>
        <v>277</v>
      </c>
      <c r="AV63" s="268">
        <f t="shared" si="34"/>
        <v>267</v>
      </c>
      <c r="AW63" s="268">
        <f t="shared" si="34"/>
        <v>308</v>
      </c>
      <c r="AX63" s="268">
        <f t="shared" si="34"/>
        <v>299</v>
      </c>
      <c r="AY63" s="268">
        <f t="shared" si="34"/>
        <v>292</v>
      </c>
      <c r="AZ63" s="268">
        <f t="shared" si="34"/>
        <v>416</v>
      </c>
      <c r="BA63" s="268">
        <f t="shared" si="34"/>
        <v>228</v>
      </c>
      <c r="BB63" s="268">
        <f t="shared" si="34"/>
        <v>213</v>
      </c>
      <c r="BC63" s="268">
        <f t="shared" si="34"/>
        <v>206</v>
      </c>
      <c r="BD63" s="268">
        <f t="shared" si="34"/>
        <v>201</v>
      </c>
      <c r="BE63" s="268">
        <f t="shared" si="34"/>
        <v>192</v>
      </c>
      <c r="BF63" s="268">
        <f t="shared" si="34"/>
        <v>180</v>
      </c>
      <c r="BG63" s="265"/>
      <c r="BH63" s="268">
        <f t="shared" ref="BH63:BS63" si="35">SUM(BH27:BH61)</f>
        <v>169</v>
      </c>
      <c r="BI63" s="268">
        <f t="shared" si="35"/>
        <v>328</v>
      </c>
      <c r="BJ63" s="268">
        <f t="shared" si="35"/>
        <v>210</v>
      </c>
      <c r="BK63" s="268">
        <f t="shared" si="35"/>
        <v>205</v>
      </c>
      <c r="BL63" s="268">
        <f t="shared" si="35"/>
        <v>159</v>
      </c>
      <c r="BM63" s="268">
        <f t="shared" si="35"/>
        <v>156</v>
      </c>
      <c r="BN63" s="268">
        <f t="shared" si="35"/>
        <v>154</v>
      </c>
      <c r="BO63" s="268">
        <f t="shared" si="35"/>
        <v>152</v>
      </c>
      <c r="BP63" s="268">
        <f t="shared" si="35"/>
        <v>124</v>
      </c>
      <c r="BQ63" s="268">
        <f t="shared" si="35"/>
        <v>118</v>
      </c>
      <c r="BR63" s="268">
        <f t="shared" si="35"/>
        <v>87</v>
      </c>
      <c r="BS63" s="268">
        <f t="shared" si="35"/>
        <v>40</v>
      </c>
      <c r="BT63" s="265"/>
      <c r="BU63" s="268">
        <f>SUM(BU27:BU61)</f>
        <v>153</v>
      </c>
      <c r="BV63" s="268">
        <f t="shared" ref="BV63:CF63" si="36">SUM(BV27:BV62)</f>
        <v>271</v>
      </c>
      <c r="BW63" s="268">
        <f t="shared" si="36"/>
        <v>159</v>
      </c>
      <c r="BX63" s="268">
        <f t="shared" si="36"/>
        <v>136</v>
      </c>
      <c r="BY63" s="268">
        <f t="shared" si="36"/>
        <v>206</v>
      </c>
      <c r="BZ63" s="268">
        <f t="shared" si="36"/>
        <v>202</v>
      </c>
      <c r="CA63" s="268">
        <f t="shared" si="36"/>
        <v>201</v>
      </c>
      <c r="CB63" s="268">
        <f t="shared" si="36"/>
        <v>311</v>
      </c>
      <c r="CC63" s="268">
        <f t="shared" si="36"/>
        <v>307</v>
      </c>
      <c r="CD63" s="268">
        <f t="shared" si="36"/>
        <v>230</v>
      </c>
      <c r="CE63" s="268">
        <f t="shared" si="36"/>
        <v>220</v>
      </c>
      <c r="CF63" s="268">
        <f t="shared" si="36"/>
        <v>296</v>
      </c>
      <c r="CH63" s="543">
        <f t="shared" ref="CH63:CQ63" si="37">SUM(CH27:CH62)</f>
        <v>288</v>
      </c>
      <c r="CI63" s="543">
        <f t="shared" si="37"/>
        <v>272</v>
      </c>
      <c r="CJ63" s="543">
        <f t="shared" si="37"/>
        <v>180</v>
      </c>
      <c r="CK63" s="543">
        <f t="shared" si="37"/>
        <v>175</v>
      </c>
      <c r="CL63" s="543">
        <f t="shared" si="37"/>
        <v>119</v>
      </c>
      <c r="CM63" s="543">
        <f t="shared" si="37"/>
        <v>148</v>
      </c>
      <c r="CN63" s="543">
        <f t="shared" si="37"/>
        <v>138</v>
      </c>
      <c r="CO63" s="543">
        <f t="shared" si="37"/>
        <v>230</v>
      </c>
      <c r="CP63" s="543">
        <f t="shared" si="37"/>
        <v>219</v>
      </c>
      <c r="CQ63" s="543">
        <f t="shared" si="37"/>
        <v>374</v>
      </c>
      <c r="CR63" s="543">
        <f>SUM(CR27:CR62)</f>
        <v>374</v>
      </c>
      <c r="CS63" s="652">
        <v>371</v>
      </c>
      <c r="CU63" s="266">
        <f t="shared" ref="CU63:CZ63" si="38">SUM(CU27:CU62)</f>
        <v>421</v>
      </c>
      <c r="CV63" s="266">
        <f t="shared" si="38"/>
        <v>423</v>
      </c>
      <c r="CW63" s="266">
        <f t="shared" si="38"/>
        <v>471</v>
      </c>
      <c r="CX63" s="266">
        <f t="shared" si="38"/>
        <v>444</v>
      </c>
      <c r="CY63" s="266">
        <f t="shared" si="38"/>
        <v>322</v>
      </c>
      <c r="CZ63" s="266">
        <f t="shared" si="38"/>
        <v>318</v>
      </c>
      <c r="DA63" s="266">
        <f t="shared" ref="DA63:DC63" si="39">SUM(DA27:DA62)</f>
        <v>303</v>
      </c>
      <c r="DB63" s="266">
        <f t="shared" si="39"/>
        <v>295</v>
      </c>
      <c r="DC63" s="266">
        <f t="shared" si="39"/>
        <v>288</v>
      </c>
      <c r="DD63" s="266">
        <f>SUM(DD27:DD62)</f>
        <v>286</v>
      </c>
      <c r="DE63" s="266">
        <f>SUM(DE27:DE62)</f>
        <v>312</v>
      </c>
      <c r="DF63" s="266">
        <f>SUM(DF27:DF62)</f>
        <v>336</v>
      </c>
      <c r="DG63" s="266"/>
      <c r="DH63" s="266">
        <f>SUM(DH27:DH62)</f>
        <v>317</v>
      </c>
      <c r="DI63" s="649">
        <f>SUM(DI27:DI62)</f>
        <v>314</v>
      </c>
    </row>
    <row r="64" spans="2:113" x14ac:dyDescent="0.35">
      <c r="B64" t="s">
        <v>277</v>
      </c>
      <c r="C64" s="264">
        <v>-16</v>
      </c>
      <c r="D64" s="264">
        <v>-74</v>
      </c>
      <c r="E64" s="264">
        <v>-99</v>
      </c>
      <c r="F64" s="93">
        <v>-145</v>
      </c>
      <c r="G64" s="93"/>
      <c r="H64" s="93">
        <v>-145</v>
      </c>
      <c r="I64" s="93">
        <v>-104</v>
      </c>
      <c r="J64" s="93">
        <v>-104</v>
      </c>
      <c r="K64" s="265">
        <v>-106</v>
      </c>
      <c r="L64" s="265">
        <v>-106</v>
      </c>
      <c r="M64" s="265">
        <v>-105</v>
      </c>
      <c r="N64" s="265">
        <v>-107</v>
      </c>
      <c r="O64" s="265">
        <v>-107</v>
      </c>
      <c r="P64" s="265">
        <v>-107</v>
      </c>
      <c r="Q64" s="265">
        <v>-109</v>
      </c>
      <c r="R64" s="265">
        <v>-110</v>
      </c>
      <c r="S64" s="265">
        <v>-121</v>
      </c>
      <c r="T64" s="265"/>
      <c r="U64" s="265">
        <v>-182</v>
      </c>
      <c r="V64" s="265">
        <v>-182</v>
      </c>
      <c r="W64" s="265">
        <v>-184</v>
      </c>
      <c r="X64" s="265">
        <v>-185</v>
      </c>
      <c r="Y64" s="265">
        <v>-185</v>
      </c>
      <c r="Z64" s="265">
        <v>-186</v>
      </c>
      <c r="AA64" s="265">
        <v>-186</v>
      </c>
      <c r="AB64" s="265">
        <v>-187</v>
      </c>
      <c r="AC64" s="265">
        <v>-188</v>
      </c>
      <c r="AD64" s="265">
        <v>-189</v>
      </c>
      <c r="AE64" s="265">
        <v>-188</v>
      </c>
      <c r="AF64" s="265">
        <v>-195</v>
      </c>
      <c r="AG64" s="265"/>
      <c r="AH64" s="265">
        <v>-188</v>
      </c>
      <c r="AI64" s="265">
        <v>-188</v>
      </c>
      <c r="AJ64" s="265">
        <v>-189</v>
      </c>
      <c r="AK64" s="265">
        <v>-190</v>
      </c>
      <c r="AL64" s="265">
        <v>-190</v>
      </c>
      <c r="AM64" s="265">
        <v>-194</v>
      </c>
      <c r="AN64" s="265">
        <v>-194</v>
      </c>
      <c r="AO64" s="265">
        <v>-194</v>
      </c>
      <c r="AP64" s="265">
        <v>-195</v>
      </c>
      <c r="AQ64" s="265">
        <v>-195</v>
      </c>
      <c r="AR64" s="265">
        <v>-196</v>
      </c>
      <c r="AS64" s="265">
        <v>-196</v>
      </c>
      <c r="AT64" s="265"/>
      <c r="AU64" s="265">
        <v>-197</v>
      </c>
      <c r="AV64" s="265">
        <v>-197</v>
      </c>
      <c r="AW64" s="265">
        <v>-197</v>
      </c>
      <c r="AX64" s="265">
        <v>-196</v>
      </c>
      <c r="AY64" s="265">
        <v>-196</v>
      </c>
      <c r="AZ64" s="265">
        <v>-197</v>
      </c>
      <c r="BA64" s="265">
        <v>-199</v>
      </c>
      <c r="BB64" s="265">
        <v>-200</v>
      </c>
      <c r="BC64" s="265">
        <v>-200</v>
      </c>
      <c r="BD64" s="265">
        <v>-200</v>
      </c>
      <c r="BE64" s="265">
        <v>-200</v>
      </c>
      <c r="BF64" s="265">
        <v>-199</v>
      </c>
      <c r="BG64" s="265"/>
      <c r="BH64" s="265">
        <v>-201</v>
      </c>
      <c r="BI64" s="265">
        <v>-201</v>
      </c>
      <c r="BJ64" s="265">
        <v>-203</v>
      </c>
      <c r="BK64" s="265">
        <v>-202</v>
      </c>
      <c r="BL64" s="265">
        <v>-168</v>
      </c>
      <c r="BM64" s="265">
        <v>-168</v>
      </c>
      <c r="BN64" s="265">
        <v>-168</v>
      </c>
      <c r="BO64" s="265">
        <v>-169</v>
      </c>
      <c r="BP64" s="265">
        <v>-171</v>
      </c>
      <c r="BQ64" s="265">
        <v>-171</v>
      </c>
      <c r="BR64" s="265">
        <v>-172</v>
      </c>
      <c r="BS64" s="265">
        <v>-172</v>
      </c>
      <c r="BT64" s="265"/>
      <c r="BU64" s="265">
        <v>-173</v>
      </c>
      <c r="BV64" s="265">
        <v>-174</v>
      </c>
      <c r="BW64" s="265">
        <v>-175</v>
      </c>
      <c r="BX64" s="265">
        <v>-175</v>
      </c>
      <c r="BY64" s="265">
        <v>-175</v>
      </c>
      <c r="BZ64" s="265">
        <v>-176</v>
      </c>
      <c r="CA64" s="265">
        <v>-177</v>
      </c>
      <c r="CB64" s="265">
        <v>-170</v>
      </c>
      <c r="CC64" s="265">
        <v>-170</v>
      </c>
      <c r="CD64" s="265">
        <v>-171</v>
      </c>
      <c r="CE64" s="265">
        <v>-33</v>
      </c>
      <c r="CF64" s="265">
        <v>-34</v>
      </c>
      <c r="CH64" s="537">
        <f>-33876/1000</f>
        <v>-33.875999999999998</v>
      </c>
      <c r="CI64" s="559">
        <v>-34</v>
      </c>
      <c r="CJ64" s="567">
        <v>-35</v>
      </c>
      <c r="CK64" s="567">
        <v>-35</v>
      </c>
      <c r="CL64" s="567">
        <v>-35</v>
      </c>
      <c r="CM64" s="567">
        <v>-37</v>
      </c>
      <c r="CN64" s="567">
        <v>-37</v>
      </c>
      <c r="CO64" s="567">
        <v>-37</v>
      </c>
      <c r="CP64" s="567">
        <v>-37</v>
      </c>
      <c r="CQ64" s="567">
        <v>-37</v>
      </c>
      <c r="CR64" s="567">
        <f>-36</f>
        <v>-36</v>
      </c>
      <c r="CS64" s="655">
        <v>-37</v>
      </c>
      <c r="CU64" s="567">
        <v>-37</v>
      </c>
      <c r="CV64" s="567">
        <v>-38</v>
      </c>
      <c r="CW64" s="567">
        <f>-38</f>
        <v>-38</v>
      </c>
      <c r="CX64" s="567">
        <f>-38</f>
        <v>-38</v>
      </c>
      <c r="CY64" s="567">
        <v>-39</v>
      </c>
      <c r="CZ64" s="567">
        <f>-39</f>
        <v>-39</v>
      </c>
      <c r="DA64" s="567">
        <f t="shared" ref="DA64:DF64" si="40">-38</f>
        <v>-38</v>
      </c>
      <c r="DB64" s="567">
        <f t="shared" si="40"/>
        <v>-38</v>
      </c>
      <c r="DC64" s="567">
        <f t="shared" si="40"/>
        <v>-38</v>
      </c>
      <c r="DD64" s="567">
        <f t="shared" si="40"/>
        <v>-38</v>
      </c>
      <c r="DE64" s="567">
        <f t="shared" si="40"/>
        <v>-38</v>
      </c>
      <c r="DF64" s="567">
        <f t="shared" si="40"/>
        <v>-38</v>
      </c>
      <c r="DG64" s="567"/>
      <c r="DH64" s="567">
        <v>-38</v>
      </c>
      <c r="DI64" s="569">
        <f>-39</f>
        <v>-39</v>
      </c>
    </row>
    <row r="65" spans="2:113" s="10" customFormat="1" ht="15" thickBot="1" x14ac:dyDescent="0.4">
      <c r="B65" s="10" t="s">
        <v>278</v>
      </c>
      <c r="C65" s="71">
        <f>+C25+C63+C64</f>
        <v>235</v>
      </c>
      <c r="D65" s="71">
        <f>+D25+D63+D64</f>
        <v>298</v>
      </c>
      <c r="E65" s="71">
        <v>360</v>
      </c>
      <c r="F65" s="103">
        <f>F63+F64</f>
        <v>122</v>
      </c>
      <c r="G65" s="62"/>
      <c r="H65" s="103">
        <f t="shared" ref="H65:S65" si="41">+H25+H63+H64</f>
        <v>252</v>
      </c>
      <c r="I65" s="103">
        <f t="shared" si="41"/>
        <v>223</v>
      </c>
      <c r="J65" s="103">
        <f t="shared" si="41"/>
        <v>240</v>
      </c>
      <c r="K65" s="272">
        <f t="shared" si="41"/>
        <v>210</v>
      </c>
      <c r="L65" s="272">
        <f t="shared" si="41"/>
        <v>225</v>
      </c>
      <c r="M65" s="272">
        <f t="shared" si="41"/>
        <v>211</v>
      </c>
      <c r="N65" s="272">
        <f t="shared" si="41"/>
        <v>210</v>
      </c>
      <c r="O65" s="272">
        <f t="shared" si="41"/>
        <v>205</v>
      </c>
      <c r="P65" s="272">
        <f t="shared" si="41"/>
        <v>244</v>
      </c>
      <c r="Q65" s="272">
        <f t="shared" si="41"/>
        <v>232</v>
      </c>
      <c r="R65" s="272">
        <f t="shared" si="41"/>
        <v>226</v>
      </c>
      <c r="S65" s="272">
        <f t="shared" si="41"/>
        <v>193</v>
      </c>
      <c r="T65" s="273"/>
      <c r="U65" s="272">
        <f t="shared" ref="U65:AF65" si="42">+U25+U63+U64</f>
        <v>125</v>
      </c>
      <c r="V65" s="272">
        <f t="shared" si="42"/>
        <v>245</v>
      </c>
      <c r="W65" s="272">
        <f t="shared" si="42"/>
        <v>288</v>
      </c>
      <c r="X65" s="272">
        <f t="shared" si="42"/>
        <v>133</v>
      </c>
      <c r="Y65" s="272">
        <f t="shared" si="42"/>
        <v>135</v>
      </c>
      <c r="Z65" s="272">
        <f t="shared" si="42"/>
        <v>180</v>
      </c>
      <c r="AA65" s="272">
        <f t="shared" si="42"/>
        <v>122</v>
      </c>
      <c r="AB65" s="272">
        <f t="shared" si="42"/>
        <v>117</v>
      </c>
      <c r="AC65" s="272">
        <f t="shared" si="42"/>
        <v>152</v>
      </c>
      <c r="AD65" s="272">
        <f t="shared" si="42"/>
        <v>113</v>
      </c>
      <c r="AE65" s="272">
        <f t="shared" si="42"/>
        <v>175</v>
      </c>
      <c r="AF65" s="272">
        <f t="shared" si="42"/>
        <v>111</v>
      </c>
      <c r="AG65" s="265"/>
      <c r="AH65" s="272">
        <f t="shared" ref="AH65:AS65" si="43">+AH25+AH63+AH64</f>
        <v>50</v>
      </c>
      <c r="AI65" s="272">
        <f t="shared" si="43"/>
        <v>62</v>
      </c>
      <c r="AJ65" s="272">
        <f t="shared" si="43"/>
        <v>131</v>
      </c>
      <c r="AK65" s="272">
        <f t="shared" si="43"/>
        <v>332</v>
      </c>
      <c r="AL65" s="272">
        <f t="shared" si="43"/>
        <v>253</v>
      </c>
      <c r="AM65" s="272">
        <f t="shared" si="43"/>
        <v>211</v>
      </c>
      <c r="AN65" s="272">
        <f t="shared" si="43"/>
        <v>197</v>
      </c>
      <c r="AO65" s="272">
        <f t="shared" si="43"/>
        <v>194</v>
      </c>
      <c r="AP65" s="272">
        <f t="shared" si="43"/>
        <v>198</v>
      </c>
      <c r="AQ65" s="272">
        <f t="shared" si="43"/>
        <v>108</v>
      </c>
      <c r="AR65" s="272">
        <f t="shared" si="43"/>
        <v>227</v>
      </c>
      <c r="AS65" s="272">
        <f t="shared" si="43"/>
        <v>280</v>
      </c>
      <c r="AT65" s="265"/>
      <c r="AU65" s="272">
        <f t="shared" ref="AU65:BF65" si="44">+AU25+AU63+AU64</f>
        <v>241</v>
      </c>
      <c r="AV65" s="272">
        <f t="shared" si="44"/>
        <v>237</v>
      </c>
      <c r="AW65" s="272">
        <f t="shared" si="44"/>
        <v>294</v>
      </c>
      <c r="AX65" s="272">
        <f t="shared" si="44"/>
        <v>287</v>
      </c>
      <c r="AY65" s="272">
        <f t="shared" si="44"/>
        <v>316</v>
      </c>
      <c r="AZ65" s="272">
        <f t="shared" si="44"/>
        <v>390</v>
      </c>
      <c r="BA65" s="272">
        <f t="shared" si="44"/>
        <v>206</v>
      </c>
      <c r="BB65" s="272">
        <f t="shared" si="44"/>
        <v>178</v>
      </c>
      <c r="BC65" s="272">
        <f t="shared" si="44"/>
        <v>177</v>
      </c>
      <c r="BD65" s="272">
        <f t="shared" si="44"/>
        <v>171</v>
      </c>
      <c r="BE65" s="272">
        <f t="shared" si="44"/>
        <v>162</v>
      </c>
      <c r="BF65" s="272">
        <f t="shared" si="44"/>
        <v>151</v>
      </c>
      <c r="BG65" s="265"/>
      <c r="BH65" s="272">
        <f t="shared" ref="BH65:BS65" si="45">+BH25+BH63+BH64</f>
        <v>156</v>
      </c>
      <c r="BI65" s="272">
        <f t="shared" si="45"/>
        <v>352</v>
      </c>
      <c r="BJ65" s="272">
        <f t="shared" si="45"/>
        <v>243</v>
      </c>
      <c r="BK65" s="272">
        <f t="shared" si="45"/>
        <v>201</v>
      </c>
      <c r="BL65" s="272">
        <f t="shared" si="45"/>
        <v>184</v>
      </c>
      <c r="BM65" s="272">
        <f t="shared" si="45"/>
        <v>181</v>
      </c>
      <c r="BN65" s="272">
        <f t="shared" si="45"/>
        <v>179</v>
      </c>
      <c r="BO65" s="272">
        <f t="shared" si="45"/>
        <v>204</v>
      </c>
      <c r="BP65" s="272">
        <f t="shared" si="45"/>
        <v>151</v>
      </c>
      <c r="BQ65" s="272">
        <f t="shared" si="45"/>
        <v>146</v>
      </c>
      <c r="BR65" s="272">
        <f t="shared" si="45"/>
        <v>143</v>
      </c>
      <c r="BS65" s="272">
        <f t="shared" si="45"/>
        <v>72</v>
      </c>
      <c r="BT65" s="265"/>
      <c r="BU65" s="272">
        <f t="shared" ref="BU65:CF65" si="46">+BU25+BU63+BU64</f>
        <v>190</v>
      </c>
      <c r="BV65" s="272">
        <f t="shared" si="46"/>
        <v>282</v>
      </c>
      <c r="BW65" s="272">
        <f t="shared" si="46"/>
        <v>169</v>
      </c>
      <c r="BX65" s="272">
        <f t="shared" si="46"/>
        <v>169</v>
      </c>
      <c r="BY65" s="272">
        <f t="shared" si="46"/>
        <v>236</v>
      </c>
      <c r="BZ65" s="272">
        <f t="shared" si="46"/>
        <v>230</v>
      </c>
      <c r="CA65" s="272">
        <f t="shared" si="46"/>
        <v>223</v>
      </c>
      <c r="CB65" s="272">
        <f t="shared" si="46"/>
        <v>456</v>
      </c>
      <c r="CC65" s="272">
        <f t="shared" si="46"/>
        <v>454</v>
      </c>
      <c r="CD65" s="272">
        <f t="shared" si="46"/>
        <v>376</v>
      </c>
      <c r="CE65" s="272">
        <f t="shared" si="46"/>
        <v>369</v>
      </c>
      <c r="CF65" s="272">
        <f t="shared" si="46"/>
        <v>433</v>
      </c>
      <c r="CG65"/>
      <c r="CH65" s="541">
        <f t="shared" ref="CH65:CQ65" si="47">+CH25+CH63+CH64</f>
        <v>428.12400000000002</v>
      </c>
      <c r="CI65" s="541">
        <f t="shared" si="47"/>
        <v>412</v>
      </c>
      <c r="CJ65" s="541">
        <f t="shared" si="47"/>
        <v>319</v>
      </c>
      <c r="CK65" s="541">
        <f t="shared" si="47"/>
        <v>313</v>
      </c>
      <c r="CL65" s="541">
        <f t="shared" si="47"/>
        <v>257</v>
      </c>
      <c r="CM65" s="541">
        <f t="shared" si="47"/>
        <v>282</v>
      </c>
      <c r="CN65" s="541">
        <f t="shared" si="47"/>
        <v>259</v>
      </c>
      <c r="CO65" s="541">
        <f t="shared" si="47"/>
        <v>344</v>
      </c>
      <c r="CP65" s="541">
        <f t="shared" si="47"/>
        <v>281</v>
      </c>
      <c r="CQ65" s="541">
        <f t="shared" si="47"/>
        <v>413</v>
      </c>
      <c r="CR65" s="541">
        <f>+CR25+CR63+CR64</f>
        <v>422</v>
      </c>
      <c r="CS65" s="656">
        <v>419</v>
      </c>
      <c r="CT65"/>
      <c r="CU65" s="71">
        <f t="shared" ref="CU65:CZ65" si="48">+CU25+CU63+CU64</f>
        <v>468</v>
      </c>
      <c r="CV65" s="71">
        <f t="shared" si="48"/>
        <v>465</v>
      </c>
      <c r="CW65" s="71">
        <f t="shared" si="48"/>
        <v>509</v>
      </c>
      <c r="CX65" s="71">
        <f t="shared" si="48"/>
        <v>482</v>
      </c>
      <c r="CY65" s="71">
        <f t="shared" si="48"/>
        <v>359</v>
      </c>
      <c r="CZ65" s="71">
        <f t="shared" si="48"/>
        <v>355</v>
      </c>
      <c r="DA65" s="71">
        <f t="shared" ref="DA65:DC65" si="49">+DA25+DA63+DA64</f>
        <v>338</v>
      </c>
      <c r="DB65" s="71">
        <f t="shared" si="49"/>
        <v>327</v>
      </c>
      <c r="DC65" s="71">
        <f t="shared" si="49"/>
        <v>320</v>
      </c>
      <c r="DD65" s="71">
        <f>+DD25+DD63+DD64</f>
        <v>323</v>
      </c>
      <c r="DE65" s="71">
        <f>+DE25+DE63+DE64</f>
        <v>357</v>
      </c>
      <c r="DF65" s="71">
        <f>+DF25+DF63+DF64</f>
        <v>379</v>
      </c>
      <c r="DG65" s="71"/>
      <c r="DH65" s="71">
        <f>+DH25+DH63+DH64</f>
        <v>361</v>
      </c>
      <c r="DI65" s="648">
        <f>+DI25+DI63+DI64</f>
        <v>357</v>
      </c>
    </row>
    <row r="66" spans="2:113" s="10" customFormat="1" ht="15.5" thickTop="1" thickBot="1" x14ac:dyDescent="0.4">
      <c r="B66" s="10" t="s">
        <v>279</v>
      </c>
      <c r="C66" s="72">
        <f>C65+C19</f>
        <v>103703.43000000001</v>
      </c>
      <c r="D66" s="72" t="e">
        <f>D65+D19</f>
        <v>#DIV/0!</v>
      </c>
      <c r="E66" s="72">
        <v>504</v>
      </c>
      <c r="F66" s="104">
        <f>F19+F65</f>
        <v>272</v>
      </c>
      <c r="G66" s="62"/>
      <c r="H66" s="104">
        <f t="shared" ref="H66:S66" si="50">H65+H19</f>
        <v>7626.26</v>
      </c>
      <c r="I66" s="104">
        <f t="shared" si="50"/>
        <v>3692.01</v>
      </c>
      <c r="J66" s="104">
        <f t="shared" si="50"/>
        <v>3694106.75</v>
      </c>
      <c r="K66" s="276">
        <f t="shared" si="50"/>
        <v>344.86</v>
      </c>
      <c r="L66" s="276">
        <f t="shared" si="50"/>
        <v>1510805.21</v>
      </c>
      <c r="M66" s="276">
        <f t="shared" si="50"/>
        <v>496</v>
      </c>
      <c r="N66" s="276">
        <f t="shared" si="50"/>
        <v>468</v>
      </c>
      <c r="O66" s="276">
        <f t="shared" si="50"/>
        <v>493</v>
      </c>
      <c r="P66" s="276">
        <f t="shared" si="50"/>
        <v>3113993.35</v>
      </c>
      <c r="Q66" s="276">
        <f t="shared" si="50"/>
        <v>466</v>
      </c>
      <c r="R66" s="276">
        <f t="shared" si="50"/>
        <v>455</v>
      </c>
      <c r="S66" s="276">
        <f t="shared" si="50"/>
        <v>420</v>
      </c>
      <c r="T66" s="273"/>
      <c r="U66" s="276">
        <f t="shared" ref="U66:AF66" si="51">U65+U19</f>
        <v>535.69000000000005</v>
      </c>
      <c r="V66" s="276">
        <f t="shared" si="51"/>
        <v>2358.96</v>
      </c>
      <c r="W66" s="276">
        <f t="shared" si="51"/>
        <v>526</v>
      </c>
      <c r="X66" s="276">
        <f t="shared" si="51"/>
        <v>71399</v>
      </c>
      <c r="Y66" s="276">
        <f t="shared" si="51"/>
        <v>359</v>
      </c>
      <c r="Z66" s="276">
        <f t="shared" si="51"/>
        <v>378</v>
      </c>
      <c r="AA66" s="276">
        <f t="shared" si="51"/>
        <v>348</v>
      </c>
      <c r="AB66" s="276">
        <f t="shared" si="51"/>
        <v>301</v>
      </c>
      <c r="AC66" s="276">
        <f t="shared" si="51"/>
        <v>414</v>
      </c>
      <c r="AD66" s="276">
        <f t="shared" si="51"/>
        <v>450</v>
      </c>
      <c r="AE66" s="276">
        <f t="shared" si="51"/>
        <v>482</v>
      </c>
      <c r="AF66" s="276">
        <f t="shared" si="51"/>
        <v>382</v>
      </c>
      <c r="AG66" s="265"/>
      <c r="AH66" s="276">
        <f t="shared" ref="AH66:AS66" si="52">AH65+AH19</f>
        <v>279</v>
      </c>
      <c r="AI66" s="276">
        <f t="shared" si="52"/>
        <v>282</v>
      </c>
      <c r="AJ66" s="276">
        <f t="shared" si="52"/>
        <v>352</v>
      </c>
      <c r="AK66" s="276">
        <f t="shared" si="52"/>
        <v>487</v>
      </c>
      <c r="AL66" s="276">
        <f t="shared" si="52"/>
        <v>413</v>
      </c>
      <c r="AM66" s="276">
        <f t="shared" si="52"/>
        <v>346</v>
      </c>
      <c r="AN66" s="276">
        <f t="shared" si="52"/>
        <v>305</v>
      </c>
      <c r="AO66" s="276">
        <f t="shared" si="52"/>
        <v>287</v>
      </c>
      <c r="AP66" s="276">
        <f t="shared" si="52"/>
        <v>321</v>
      </c>
      <c r="AQ66" s="276">
        <f t="shared" si="52"/>
        <v>263</v>
      </c>
      <c r="AR66" s="276">
        <f t="shared" si="52"/>
        <v>489</v>
      </c>
      <c r="AS66" s="276">
        <f t="shared" si="52"/>
        <v>547</v>
      </c>
      <c r="AT66" s="265"/>
      <c r="AU66" s="276">
        <f t="shared" ref="AU66:BF66" si="53">AU65+AU19</f>
        <v>514</v>
      </c>
      <c r="AV66" s="276">
        <f t="shared" si="53"/>
        <v>567</v>
      </c>
      <c r="AW66" s="276">
        <f t="shared" si="53"/>
        <v>784</v>
      </c>
      <c r="AX66" s="276">
        <f t="shared" si="53"/>
        <v>794</v>
      </c>
      <c r="AY66" s="276">
        <f t="shared" si="53"/>
        <v>904</v>
      </c>
      <c r="AZ66" s="276">
        <f t="shared" si="53"/>
        <v>1001</v>
      </c>
      <c r="BA66" s="276">
        <f t="shared" si="53"/>
        <v>908</v>
      </c>
      <c r="BB66" s="276">
        <f t="shared" si="53"/>
        <v>988</v>
      </c>
      <c r="BC66" s="276">
        <f t="shared" si="53"/>
        <v>1024</v>
      </c>
      <c r="BD66" s="276">
        <f t="shared" si="53"/>
        <v>1219</v>
      </c>
      <c r="BE66" s="276">
        <f t="shared" si="53"/>
        <v>1161</v>
      </c>
      <c r="BF66" s="276">
        <f t="shared" si="53"/>
        <v>1198</v>
      </c>
      <c r="BG66" s="265"/>
      <c r="BH66" s="276">
        <f t="shared" ref="BH66:BS66" si="54">BH65+BH19</f>
        <v>1218</v>
      </c>
      <c r="BI66" s="276">
        <f t="shared" si="54"/>
        <v>1439</v>
      </c>
      <c r="BJ66" s="276">
        <f t="shared" si="54"/>
        <v>1327</v>
      </c>
      <c r="BK66" s="276">
        <f t="shared" si="54"/>
        <v>1461</v>
      </c>
      <c r="BL66" s="276">
        <f t="shared" si="54"/>
        <v>1451</v>
      </c>
      <c r="BM66" s="276">
        <f t="shared" si="54"/>
        <v>1331</v>
      </c>
      <c r="BN66" s="276">
        <f t="shared" si="54"/>
        <v>1251</v>
      </c>
      <c r="BO66" s="276">
        <f t="shared" si="54"/>
        <v>1195</v>
      </c>
      <c r="BP66" s="276">
        <f t="shared" si="54"/>
        <v>1370</v>
      </c>
      <c r="BQ66" s="276">
        <f t="shared" si="54"/>
        <v>1300</v>
      </c>
      <c r="BR66" s="276">
        <f t="shared" si="54"/>
        <v>1200</v>
      </c>
      <c r="BS66" s="276">
        <f t="shared" si="54"/>
        <v>1146</v>
      </c>
      <c r="BT66" s="265"/>
      <c r="BU66" s="276">
        <f t="shared" ref="BU66:CF66" si="55">BU65+BU19</f>
        <v>1255</v>
      </c>
      <c r="BV66" s="276">
        <f t="shared" si="55"/>
        <v>1303</v>
      </c>
      <c r="BW66" s="276">
        <f t="shared" si="55"/>
        <v>1197</v>
      </c>
      <c r="BX66" s="276">
        <f t="shared" si="55"/>
        <v>1182</v>
      </c>
      <c r="BY66" s="276">
        <f t="shared" si="55"/>
        <v>1199</v>
      </c>
      <c r="BZ66" s="276">
        <f t="shared" si="55"/>
        <v>1145.3857125551872</v>
      </c>
      <c r="CA66" s="276">
        <f t="shared" si="55"/>
        <v>1077.079</v>
      </c>
      <c r="CB66" s="276">
        <f t="shared" si="55"/>
        <v>1328.9159999999999</v>
      </c>
      <c r="CC66" s="276">
        <f t="shared" si="55"/>
        <v>1256.3150000000001</v>
      </c>
      <c r="CD66" s="276">
        <f t="shared" si="55"/>
        <v>1258.3150000000001</v>
      </c>
      <c r="CE66" s="276">
        <f t="shared" si="55"/>
        <v>1179</v>
      </c>
      <c r="CF66" s="276">
        <f t="shared" si="55"/>
        <v>1253.21415</v>
      </c>
      <c r="CG66"/>
      <c r="CH66" s="544">
        <f t="shared" ref="CH66:CQ66" si="56">CH65+CH19</f>
        <v>1212.5100000000002</v>
      </c>
      <c r="CI66" s="560">
        <f t="shared" si="56"/>
        <v>1266.4000000000001</v>
      </c>
      <c r="CJ66" s="560">
        <f t="shared" si="56"/>
        <v>1090.7950000000001</v>
      </c>
      <c r="CK66" s="560">
        <f t="shared" si="56"/>
        <v>1164.2530099999999</v>
      </c>
      <c r="CL66" s="560">
        <f t="shared" si="56"/>
        <v>1032.61823</v>
      </c>
      <c r="CM66" s="560">
        <f t="shared" si="56"/>
        <v>1033.5500000000002</v>
      </c>
      <c r="CN66" s="560">
        <f t="shared" si="56"/>
        <v>951.13999999999987</v>
      </c>
      <c r="CO66" s="560">
        <f t="shared" si="56"/>
        <v>1000.307</v>
      </c>
      <c r="CP66" s="560">
        <f t="shared" si="56"/>
        <v>903.93000000000006</v>
      </c>
      <c r="CQ66" s="560">
        <f t="shared" si="56"/>
        <v>1075.21642</v>
      </c>
      <c r="CR66" s="560">
        <f>CR65+CR19</f>
        <v>1015.36</v>
      </c>
      <c r="CS66" s="657">
        <v>1009</v>
      </c>
      <c r="CT66"/>
      <c r="CU66" s="667">
        <f t="shared" ref="CU66:CZ66" si="57">CU65+CU19</f>
        <v>1090.325</v>
      </c>
      <c r="CV66" s="667">
        <f t="shared" si="57"/>
        <v>1058.9013299999999</v>
      </c>
      <c r="CW66" s="667">
        <f t="shared" si="57"/>
        <v>1201.79898</v>
      </c>
      <c r="CX66" s="667">
        <f t="shared" si="57"/>
        <v>1090.1489999999999</v>
      </c>
      <c r="CY66" s="667">
        <f t="shared" si="57"/>
        <v>935.23257999999998</v>
      </c>
      <c r="CZ66" s="667">
        <f t="shared" si="57"/>
        <v>960.26599999999996</v>
      </c>
      <c r="DA66" s="667">
        <f t="shared" ref="DA66:DC66" si="58">DA65+DA19</f>
        <v>938.42899999999997</v>
      </c>
      <c r="DB66" s="667">
        <f t="shared" si="58"/>
        <v>842.96555999999998</v>
      </c>
      <c r="DC66" s="667">
        <f t="shared" si="58"/>
        <v>952.92498000000001</v>
      </c>
      <c r="DD66" s="667">
        <f>DD65+DD19</f>
        <v>783.09361999999987</v>
      </c>
      <c r="DE66" s="667">
        <f>DE65+DE19</f>
        <v>835.6184199999999</v>
      </c>
      <c r="DF66" s="667">
        <f>DF65+DF19</f>
        <v>793.34243000000004</v>
      </c>
      <c r="DG66" s="667"/>
      <c r="DH66" s="667">
        <f>DH65+DH19</f>
        <v>938.351</v>
      </c>
      <c r="DI66" s="726">
        <f>DI65+DI19</f>
        <v>913.05499999999995</v>
      </c>
    </row>
    <row r="67" spans="2:113" ht="15" thickTop="1" x14ac:dyDescent="0.35">
      <c r="N67" s="265"/>
      <c r="AG67" s="265"/>
      <c r="AT67" s="265"/>
      <c r="BG67" s="265"/>
      <c r="BT67" s="265"/>
      <c r="CF67" s="44"/>
      <c r="CH67" s="44"/>
      <c r="CI67" s="44"/>
    </row>
    <row r="68" spans="2:113" x14ac:dyDescent="0.35">
      <c r="AG68" s="265"/>
      <c r="AT68" s="265"/>
      <c r="BG68" s="265"/>
      <c r="BO68" s="10"/>
      <c r="BT68" s="265"/>
      <c r="CC68" s="576"/>
      <c r="CF68" s="44"/>
      <c r="CH68" s="44"/>
      <c r="CI68" s="44"/>
      <c r="CJ68" s="521"/>
      <c r="CN68" s="421"/>
      <c r="DB68" s="243"/>
    </row>
    <row r="69" spans="2:113" x14ac:dyDescent="0.35">
      <c r="AG69" s="265"/>
      <c r="AT69" s="265"/>
      <c r="BD69" s="377"/>
      <c r="BG69" s="265"/>
      <c r="BT69" s="265"/>
      <c r="CF69" s="44"/>
      <c r="CH69" s="44"/>
      <c r="CI69" s="44"/>
    </row>
    <row r="70" spans="2:113" x14ac:dyDescent="0.35">
      <c r="W70" s="264"/>
      <c r="BQ70" s="421"/>
      <c r="CF70" s="44"/>
      <c r="CH70" s="44"/>
      <c r="CI70" s="44"/>
    </row>
    <row r="71" spans="2:113" x14ac:dyDescent="0.35">
      <c r="BE71" s="277"/>
      <c r="CF71" s="44"/>
      <c r="CG71" s="44"/>
      <c r="CH71" s="44"/>
      <c r="CI71" s="44"/>
    </row>
    <row r="72" spans="2:113" x14ac:dyDescent="0.35">
      <c r="CF72" s="44"/>
      <c r="CG72" s="44"/>
      <c r="CH72" s="44"/>
      <c r="CI72" s="44"/>
    </row>
    <row r="73" spans="2:113" x14ac:dyDescent="0.35">
      <c r="CF73" s="44"/>
      <c r="CG73" s="44"/>
      <c r="CH73" s="44"/>
      <c r="CI73" s="44"/>
    </row>
    <row r="74" spans="2:113" x14ac:dyDescent="0.35">
      <c r="CF74" s="44"/>
      <c r="CG74" s="44"/>
      <c r="CH74" s="44"/>
      <c r="CI74" s="44"/>
    </row>
    <row r="75" spans="2:113" x14ac:dyDescent="0.35">
      <c r="CF75" s="44"/>
      <c r="CG75" s="44"/>
      <c r="CH75" s="44"/>
      <c r="CI75" s="44"/>
    </row>
    <row r="76" spans="2:113" x14ac:dyDescent="0.35">
      <c r="CF76" s="44"/>
      <c r="CG76" s="44"/>
      <c r="CH76" s="44"/>
      <c r="CI76" s="44"/>
    </row>
    <row r="77" spans="2:113" x14ac:dyDescent="0.35">
      <c r="CF77" s="44"/>
      <c r="CG77" s="44"/>
      <c r="CH77" s="44"/>
      <c r="CI77" s="44"/>
    </row>
    <row r="78" spans="2:113" x14ac:dyDescent="0.35">
      <c r="CF78" s="44"/>
      <c r="CG78" s="44"/>
      <c r="CH78" s="44"/>
      <c r="CI78" s="44"/>
    </row>
    <row r="79" spans="2:113" x14ac:dyDescent="0.35">
      <c r="CF79" s="44"/>
      <c r="CG79" s="44"/>
      <c r="CH79" s="44"/>
    </row>
    <row r="94" spans="29:29" x14ac:dyDescent="0.35">
      <c r="AC94" s="44"/>
    </row>
  </sheetData>
  <pageMargins left="0.70866141732283472" right="0.70866141732283472" top="0.74803149606299213" bottom="0.74803149606299213" header="0.31496062992125984" footer="0.31496062992125984"/>
  <pageSetup paperSize="9" scale="53" orientation="landscape" r:id="rId1"/>
  <headerFooter>
    <oddHeader>&amp;A</oddHeader>
    <oddFooter>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B5ADC-7404-4901-8D73-C0EAAEA7B889}">
  <sheetPr>
    <pageSetUpPr fitToPage="1"/>
  </sheetPr>
  <dimension ref="A1:CY137"/>
  <sheetViews>
    <sheetView topLeftCell="B2" zoomScaleNormal="100" workbookViewId="0">
      <pane xSplit="39" ySplit="2" topLeftCell="CL69" activePane="bottomRight" state="frozen"/>
      <selection pane="topRight" activeCell="DB25" sqref="DB25"/>
      <selection pane="bottomLeft" activeCell="DB25" sqref="DB25"/>
      <selection pane="bottomRight" activeCell="DF81" sqref="DF81"/>
    </sheetView>
  </sheetViews>
  <sheetFormatPr defaultRowHeight="14.5" outlineLevelCol="1" x14ac:dyDescent="0.35"/>
  <cols>
    <col min="1" max="1" width="0" hidden="1" customWidth="1"/>
    <col min="2" max="2" width="16.453125" customWidth="1"/>
    <col min="3" max="3" width="11.453125" customWidth="1"/>
    <col min="4" max="40" width="0" hidden="1" customWidth="1" outlineLevel="1"/>
    <col min="41" max="41" width="9" bestFit="1" customWidth="1" collapsed="1"/>
    <col min="42" max="52" width="0" hidden="1" customWidth="1" outlineLevel="1"/>
    <col min="53" max="53" width="9" bestFit="1" customWidth="1" collapsed="1"/>
    <col min="54" max="63" width="0" hidden="1" customWidth="1" outlineLevel="1"/>
    <col min="64" max="64" width="9" customWidth="1" collapsed="1"/>
    <col min="65" max="75" width="0" hidden="1" customWidth="1" outlineLevel="1"/>
    <col min="76" max="76" width="10" customWidth="1" collapsed="1"/>
    <col min="77" max="79" width="9.54296875" hidden="1" customWidth="1" outlineLevel="1"/>
    <col min="80" max="80" width="9.54296875" style="421" hidden="1" customWidth="1" outlineLevel="1"/>
    <col min="81" max="81" width="9.54296875" style="521" hidden="1" customWidth="1" outlineLevel="1"/>
    <col min="82" max="82" width="9.54296875" style="421" hidden="1" customWidth="1" outlineLevel="1"/>
    <col min="83" max="83" width="9.54296875" hidden="1" customWidth="1" outlineLevel="1"/>
    <col min="84" max="84" width="10.54296875" style="521" hidden="1" customWidth="1" outlineLevel="1"/>
    <col min="85" max="85" width="9" hidden="1" customWidth="1" outlineLevel="1"/>
    <col min="86" max="86" width="9.54296875" hidden="1" customWidth="1" outlineLevel="1"/>
    <col min="87" max="87" width="9" hidden="1" customWidth="1" outlineLevel="1"/>
    <col min="88" max="88" width="9.54296875" customWidth="1" collapsed="1"/>
    <col min="89" max="89" width="10.26953125" customWidth="1"/>
    <col min="92" max="92" width="9.26953125" customWidth="1"/>
    <col min="93" max="94" width="10" customWidth="1"/>
    <col min="95" max="96" width="9.54296875" customWidth="1"/>
    <col min="97" max="97" width="8.81640625" customWidth="1"/>
    <col min="98" max="98" width="9.453125" customWidth="1"/>
  </cols>
  <sheetData>
    <row r="1" spans="1:102" hidden="1" x14ac:dyDescent="0.35">
      <c r="A1" t="s">
        <v>0</v>
      </c>
      <c r="CE1" s="421"/>
    </row>
    <row r="2" spans="1:102" x14ac:dyDescent="0.35">
      <c r="B2" s="112"/>
      <c r="C2" s="112"/>
      <c r="D2" s="70">
        <v>43070</v>
      </c>
      <c r="E2" s="70">
        <v>43101</v>
      </c>
      <c r="F2" s="70">
        <v>43132</v>
      </c>
      <c r="G2" s="70">
        <v>43160</v>
      </c>
      <c r="H2" s="70">
        <v>43191</v>
      </c>
      <c r="I2" s="70">
        <v>43221</v>
      </c>
      <c r="J2" s="70">
        <v>43252</v>
      </c>
      <c r="K2" s="70">
        <v>43282</v>
      </c>
      <c r="L2" s="70">
        <v>43313</v>
      </c>
      <c r="M2" s="70">
        <v>43344</v>
      </c>
      <c r="N2" s="70">
        <v>43374</v>
      </c>
      <c r="O2" s="70">
        <v>43405</v>
      </c>
      <c r="P2" s="70">
        <v>43435</v>
      </c>
      <c r="Q2" s="70">
        <v>43466</v>
      </c>
      <c r="R2" s="70">
        <v>43497</v>
      </c>
      <c r="S2" s="70">
        <v>43525</v>
      </c>
      <c r="T2" s="70">
        <v>43556</v>
      </c>
      <c r="U2" s="70">
        <v>43586</v>
      </c>
      <c r="V2" s="70">
        <v>43617</v>
      </c>
      <c r="W2" s="70">
        <v>43647</v>
      </c>
      <c r="X2" s="70">
        <v>43678</v>
      </c>
      <c r="Y2" s="70">
        <v>43709</v>
      </c>
      <c r="Z2" s="70">
        <v>43739</v>
      </c>
      <c r="AA2" s="70">
        <v>43770</v>
      </c>
      <c r="AB2" s="70">
        <v>43800</v>
      </c>
      <c r="AC2" s="70">
        <v>43831</v>
      </c>
      <c r="AD2" s="70">
        <v>43862</v>
      </c>
      <c r="AE2" s="70">
        <v>43891</v>
      </c>
      <c r="AF2" s="70">
        <v>43922</v>
      </c>
      <c r="AG2" s="70">
        <v>43952</v>
      </c>
      <c r="AH2" s="70">
        <v>43983</v>
      </c>
      <c r="AI2" s="70">
        <v>44013</v>
      </c>
      <c r="AJ2" s="70">
        <v>44044</v>
      </c>
      <c r="AK2" s="70">
        <v>44075</v>
      </c>
      <c r="AL2" s="70">
        <v>44105</v>
      </c>
      <c r="AM2" s="70">
        <v>44136</v>
      </c>
      <c r="AN2" s="70">
        <v>44166</v>
      </c>
      <c r="AO2" s="70">
        <v>44197</v>
      </c>
      <c r="AP2" s="70">
        <v>44228</v>
      </c>
      <c r="AQ2" s="70">
        <v>44256</v>
      </c>
      <c r="AR2" s="70">
        <v>44287</v>
      </c>
      <c r="AS2" s="70">
        <v>44317</v>
      </c>
      <c r="AT2" s="70">
        <v>44348</v>
      </c>
      <c r="AU2" s="70">
        <v>44378</v>
      </c>
      <c r="AV2" s="70">
        <v>44409</v>
      </c>
      <c r="AW2" s="70">
        <v>44440</v>
      </c>
      <c r="AX2" s="70">
        <v>44470</v>
      </c>
      <c r="AY2" s="70">
        <v>44501</v>
      </c>
      <c r="AZ2" s="70">
        <v>44531</v>
      </c>
      <c r="BA2" s="70">
        <v>44562</v>
      </c>
      <c r="BB2" s="70">
        <v>44593</v>
      </c>
      <c r="BC2" s="70">
        <v>44621</v>
      </c>
      <c r="BD2" s="70">
        <v>44652</v>
      </c>
      <c r="BE2" s="70">
        <v>44682</v>
      </c>
      <c r="BF2" s="70">
        <v>44713</v>
      </c>
      <c r="BG2" s="70">
        <v>44743</v>
      </c>
      <c r="BH2" s="70">
        <v>44774</v>
      </c>
      <c r="BI2" s="70">
        <v>44805</v>
      </c>
      <c r="BJ2" s="70">
        <v>44835</v>
      </c>
      <c r="BK2" s="70">
        <v>44866</v>
      </c>
      <c r="BL2" s="70">
        <v>44896</v>
      </c>
      <c r="BM2" s="70">
        <v>44927</v>
      </c>
      <c r="BN2" s="70">
        <v>44958</v>
      </c>
      <c r="BO2" s="70">
        <v>44986</v>
      </c>
      <c r="BP2" s="70">
        <v>45017</v>
      </c>
      <c r="BQ2" s="70">
        <v>45047</v>
      </c>
      <c r="BR2" s="70">
        <v>45078</v>
      </c>
      <c r="BS2" s="70">
        <v>45108</v>
      </c>
      <c r="BT2" s="70">
        <v>45139</v>
      </c>
      <c r="BU2" s="70">
        <v>45170</v>
      </c>
      <c r="BV2" s="70">
        <v>45200</v>
      </c>
      <c r="BW2" s="70">
        <v>45231</v>
      </c>
      <c r="BX2" s="70">
        <v>45261</v>
      </c>
      <c r="BY2" s="70">
        <v>45292</v>
      </c>
      <c r="BZ2" s="70">
        <v>45323</v>
      </c>
      <c r="CA2" s="70">
        <v>45352</v>
      </c>
      <c r="CB2" s="70">
        <v>45383</v>
      </c>
      <c r="CC2" s="70">
        <v>45413</v>
      </c>
      <c r="CD2" s="70">
        <v>45444</v>
      </c>
      <c r="CE2" s="70">
        <v>45474</v>
      </c>
      <c r="CF2" s="70">
        <v>45505</v>
      </c>
      <c r="CG2" s="70">
        <v>45536</v>
      </c>
      <c r="CH2" s="70">
        <v>45566</v>
      </c>
      <c r="CI2" s="70">
        <v>45597</v>
      </c>
      <c r="CJ2" s="70">
        <v>45627</v>
      </c>
      <c r="CK2" s="70">
        <v>45658</v>
      </c>
      <c r="CL2" s="70">
        <v>45689</v>
      </c>
      <c r="CM2" s="70">
        <v>45717</v>
      </c>
      <c r="CN2" s="70">
        <v>45748</v>
      </c>
      <c r="CO2" s="70">
        <v>45778</v>
      </c>
      <c r="CP2" s="70">
        <v>45809</v>
      </c>
      <c r="CQ2" s="70">
        <v>45839</v>
      </c>
      <c r="CR2" s="70">
        <v>45870</v>
      </c>
      <c r="CS2" s="70">
        <v>45901</v>
      </c>
      <c r="CT2" s="70">
        <v>45931</v>
      </c>
      <c r="CU2" s="70">
        <v>45962</v>
      </c>
      <c r="CV2" s="70">
        <v>45992</v>
      </c>
      <c r="CW2" s="70">
        <v>46023</v>
      </c>
      <c r="CX2" s="70">
        <v>46054</v>
      </c>
    </row>
    <row r="3" spans="1:102" x14ac:dyDescent="0.35">
      <c r="B3" s="112"/>
      <c r="C3" s="112"/>
      <c r="D3" s="75" t="s">
        <v>221</v>
      </c>
      <c r="E3" s="75" t="s">
        <v>221</v>
      </c>
      <c r="F3" s="75" t="s">
        <v>221</v>
      </c>
      <c r="G3" s="75" t="s">
        <v>221</v>
      </c>
      <c r="H3" s="75" t="s">
        <v>221</v>
      </c>
      <c r="I3" s="75" t="s">
        <v>221</v>
      </c>
      <c r="J3" s="75" t="s">
        <v>221</v>
      </c>
      <c r="K3" s="75" t="s">
        <v>221</v>
      </c>
      <c r="L3" s="75" t="s">
        <v>221</v>
      </c>
      <c r="M3" s="75" t="s">
        <v>221</v>
      </c>
      <c r="N3" s="75" t="s">
        <v>221</v>
      </c>
      <c r="O3" s="75" t="s">
        <v>221</v>
      </c>
      <c r="P3" s="75" t="s">
        <v>221</v>
      </c>
      <c r="Q3" s="75" t="s">
        <v>221</v>
      </c>
      <c r="R3" s="75" t="s">
        <v>221</v>
      </c>
      <c r="S3" s="75" t="s">
        <v>221</v>
      </c>
      <c r="T3" s="75" t="s">
        <v>221</v>
      </c>
      <c r="U3" s="75" t="s">
        <v>221</v>
      </c>
      <c r="V3" s="75" t="s">
        <v>221</v>
      </c>
      <c r="W3" s="75" t="s">
        <v>221</v>
      </c>
      <c r="X3" s="75" t="s">
        <v>221</v>
      </c>
      <c r="Y3" s="75" t="s">
        <v>221</v>
      </c>
      <c r="Z3" s="75" t="s">
        <v>221</v>
      </c>
      <c r="AA3" s="75" t="s">
        <v>221</v>
      </c>
      <c r="AB3" s="75" t="s">
        <v>221</v>
      </c>
      <c r="AC3" s="75" t="s">
        <v>221</v>
      </c>
      <c r="AD3" s="75" t="s">
        <v>221</v>
      </c>
      <c r="AE3" s="75" t="s">
        <v>221</v>
      </c>
      <c r="AF3" s="75" t="s">
        <v>221</v>
      </c>
      <c r="AG3" s="75" t="s">
        <v>221</v>
      </c>
      <c r="AH3" s="75" t="s">
        <v>221</v>
      </c>
      <c r="AI3" s="75" t="s">
        <v>221</v>
      </c>
      <c r="AJ3" s="75" t="s">
        <v>221</v>
      </c>
      <c r="AK3" s="75" t="s">
        <v>221</v>
      </c>
      <c r="AL3" s="75" t="s">
        <v>221</v>
      </c>
      <c r="AM3" s="75" t="s">
        <v>221</v>
      </c>
      <c r="AN3" s="75" t="s">
        <v>221</v>
      </c>
      <c r="AO3" s="75" t="s">
        <v>221</v>
      </c>
      <c r="AP3" s="75" t="s">
        <v>221</v>
      </c>
      <c r="AQ3" s="75" t="s">
        <v>221</v>
      </c>
      <c r="AR3" s="75" t="s">
        <v>221</v>
      </c>
      <c r="AS3" s="75" t="s">
        <v>221</v>
      </c>
      <c r="AT3" s="75" t="s">
        <v>221</v>
      </c>
      <c r="AU3" s="75" t="s">
        <v>221</v>
      </c>
      <c r="AV3" s="75" t="s">
        <v>221</v>
      </c>
      <c r="AW3" s="75" t="s">
        <v>221</v>
      </c>
      <c r="AX3" s="75" t="s">
        <v>221</v>
      </c>
      <c r="AY3" s="75" t="s">
        <v>221</v>
      </c>
      <c r="AZ3" s="75" t="s">
        <v>221</v>
      </c>
      <c r="BA3" s="75" t="s">
        <v>221</v>
      </c>
      <c r="BB3" s="75" t="s">
        <v>221</v>
      </c>
      <c r="BC3" s="75" t="s">
        <v>221</v>
      </c>
      <c r="BD3" s="75" t="s">
        <v>221</v>
      </c>
      <c r="BE3" s="75" t="s">
        <v>221</v>
      </c>
      <c r="BF3" s="75" t="s">
        <v>221</v>
      </c>
      <c r="BG3" s="75" t="s">
        <v>221</v>
      </c>
      <c r="BH3" s="75" t="s">
        <v>221</v>
      </c>
      <c r="BI3" s="75" t="s">
        <v>221</v>
      </c>
      <c r="BJ3" s="75" t="s">
        <v>221</v>
      </c>
      <c r="BK3" s="75" t="s">
        <v>221</v>
      </c>
      <c r="BL3" s="75" t="s">
        <v>221</v>
      </c>
      <c r="BM3" s="75" t="s">
        <v>221</v>
      </c>
      <c r="BN3" s="75" t="s">
        <v>221</v>
      </c>
      <c r="BO3" s="75" t="s">
        <v>221</v>
      </c>
      <c r="BP3" s="75" t="s">
        <v>221</v>
      </c>
      <c r="BQ3" s="75" t="s">
        <v>221</v>
      </c>
      <c r="BR3" s="75" t="s">
        <v>221</v>
      </c>
      <c r="BS3" s="75" t="s">
        <v>221</v>
      </c>
      <c r="BT3" s="75" t="s">
        <v>221</v>
      </c>
      <c r="BU3" s="75" t="s">
        <v>221</v>
      </c>
      <c r="BV3" s="75" t="s">
        <v>221</v>
      </c>
      <c r="BW3" s="75" t="s">
        <v>221</v>
      </c>
      <c r="BX3" s="75" t="s">
        <v>221</v>
      </c>
      <c r="BY3" s="75" t="s">
        <v>221</v>
      </c>
      <c r="BZ3" s="75" t="s">
        <v>221</v>
      </c>
      <c r="CA3" s="75" t="s">
        <v>221</v>
      </c>
      <c r="CB3" s="75" t="s">
        <v>221</v>
      </c>
      <c r="CC3" s="75" t="s">
        <v>221</v>
      </c>
      <c r="CD3" s="75" t="s">
        <v>221</v>
      </c>
      <c r="CE3" s="75" t="s">
        <v>221</v>
      </c>
      <c r="CF3" s="75" t="s">
        <v>221</v>
      </c>
      <c r="CG3" s="75" t="s">
        <v>221</v>
      </c>
      <c r="CH3" s="75" t="s">
        <v>221</v>
      </c>
      <c r="CI3" s="75" t="s">
        <v>221</v>
      </c>
      <c r="CJ3" s="75" t="s">
        <v>221</v>
      </c>
      <c r="CK3" s="75" t="s">
        <v>221</v>
      </c>
      <c r="CL3" s="75" t="s">
        <v>221</v>
      </c>
      <c r="CM3" s="75" t="s">
        <v>221</v>
      </c>
      <c r="CN3" s="75" t="s">
        <v>221</v>
      </c>
      <c r="CO3" s="75" t="s">
        <v>221</v>
      </c>
      <c r="CP3" s="75" t="s">
        <v>221</v>
      </c>
      <c r="CQ3" s="75" t="s">
        <v>221</v>
      </c>
      <c r="CR3" s="75" t="s">
        <v>221</v>
      </c>
      <c r="CS3" s="75" t="s">
        <v>221</v>
      </c>
      <c r="CT3" s="75" t="s">
        <v>221</v>
      </c>
      <c r="CU3" s="75" t="s">
        <v>221</v>
      </c>
      <c r="CV3" s="75" t="s">
        <v>221</v>
      </c>
      <c r="CW3" s="75" t="s">
        <v>221</v>
      </c>
      <c r="CX3" s="75" t="s">
        <v>221</v>
      </c>
    </row>
    <row r="4" spans="1:102" x14ac:dyDescent="0.35">
      <c r="D4" s="227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AO4" s="78"/>
      <c r="BA4" s="78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E4" s="421"/>
      <c r="CX4" s="79"/>
    </row>
    <row r="5" spans="1:102" x14ac:dyDescent="0.35">
      <c r="B5" s="798" t="s">
        <v>280</v>
      </c>
      <c r="C5" s="56" t="s">
        <v>281</v>
      </c>
      <c r="D5" s="229">
        <v>638</v>
      </c>
      <c r="E5" s="230">
        <v>508</v>
      </c>
      <c r="F5" s="230">
        <v>594</v>
      </c>
      <c r="G5" s="230">
        <v>583</v>
      </c>
      <c r="H5" s="230">
        <v>709</v>
      </c>
      <c r="I5" s="230">
        <v>578</v>
      </c>
      <c r="J5" s="230">
        <f>639+14</f>
        <v>653</v>
      </c>
      <c r="K5" s="230">
        <v>844</v>
      </c>
      <c r="L5" s="230">
        <v>583</v>
      </c>
      <c r="M5" s="230">
        <f>708+16</f>
        <v>724</v>
      </c>
      <c r="N5" s="230">
        <v>793</v>
      </c>
      <c r="O5" s="230">
        <f>616+21</f>
        <v>637</v>
      </c>
      <c r="P5" s="229">
        <f>916+22</f>
        <v>938</v>
      </c>
      <c r="Q5" s="231">
        <f>774+2</f>
        <v>776</v>
      </c>
      <c r="R5" s="232">
        <v>694</v>
      </c>
      <c r="S5" s="232">
        <f>740+13</f>
        <v>753</v>
      </c>
      <c r="T5" s="232">
        <f>989+9</f>
        <v>998</v>
      </c>
      <c r="U5" s="232">
        <f>674</f>
        <v>674</v>
      </c>
      <c r="V5" s="232">
        <f>676+23-13</f>
        <v>686</v>
      </c>
      <c r="W5" s="232">
        <f>801+36</f>
        <v>837</v>
      </c>
      <c r="X5" s="232">
        <f>772+22</f>
        <v>794</v>
      </c>
      <c r="Y5" s="232">
        <f>834+4-5+10</f>
        <v>843</v>
      </c>
      <c r="Z5" s="232">
        <f>843-3</f>
        <v>840</v>
      </c>
      <c r="AA5" s="232">
        <f>916+7</f>
        <v>923</v>
      </c>
      <c r="AB5" s="278">
        <f>968+5-14</f>
        <v>959</v>
      </c>
      <c r="AC5" s="231">
        <f>1027+4-14</f>
        <v>1017</v>
      </c>
      <c r="AD5" s="232">
        <f>889+3</f>
        <v>892</v>
      </c>
      <c r="AE5" s="232">
        <f>992+46</f>
        <v>1038</v>
      </c>
      <c r="AF5" s="232">
        <f>1050+17+1</f>
        <v>1068</v>
      </c>
      <c r="AG5" s="232">
        <f>1005+36</f>
        <v>1041</v>
      </c>
      <c r="AH5" s="232">
        <f>1018+15</f>
        <v>1033</v>
      </c>
      <c r="AI5" s="232">
        <f>862+7</f>
        <v>869</v>
      </c>
      <c r="AJ5" s="232">
        <f>938-3</f>
        <v>935</v>
      </c>
      <c r="AK5" s="232">
        <f>1256+1-40+1</f>
        <v>1218</v>
      </c>
      <c r="AL5" s="232">
        <f>1075-2-5</f>
        <v>1068</v>
      </c>
      <c r="AM5" s="232">
        <v>953</v>
      </c>
      <c r="AN5" s="232">
        <v>829</v>
      </c>
      <c r="AO5" s="231">
        <v>1188</v>
      </c>
      <c r="AP5" s="232">
        <f>1043+2</f>
        <v>1045</v>
      </c>
      <c r="AQ5" s="232">
        <v>916</v>
      </c>
      <c r="AR5" s="232">
        <f>971-1</f>
        <v>970</v>
      </c>
      <c r="AS5" s="232">
        <f>1038+2</f>
        <v>1040</v>
      </c>
      <c r="AT5" s="232">
        <v>1454</v>
      </c>
      <c r="AU5" s="232">
        <f>1182-2</f>
        <v>1180</v>
      </c>
      <c r="AV5" s="232">
        <v>1117</v>
      </c>
      <c r="AW5" s="232">
        <v>1001</v>
      </c>
      <c r="AX5" s="232">
        <v>1097</v>
      </c>
      <c r="AY5" s="232">
        <v>988</v>
      </c>
      <c r="AZ5" s="232">
        <v>1136</v>
      </c>
      <c r="BA5" s="231">
        <v>1117</v>
      </c>
      <c r="BB5" s="232">
        <v>1158</v>
      </c>
      <c r="BC5" s="232">
        <v>1226</v>
      </c>
      <c r="BD5" s="232">
        <v>1213</v>
      </c>
      <c r="BE5" s="232">
        <v>1272</v>
      </c>
      <c r="BF5" s="232">
        <v>1227</v>
      </c>
      <c r="BG5" s="232">
        <v>1173</v>
      </c>
      <c r="BH5" s="232">
        <f>1263-1</f>
        <v>1262</v>
      </c>
      <c r="BI5" s="232">
        <v>1567</v>
      </c>
      <c r="BJ5" s="232">
        <v>1385</v>
      </c>
      <c r="BK5" s="232">
        <v>1435</v>
      </c>
      <c r="BL5" s="232">
        <v>1551</v>
      </c>
      <c r="BM5" s="232">
        <v>1320</v>
      </c>
      <c r="BN5" s="232">
        <v>1524</v>
      </c>
      <c r="BO5" s="232">
        <v>1200</v>
      </c>
      <c r="BP5">
        <v>1348</v>
      </c>
      <c r="BQ5">
        <v>1273</v>
      </c>
      <c r="BR5">
        <v>1453</v>
      </c>
      <c r="BS5">
        <v>1579</v>
      </c>
      <c r="BT5">
        <v>1439</v>
      </c>
      <c r="BU5" s="243">
        <v>1281.0021100000001</v>
      </c>
      <c r="BV5" s="243">
        <v>1612.3773000000001</v>
      </c>
      <c r="BW5" s="243">
        <v>1390.5619999999999</v>
      </c>
      <c r="BX5" s="243">
        <v>1472</v>
      </c>
      <c r="BY5" s="243">
        <f>1525068.21/1000</f>
        <v>1525.0682099999999</v>
      </c>
      <c r="BZ5" s="243">
        <f>1467162.69/1000-0.35</f>
        <v>1466.81269</v>
      </c>
      <c r="CA5" s="243">
        <f>1622344.44/1000</f>
        <v>1622.3444399999998</v>
      </c>
      <c r="CB5" s="243">
        <f>1571266.93/1000</f>
        <v>1571.26693</v>
      </c>
      <c r="CC5" s="243">
        <f>1436316.42/1000</f>
        <v>1436.3164199999999</v>
      </c>
      <c r="CD5" s="608">
        <f>1718110.28/1000</f>
        <v>1718.1102800000001</v>
      </c>
      <c r="CE5" s="608">
        <f>1789827.95/1000</f>
        <v>1789.8279499999999</v>
      </c>
      <c r="CF5" s="608">
        <f>1416838.78/1000</f>
        <v>1416.83878</v>
      </c>
      <c r="CG5" s="608">
        <f>1344779.43/1000</f>
        <v>1344.77943</v>
      </c>
      <c r="CH5" s="608">
        <f>1481737.7/1000</f>
        <v>1481.7376999999999</v>
      </c>
      <c r="CI5" s="608">
        <f>1509197.58/1000</f>
        <v>1509.19758</v>
      </c>
      <c r="CJ5" s="608">
        <f>1261236.36/1000</f>
        <v>1261.2363600000001</v>
      </c>
      <c r="CK5" s="608">
        <f>1422042.61/1000</f>
        <v>1422.0426100000002</v>
      </c>
      <c r="CL5" s="608">
        <f>1653078.55/1000</f>
        <v>1653.07855</v>
      </c>
      <c r="CM5" s="608">
        <f>1302357.65/1000</f>
        <v>1302.3576499999999</v>
      </c>
      <c r="CN5" s="608">
        <f>1491080.63/1000</f>
        <v>1491.0806299999999</v>
      </c>
      <c r="CO5" s="608">
        <f>1668459.78/1000</f>
        <v>1668.4597800000001</v>
      </c>
      <c r="CP5" s="608">
        <f>1429624.27/1000</f>
        <v>1429.62427</v>
      </c>
      <c r="CQ5" s="608">
        <f>1533503.41/1000+2</f>
        <v>1535.5034099999998</v>
      </c>
      <c r="CR5" s="608">
        <f>1269622.49/1000</f>
        <v>1269.62249</v>
      </c>
      <c r="CS5" s="608">
        <f>1648349.19/1000</f>
        <v>1648.3491899999999</v>
      </c>
      <c r="CT5" s="608">
        <f>1511609.74/1000</f>
        <v>1511.6097400000001</v>
      </c>
      <c r="CU5" s="608">
        <f>1753982.41/1000</f>
        <v>1753.9824099999998</v>
      </c>
      <c r="CV5" s="608">
        <f>1481529.55/1000</f>
        <v>1481.52955</v>
      </c>
      <c r="CW5" s="608">
        <f>1355131.02/1000</f>
        <v>1355.13102</v>
      </c>
      <c r="CX5" s="647">
        <f>1717815.83/1000</f>
        <v>1717.81583</v>
      </c>
    </row>
    <row r="6" spans="1:102" x14ac:dyDescent="0.35">
      <c r="B6" s="799"/>
      <c r="C6" s="57" t="s">
        <v>282</v>
      </c>
      <c r="D6" s="233">
        <v>359</v>
      </c>
      <c r="E6" s="234">
        <v>382</v>
      </c>
      <c r="F6" s="234">
        <v>352</v>
      </c>
      <c r="G6" s="234">
        <v>444</v>
      </c>
      <c r="H6" s="234">
        <v>-49</v>
      </c>
      <c r="I6" s="234">
        <v>506</v>
      </c>
      <c r="J6" s="234">
        <v>279</v>
      </c>
      <c r="K6" s="234">
        <f>467+17</f>
        <v>484</v>
      </c>
      <c r="L6" s="234">
        <f>135+18</f>
        <v>153</v>
      </c>
      <c r="M6" s="234">
        <v>399</v>
      </c>
      <c r="N6" s="234">
        <v>372</v>
      </c>
      <c r="O6" s="234">
        <v>572</v>
      </c>
      <c r="P6" s="233">
        <v>419</v>
      </c>
      <c r="Q6" s="235">
        <v>185</v>
      </c>
      <c r="R6" s="234">
        <v>698</v>
      </c>
      <c r="S6" s="234">
        <v>403</v>
      </c>
      <c r="T6" s="234">
        <v>400</v>
      </c>
      <c r="U6" s="234">
        <v>433</v>
      </c>
      <c r="V6" s="234">
        <v>437</v>
      </c>
      <c r="W6" s="234">
        <v>446</v>
      </c>
      <c r="X6" s="234">
        <v>111</v>
      </c>
      <c r="Y6" s="234">
        <v>420</v>
      </c>
      <c r="Z6" s="234">
        <f>604-230</f>
        <v>374</v>
      </c>
      <c r="AA6" s="234">
        <f>416-27</f>
        <v>389</v>
      </c>
      <c r="AB6" s="279">
        <v>633</v>
      </c>
      <c r="AC6" s="235">
        <v>84</v>
      </c>
      <c r="AD6" s="234">
        <v>340</v>
      </c>
      <c r="AE6">
        <v>490</v>
      </c>
      <c r="AF6">
        <v>658</v>
      </c>
      <c r="AG6">
        <v>704</v>
      </c>
      <c r="AH6">
        <v>341</v>
      </c>
      <c r="AI6">
        <v>15</v>
      </c>
      <c r="AJ6">
        <f>530+2</f>
        <v>532</v>
      </c>
      <c r="AK6">
        <f>374-1</f>
        <v>373</v>
      </c>
      <c r="AL6">
        <v>540</v>
      </c>
      <c r="AM6">
        <v>558</v>
      </c>
      <c r="AN6">
        <v>429</v>
      </c>
      <c r="AO6" s="235">
        <v>514</v>
      </c>
      <c r="AP6" s="234">
        <v>638</v>
      </c>
      <c r="AQ6">
        <v>345</v>
      </c>
      <c r="AR6">
        <v>352</v>
      </c>
      <c r="AS6">
        <v>435</v>
      </c>
      <c r="AT6">
        <v>350</v>
      </c>
      <c r="AU6" s="520">
        <v>766</v>
      </c>
      <c r="AV6">
        <v>567</v>
      </c>
      <c r="AW6">
        <v>638</v>
      </c>
      <c r="AX6">
        <v>655</v>
      </c>
      <c r="AY6">
        <v>438</v>
      </c>
      <c r="AZ6">
        <v>486</v>
      </c>
      <c r="BA6" s="78">
        <v>599</v>
      </c>
      <c r="BB6">
        <v>459</v>
      </c>
      <c r="BC6">
        <v>613</v>
      </c>
      <c r="BD6">
        <v>599</v>
      </c>
      <c r="BE6">
        <v>455</v>
      </c>
      <c r="BF6">
        <v>657</v>
      </c>
      <c r="BG6">
        <v>529</v>
      </c>
      <c r="BH6">
        <v>353</v>
      </c>
      <c r="BI6">
        <v>555</v>
      </c>
      <c r="BJ6">
        <v>547</v>
      </c>
      <c r="BK6">
        <v>717</v>
      </c>
      <c r="BL6">
        <v>617</v>
      </c>
      <c r="BM6">
        <v>478</v>
      </c>
      <c r="BN6">
        <v>319</v>
      </c>
      <c r="BO6">
        <v>594</v>
      </c>
      <c r="BP6">
        <v>513</v>
      </c>
      <c r="BQ6">
        <v>540</v>
      </c>
      <c r="BR6">
        <v>458</v>
      </c>
      <c r="BS6">
        <v>400</v>
      </c>
      <c r="BT6">
        <v>591</v>
      </c>
      <c r="BU6" s="243">
        <v>614.9889300000001</v>
      </c>
      <c r="BV6" s="243">
        <v>408.10653000000002</v>
      </c>
      <c r="BW6" s="243">
        <v>624.5</v>
      </c>
      <c r="BX6" s="243">
        <f>574938.76/1000</f>
        <v>574.93876</v>
      </c>
      <c r="BY6" s="243">
        <f>375186.87/1000</f>
        <v>375.18687</v>
      </c>
      <c r="BZ6" s="243">
        <f>489035.43/1000</f>
        <v>489.03543000000002</v>
      </c>
      <c r="CA6" s="243">
        <f>525480.5/1000</f>
        <v>525.48050000000001</v>
      </c>
      <c r="CB6" s="243">
        <f>531408.8/1000</f>
        <v>531.40880000000004</v>
      </c>
      <c r="CC6" s="243">
        <f>442991.75/1000</f>
        <v>442.99175000000002</v>
      </c>
      <c r="CD6" s="243">
        <f>537628.87/1000</f>
        <v>537.62887000000001</v>
      </c>
      <c r="CE6" s="243">
        <f>333156.9/1000</f>
        <v>333.15690000000001</v>
      </c>
      <c r="CF6" s="243">
        <f>526803.52/1000</f>
        <v>526.80352000000005</v>
      </c>
      <c r="CG6" s="243">
        <f>552339.7/1000</f>
        <v>552.33969999999999</v>
      </c>
      <c r="CH6" s="243">
        <f>452729.88/1000</f>
        <v>452.72987999999998</v>
      </c>
      <c r="CI6" s="243">
        <f>342677.96/1000</f>
        <v>342.67796000000004</v>
      </c>
      <c r="CJ6" s="243">
        <f>732250.28/1000</f>
        <v>732.25027999999998</v>
      </c>
      <c r="CK6" s="243">
        <f>418807.78/1000</f>
        <v>418.80778000000004</v>
      </c>
      <c r="CL6" s="243">
        <f>370443.93/1000</f>
        <v>370.44392999999997</v>
      </c>
      <c r="CM6" s="243">
        <f>489742.69/1000</f>
        <v>489.74268999999998</v>
      </c>
      <c r="CN6" s="243">
        <f>397005.25/1000</f>
        <v>397.00524999999999</v>
      </c>
      <c r="CO6" s="243">
        <f>609453.22/1000</f>
        <v>609.45321999999999</v>
      </c>
      <c r="CP6" s="243">
        <f>545216.74/1000</f>
        <v>545.21673999999996</v>
      </c>
      <c r="CQ6" s="243">
        <f>630472.11/1000</f>
        <v>630.47210999999993</v>
      </c>
      <c r="CR6" s="243">
        <f>473143.39/1000</f>
        <v>473.14339000000001</v>
      </c>
      <c r="CS6" s="243">
        <f>473626.21/1000</f>
        <v>473.62621000000001</v>
      </c>
      <c r="CT6" s="243">
        <f>798987.55/1000</f>
        <v>798.98755000000006</v>
      </c>
      <c r="CU6" s="243">
        <f>818963.13/1000</f>
        <v>818.96312999999998</v>
      </c>
      <c r="CV6" s="243">
        <f>731520.32/1000</f>
        <v>731.52031999999997</v>
      </c>
      <c r="CW6" s="243">
        <f>542287.69/1000</f>
        <v>542.28769</v>
      </c>
      <c r="CX6" s="557">
        <f>45706.21/1000</f>
        <v>45.706209999999999</v>
      </c>
    </row>
    <row r="7" spans="1:102" x14ac:dyDescent="0.35">
      <c r="B7" s="799"/>
      <c r="C7" s="57" t="s">
        <v>283</v>
      </c>
      <c r="D7" s="233">
        <v>192</v>
      </c>
      <c r="E7" s="234">
        <v>147</v>
      </c>
      <c r="F7" s="234">
        <v>163</v>
      </c>
      <c r="G7" s="234">
        <v>225</v>
      </c>
      <c r="H7" s="234">
        <v>0</v>
      </c>
      <c r="I7" s="234">
        <v>53</v>
      </c>
      <c r="J7" s="234">
        <v>296</v>
      </c>
      <c r="K7" s="234">
        <v>21</v>
      </c>
      <c r="L7" s="234">
        <v>556</v>
      </c>
      <c r="M7" s="234">
        <v>100</v>
      </c>
      <c r="N7" s="234">
        <v>56</v>
      </c>
      <c r="O7" s="234">
        <v>199</v>
      </c>
      <c r="P7" s="233">
        <v>61</v>
      </c>
      <c r="Q7" s="235">
        <v>358</v>
      </c>
      <c r="R7" s="234">
        <v>181</v>
      </c>
      <c r="S7" s="234">
        <v>252</v>
      </c>
      <c r="T7" s="234">
        <v>154</v>
      </c>
      <c r="U7" s="234">
        <v>18</v>
      </c>
      <c r="V7" s="234">
        <v>206</v>
      </c>
      <c r="W7" s="234">
        <v>21</v>
      </c>
      <c r="X7" s="234">
        <v>340</v>
      </c>
      <c r="Y7" s="234">
        <v>91</v>
      </c>
      <c r="Z7" s="234">
        <v>23</v>
      </c>
      <c r="AA7" s="234">
        <v>197</v>
      </c>
      <c r="AB7" s="279">
        <v>11</v>
      </c>
      <c r="AC7" s="235">
        <v>607</v>
      </c>
      <c r="AD7" s="234">
        <f>194-23</f>
        <v>171</v>
      </c>
      <c r="AE7">
        <v>168</v>
      </c>
      <c r="AF7">
        <v>184</v>
      </c>
      <c r="AG7">
        <v>187</v>
      </c>
      <c r="AH7">
        <v>138</v>
      </c>
      <c r="AI7">
        <v>547</v>
      </c>
      <c r="AJ7">
        <v>6</v>
      </c>
      <c r="AK7">
        <f>247+2</f>
        <v>249</v>
      </c>
      <c r="AL7">
        <v>34</v>
      </c>
      <c r="AM7">
        <v>278</v>
      </c>
      <c r="AN7">
        <v>115</v>
      </c>
      <c r="AO7" s="235">
        <v>225</v>
      </c>
      <c r="AP7">
        <v>227</v>
      </c>
      <c r="AQ7">
        <v>137</v>
      </c>
      <c r="AR7">
        <v>124</v>
      </c>
      <c r="AS7">
        <v>205</v>
      </c>
      <c r="AT7">
        <v>151</v>
      </c>
      <c r="AU7" s="520">
        <v>158</v>
      </c>
      <c r="AV7">
        <v>519</v>
      </c>
      <c r="AW7">
        <v>230</v>
      </c>
      <c r="AX7">
        <v>300</v>
      </c>
      <c r="AY7">
        <v>294</v>
      </c>
      <c r="AZ7">
        <v>266</v>
      </c>
      <c r="BA7" s="78">
        <v>223</v>
      </c>
      <c r="BB7">
        <v>233</v>
      </c>
      <c r="BC7">
        <v>202</v>
      </c>
      <c r="BD7">
        <v>284</v>
      </c>
      <c r="BE7">
        <v>218</v>
      </c>
      <c r="BF7">
        <v>175</v>
      </c>
      <c r="BG7">
        <v>259</v>
      </c>
      <c r="BH7">
        <v>271</v>
      </c>
      <c r="BI7">
        <v>171</v>
      </c>
      <c r="BJ7">
        <v>185</v>
      </c>
      <c r="BK7">
        <v>195</v>
      </c>
      <c r="BL7">
        <v>193</v>
      </c>
      <c r="BM7">
        <v>258</v>
      </c>
      <c r="BN7">
        <v>118</v>
      </c>
      <c r="BO7">
        <v>209</v>
      </c>
      <c r="BP7">
        <v>247</v>
      </c>
      <c r="BQ7">
        <v>177</v>
      </c>
      <c r="BR7">
        <v>118</v>
      </c>
      <c r="BS7">
        <v>118</v>
      </c>
      <c r="BT7">
        <v>219</v>
      </c>
      <c r="BU7" s="243">
        <v>390</v>
      </c>
      <c r="BV7" s="243">
        <v>159.11088000000001</v>
      </c>
      <c r="BW7" s="243">
        <v>192.25800000000001</v>
      </c>
      <c r="BX7" s="243">
        <f>190119.18/1000</f>
        <v>190.11918</v>
      </c>
      <c r="BY7" s="243">
        <f>99262.56/1000</f>
        <v>99.262559999999993</v>
      </c>
      <c r="BZ7" s="243">
        <f>90531.81/1000</f>
        <v>90.531809999999993</v>
      </c>
      <c r="CA7" s="243">
        <f>135766.85/1000</f>
        <v>135.76685000000001</v>
      </c>
      <c r="CB7" s="243">
        <f>203470.72/1000</f>
        <v>203.47072</v>
      </c>
      <c r="CC7" s="243">
        <f>171938.26/1000</f>
        <v>171.93826000000001</v>
      </c>
      <c r="CD7" s="243">
        <f>215394.34/1000</f>
        <v>215.39434</v>
      </c>
      <c r="CE7" s="243">
        <f>306685.26/1000</f>
        <v>306.68526000000003</v>
      </c>
      <c r="CF7" s="243">
        <f>164697.66/1000</f>
        <v>164.69766000000001</v>
      </c>
      <c r="CG7" s="243">
        <f>223251.09/1000</f>
        <v>223.25109</v>
      </c>
      <c r="CH7" s="243">
        <f>147852.87/1000</f>
        <v>147.85287</v>
      </c>
      <c r="CI7" s="243">
        <f>174835.64/1000</f>
        <v>174.83564000000001</v>
      </c>
      <c r="CJ7" s="243">
        <f>11781.45/1000</f>
        <v>11.781450000000001</v>
      </c>
      <c r="CK7" s="243">
        <f>267666.41/1000</f>
        <v>267.66640999999998</v>
      </c>
      <c r="CL7" s="243">
        <f>152209.33/1000</f>
        <v>152.20932999999999</v>
      </c>
      <c r="CM7" s="243">
        <f>183800.01/1000</f>
        <v>183.80001000000001</v>
      </c>
      <c r="CN7" s="243">
        <f>196664.88/1000</f>
        <v>196.66488000000001</v>
      </c>
      <c r="CO7" s="243">
        <f>201800.34/1000</f>
        <v>201.80034000000001</v>
      </c>
      <c r="CP7" s="243">
        <f>332057.47/1000</f>
        <v>332.05746999999997</v>
      </c>
      <c r="CQ7" s="243">
        <f>227825.29/1000</f>
        <v>227.82529</v>
      </c>
      <c r="CR7" s="243">
        <f>173814.69/1000</f>
        <v>173.81469000000001</v>
      </c>
      <c r="CS7" s="243">
        <f>83986.45/1000</f>
        <v>83.986449999999991</v>
      </c>
      <c r="CT7" s="243">
        <f>111479.45/1000</f>
        <v>111.47945</v>
      </c>
      <c r="CU7" s="243">
        <f>216861.59/1000</f>
        <v>216.86159000000001</v>
      </c>
      <c r="CV7" s="243">
        <f>208551.97/1000</f>
        <v>208.55197000000001</v>
      </c>
      <c r="CW7" s="243">
        <f>237848.42/1000</f>
        <v>237.84842</v>
      </c>
      <c r="CX7" s="557">
        <f>217803.54/1000</f>
        <v>217.80354</v>
      </c>
    </row>
    <row r="8" spans="1:102" x14ac:dyDescent="0.35">
      <c r="B8" s="799"/>
      <c r="C8" s="57" t="s">
        <v>284</v>
      </c>
      <c r="D8" s="233">
        <v>127</v>
      </c>
      <c r="E8" s="234">
        <v>99</v>
      </c>
      <c r="F8" s="234">
        <v>59</v>
      </c>
      <c r="G8" s="234">
        <v>133</v>
      </c>
      <c r="H8" s="234">
        <v>81</v>
      </c>
      <c r="I8" s="234">
        <v>202</v>
      </c>
      <c r="J8" s="234">
        <v>17</v>
      </c>
      <c r="K8" s="234">
        <v>135</v>
      </c>
      <c r="L8" s="234">
        <v>230</v>
      </c>
      <c r="M8" s="234">
        <v>362</v>
      </c>
      <c r="N8" s="234">
        <v>235</v>
      </c>
      <c r="O8" s="234">
        <v>50</v>
      </c>
      <c r="P8" s="233">
        <v>167</v>
      </c>
      <c r="Q8" s="235">
        <v>227</v>
      </c>
      <c r="R8" s="234">
        <v>148</v>
      </c>
      <c r="S8" s="234">
        <v>95</v>
      </c>
      <c r="T8" s="234">
        <v>121</v>
      </c>
      <c r="U8" s="234">
        <v>238</v>
      </c>
      <c r="V8" s="234">
        <v>4</v>
      </c>
      <c r="W8" s="234">
        <v>137</v>
      </c>
      <c r="X8" s="234">
        <v>190</v>
      </c>
      <c r="Y8" s="234">
        <v>202</v>
      </c>
      <c r="Z8" s="234">
        <v>126</v>
      </c>
      <c r="AA8" s="234">
        <v>5</v>
      </c>
      <c r="AB8" s="279">
        <v>139</v>
      </c>
      <c r="AC8" s="235">
        <v>235</v>
      </c>
      <c r="AD8" s="234">
        <v>53</v>
      </c>
      <c r="AE8">
        <v>17</v>
      </c>
      <c r="AF8">
        <v>38</v>
      </c>
      <c r="AG8">
        <v>333</v>
      </c>
      <c r="AH8">
        <v>159</v>
      </c>
      <c r="AI8">
        <v>218</v>
      </c>
      <c r="AJ8">
        <f>234-2</f>
        <v>232</v>
      </c>
      <c r="AK8" s="324">
        <f>109-2</f>
        <v>107</v>
      </c>
      <c r="AL8">
        <v>47</v>
      </c>
      <c r="AM8">
        <v>46</v>
      </c>
      <c r="AN8">
        <v>62</v>
      </c>
      <c r="AO8" s="235">
        <v>63</v>
      </c>
      <c r="AP8">
        <v>37</v>
      </c>
      <c r="AQ8">
        <v>42</v>
      </c>
      <c r="AR8">
        <v>33</v>
      </c>
      <c r="AS8">
        <v>16</v>
      </c>
      <c r="AT8" s="234">
        <v>84</v>
      </c>
      <c r="AU8" s="520">
        <v>19</v>
      </c>
      <c r="AV8">
        <v>74</v>
      </c>
      <c r="AW8">
        <v>90</v>
      </c>
      <c r="AX8">
        <v>36</v>
      </c>
      <c r="AY8">
        <v>139</v>
      </c>
      <c r="AZ8">
        <v>112</v>
      </c>
      <c r="BA8" s="78">
        <v>116</v>
      </c>
      <c r="BB8">
        <v>106</v>
      </c>
      <c r="BC8">
        <v>130</v>
      </c>
      <c r="BD8">
        <v>73</v>
      </c>
      <c r="BE8">
        <v>100</v>
      </c>
      <c r="BF8">
        <v>121</v>
      </c>
      <c r="BG8">
        <v>113</v>
      </c>
      <c r="BH8">
        <v>78</v>
      </c>
      <c r="BI8">
        <v>80</v>
      </c>
      <c r="BJ8">
        <v>62</v>
      </c>
      <c r="BK8">
        <v>22</v>
      </c>
      <c r="BL8">
        <v>32</v>
      </c>
      <c r="BM8">
        <v>29</v>
      </c>
      <c r="BN8">
        <v>76</v>
      </c>
      <c r="BO8">
        <v>45</v>
      </c>
      <c r="BP8">
        <v>22</v>
      </c>
      <c r="BQ8">
        <v>61</v>
      </c>
      <c r="BR8">
        <v>20</v>
      </c>
      <c r="BS8" s="234">
        <v>-1</v>
      </c>
      <c r="BT8" s="234">
        <v>13</v>
      </c>
      <c r="BU8" s="243">
        <v>107.59521000000001</v>
      </c>
      <c r="BV8" s="243">
        <v>201.07344000000001</v>
      </c>
      <c r="BW8" s="243">
        <v>48.3</v>
      </c>
      <c r="BX8" s="243">
        <f>78098.92/1000</f>
        <v>78.098919999999993</v>
      </c>
      <c r="BY8" s="243">
        <f>48715.36/1000</f>
        <v>48.715360000000004</v>
      </c>
      <c r="BZ8" s="243">
        <f>35164.09/1000</f>
        <v>35.164089999999995</v>
      </c>
      <c r="CA8" s="243">
        <f>66458.83/1000</f>
        <v>66.458830000000006</v>
      </c>
      <c r="CB8" s="243">
        <f>61265.83/1000</f>
        <v>61.265830000000001</v>
      </c>
      <c r="CC8" s="243">
        <f>60842.99/1000</f>
        <v>60.84299</v>
      </c>
      <c r="CD8" s="243">
        <f>43253.92/1000</f>
        <v>43.253920000000001</v>
      </c>
      <c r="CE8" s="243">
        <f>68516.95/1000</f>
        <v>68.516949999999994</v>
      </c>
      <c r="CF8" s="243">
        <f>66709.68/1000</f>
        <v>66.709679999999992</v>
      </c>
      <c r="CG8" s="243">
        <f>45319.06/1000</f>
        <v>45.31906</v>
      </c>
      <c r="CH8" s="243">
        <f>46335.98/1000</f>
        <v>46.335980000000006</v>
      </c>
      <c r="CI8" s="243">
        <f>94785.89/1000</f>
        <v>94.785889999999995</v>
      </c>
      <c r="CJ8" s="243">
        <f>71420.1/1000</f>
        <v>71.420100000000005</v>
      </c>
      <c r="CK8" s="234">
        <f>-2690.83/1000</f>
        <v>-2.6908300000000001</v>
      </c>
      <c r="CL8" s="234">
        <f>52110.15/1000</f>
        <v>52.110150000000004</v>
      </c>
      <c r="CM8" s="234">
        <f>50921.11/1000</f>
        <v>50.921109999999999</v>
      </c>
      <c r="CN8" s="234">
        <f>69146.82/1000</f>
        <v>69.146820000000005</v>
      </c>
      <c r="CO8" s="234">
        <f>89282.61/1000</f>
        <v>89.282610000000005</v>
      </c>
      <c r="CP8" s="234">
        <f>92443.48/1000</f>
        <v>92.443479999999994</v>
      </c>
      <c r="CQ8" s="234">
        <f>138318.47/1000</f>
        <v>138.31846999999999</v>
      </c>
      <c r="CR8" s="234">
        <f>70119.12/1000</f>
        <v>70.119119999999995</v>
      </c>
      <c r="CS8" s="234">
        <f>88627.03/1000</f>
        <v>88.627030000000005</v>
      </c>
      <c r="CT8" s="234">
        <f>56487.54/1000</f>
        <v>56.487540000000003</v>
      </c>
      <c r="CU8" s="234">
        <f>47330.8/1000</f>
        <v>47.330800000000004</v>
      </c>
      <c r="CV8" s="234">
        <f>131846.08/1000</f>
        <v>131.84608</v>
      </c>
      <c r="CW8" s="234">
        <f>135031.26/1000</f>
        <v>135.03126</v>
      </c>
      <c r="CX8" s="512">
        <f>124861.21/1000</f>
        <v>124.86121</v>
      </c>
    </row>
    <row r="9" spans="1:102" x14ac:dyDescent="0.35">
      <c r="B9" s="799"/>
      <c r="C9" s="57" t="s">
        <v>285</v>
      </c>
      <c r="D9" s="233">
        <v>137</v>
      </c>
      <c r="E9" s="234">
        <f>173-21</f>
        <v>152</v>
      </c>
      <c r="F9" s="234">
        <f>189-13</f>
        <v>176</v>
      </c>
      <c r="G9" s="234">
        <f>212-12</f>
        <v>200</v>
      </c>
      <c r="H9" s="234">
        <v>101</v>
      </c>
      <c r="I9" s="234">
        <v>132</v>
      </c>
      <c r="J9" s="234">
        <v>184</v>
      </c>
      <c r="K9" s="234">
        <v>256</v>
      </c>
      <c r="L9" s="234">
        <v>297</v>
      </c>
      <c r="M9" s="234">
        <v>305</v>
      </c>
      <c r="N9" s="234">
        <v>260</v>
      </c>
      <c r="O9" s="234">
        <v>331</v>
      </c>
      <c r="P9" s="233">
        <v>256</v>
      </c>
      <c r="Q9" s="235">
        <v>277</v>
      </c>
      <c r="R9" s="234">
        <v>198</v>
      </c>
      <c r="S9" s="234">
        <v>180</v>
      </c>
      <c r="T9" s="234">
        <v>180</v>
      </c>
      <c r="U9" s="234">
        <v>175</v>
      </c>
      <c r="V9" s="234">
        <v>243</v>
      </c>
      <c r="W9" s="234">
        <v>195</v>
      </c>
      <c r="X9" s="234">
        <v>215</v>
      </c>
      <c r="Y9" s="234">
        <v>275</v>
      </c>
      <c r="Z9" s="234">
        <v>152</v>
      </c>
      <c r="AA9" s="234">
        <v>127</v>
      </c>
      <c r="AB9" s="279">
        <v>150</v>
      </c>
      <c r="AC9" s="235">
        <v>147</v>
      </c>
      <c r="AD9" s="234">
        <f>137-66</f>
        <v>71</v>
      </c>
      <c r="AE9">
        <f>168-67</f>
        <v>101</v>
      </c>
      <c r="AF9">
        <v>59</v>
      </c>
      <c r="AG9">
        <v>46</v>
      </c>
      <c r="AH9">
        <v>59</v>
      </c>
      <c r="AI9">
        <v>39</v>
      </c>
      <c r="AJ9">
        <f>232+30</f>
        <v>262</v>
      </c>
      <c r="AK9">
        <f>92+40</f>
        <v>132</v>
      </c>
      <c r="AL9">
        <f>91+5</f>
        <v>96</v>
      </c>
      <c r="AM9">
        <v>61</v>
      </c>
      <c r="AN9">
        <v>9</v>
      </c>
      <c r="AO9" s="235">
        <v>33</v>
      </c>
      <c r="AP9">
        <v>34</v>
      </c>
      <c r="AQ9">
        <v>34</v>
      </c>
      <c r="AR9">
        <v>27</v>
      </c>
      <c r="AS9">
        <v>18</v>
      </c>
      <c r="AT9" s="234">
        <v>-6</v>
      </c>
      <c r="AU9" s="520">
        <v>4</v>
      </c>
      <c r="AV9" s="234">
        <v>-28</v>
      </c>
      <c r="AW9">
        <v>28</v>
      </c>
      <c r="AX9">
        <v>56</v>
      </c>
      <c r="AY9">
        <v>10</v>
      </c>
      <c r="AZ9" s="234">
        <v>-6</v>
      </c>
      <c r="BA9" s="235">
        <v>-2</v>
      </c>
      <c r="BB9" s="234">
        <v>9</v>
      </c>
      <c r="BC9" s="234">
        <v>8</v>
      </c>
      <c r="BD9" s="234">
        <v>55</v>
      </c>
      <c r="BE9" s="234">
        <v>32</v>
      </c>
      <c r="BF9" s="234">
        <v>20</v>
      </c>
      <c r="BG9" s="234">
        <v>-8</v>
      </c>
      <c r="BH9" s="234">
        <v>19</v>
      </c>
      <c r="BI9" s="234">
        <v>80</v>
      </c>
      <c r="BJ9" s="234">
        <v>135</v>
      </c>
      <c r="BK9" s="234">
        <v>-33</v>
      </c>
      <c r="BL9" s="234">
        <v>-18</v>
      </c>
      <c r="BM9" s="234">
        <v>1</v>
      </c>
      <c r="BN9" s="234">
        <v>5</v>
      </c>
      <c r="BO9" s="234">
        <v>60</v>
      </c>
      <c r="BP9" s="234">
        <v>57</v>
      </c>
      <c r="BQ9" s="234">
        <v>-1</v>
      </c>
      <c r="BR9" s="234">
        <v>41</v>
      </c>
      <c r="BS9" s="234">
        <v>3</v>
      </c>
      <c r="BT9" s="234">
        <v>-28</v>
      </c>
      <c r="BU9" s="234">
        <v>-29.796990000000001</v>
      </c>
      <c r="BV9" s="234">
        <v>-13.121360000000001</v>
      </c>
      <c r="BW9" s="234">
        <v>-15.2</v>
      </c>
      <c r="BX9" s="234">
        <f>8043.58/1000</f>
        <v>8.0435800000000004</v>
      </c>
      <c r="BY9" s="234">
        <f>21305.04/1000</f>
        <v>21.305040000000002</v>
      </c>
      <c r="BZ9" s="234">
        <f>12216.06/1000</f>
        <v>12.216059999999999</v>
      </c>
      <c r="CA9" s="234">
        <f>23790.01/1000</f>
        <v>23.790009999999999</v>
      </c>
      <c r="CB9" s="234">
        <f>29225.8/1000</f>
        <v>29.2258</v>
      </c>
      <c r="CC9" s="234">
        <f>24053.78/1000</f>
        <v>24.05378</v>
      </c>
      <c r="CD9" s="234">
        <f>48266.39/1000</f>
        <v>48.266390000000001</v>
      </c>
      <c r="CE9" s="234">
        <f>40700.5/1000</f>
        <v>40.700499999999998</v>
      </c>
      <c r="CF9" s="234">
        <f>71971.28/1000</f>
        <v>71.971279999999993</v>
      </c>
      <c r="CG9" s="234">
        <f>40239.41/1000</f>
        <v>40.239410000000007</v>
      </c>
      <c r="CH9" s="234">
        <f>61581.3/1000</f>
        <v>61.581300000000006</v>
      </c>
      <c r="CI9" s="234">
        <f>59980.27/1000</f>
        <v>59.980269999999997</v>
      </c>
      <c r="CJ9" s="234">
        <f>103553.94/1000</f>
        <v>103.55394</v>
      </c>
      <c r="CK9" s="234">
        <f>152513.49/1000</f>
        <v>152.51348999999999</v>
      </c>
      <c r="CL9" s="234">
        <f>164855.66/1000</f>
        <v>164.85566</v>
      </c>
      <c r="CM9" s="234">
        <f>120721.11/1000</f>
        <v>120.72111</v>
      </c>
      <c r="CN9" s="234">
        <f>78860.55/1000</f>
        <v>78.860550000000003</v>
      </c>
      <c r="CO9" s="234">
        <f>118132.59/1000</f>
        <v>118.13258999999999</v>
      </c>
      <c r="CP9" s="234">
        <f>100797.59/1000</f>
        <v>100.79759</v>
      </c>
      <c r="CQ9" s="234">
        <f>177763.89/1000</f>
        <v>177.76389</v>
      </c>
      <c r="CR9" s="234">
        <f>137239.97/1000</f>
        <v>137.23997</v>
      </c>
      <c r="CS9" s="234">
        <f>165491.04/1000</f>
        <v>165.49104</v>
      </c>
      <c r="CT9" s="234">
        <f>133433.03/1000</f>
        <v>133.43303</v>
      </c>
      <c r="CU9" s="234">
        <f>135967.88/1000</f>
        <v>135.96788000000001</v>
      </c>
      <c r="CV9" s="234">
        <f>84295.95/1000</f>
        <v>84.295949999999991</v>
      </c>
      <c r="CW9" s="234">
        <f>129862.61/1000</f>
        <v>129.86260999999999</v>
      </c>
      <c r="CX9" s="512">
        <f>118484.57/1000</f>
        <v>118.48457000000001</v>
      </c>
    </row>
    <row r="10" spans="1:102" x14ac:dyDescent="0.35">
      <c r="B10" s="799"/>
      <c r="C10" s="58" t="s">
        <v>286</v>
      </c>
      <c r="D10" s="236">
        <v>-79</v>
      </c>
      <c r="E10" s="237">
        <v>-101</v>
      </c>
      <c r="F10" s="237">
        <v>-101</v>
      </c>
      <c r="G10" s="237">
        <v>-101</v>
      </c>
      <c r="H10" s="237">
        <f>-92-10</f>
        <v>-102</v>
      </c>
      <c r="I10" s="237">
        <f>-92</f>
        <v>-92</v>
      </c>
      <c r="J10" s="237">
        <v>-128</v>
      </c>
      <c r="K10" s="237">
        <f>-178-36</f>
        <v>-214</v>
      </c>
      <c r="L10" s="237">
        <f>-178-36</f>
        <v>-214</v>
      </c>
      <c r="M10" s="237">
        <f>-178-36-35</f>
        <v>-249</v>
      </c>
      <c r="N10" s="237">
        <v>-91</v>
      </c>
      <c r="O10" s="237">
        <v>-91</v>
      </c>
      <c r="P10" s="236">
        <f>-83</f>
        <v>-83</v>
      </c>
      <c r="Q10" s="238">
        <f>-83-3</f>
        <v>-86</v>
      </c>
      <c r="R10" s="237">
        <f>-74-9</f>
        <v>-83</v>
      </c>
      <c r="S10" s="237">
        <f>-74-9</f>
        <v>-83</v>
      </c>
      <c r="T10" s="237">
        <f>-73-9</f>
        <v>-82</v>
      </c>
      <c r="U10" s="237">
        <v>-58</v>
      </c>
      <c r="V10" s="237">
        <v>-65</v>
      </c>
      <c r="W10" s="237">
        <v>-69</v>
      </c>
      <c r="X10" s="237">
        <v>-65</v>
      </c>
      <c r="Y10" s="237">
        <v>-65</v>
      </c>
      <c r="Z10" s="237">
        <v>-65</v>
      </c>
      <c r="AA10" s="237">
        <v>-45</v>
      </c>
      <c r="AB10" s="237">
        <v>-60</v>
      </c>
      <c r="AC10" s="238">
        <v>-60</v>
      </c>
      <c r="AD10" s="237">
        <v>-84</v>
      </c>
      <c r="AE10" s="237">
        <v>-99</v>
      </c>
      <c r="AF10" s="237">
        <f>-85-45</f>
        <v>-130</v>
      </c>
      <c r="AG10" s="237">
        <f>-100-94</f>
        <v>-194</v>
      </c>
      <c r="AH10" s="237">
        <v>-134</v>
      </c>
      <c r="AI10" s="237">
        <v>-139</v>
      </c>
      <c r="AJ10" s="237">
        <v>-176</v>
      </c>
      <c r="AK10" s="237">
        <v>-191</v>
      </c>
      <c r="AL10" s="237">
        <f>-191-37</f>
        <v>-228</v>
      </c>
      <c r="AM10" s="237">
        <v>-271</v>
      </c>
      <c r="AN10" s="237">
        <f>-260+20+55</f>
        <v>-185</v>
      </c>
      <c r="AO10" s="238">
        <v>-226</v>
      </c>
      <c r="AP10" s="237">
        <v>-200</v>
      </c>
      <c r="AQ10" s="237">
        <v>-208</v>
      </c>
      <c r="AR10" s="237">
        <v>-217</v>
      </c>
      <c r="AS10" s="237">
        <v>-220</v>
      </c>
      <c r="AT10" s="237">
        <v>-234</v>
      </c>
      <c r="AU10" s="237">
        <v>-246</v>
      </c>
      <c r="AV10" s="237">
        <v>-198</v>
      </c>
      <c r="AW10" s="237">
        <v>-185</v>
      </c>
      <c r="AX10" s="237">
        <v>-175</v>
      </c>
      <c r="AY10" s="237">
        <v>-131</v>
      </c>
      <c r="AZ10" s="237">
        <v>-122</v>
      </c>
      <c r="BA10" s="238">
        <v>-130</v>
      </c>
      <c r="BB10" s="237">
        <v>-115</v>
      </c>
      <c r="BC10" s="237">
        <v>-118</v>
      </c>
      <c r="BD10" s="237">
        <v>-130</v>
      </c>
      <c r="BE10" s="237">
        <v>-137</v>
      </c>
      <c r="BF10" s="237">
        <v>-133</v>
      </c>
      <c r="BG10" s="237">
        <v>-129</v>
      </c>
      <c r="BH10" s="237">
        <v>-153</v>
      </c>
      <c r="BI10" s="237">
        <v>-160</v>
      </c>
      <c r="BJ10" s="237">
        <v>-190</v>
      </c>
      <c r="BK10" s="237">
        <v>-183</v>
      </c>
      <c r="BL10" s="237">
        <v>-208</v>
      </c>
      <c r="BM10" s="237">
        <v>-186</v>
      </c>
      <c r="BN10" s="237">
        <v>-191</v>
      </c>
      <c r="BO10" s="237">
        <v>-199</v>
      </c>
      <c r="BP10" s="237">
        <v>-206</v>
      </c>
      <c r="BQ10" s="237">
        <v>-218</v>
      </c>
      <c r="BR10" s="237">
        <v>-231</v>
      </c>
      <c r="BS10" s="237">
        <v>-239</v>
      </c>
      <c r="BT10" s="237">
        <v>-242</v>
      </c>
      <c r="BU10" s="237">
        <v>-208</v>
      </c>
      <c r="BV10" s="237">
        <v>-197</v>
      </c>
      <c r="BW10" s="237">
        <v>-181.69825</v>
      </c>
      <c r="BX10" s="237">
        <f>-171430/1000</f>
        <v>-171.43</v>
      </c>
      <c r="BY10" s="237">
        <f>-154204/1000</f>
        <v>-154.20400000000001</v>
      </c>
      <c r="BZ10" s="237">
        <f>-170671/1000</f>
        <v>-170.67099999999999</v>
      </c>
      <c r="CA10" s="237">
        <f>-207989/1000</f>
        <v>-207.989</v>
      </c>
      <c r="CB10" s="237">
        <f>-243031/1000</f>
        <v>-243.03100000000001</v>
      </c>
      <c r="CC10" s="237">
        <f>-238083/1000</f>
        <v>-238.083</v>
      </c>
      <c r="CD10" s="237">
        <f>-230240/1000</f>
        <v>-230.24</v>
      </c>
      <c r="CE10" s="237">
        <f>-247060/1000</f>
        <v>-247.06</v>
      </c>
      <c r="CF10" s="237">
        <f>-262934/1000</f>
        <v>-262.93400000000003</v>
      </c>
      <c r="CG10" s="237">
        <f>-247572/1000</f>
        <v>-247.572</v>
      </c>
      <c r="CH10" s="237">
        <f>-246649/1000</f>
        <v>-246.649</v>
      </c>
      <c r="CI10" s="237">
        <f>-175149/1000</f>
        <v>-175.149</v>
      </c>
      <c r="CJ10" s="237">
        <f>-121821/1000</f>
        <v>-121.821</v>
      </c>
      <c r="CK10" s="237">
        <f>-134070/1000</f>
        <v>-134.07</v>
      </c>
      <c r="CL10" s="237">
        <f>-133238/1000</f>
        <v>-133.238</v>
      </c>
      <c r="CM10" s="237">
        <f>-111019/1000</f>
        <v>-111.01900000000001</v>
      </c>
      <c r="CN10" s="237">
        <f>-108667/1000</f>
        <v>-108.667</v>
      </c>
      <c r="CO10" s="237">
        <f>-121237/1000</f>
        <v>-121.23699999999999</v>
      </c>
      <c r="CP10" s="237">
        <f>-130419/1000</f>
        <v>-130.41900000000001</v>
      </c>
      <c r="CQ10" s="237">
        <f>-140657/1000</f>
        <v>-140.65700000000001</v>
      </c>
      <c r="CR10" s="237">
        <f>-148604/1000</f>
        <v>-148.60400000000001</v>
      </c>
      <c r="CS10" s="237">
        <f>-153604/1000</f>
        <v>-153.60400000000001</v>
      </c>
      <c r="CT10" s="237">
        <f>-158604/1000</f>
        <v>-158.60400000000001</v>
      </c>
      <c r="CU10" s="237">
        <f>-153656/1000</f>
        <v>-153.65600000000001</v>
      </c>
      <c r="CV10" s="237">
        <f>-150751/1000</f>
        <v>-150.751</v>
      </c>
      <c r="CW10" s="237">
        <f>-136901/1000</f>
        <v>-136.90100000000001</v>
      </c>
      <c r="CX10" s="716">
        <f>-108275/1000</f>
        <v>-108.27500000000001</v>
      </c>
    </row>
    <row r="11" spans="1:102" x14ac:dyDescent="0.35">
      <c r="B11" s="800"/>
      <c r="C11" s="59" t="s">
        <v>287</v>
      </c>
      <c r="D11" s="239">
        <v>1374</v>
      </c>
      <c r="E11" s="239">
        <f t="shared" ref="E11:AJ11" si="0">SUM(E5:E10)</f>
        <v>1187</v>
      </c>
      <c r="F11" s="239">
        <f t="shared" si="0"/>
        <v>1243</v>
      </c>
      <c r="G11" s="239">
        <f t="shared" si="0"/>
        <v>1484</v>
      </c>
      <c r="H11" s="239">
        <f t="shared" si="0"/>
        <v>740</v>
      </c>
      <c r="I11" s="239">
        <f t="shared" si="0"/>
        <v>1379</v>
      </c>
      <c r="J11" s="239">
        <f t="shared" si="0"/>
        <v>1301</v>
      </c>
      <c r="K11" s="239">
        <f t="shared" si="0"/>
        <v>1526</v>
      </c>
      <c r="L11" s="239">
        <f t="shared" si="0"/>
        <v>1605</v>
      </c>
      <c r="M11" s="239">
        <f t="shared" si="0"/>
        <v>1641</v>
      </c>
      <c r="N11" s="239">
        <f t="shared" si="0"/>
        <v>1625</v>
      </c>
      <c r="O11" s="239">
        <f t="shared" si="0"/>
        <v>1698</v>
      </c>
      <c r="P11" s="239">
        <f t="shared" si="0"/>
        <v>1758</v>
      </c>
      <c r="Q11" s="237">
        <f t="shared" si="0"/>
        <v>1737</v>
      </c>
      <c r="R11" s="237">
        <f t="shared" si="0"/>
        <v>1836</v>
      </c>
      <c r="S11" s="237">
        <f t="shared" si="0"/>
        <v>1600</v>
      </c>
      <c r="T11" s="237">
        <f t="shared" si="0"/>
        <v>1771</v>
      </c>
      <c r="U11" s="237">
        <f t="shared" si="0"/>
        <v>1480</v>
      </c>
      <c r="V11" s="237">
        <f t="shared" si="0"/>
        <v>1511</v>
      </c>
      <c r="W11" s="237">
        <f t="shared" si="0"/>
        <v>1567</v>
      </c>
      <c r="X11" s="237">
        <f t="shared" si="0"/>
        <v>1585</v>
      </c>
      <c r="Y11" s="237">
        <f t="shared" si="0"/>
        <v>1766</v>
      </c>
      <c r="Z11" s="237">
        <f t="shared" si="0"/>
        <v>1450</v>
      </c>
      <c r="AA11" s="237">
        <f t="shared" si="0"/>
        <v>1596</v>
      </c>
      <c r="AB11" s="237">
        <f t="shared" si="0"/>
        <v>1832</v>
      </c>
      <c r="AC11" s="239">
        <f t="shared" si="0"/>
        <v>2030</v>
      </c>
      <c r="AD11" s="237">
        <f t="shared" si="0"/>
        <v>1443</v>
      </c>
      <c r="AE11" s="237">
        <f t="shared" si="0"/>
        <v>1715</v>
      </c>
      <c r="AF11" s="237">
        <f t="shared" si="0"/>
        <v>1877</v>
      </c>
      <c r="AG11" s="237">
        <f t="shared" si="0"/>
        <v>2117</v>
      </c>
      <c r="AH11" s="237">
        <f t="shared" si="0"/>
        <v>1596</v>
      </c>
      <c r="AI11" s="237">
        <f t="shared" si="0"/>
        <v>1549</v>
      </c>
      <c r="AJ11" s="237">
        <f t="shared" si="0"/>
        <v>1791</v>
      </c>
      <c r="AK11" s="237">
        <f t="shared" ref="AK11:CJ11" si="1">SUM(AK5:AK10)</f>
        <v>1888</v>
      </c>
      <c r="AL11" s="237">
        <f t="shared" si="1"/>
        <v>1557</v>
      </c>
      <c r="AM11" s="237">
        <f t="shared" si="1"/>
        <v>1625</v>
      </c>
      <c r="AN11" s="237">
        <f t="shared" si="1"/>
        <v>1259</v>
      </c>
      <c r="AO11" s="238">
        <f t="shared" si="1"/>
        <v>1797</v>
      </c>
      <c r="AP11" s="239">
        <f t="shared" si="1"/>
        <v>1781</v>
      </c>
      <c r="AQ11" s="239">
        <f t="shared" si="1"/>
        <v>1266</v>
      </c>
      <c r="AR11" s="239">
        <f t="shared" si="1"/>
        <v>1289</v>
      </c>
      <c r="AS11" s="239">
        <f t="shared" si="1"/>
        <v>1494</v>
      </c>
      <c r="AT11" s="239">
        <f t="shared" si="1"/>
        <v>1799</v>
      </c>
      <c r="AU11" s="239">
        <f t="shared" si="1"/>
        <v>1881</v>
      </c>
      <c r="AV11" s="239">
        <f t="shared" si="1"/>
        <v>2051</v>
      </c>
      <c r="AW11" s="239">
        <f t="shared" si="1"/>
        <v>1802</v>
      </c>
      <c r="AX11" s="239">
        <f t="shared" si="1"/>
        <v>1969</v>
      </c>
      <c r="AY11" s="239">
        <f t="shared" si="1"/>
        <v>1738</v>
      </c>
      <c r="AZ11" s="239">
        <f t="shared" si="1"/>
        <v>1872</v>
      </c>
      <c r="BA11" s="242">
        <f t="shared" si="1"/>
        <v>1923</v>
      </c>
      <c r="BB11" s="239">
        <f t="shared" si="1"/>
        <v>1850</v>
      </c>
      <c r="BC11" s="239">
        <f t="shared" si="1"/>
        <v>2061</v>
      </c>
      <c r="BD11" s="239">
        <f t="shared" si="1"/>
        <v>2094</v>
      </c>
      <c r="BE11" s="239">
        <f t="shared" si="1"/>
        <v>1940</v>
      </c>
      <c r="BF11" s="239">
        <f t="shared" si="1"/>
        <v>2067</v>
      </c>
      <c r="BG11" s="239">
        <f t="shared" si="1"/>
        <v>1937</v>
      </c>
      <c r="BH11" s="239">
        <f t="shared" si="1"/>
        <v>1830</v>
      </c>
      <c r="BI11" s="239">
        <f t="shared" si="1"/>
        <v>2293</v>
      </c>
      <c r="BJ11" s="239">
        <f t="shared" si="1"/>
        <v>2124</v>
      </c>
      <c r="BK11" s="239">
        <f t="shared" si="1"/>
        <v>2153</v>
      </c>
      <c r="BL11" s="239">
        <f t="shared" si="1"/>
        <v>2167</v>
      </c>
      <c r="BM11" s="239">
        <f t="shared" si="1"/>
        <v>1900</v>
      </c>
      <c r="BN11" s="239">
        <f t="shared" si="1"/>
        <v>1851</v>
      </c>
      <c r="BO11" s="239">
        <f t="shared" si="1"/>
        <v>1909</v>
      </c>
      <c r="BP11" s="239">
        <f t="shared" si="1"/>
        <v>1981</v>
      </c>
      <c r="BQ11" s="239">
        <f t="shared" si="1"/>
        <v>1832</v>
      </c>
      <c r="BR11" s="239">
        <f t="shared" si="1"/>
        <v>1859</v>
      </c>
      <c r="BS11" s="239">
        <f t="shared" si="1"/>
        <v>1860</v>
      </c>
      <c r="BT11" s="239">
        <f t="shared" si="1"/>
        <v>1992</v>
      </c>
      <c r="BU11" s="239">
        <f t="shared" si="1"/>
        <v>2155.7892600000005</v>
      </c>
      <c r="BV11" s="239">
        <f t="shared" si="1"/>
        <v>2170.5467900000003</v>
      </c>
      <c r="BW11" s="239">
        <f t="shared" si="1"/>
        <v>2058.7217500000002</v>
      </c>
      <c r="BX11" s="239">
        <f t="shared" si="1"/>
        <v>2151.7704400000002</v>
      </c>
      <c r="BY11" s="239">
        <f t="shared" si="1"/>
        <v>1915.33404</v>
      </c>
      <c r="BZ11" s="239">
        <f t="shared" si="1"/>
        <v>1923.0890800000004</v>
      </c>
      <c r="CA11" s="239">
        <f t="shared" si="1"/>
        <v>2165.8516300000001</v>
      </c>
      <c r="CB11" s="239">
        <f t="shared" si="1"/>
        <v>2153.6070799999998</v>
      </c>
      <c r="CC11" s="239">
        <f t="shared" si="1"/>
        <v>1898.0601999999999</v>
      </c>
      <c r="CD11" s="239">
        <f t="shared" si="1"/>
        <v>2332.4138000000003</v>
      </c>
      <c r="CE11" s="239">
        <f t="shared" si="1"/>
        <v>2291.8275600000002</v>
      </c>
      <c r="CF11" s="239">
        <f t="shared" si="1"/>
        <v>1984.08692</v>
      </c>
      <c r="CG11" s="239">
        <f t="shared" si="1"/>
        <v>1958.3566900000001</v>
      </c>
      <c r="CH11" s="239">
        <f t="shared" si="1"/>
        <v>1943.5887299999999</v>
      </c>
      <c r="CI11" s="239">
        <f t="shared" si="1"/>
        <v>2006.32834</v>
      </c>
      <c r="CJ11" s="239">
        <f t="shared" si="1"/>
        <v>2058.4211299999997</v>
      </c>
      <c r="CK11" s="239">
        <f t="shared" ref="CK11:CP11" si="2">SUM(CK5:CK10)</f>
        <v>2124.26946</v>
      </c>
      <c r="CL11" s="239">
        <f t="shared" si="2"/>
        <v>2259.4596200000001</v>
      </c>
      <c r="CM11" s="239">
        <f t="shared" si="2"/>
        <v>2036.5235700000001</v>
      </c>
      <c r="CN11" s="239">
        <f t="shared" si="2"/>
        <v>2124.0911299999998</v>
      </c>
      <c r="CO11" s="239">
        <f t="shared" si="2"/>
        <v>2565.8915400000005</v>
      </c>
      <c r="CP11" s="239">
        <f t="shared" si="2"/>
        <v>2369.72055</v>
      </c>
      <c r="CQ11" s="239">
        <f t="shared" ref="CQ11:CT11" si="3">SUM(CQ5:CQ10)</f>
        <v>2569.2261699999999</v>
      </c>
      <c r="CR11" s="239">
        <f t="shared" si="3"/>
        <v>1975.33566</v>
      </c>
      <c r="CS11" s="239">
        <f t="shared" si="3"/>
        <v>2306.4759199999999</v>
      </c>
      <c r="CT11" s="239">
        <f t="shared" si="3"/>
        <v>2453.3933100000004</v>
      </c>
      <c r="CU11" s="239">
        <f t="shared" ref="CU11:CV11" si="4">SUM(CU5:CU10)</f>
        <v>2819.4498100000001</v>
      </c>
      <c r="CV11" s="239">
        <f t="shared" si="4"/>
        <v>2486.9928699999996</v>
      </c>
      <c r="CW11" s="239">
        <f t="shared" ref="CW11:CX11" si="5">SUM(CW5:CW10)</f>
        <v>2263.2600000000002</v>
      </c>
      <c r="CX11" s="687">
        <f t="shared" si="5"/>
        <v>2116.3963600000002</v>
      </c>
    </row>
    <row r="12" spans="1:102" x14ac:dyDescent="0.35">
      <c r="B12" s="227" t="s">
        <v>288</v>
      </c>
      <c r="C12" s="227"/>
      <c r="D12" s="234">
        <v>54.437047756874094</v>
      </c>
      <c r="E12" s="234">
        <f t="shared" ref="E12:AJ12" si="6">IF(E11&gt;SUM(E89:F89),(E11-F89-E89)/D89*D87+E87+F87,(E11-F89)/E89*E87+F87)</f>
        <v>49.449738364087032</v>
      </c>
      <c r="F12" s="234">
        <f t="shared" si="6"/>
        <v>49.824854266030741</v>
      </c>
      <c r="G12" s="234">
        <f t="shared" si="6"/>
        <v>60.511393746687858</v>
      </c>
      <c r="H12" s="234">
        <f t="shared" si="6"/>
        <v>25.937466014138121</v>
      </c>
      <c r="I12" s="234">
        <f t="shared" si="6"/>
        <v>55.325681492109041</v>
      </c>
      <c r="J12" s="234">
        <f t="shared" si="6"/>
        <v>53.471175799086765</v>
      </c>
      <c r="K12" s="234">
        <f t="shared" si="6"/>
        <v>54.956386292834893</v>
      </c>
      <c r="L12" s="234">
        <f t="shared" si="6"/>
        <v>59.161396574440055</v>
      </c>
      <c r="M12" s="234">
        <f t="shared" si="6"/>
        <v>60.019290123456791</v>
      </c>
      <c r="N12" s="234">
        <f t="shared" si="6"/>
        <v>54.074324324324323</v>
      </c>
      <c r="O12" s="234">
        <f t="shared" si="6"/>
        <v>58.709554140127388</v>
      </c>
      <c r="P12" s="234">
        <f t="shared" si="6"/>
        <v>63.290445859872612</v>
      </c>
      <c r="Q12" s="234">
        <f t="shared" si="6"/>
        <v>59.736439499304595</v>
      </c>
      <c r="R12" s="234">
        <f t="shared" si="6"/>
        <v>61.414464534075108</v>
      </c>
      <c r="S12" s="234">
        <f t="shared" si="6"/>
        <v>53.599326599326602</v>
      </c>
      <c r="T12" s="234">
        <f t="shared" si="6"/>
        <v>51.140611541774334</v>
      </c>
      <c r="U12" s="234">
        <f t="shared" si="6"/>
        <v>47.213080168776372</v>
      </c>
      <c r="V12" s="234">
        <f t="shared" si="6"/>
        <v>54.729773462783172</v>
      </c>
      <c r="W12" s="234">
        <f t="shared" si="6"/>
        <v>52.834795321637429</v>
      </c>
      <c r="X12" s="234">
        <f t="shared" si="6"/>
        <v>51.979991749174921</v>
      </c>
      <c r="Y12" s="234">
        <f t="shared" si="6"/>
        <v>52.295434969853574</v>
      </c>
      <c r="Z12" s="234">
        <f t="shared" si="6"/>
        <v>36.355191256830601</v>
      </c>
      <c r="AA12" s="234">
        <f t="shared" si="6"/>
        <v>43.11196172248804</v>
      </c>
      <c r="AB12" s="234">
        <f t="shared" si="6"/>
        <v>44.840090090090094</v>
      </c>
      <c r="AC12" s="234">
        <f t="shared" si="6"/>
        <v>48.835869889585197</v>
      </c>
      <c r="AD12" s="234">
        <f t="shared" si="6"/>
        <v>39.26930409914204</v>
      </c>
      <c r="AE12" s="234">
        <f t="shared" si="6"/>
        <v>46.913255360623779</v>
      </c>
      <c r="AF12" s="234">
        <f t="shared" si="6"/>
        <v>49.800173611111106</v>
      </c>
      <c r="AG12" s="234">
        <f t="shared" si="6"/>
        <v>50.405888538380651</v>
      </c>
      <c r="AH12" s="234">
        <f t="shared" si="6"/>
        <v>37.203655352480418</v>
      </c>
      <c r="AI12" s="234">
        <f t="shared" si="6"/>
        <v>42.679209783631237</v>
      </c>
      <c r="AJ12" s="234">
        <f t="shared" si="6"/>
        <v>49.469213226909922</v>
      </c>
      <c r="AK12" s="234">
        <f t="shared" ref="AK12:CJ12" si="7">IF(AK11&gt;SUM(AK89:AL89),(AK11-AL89-AK89)/AJ89*AJ87+AK87+AL87,(AK11-AL89)/AK89*AK87+AL87)</f>
        <v>45.159106529209623</v>
      </c>
      <c r="AL12" s="234">
        <f t="shared" si="7"/>
        <v>37.565059144676979</v>
      </c>
      <c r="AM12" s="234">
        <f t="shared" si="7"/>
        <v>41.002995900346896</v>
      </c>
      <c r="AN12" s="234">
        <f t="shared" si="7"/>
        <v>37.807967313585294</v>
      </c>
      <c r="AO12" s="235">
        <f t="shared" si="7"/>
        <v>52.047762998790809</v>
      </c>
      <c r="AP12" s="234">
        <f t="shared" si="7"/>
        <v>47.049323361823362</v>
      </c>
      <c r="AQ12" s="234">
        <f t="shared" si="7"/>
        <v>34.973597359735976</v>
      </c>
      <c r="AR12" s="234">
        <f t="shared" si="7"/>
        <v>33.252879769618431</v>
      </c>
      <c r="AS12" s="234">
        <f t="shared" si="7"/>
        <v>38.676560900716481</v>
      </c>
      <c r="AT12" s="234">
        <f t="shared" si="7"/>
        <v>37.326800670016752</v>
      </c>
      <c r="AU12" s="234">
        <f t="shared" si="7"/>
        <v>39.271360759493675</v>
      </c>
      <c r="AV12" s="234">
        <f t="shared" si="7"/>
        <v>47.178151490292592</v>
      </c>
      <c r="AW12" s="234">
        <f t="shared" si="7"/>
        <v>40.131096613855235</v>
      </c>
      <c r="AX12" s="234">
        <f t="shared" si="7"/>
        <v>44.783666377063426</v>
      </c>
      <c r="AY12" s="234">
        <f t="shared" si="7"/>
        <v>39.738609112709831</v>
      </c>
      <c r="AZ12" s="234">
        <f t="shared" si="7"/>
        <v>43.202001819836212</v>
      </c>
      <c r="BA12" s="235">
        <f t="shared" si="7"/>
        <v>45.747978436657682</v>
      </c>
      <c r="BB12" s="234">
        <f t="shared" si="7"/>
        <v>42.638086362224293</v>
      </c>
      <c r="BC12" s="234">
        <f t="shared" si="7"/>
        <v>45.405797101449274</v>
      </c>
      <c r="BD12" s="234">
        <f t="shared" si="7"/>
        <v>44.649789029535867</v>
      </c>
      <c r="BE12" s="234">
        <f t="shared" si="7"/>
        <v>38.358649789029535</v>
      </c>
      <c r="BF12" s="234">
        <f t="shared" si="7"/>
        <v>43.430995475113122</v>
      </c>
      <c r="BG12" s="234">
        <f t="shared" si="7"/>
        <v>42.894599303135891</v>
      </c>
      <c r="BH12" s="234">
        <f t="shared" si="7"/>
        <v>37.339085418464194</v>
      </c>
      <c r="BI12" s="234">
        <f t="shared" si="7"/>
        <v>42.102355072463766</v>
      </c>
      <c r="BJ12" s="234">
        <f t="shared" si="7"/>
        <v>43.69886363636364</v>
      </c>
      <c r="BK12" s="234">
        <f t="shared" si="7"/>
        <v>38.876632595116412</v>
      </c>
      <c r="BL12" s="234">
        <f t="shared" si="7"/>
        <v>38.218792866941016</v>
      </c>
      <c r="BM12" s="234">
        <f t="shared" si="7"/>
        <v>40.786483390607103</v>
      </c>
      <c r="BN12" s="234">
        <f t="shared" si="7"/>
        <v>39.542259786476869</v>
      </c>
      <c r="BO12" s="234">
        <f t="shared" si="7"/>
        <v>36.725385527876632</v>
      </c>
      <c r="BP12" s="234">
        <f t="shared" si="7"/>
        <v>41.111560127357336</v>
      </c>
      <c r="BQ12" s="234">
        <f t="shared" si="7"/>
        <v>41.283748925193464</v>
      </c>
      <c r="BR12" s="234">
        <f t="shared" si="7"/>
        <v>36.160608747044918</v>
      </c>
      <c r="BS12" s="234">
        <f t="shared" si="7"/>
        <v>36.094339622641506</v>
      </c>
      <c r="BT12" s="234">
        <f t="shared" si="7"/>
        <v>39.726792452830189</v>
      </c>
      <c r="BU12" s="234">
        <f t="shared" si="7"/>
        <v>44.150911072261081</v>
      </c>
      <c r="BV12" s="234">
        <f t="shared" si="7"/>
        <v>42.731736765922257</v>
      </c>
      <c r="BW12" s="234">
        <f t="shared" si="7"/>
        <v>39.272189527195607</v>
      </c>
      <c r="BX12" s="234">
        <f t="shared" si="7"/>
        <v>41.307189209726445</v>
      </c>
      <c r="BY12" s="234">
        <f t="shared" si="7"/>
        <v>40.007122818791942</v>
      </c>
      <c r="BZ12" s="234">
        <f t="shared" si="7"/>
        <v>37.434965186632319</v>
      </c>
      <c r="CA12" s="234">
        <f t="shared" si="7"/>
        <v>38.6538428996612</v>
      </c>
      <c r="CB12" s="234">
        <f t="shared" si="7"/>
        <v>41.595736200002221</v>
      </c>
      <c r="CC12" s="234">
        <f t="shared" si="7"/>
        <v>36.914405588790295</v>
      </c>
      <c r="CD12" s="234">
        <f t="shared" si="7"/>
        <v>43.692204136107371</v>
      </c>
      <c r="CE12" s="234">
        <f t="shared" si="7"/>
        <v>46.006789065386045</v>
      </c>
      <c r="CF12" s="234">
        <f t="shared" si="7"/>
        <v>39.423152795803595</v>
      </c>
      <c r="CG12" s="234">
        <f t="shared" si="7"/>
        <v>38.801439097789611</v>
      </c>
      <c r="CH12" s="234">
        <f t="shared" si="7"/>
        <v>38.335644744866762</v>
      </c>
      <c r="CI12" s="234">
        <f t="shared" si="7"/>
        <v>38.476291962684826</v>
      </c>
      <c r="CJ12" s="234">
        <f t="shared" si="7"/>
        <v>34.769862903643407</v>
      </c>
      <c r="CK12" s="234">
        <f t="shared" ref="CK12:CX12" si="8">IF(CK11&gt;SUM(CK89:CL89),(CK11-CL89-CK89)/CJ89*CJ87+CK87+CL87,(CK11-CL89)/CK89*CK87+CL87)</f>
        <v>42.561664729452197</v>
      </c>
      <c r="CL12" s="234">
        <f t="shared" si="8"/>
        <v>35.447702477707239</v>
      </c>
      <c r="CM12" s="234">
        <f t="shared" si="8"/>
        <v>40.722882637865389</v>
      </c>
      <c r="CN12" s="234">
        <f t="shared" si="8"/>
        <v>44.162770005413961</v>
      </c>
      <c r="CO12" s="234">
        <f t="shared" si="8"/>
        <v>38.463178091148542</v>
      </c>
      <c r="CP12" s="234">
        <f t="shared" si="8"/>
        <v>40.087973109899316</v>
      </c>
      <c r="CQ12" s="234">
        <f t="shared" si="8"/>
        <v>45.575227576421618</v>
      </c>
      <c r="CR12" s="234">
        <f t="shared" si="8"/>
        <v>33.882763079425501</v>
      </c>
      <c r="CS12" s="234">
        <f t="shared" si="8"/>
        <v>33.944094399329693</v>
      </c>
      <c r="CT12" s="234">
        <f t="shared" si="8"/>
        <v>40.576453776208382</v>
      </c>
      <c r="CU12" s="234">
        <f t="shared" si="8"/>
        <v>44.744134673999696</v>
      </c>
      <c r="CV12" s="234">
        <f t="shared" si="8"/>
        <v>38.21161464320452</v>
      </c>
      <c r="CW12" s="234">
        <f t="shared" si="8"/>
        <v>37.243033749506949</v>
      </c>
      <c r="CX12" s="512">
        <f t="shared" si="8"/>
        <v>37.231452827917629</v>
      </c>
    </row>
    <row r="13" spans="1:102" x14ac:dyDescent="0.35">
      <c r="D13" s="61"/>
      <c r="E13" s="62"/>
      <c r="F13" s="62"/>
      <c r="G13" s="62"/>
      <c r="H13" s="62">
        <v>-16</v>
      </c>
      <c r="I13" s="62"/>
      <c r="J13" s="62"/>
      <c r="K13" s="62"/>
      <c r="L13" s="62"/>
      <c r="M13" s="62"/>
      <c r="N13" s="62"/>
      <c r="O13" s="62"/>
      <c r="P13" s="62"/>
      <c r="AO13" s="78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87"/>
      <c r="BB13" s="36"/>
      <c r="BC13" s="36"/>
      <c r="BS13" s="36"/>
      <c r="BT13" s="36"/>
      <c r="BU13" s="36"/>
      <c r="BV13" s="36"/>
      <c r="BW13" s="36"/>
      <c r="BX13" s="36"/>
      <c r="BY13" s="36"/>
      <c r="BZ13" s="36"/>
      <c r="CA13" s="36"/>
      <c r="CB13" s="36"/>
      <c r="CC13" s="36"/>
      <c r="CD13" s="36"/>
      <c r="CE13" s="36"/>
      <c r="CF13" s="36"/>
      <c r="CG13" s="36"/>
      <c r="CH13" s="36"/>
      <c r="CI13" s="36"/>
      <c r="CJ13" s="36"/>
      <c r="CK13" s="36"/>
      <c r="CL13" s="36"/>
      <c r="CM13" s="36"/>
      <c r="CN13" s="36"/>
      <c r="CO13" s="36"/>
      <c r="CP13" s="36"/>
      <c r="CQ13" s="36"/>
      <c r="CR13" s="36"/>
      <c r="CS13" s="36"/>
      <c r="CT13" s="36"/>
      <c r="CU13" s="36"/>
      <c r="CV13" s="36"/>
      <c r="CW13" s="36"/>
      <c r="CX13" s="717"/>
    </row>
    <row r="14" spans="1:102" x14ac:dyDescent="0.35">
      <c r="B14" s="798" t="s">
        <v>289</v>
      </c>
      <c r="C14" s="56" t="s">
        <v>281</v>
      </c>
      <c r="D14" s="229">
        <v>0</v>
      </c>
      <c r="E14" s="230">
        <v>0</v>
      </c>
      <c r="F14" s="230">
        <v>0</v>
      </c>
      <c r="G14" s="230">
        <v>12</v>
      </c>
      <c r="H14" s="230">
        <v>36</v>
      </c>
      <c r="I14" s="230">
        <v>24</v>
      </c>
      <c r="J14" s="230">
        <v>24</v>
      </c>
      <c r="K14" s="230">
        <v>120</v>
      </c>
      <c r="L14" s="230">
        <v>0</v>
      </c>
      <c r="M14" s="230">
        <v>0</v>
      </c>
      <c r="N14" s="230">
        <v>0</v>
      </c>
      <c r="O14" s="230">
        <v>11</v>
      </c>
      <c r="P14" s="229">
        <v>11</v>
      </c>
      <c r="Q14" s="240">
        <v>0</v>
      </c>
      <c r="R14" s="230">
        <v>0</v>
      </c>
      <c r="S14" s="230">
        <v>0</v>
      </c>
      <c r="T14" s="230">
        <v>0</v>
      </c>
      <c r="U14" s="230">
        <v>0</v>
      </c>
      <c r="V14" s="230">
        <v>0</v>
      </c>
      <c r="W14" s="230">
        <v>0</v>
      </c>
      <c r="X14" s="230">
        <v>0</v>
      </c>
      <c r="Y14" s="230">
        <v>0</v>
      </c>
      <c r="Z14" s="230">
        <v>0</v>
      </c>
      <c r="AA14" s="230">
        <v>0</v>
      </c>
      <c r="AB14" s="229">
        <v>0</v>
      </c>
      <c r="AC14" s="240">
        <v>0</v>
      </c>
      <c r="AD14" s="230">
        <v>0</v>
      </c>
      <c r="AE14" s="230">
        <v>0</v>
      </c>
      <c r="AF14" s="230">
        <v>0</v>
      </c>
      <c r="AG14" s="230">
        <v>0</v>
      </c>
      <c r="AH14" s="230">
        <v>0</v>
      </c>
      <c r="AI14" s="230">
        <v>0</v>
      </c>
      <c r="AJ14" s="230">
        <v>0</v>
      </c>
      <c r="AK14" s="230">
        <v>0</v>
      </c>
      <c r="AL14" s="230">
        <v>0</v>
      </c>
      <c r="AM14" s="230">
        <v>0</v>
      </c>
      <c r="AN14" s="230">
        <v>0</v>
      </c>
      <c r="AO14" s="240">
        <v>0</v>
      </c>
      <c r="AP14" s="234">
        <v>0</v>
      </c>
      <c r="AQ14" s="234">
        <v>0</v>
      </c>
      <c r="AR14" s="234">
        <v>0</v>
      </c>
      <c r="AS14" s="234">
        <v>0</v>
      </c>
      <c r="AT14" s="234">
        <v>0</v>
      </c>
      <c r="AU14" s="234">
        <v>0</v>
      </c>
      <c r="AV14" s="234">
        <v>0</v>
      </c>
      <c r="AW14" s="234">
        <v>0</v>
      </c>
      <c r="AX14" s="234">
        <v>0</v>
      </c>
      <c r="AY14" s="234">
        <v>0</v>
      </c>
      <c r="AZ14" s="234">
        <v>0</v>
      </c>
      <c r="BA14" s="235">
        <v>0</v>
      </c>
      <c r="BB14" s="234">
        <v>0</v>
      </c>
      <c r="BC14" s="234">
        <v>0</v>
      </c>
      <c r="BD14" s="230">
        <v>0</v>
      </c>
      <c r="BE14" s="230">
        <v>0</v>
      </c>
      <c r="BF14" s="230">
        <v>0</v>
      </c>
      <c r="BG14" s="230">
        <v>0</v>
      </c>
      <c r="BH14" s="230">
        <v>0</v>
      </c>
      <c r="BI14" s="230">
        <v>0</v>
      </c>
      <c r="BJ14" s="230">
        <v>0</v>
      </c>
      <c r="BK14" s="230">
        <v>0</v>
      </c>
      <c r="BL14" s="230">
        <v>0</v>
      </c>
      <c r="BM14" s="230">
        <v>0</v>
      </c>
      <c r="BN14" s="230">
        <v>0</v>
      </c>
      <c r="BO14" s="230">
        <v>0</v>
      </c>
      <c r="BP14" s="230">
        <v>0</v>
      </c>
      <c r="BQ14" s="230">
        <v>0</v>
      </c>
      <c r="BR14" s="230">
        <v>0</v>
      </c>
      <c r="BS14" s="234">
        <v>0</v>
      </c>
      <c r="BT14" s="234">
        <v>0</v>
      </c>
      <c r="BU14" s="234">
        <v>0</v>
      </c>
      <c r="BV14" s="234">
        <v>0</v>
      </c>
      <c r="BW14" s="234">
        <v>0</v>
      </c>
      <c r="BX14" s="234">
        <v>0</v>
      </c>
      <c r="BY14" s="234">
        <v>0</v>
      </c>
      <c r="BZ14" s="234">
        <v>0</v>
      </c>
      <c r="CA14" s="234">
        <v>0</v>
      </c>
      <c r="CB14" s="234">
        <v>0</v>
      </c>
      <c r="CC14" s="234">
        <v>0</v>
      </c>
      <c r="CD14" s="234">
        <v>0</v>
      </c>
      <c r="CE14" s="234">
        <v>0</v>
      </c>
      <c r="CF14" s="234">
        <v>0</v>
      </c>
      <c r="CG14" s="234">
        <v>0</v>
      </c>
      <c r="CH14" s="234">
        <v>0</v>
      </c>
      <c r="CI14" s="234">
        <v>0</v>
      </c>
      <c r="CJ14" s="234">
        <v>0</v>
      </c>
      <c r="CK14" s="234">
        <v>0</v>
      </c>
      <c r="CL14" s="234">
        <v>0</v>
      </c>
      <c r="CM14" s="234">
        <v>0</v>
      </c>
      <c r="CN14" s="234">
        <v>0</v>
      </c>
      <c r="CO14" s="234">
        <v>0</v>
      </c>
      <c r="CP14" s="234">
        <v>0</v>
      </c>
      <c r="CQ14" s="234">
        <v>0</v>
      </c>
      <c r="CR14" s="234">
        <v>0</v>
      </c>
      <c r="CS14" s="234">
        <v>0</v>
      </c>
      <c r="CT14" s="234">
        <v>0</v>
      </c>
      <c r="CU14" s="234">
        <v>0</v>
      </c>
      <c r="CV14" s="234">
        <v>0</v>
      </c>
      <c r="CW14" s="234">
        <v>0</v>
      </c>
      <c r="CX14" s="512">
        <v>0</v>
      </c>
    </row>
    <row r="15" spans="1:102" x14ac:dyDescent="0.35">
      <c r="B15" s="799"/>
      <c r="C15" s="57" t="s">
        <v>282</v>
      </c>
      <c r="D15" s="233">
        <v>0</v>
      </c>
      <c r="E15" s="234">
        <v>0</v>
      </c>
      <c r="F15" s="234">
        <v>0</v>
      </c>
      <c r="G15" s="234">
        <v>0</v>
      </c>
      <c r="H15" s="234">
        <v>12</v>
      </c>
      <c r="I15" s="234">
        <v>0</v>
      </c>
      <c r="J15" s="234">
        <v>0</v>
      </c>
      <c r="K15" s="234">
        <v>0</v>
      </c>
      <c r="L15" s="234">
        <v>0</v>
      </c>
      <c r="M15" s="234">
        <v>0</v>
      </c>
      <c r="N15" s="234">
        <v>0</v>
      </c>
      <c r="O15" s="234">
        <v>-22</v>
      </c>
      <c r="P15" s="233">
        <v>-22</v>
      </c>
      <c r="Q15" s="235">
        <v>0</v>
      </c>
      <c r="R15" s="234">
        <v>0</v>
      </c>
      <c r="S15" s="234">
        <v>0</v>
      </c>
      <c r="T15" s="234">
        <v>0</v>
      </c>
      <c r="U15" s="234">
        <v>0</v>
      </c>
      <c r="V15" s="234">
        <v>0</v>
      </c>
      <c r="W15" s="234">
        <v>0</v>
      </c>
      <c r="X15" s="234">
        <v>0</v>
      </c>
      <c r="Y15" s="234">
        <v>0</v>
      </c>
      <c r="Z15" s="234">
        <v>0</v>
      </c>
      <c r="AA15" s="234">
        <v>0</v>
      </c>
      <c r="AB15" s="233">
        <v>0</v>
      </c>
      <c r="AC15" s="235">
        <v>0</v>
      </c>
      <c r="AD15" s="234">
        <v>0</v>
      </c>
      <c r="AE15" s="234">
        <v>0</v>
      </c>
      <c r="AF15" s="234">
        <v>0</v>
      </c>
      <c r="AG15" s="234">
        <v>0</v>
      </c>
      <c r="AH15" s="234">
        <v>0</v>
      </c>
      <c r="AI15" s="234">
        <v>0</v>
      </c>
      <c r="AJ15" s="234">
        <v>0</v>
      </c>
      <c r="AK15" s="234">
        <v>0</v>
      </c>
      <c r="AL15" s="234">
        <v>0</v>
      </c>
      <c r="AM15" s="234">
        <v>0</v>
      </c>
      <c r="AN15" s="234">
        <v>0</v>
      </c>
      <c r="AO15" s="235">
        <v>0</v>
      </c>
      <c r="AP15" s="234">
        <v>0</v>
      </c>
      <c r="AQ15" s="234">
        <v>0</v>
      </c>
      <c r="AR15" s="234">
        <v>0</v>
      </c>
      <c r="AS15" s="234">
        <v>0</v>
      </c>
      <c r="AT15" s="234">
        <v>0</v>
      </c>
      <c r="AU15" s="234">
        <v>0</v>
      </c>
      <c r="AV15" s="234">
        <v>0</v>
      </c>
      <c r="AW15" s="234">
        <v>0</v>
      </c>
      <c r="AX15" s="234">
        <v>0</v>
      </c>
      <c r="AY15" s="234">
        <v>0</v>
      </c>
      <c r="AZ15" s="234">
        <v>0</v>
      </c>
      <c r="BA15" s="235">
        <v>0</v>
      </c>
      <c r="BB15" s="234">
        <v>0</v>
      </c>
      <c r="BC15" s="234">
        <v>0</v>
      </c>
      <c r="BD15" s="234">
        <v>0</v>
      </c>
      <c r="BE15" s="234">
        <v>0</v>
      </c>
      <c r="BF15" s="234">
        <v>0</v>
      </c>
      <c r="BG15" s="234">
        <v>0</v>
      </c>
      <c r="BH15" s="234">
        <v>0</v>
      </c>
      <c r="BI15" s="234">
        <v>0</v>
      </c>
      <c r="BJ15" s="234">
        <v>0</v>
      </c>
      <c r="BK15" s="234">
        <v>0</v>
      </c>
      <c r="BL15" s="234">
        <v>0</v>
      </c>
      <c r="BM15" s="234">
        <v>0</v>
      </c>
      <c r="BN15" s="234">
        <v>0</v>
      </c>
      <c r="BO15" s="234">
        <v>0</v>
      </c>
      <c r="BP15" s="234">
        <v>0</v>
      </c>
      <c r="BQ15" s="234">
        <v>0</v>
      </c>
      <c r="BR15" s="234">
        <v>0</v>
      </c>
      <c r="BS15" s="234">
        <v>0</v>
      </c>
      <c r="BT15" s="234">
        <v>0</v>
      </c>
      <c r="BU15" s="234">
        <v>0</v>
      </c>
      <c r="BV15" s="234">
        <v>0</v>
      </c>
      <c r="BW15" s="234">
        <v>0</v>
      </c>
      <c r="BX15" s="234">
        <v>0</v>
      </c>
      <c r="BY15" s="234">
        <v>0</v>
      </c>
      <c r="BZ15" s="234">
        <v>0</v>
      </c>
      <c r="CA15" s="234">
        <v>0</v>
      </c>
      <c r="CB15" s="234">
        <v>0</v>
      </c>
      <c r="CC15" s="234">
        <v>0</v>
      </c>
      <c r="CD15" s="234">
        <v>0</v>
      </c>
      <c r="CE15" s="234">
        <v>0</v>
      </c>
      <c r="CF15" s="234">
        <v>0</v>
      </c>
      <c r="CG15" s="234">
        <v>0</v>
      </c>
      <c r="CH15" s="234">
        <v>0</v>
      </c>
      <c r="CI15" s="234">
        <v>0</v>
      </c>
      <c r="CJ15" s="234">
        <v>0</v>
      </c>
      <c r="CK15" s="234">
        <v>0</v>
      </c>
      <c r="CL15" s="234">
        <v>0</v>
      </c>
      <c r="CM15" s="234">
        <v>0</v>
      </c>
      <c r="CN15" s="234">
        <v>0</v>
      </c>
      <c r="CO15" s="234">
        <v>0</v>
      </c>
      <c r="CP15" s="234">
        <v>0</v>
      </c>
      <c r="CQ15" s="234">
        <v>0</v>
      </c>
      <c r="CR15" s="234">
        <v>0</v>
      </c>
      <c r="CS15" s="234">
        <v>0</v>
      </c>
      <c r="CT15" s="234">
        <v>0</v>
      </c>
      <c r="CU15" s="234">
        <v>0</v>
      </c>
      <c r="CV15" s="234">
        <v>0</v>
      </c>
      <c r="CW15" s="234">
        <v>0</v>
      </c>
      <c r="CX15" s="512">
        <v>0</v>
      </c>
    </row>
    <row r="16" spans="1:102" x14ac:dyDescent="0.35">
      <c r="B16" s="799"/>
      <c r="C16" s="57" t="s">
        <v>283</v>
      </c>
      <c r="D16" s="233">
        <v>0</v>
      </c>
      <c r="E16" s="234">
        <v>0</v>
      </c>
      <c r="F16" s="234">
        <v>0</v>
      </c>
      <c r="G16" s="234">
        <v>0</v>
      </c>
      <c r="H16" s="234">
        <v>0</v>
      </c>
      <c r="I16" s="234">
        <v>12</v>
      </c>
      <c r="J16" s="234">
        <v>0</v>
      </c>
      <c r="K16" s="234">
        <v>0</v>
      </c>
      <c r="L16" s="234">
        <v>0</v>
      </c>
      <c r="M16" s="234">
        <v>0</v>
      </c>
      <c r="N16" s="234">
        <v>0</v>
      </c>
      <c r="O16" s="234">
        <v>0</v>
      </c>
      <c r="P16" s="233">
        <v>0</v>
      </c>
      <c r="Q16" s="235">
        <v>0</v>
      </c>
      <c r="R16" s="234">
        <v>0</v>
      </c>
      <c r="S16" s="234">
        <v>0</v>
      </c>
      <c r="T16" s="234">
        <v>0</v>
      </c>
      <c r="U16" s="234">
        <v>0</v>
      </c>
      <c r="V16" s="234">
        <v>0</v>
      </c>
      <c r="W16" s="234">
        <v>0</v>
      </c>
      <c r="X16" s="234">
        <v>0</v>
      </c>
      <c r="Y16" s="234">
        <v>0</v>
      </c>
      <c r="Z16" s="234">
        <v>0</v>
      </c>
      <c r="AA16" s="234">
        <v>0</v>
      </c>
      <c r="AB16" s="233">
        <v>0</v>
      </c>
      <c r="AC16" s="235">
        <v>0</v>
      </c>
      <c r="AD16" s="234">
        <v>0</v>
      </c>
      <c r="AE16" s="234">
        <v>0</v>
      </c>
      <c r="AF16" s="234">
        <v>0</v>
      </c>
      <c r="AG16" s="234">
        <v>0</v>
      </c>
      <c r="AH16" s="234">
        <v>0</v>
      </c>
      <c r="AI16" s="234">
        <v>0</v>
      </c>
      <c r="AJ16" s="234">
        <v>0</v>
      </c>
      <c r="AK16" s="234">
        <v>0</v>
      </c>
      <c r="AL16" s="234">
        <v>0</v>
      </c>
      <c r="AM16" s="234">
        <v>0</v>
      </c>
      <c r="AN16" s="234">
        <v>0</v>
      </c>
      <c r="AO16" s="235">
        <v>0</v>
      </c>
      <c r="AP16" s="234">
        <v>0</v>
      </c>
      <c r="AQ16" s="234">
        <v>0</v>
      </c>
      <c r="AR16" s="234">
        <v>0</v>
      </c>
      <c r="AS16" s="234">
        <v>0</v>
      </c>
      <c r="AT16" s="234">
        <v>0</v>
      </c>
      <c r="AU16" s="234">
        <v>0</v>
      </c>
      <c r="AV16" s="234">
        <v>0</v>
      </c>
      <c r="AW16" s="234">
        <v>0</v>
      </c>
      <c r="AX16" s="234">
        <v>0</v>
      </c>
      <c r="AY16" s="234">
        <v>0</v>
      </c>
      <c r="AZ16" s="234">
        <v>0</v>
      </c>
      <c r="BA16" s="235">
        <v>0</v>
      </c>
      <c r="BB16" s="234">
        <v>0</v>
      </c>
      <c r="BC16" s="234">
        <v>0</v>
      </c>
      <c r="BD16" s="234">
        <v>0</v>
      </c>
      <c r="BE16" s="234">
        <v>0</v>
      </c>
      <c r="BF16" s="234">
        <v>0</v>
      </c>
      <c r="BG16" s="234">
        <v>0</v>
      </c>
      <c r="BH16" s="234">
        <v>0</v>
      </c>
      <c r="BI16" s="234">
        <v>0</v>
      </c>
      <c r="BJ16" s="234">
        <v>0</v>
      </c>
      <c r="BK16" s="234">
        <v>0</v>
      </c>
      <c r="BL16" s="234">
        <v>0</v>
      </c>
      <c r="BM16" s="234">
        <v>0</v>
      </c>
      <c r="BN16" s="234">
        <v>0</v>
      </c>
      <c r="BO16" s="234">
        <v>0</v>
      </c>
      <c r="BP16" s="234">
        <v>0</v>
      </c>
      <c r="BQ16" s="234">
        <v>0</v>
      </c>
      <c r="BR16" s="234">
        <v>0</v>
      </c>
      <c r="BS16" s="234">
        <v>0</v>
      </c>
      <c r="BT16" s="234">
        <v>0</v>
      </c>
      <c r="BU16" s="234">
        <v>0</v>
      </c>
      <c r="BV16" s="234">
        <v>0</v>
      </c>
      <c r="BW16" s="234">
        <v>0</v>
      </c>
      <c r="BX16" s="234">
        <v>0</v>
      </c>
      <c r="BY16" s="234">
        <v>0</v>
      </c>
      <c r="BZ16" s="234">
        <v>0</v>
      </c>
      <c r="CA16" s="234">
        <v>0</v>
      </c>
      <c r="CB16" s="234">
        <v>0</v>
      </c>
      <c r="CC16" s="234">
        <v>0</v>
      </c>
      <c r="CD16" s="234">
        <v>0</v>
      </c>
      <c r="CE16" s="234">
        <v>0</v>
      </c>
      <c r="CF16" s="234">
        <v>0</v>
      </c>
      <c r="CG16" s="234">
        <v>0</v>
      </c>
      <c r="CH16" s="234">
        <v>0</v>
      </c>
      <c r="CI16" s="234">
        <v>0</v>
      </c>
      <c r="CJ16" s="234">
        <v>0</v>
      </c>
      <c r="CK16" s="234">
        <v>0</v>
      </c>
      <c r="CL16" s="234">
        <v>0</v>
      </c>
      <c r="CM16" s="234">
        <v>0</v>
      </c>
      <c r="CN16" s="234">
        <v>0</v>
      </c>
      <c r="CO16" s="234">
        <v>0</v>
      </c>
      <c r="CP16" s="234">
        <v>0</v>
      </c>
      <c r="CQ16" s="234">
        <v>0</v>
      </c>
      <c r="CR16" s="234">
        <v>0</v>
      </c>
      <c r="CS16" s="234">
        <v>0</v>
      </c>
      <c r="CT16" s="234">
        <v>0</v>
      </c>
      <c r="CU16" s="234">
        <v>0</v>
      </c>
      <c r="CV16" s="234">
        <v>0</v>
      </c>
      <c r="CW16" s="234">
        <v>0</v>
      </c>
      <c r="CX16" s="512">
        <v>0</v>
      </c>
    </row>
    <row r="17" spans="2:102" x14ac:dyDescent="0.35">
      <c r="B17" s="799"/>
      <c r="C17" s="57" t="s">
        <v>284</v>
      </c>
      <c r="D17" s="233">
        <v>0</v>
      </c>
      <c r="E17" s="234">
        <v>0</v>
      </c>
      <c r="F17" s="234">
        <v>0</v>
      </c>
      <c r="G17" s="234">
        <v>0</v>
      </c>
      <c r="H17" s="234">
        <v>0</v>
      </c>
      <c r="I17" s="234">
        <f>SUM(C17:H17)</f>
        <v>0</v>
      </c>
      <c r="J17" s="234">
        <f>41.46166-25</f>
        <v>16.461660000000002</v>
      </c>
      <c r="K17" s="234">
        <v>0</v>
      </c>
      <c r="L17" s="234">
        <v>0</v>
      </c>
      <c r="M17" s="234">
        <v>0</v>
      </c>
      <c r="N17" s="234">
        <v>0</v>
      </c>
      <c r="O17" s="234">
        <v>0</v>
      </c>
      <c r="P17" s="233">
        <v>0</v>
      </c>
      <c r="Q17" s="235">
        <v>0</v>
      </c>
      <c r="R17" s="234">
        <v>0</v>
      </c>
      <c r="S17" s="234">
        <v>0</v>
      </c>
      <c r="T17" s="234">
        <v>0</v>
      </c>
      <c r="U17" s="234">
        <v>0</v>
      </c>
      <c r="V17" s="234">
        <v>0</v>
      </c>
      <c r="W17" s="234">
        <v>0</v>
      </c>
      <c r="X17" s="234">
        <v>0</v>
      </c>
      <c r="Y17" s="234">
        <v>0</v>
      </c>
      <c r="Z17" s="234">
        <v>0</v>
      </c>
      <c r="AA17" s="234">
        <v>0</v>
      </c>
      <c r="AB17" s="233">
        <v>0</v>
      </c>
      <c r="AC17" s="235">
        <v>0</v>
      </c>
      <c r="AD17" s="234">
        <v>0</v>
      </c>
      <c r="AE17" s="234">
        <v>0</v>
      </c>
      <c r="AF17" s="234">
        <v>0</v>
      </c>
      <c r="AG17" s="234">
        <v>0</v>
      </c>
      <c r="AH17" s="234">
        <v>0</v>
      </c>
      <c r="AI17" s="234">
        <v>0</v>
      </c>
      <c r="AJ17" s="234">
        <v>0</v>
      </c>
      <c r="AK17" s="234">
        <v>0</v>
      </c>
      <c r="AL17" s="234">
        <v>0</v>
      </c>
      <c r="AM17" s="234">
        <v>0</v>
      </c>
      <c r="AN17" s="234">
        <v>0</v>
      </c>
      <c r="AO17" s="235">
        <v>0</v>
      </c>
      <c r="AP17" s="234">
        <v>0</v>
      </c>
      <c r="AQ17" s="234">
        <v>0</v>
      </c>
      <c r="AR17" s="234">
        <v>0</v>
      </c>
      <c r="AS17" s="234">
        <v>0</v>
      </c>
      <c r="AT17" s="234">
        <v>0</v>
      </c>
      <c r="AU17" s="234">
        <v>0</v>
      </c>
      <c r="AV17" s="234">
        <v>0</v>
      </c>
      <c r="AW17" s="234">
        <v>0</v>
      </c>
      <c r="AX17" s="234">
        <v>0</v>
      </c>
      <c r="AY17" s="234">
        <v>0</v>
      </c>
      <c r="AZ17" s="234">
        <v>0</v>
      </c>
      <c r="BA17" s="235">
        <v>0</v>
      </c>
      <c r="BB17" s="234">
        <v>0</v>
      </c>
      <c r="BC17" s="234">
        <v>0</v>
      </c>
      <c r="BD17" s="234">
        <v>0</v>
      </c>
      <c r="BE17" s="234">
        <v>0</v>
      </c>
      <c r="BF17" s="234">
        <v>0</v>
      </c>
      <c r="BG17" s="234">
        <v>0</v>
      </c>
      <c r="BH17" s="234">
        <v>0</v>
      </c>
      <c r="BI17" s="234">
        <v>0</v>
      </c>
      <c r="BJ17" s="234">
        <v>0</v>
      </c>
      <c r="BK17" s="234">
        <v>0</v>
      </c>
      <c r="BL17" s="234">
        <v>0</v>
      </c>
      <c r="BM17" s="234">
        <v>0</v>
      </c>
      <c r="BN17" s="234">
        <v>0</v>
      </c>
      <c r="BO17" s="234">
        <v>0</v>
      </c>
      <c r="BP17" s="234">
        <v>0</v>
      </c>
      <c r="BQ17" s="234">
        <v>0</v>
      </c>
      <c r="BR17" s="234">
        <v>0</v>
      </c>
      <c r="BS17" s="234">
        <v>0</v>
      </c>
      <c r="BT17" s="234">
        <v>0</v>
      </c>
      <c r="BU17" s="234">
        <v>0</v>
      </c>
      <c r="BV17" s="234">
        <v>0</v>
      </c>
      <c r="BW17" s="234">
        <v>0</v>
      </c>
      <c r="BX17" s="234">
        <v>0</v>
      </c>
      <c r="BY17" s="234">
        <v>0</v>
      </c>
      <c r="BZ17" s="234">
        <v>0</v>
      </c>
      <c r="CA17" s="234">
        <v>0</v>
      </c>
      <c r="CB17" s="234">
        <v>0</v>
      </c>
      <c r="CC17" s="234">
        <v>0</v>
      </c>
      <c r="CD17" s="234">
        <v>0</v>
      </c>
      <c r="CE17" s="234">
        <v>0</v>
      </c>
      <c r="CF17" s="234">
        <v>0</v>
      </c>
      <c r="CG17" s="234">
        <v>0</v>
      </c>
      <c r="CH17" s="234">
        <v>0</v>
      </c>
      <c r="CI17" s="234">
        <v>0</v>
      </c>
      <c r="CJ17" s="234">
        <v>0</v>
      </c>
      <c r="CK17" s="234">
        <v>0</v>
      </c>
      <c r="CL17" s="234">
        <v>0</v>
      </c>
      <c r="CM17" s="234">
        <v>0</v>
      </c>
      <c r="CN17" s="234">
        <v>0</v>
      </c>
      <c r="CO17" s="234">
        <v>0</v>
      </c>
      <c r="CP17" s="234">
        <v>0</v>
      </c>
      <c r="CQ17" s="234">
        <v>0</v>
      </c>
      <c r="CR17" s="234">
        <v>0</v>
      </c>
      <c r="CS17" s="234">
        <v>0</v>
      </c>
      <c r="CT17" s="234">
        <v>0</v>
      </c>
      <c r="CU17" s="234">
        <v>0</v>
      </c>
      <c r="CV17" s="234">
        <v>0</v>
      </c>
      <c r="CW17" s="234">
        <v>0</v>
      </c>
      <c r="CX17" s="512">
        <v>0</v>
      </c>
    </row>
    <row r="18" spans="2:102" x14ac:dyDescent="0.35">
      <c r="B18" s="799"/>
      <c r="C18" s="57" t="s">
        <v>285</v>
      </c>
      <c r="D18" s="233">
        <v>0</v>
      </c>
      <c r="E18" s="234">
        <v>0</v>
      </c>
      <c r="F18" s="234">
        <v>0</v>
      </c>
      <c r="G18" s="234">
        <v>0</v>
      </c>
      <c r="H18" s="234">
        <v>0</v>
      </c>
      <c r="I18" s="234">
        <f>SUM(C18:H18)</f>
        <v>0</v>
      </c>
      <c r="J18" s="234">
        <v>0</v>
      </c>
      <c r="K18" s="234">
        <v>12</v>
      </c>
      <c r="L18" s="234">
        <v>12</v>
      </c>
      <c r="M18" s="234">
        <v>12</v>
      </c>
      <c r="N18" s="234">
        <v>12</v>
      </c>
      <c r="O18" s="234">
        <v>0</v>
      </c>
      <c r="P18" s="233">
        <v>0</v>
      </c>
      <c r="Q18" s="235">
        <v>0</v>
      </c>
      <c r="R18" s="234">
        <v>0</v>
      </c>
      <c r="S18" s="234">
        <v>0</v>
      </c>
      <c r="T18" s="234">
        <v>0</v>
      </c>
      <c r="U18" s="234">
        <v>0</v>
      </c>
      <c r="V18" s="234">
        <v>0</v>
      </c>
      <c r="W18" s="234">
        <v>0</v>
      </c>
      <c r="X18" s="234">
        <v>0</v>
      </c>
      <c r="Y18" s="234">
        <v>0</v>
      </c>
      <c r="Z18" s="234">
        <v>0</v>
      </c>
      <c r="AA18" s="234">
        <v>0</v>
      </c>
      <c r="AB18" s="233">
        <v>0</v>
      </c>
      <c r="AC18" s="235">
        <v>0</v>
      </c>
      <c r="AD18" s="234">
        <v>0</v>
      </c>
      <c r="AE18" s="234">
        <v>0</v>
      </c>
      <c r="AF18" s="234">
        <v>0</v>
      </c>
      <c r="AG18" s="234">
        <v>0</v>
      </c>
      <c r="AH18" s="234">
        <v>0</v>
      </c>
      <c r="AI18" s="234">
        <v>0</v>
      </c>
      <c r="AJ18" s="234">
        <v>0</v>
      </c>
      <c r="AK18" s="234">
        <v>0</v>
      </c>
      <c r="AL18" s="234">
        <v>0</v>
      </c>
      <c r="AM18" s="234">
        <v>0</v>
      </c>
      <c r="AN18" s="234">
        <v>0</v>
      </c>
      <c r="AO18" s="235">
        <v>0</v>
      </c>
      <c r="AP18" s="234">
        <v>0</v>
      </c>
      <c r="AQ18" s="234">
        <v>0</v>
      </c>
      <c r="AR18" s="234">
        <v>0</v>
      </c>
      <c r="AS18" s="234">
        <v>0</v>
      </c>
      <c r="AT18" s="234">
        <v>0</v>
      </c>
      <c r="AU18" s="234">
        <v>0</v>
      </c>
      <c r="AV18" s="234">
        <v>0</v>
      </c>
      <c r="AW18" s="234">
        <v>0</v>
      </c>
      <c r="AX18" s="234">
        <v>0</v>
      </c>
      <c r="AY18" s="234">
        <v>0</v>
      </c>
      <c r="AZ18" s="234">
        <v>0</v>
      </c>
      <c r="BA18" s="235">
        <v>0</v>
      </c>
      <c r="BB18" s="234">
        <v>0</v>
      </c>
      <c r="BC18" s="234">
        <v>0</v>
      </c>
      <c r="BD18" s="234">
        <v>0</v>
      </c>
      <c r="BE18" s="234">
        <v>0</v>
      </c>
      <c r="BF18" s="234">
        <v>0</v>
      </c>
      <c r="BG18" s="234">
        <v>0</v>
      </c>
      <c r="BH18" s="234">
        <v>0</v>
      </c>
      <c r="BI18" s="234">
        <v>0</v>
      </c>
      <c r="BJ18" s="234">
        <v>0</v>
      </c>
      <c r="BK18" s="234">
        <v>0</v>
      </c>
      <c r="BL18" s="234">
        <v>0</v>
      </c>
      <c r="BM18" s="234">
        <v>0</v>
      </c>
      <c r="BN18" s="234">
        <v>0</v>
      </c>
      <c r="BO18" s="234">
        <v>0</v>
      </c>
      <c r="BP18" s="234">
        <v>0</v>
      </c>
      <c r="BQ18" s="234">
        <v>0</v>
      </c>
      <c r="BR18" s="234">
        <v>0</v>
      </c>
      <c r="BS18" s="234">
        <v>0</v>
      </c>
      <c r="BT18" s="234">
        <v>0</v>
      </c>
      <c r="BU18" s="234">
        <v>0</v>
      </c>
      <c r="BV18" s="234">
        <v>0</v>
      </c>
      <c r="BW18" s="234">
        <v>0</v>
      </c>
      <c r="BX18" s="234">
        <v>0</v>
      </c>
      <c r="BY18" s="234">
        <v>0</v>
      </c>
      <c r="BZ18" s="234">
        <v>0</v>
      </c>
      <c r="CA18" s="234">
        <v>0</v>
      </c>
      <c r="CB18" s="234">
        <v>0</v>
      </c>
      <c r="CC18" s="234">
        <v>0</v>
      </c>
      <c r="CD18" s="234">
        <v>0</v>
      </c>
      <c r="CE18" s="234">
        <v>0</v>
      </c>
      <c r="CF18" s="234">
        <v>0</v>
      </c>
      <c r="CG18" s="234">
        <v>0</v>
      </c>
      <c r="CH18" s="234">
        <v>0</v>
      </c>
      <c r="CI18" s="234">
        <v>0</v>
      </c>
      <c r="CJ18" s="234">
        <v>0</v>
      </c>
      <c r="CK18" s="234">
        <v>0</v>
      </c>
      <c r="CL18" s="234">
        <v>0</v>
      </c>
      <c r="CM18" s="234">
        <v>0</v>
      </c>
      <c r="CN18" s="234">
        <v>0</v>
      </c>
      <c r="CO18" s="234">
        <v>0</v>
      </c>
      <c r="CP18" s="234">
        <v>0</v>
      </c>
      <c r="CQ18" s="234">
        <v>0</v>
      </c>
      <c r="CR18" s="234">
        <v>0</v>
      </c>
      <c r="CS18" s="234">
        <v>0</v>
      </c>
      <c r="CT18" s="234">
        <v>0</v>
      </c>
      <c r="CU18" s="234">
        <v>0</v>
      </c>
      <c r="CV18" s="234">
        <v>0</v>
      </c>
      <c r="CW18" s="234">
        <v>0</v>
      </c>
      <c r="CX18" s="512">
        <v>0</v>
      </c>
    </row>
    <row r="19" spans="2:102" x14ac:dyDescent="0.35">
      <c r="B19" s="799"/>
      <c r="C19" s="58" t="s">
        <v>286</v>
      </c>
      <c r="D19" s="236">
        <v>0</v>
      </c>
      <c r="E19" s="234">
        <v>0</v>
      </c>
      <c r="F19" s="234">
        <v>0</v>
      </c>
      <c r="G19" s="237">
        <v>0</v>
      </c>
      <c r="H19" s="237">
        <v>0</v>
      </c>
      <c r="I19" s="237">
        <v>0</v>
      </c>
      <c r="J19" s="237">
        <v>0</v>
      </c>
      <c r="K19" s="237">
        <v>0</v>
      </c>
      <c r="L19" s="237">
        <v>0</v>
      </c>
      <c r="M19" s="237">
        <v>0</v>
      </c>
      <c r="N19" s="237">
        <v>0</v>
      </c>
      <c r="O19" s="237">
        <v>0</v>
      </c>
      <c r="P19" s="236">
        <v>0</v>
      </c>
      <c r="Q19" s="238">
        <v>0</v>
      </c>
      <c r="R19" s="237">
        <v>0</v>
      </c>
      <c r="S19" s="237">
        <v>0</v>
      </c>
      <c r="T19" s="237">
        <v>0</v>
      </c>
      <c r="U19" s="237">
        <v>0</v>
      </c>
      <c r="V19" s="237">
        <v>0</v>
      </c>
      <c r="W19" s="237">
        <v>0</v>
      </c>
      <c r="X19" s="237">
        <v>0</v>
      </c>
      <c r="Y19" s="237">
        <v>0</v>
      </c>
      <c r="Z19" s="237">
        <v>0</v>
      </c>
      <c r="AA19" s="237">
        <v>0</v>
      </c>
      <c r="AB19" s="236">
        <v>0</v>
      </c>
      <c r="AC19" s="238">
        <v>0</v>
      </c>
      <c r="AD19" s="237">
        <v>0</v>
      </c>
      <c r="AE19" s="237">
        <v>0</v>
      </c>
      <c r="AF19" s="237">
        <v>0</v>
      </c>
      <c r="AG19" s="237">
        <v>0</v>
      </c>
      <c r="AH19" s="237">
        <v>0</v>
      </c>
      <c r="AI19" s="237">
        <v>0</v>
      </c>
      <c r="AJ19" s="237">
        <v>0</v>
      </c>
      <c r="AK19" s="237">
        <v>0</v>
      </c>
      <c r="AL19" s="237">
        <v>0</v>
      </c>
      <c r="AM19" s="237">
        <v>0</v>
      </c>
      <c r="AN19" s="237">
        <v>0</v>
      </c>
      <c r="AO19" s="238">
        <v>0</v>
      </c>
      <c r="AP19" s="234">
        <v>0</v>
      </c>
      <c r="AQ19" s="234">
        <v>0</v>
      </c>
      <c r="AR19" s="234">
        <v>0</v>
      </c>
      <c r="AS19" s="234">
        <v>0</v>
      </c>
      <c r="AT19" s="234">
        <v>0</v>
      </c>
      <c r="AU19" s="234">
        <v>0</v>
      </c>
      <c r="AV19" s="234">
        <v>0</v>
      </c>
      <c r="AW19" s="234">
        <v>0</v>
      </c>
      <c r="AX19" s="234">
        <v>0</v>
      </c>
      <c r="AY19" s="234">
        <v>0</v>
      </c>
      <c r="AZ19" s="234">
        <v>0</v>
      </c>
      <c r="BA19" s="235">
        <v>0</v>
      </c>
      <c r="BB19" s="234">
        <v>0</v>
      </c>
      <c r="BC19" s="234">
        <v>0</v>
      </c>
      <c r="BD19" s="237">
        <v>0</v>
      </c>
      <c r="BE19" s="237">
        <v>0</v>
      </c>
      <c r="BF19" s="237">
        <v>0</v>
      </c>
      <c r="BG19" s="237">
        <v>0</v>
      </c>
      <c r="BH19" s="237">
        <v>0</v>
      </c>
      <c r="BI19" s="237">
        <v>0</v>
      </c>
      <c r="BJ19" s="237">
        <v>0</v>
      </c>
      <c r="BK19" s="237">
        <v>0</v>
      </c>
      <c r="BL19" s="237">
        <v>0</v>
      </c>
      <c r="BM19" s="237">
        <v>0</v>
      </c>
      <c r="BN19" s="237">
        <v>0</v>
      </c>
      <c r="BO19" s="237">
        <v>0</v>
      </c>
      <c r="BP19" s="237">
        <v>0</v>
      </c>
      <c r="BQ19" s="237">
        <v>0</v>
      </c>
      <c r="BR19" s="237">
        <v>0</v>
      </c>
      <c r="BS19" s="234">
        <v>0</v>
      </c>
      <c r="BT19" s="234">
        <v>0</v>
      </c>
      <c r="BU19" s="234">
        <v>0</v>
      </c>
      <c r="BV19" s="234">
        <v>0</v>
      </c>
      <c r="BW19" s="234">
        <v>0</v>
      </c>
      <c r="BX19" s="234">
        <v>0</v>
      </c>
      <c r="BY19" s="234">
        <v>0</v>
      </c>
      <c r="BZ19" s="234">
        <v>0</v>
      </c>
      <c r="CA19" s="234">
        <v>0</v>
      </c>
      <c r="CB19" s="234">
        <v>0</v>
      </c>
      <c r="CC19" s="234">
        <v>0</v>
      </c>
      <c r="CD19" s="234">
        <v>0</v>
      </c>
      <c r="CE19" s="234">
        <v>0</v>
      </c>
      <c r="CF19" s="234">
        <v>0</v>
      </c>
      <c r="CG19" s="234">
        <v>0</v>
      </c>
      <c r="CH19" s="234">
        <v>0</v>
      </c>
      <c r="CI19" s="234">
        <v>0</v>
      </c>
      <c r="CJ19" s="234">
        <v>0</v>
      </c>
      <c r="CK19" s="234">
        <v>0</v>
      </c>
      <c r="CL19" s="234">
        <v>0</v>
      </c>
      <c r="CM19" s="234">
        <v>0</v>
      </c>
      <c r="CN19" s="234">
        <v>0</v>
      </c>
      <c r="CO19" s="234">
        <v>0</v>
      </c>
      <c r="CP19" s="234">
        <v>0</v>
      </c>
      <c r="CQ19" s="234">
        <v>0</v>
      </c>
      <c r="CR19" s="234">
        <v>0</v>
      </c>
      <c r="CS19" s="234">
        <v>0</v>
      </c>
      <c r="CT19" s="234">
        <v>0</v>
      </c>
      <c r="CU19" s="234">
        <v>0</v>
      </c>
      <c r="CV19" s="234">
        <v>0</v>
      </c>
      <c r="CW19" s="234">
        <v>0</v>
      </c>
      <c r="CX19" s="512">
        <v>0</v>
      </c>
    </row>
    <row r="20" spans="2:102" x14ac:dyDescent="0.35">
      <c r="B20" s="800"/>
      <c r="C20" s="59" t="s">
        <v>287</v>
      </c>
      <c r="D20" s="239">
        <v>0</v>
      </c>
      <c r="E20" s="239">
        <f t="shared" ref="E20:BP20" si="9">SUM(E14:E19)</f>
        <v>0</v>
      </c>
      <c r="F20" s="239">
        <f t="shared" si="9"/>
        <v>0</v>
      </c>
      <c r="G20" s="239">
        <f t="shared" si="9"/>
        <v>12</v>
      </c>
      <c r="H20" s="239">
        <f t="shared" si="9"/>
        <v>48</v>
      </c>
      <c r="I20" s="239">
        <f t="shared" si="9"/>
        <v>36</v>
      </c>
      <c r="J20" s="239">
        <f t="shared" si="9"/>
        <v>40.461660000000002</v>
      </c>
      <c r="K20" s="239">
        <f t="shared" si="9"/>
        <v>132</v>
      </c>
      <c r="L20" s="239">
        <f t="shared" si="9"/>
        <v>12</v>
      </c>
      <c r="M20" s="239">
        <f t="shared" si="9"/>
        <v>12</v>
      </c>
      <c r="N20" s="239">
        <f t="shared" si="9"/>
        <v>12</v>
      </c>
      <c r="O20" s="239">
        <f t="shared" si="9"/>
        <v>-11</v>
      </c>
      <c r="P20" s="239">
        <f t="shared" si="9"/>
        <v>-11</v>
      </c>
      <c r="Q20" s="239">
        <f t="shared" si="9"/>
        <v>0</v>
      </c>
      <c r="R20" s="239">
        <f t="shared" si="9"/>
        <v>0</v>
      </c>
      <c r="S20" s="239">
        <f t="shared" si="9"/>
        <v>0</v>
      </c>
      <c r="T20" s="239">
        <f t="shared" si="9"/>
        <v>0</v>
      </c>
      <c r="U20" s="239">
        <f t="shared" si="9"/>
        <v>0</v>
      </c>
      <c r="V20" s="239">
        <f t="shared" si="9"/>
        <v>0</v>
      </c>
      <c r="W20" s="239">
        <f t="shared" si="9"/>
        <v>0</v>
      </c>
      <c r="X20" s="239">
        <f t="shared" si="9"/>
        <v>0</v>
      </c>
      <c r="Y20" s="239">
        <f t="shared" si="9"/>
        <v>0</v>
      </c>
      <c r="Z20" s="239">
        <f t="shared" si="9"/>
        <v>0</v>
      </c>
      <c r="AA20" s="239">
        <f t="shared" si="9"/>
        <v>0</v>
      </c>
      <c r="AB20" s="239">
        <f t="shared" si="9"/>
        <v>0</v>
      </c>
      <c r="AC20" s="239">
        <f t="shared" si="9"/>
        <v>0</v>
      </c>
      <c r="AD20" s="237">
        <f t="shared" si="9"/>
        <v>0</v>
      </c>
      <c r="AE20" s="237">
        <f t="shared" si="9"/>
        <v>0</v>
      </c>
      <c r="AF20" s="237">
        <f t="shared" si="9"/>
        <v>0</v>
      </c>
      <c r="AG20" s="237">
        <f t="shared" si="9"/>
        <v>0</v>
      </c>
      <c r="AH20" s="237">
        <f t="shared" si="9"/>
        <v>0</v>
      </c>
      <c r="AI20" s="237">
        <f t="shared" si="9"/>
        <v>0</v>
      </c>
      <c r="AJ20" s="237">
        <f t="shared" si="9"/>
        <v>0</v>
      </c>
      <c r="AK20" s="237">
        <f t="shared" si="9"/>
        <v>0</v>
      </c>
      <c r="AL20" s="237">
        <f t="shared" si="9"/>
        <v>0</v>
      </c>
      <c r="AM20" s="237">
        <f t="shared" si="9"/>
        <v>0</v>
      </c>
      <c r="AN20" s="237">
        <f t="shared" si="9"/>
        <v>0</v>
      </c>
      <c r="AO20" s="238">
        <f t="shared" si="9"/>
        <v>0</v>
      </c>
      <c r="AP20" s="239">
        <f t="shared" si="9"/>
        <v>0</v>
      </c>
      <c r="AQ20" s="239">
        <f t="shared" si="9"/>
        <v>0</v>
      </c>
      <c r="AR20" s="239">
        <f t="shared" si="9"/>
        <v>0</v>
      </c>
      <c r="AS20" s="239">
        <f t="shared" si="9"/>
        <v>0</v>
      </c>
      <c r="AT20" s="239">
        <f t="shared" si="9"/>
        <v>0</v>
      </c>
      <c r="AU20" s="239">
        <f t="shared" si="9"/>
        <v>0</v>
      </c>
      <c r="AV20" s="239">
        <f t="shared" si="9"/>
        <v>0</v>
      </c>
      <c r="AW20" s="239">
        <f t="shared" si="9"/>
        <v>0</v>
      </c>
      <c r="AX20" s="239">
        <f t="shared" si="9"/>
        <v>0</v>
      </c>
      <c r="AY20" s="239">
        <f t="shared" si="9"/>
        <v>0</v>
      </c>
      <c r="AZ20" s="239">
        <f t="shared" si="9"/>
        <v>0</v>
      </c>
      <c r="BA20" s="242">
        <f t="shared" si="9"/>
        <v>0</v>
      </c>
      <c r="BB20" s="239">
        <f t="shared" si="9"/>
        <v>0</v>
      </c>
      <c r="BC20" s="239">
        <f t="shared" si="9"/>
        <v>0</v>
      </c>
      <c r="BD20" s="239">
        <f t="shared" si="9"/>
        <v>0</v>
      </c>
      <c r="BE20" s="239">
        <f t="shared" si="9"/>
        <v>0</v>
      </c>
      <c r="BF20" s="239">
        <f t="shared" si="9"/>
        <v>0</v>
      </c>
      <c r="BG20" s="239">
        <f t="shared" si="9"/>
        <v>0</v>
      </c>
      <c r="BH20" s="239">
        <f t="shared" si="9"/>
        <v>0</v>
      </c>
      <c r="BI20" s="239">
        <f t="shared" si="9"/>
        <v>0</v>
      </c>
      <c r="BJ20" s="239">
        <f t="shared" si="9"/>
        <v>0</v>
      </c>
      <c r="BK20" s="239">
        <f t="shared" si="9"/>
        <v>0</v>
      </c>
      <c r="BL20" s="239">
        <f t="shared" si="9"/>
        <v>0</v>
      </c>
      <c r="BM20" s="239">
        <f t="shared" si="9"/>
        <v>0</v>
      </c>
      <c r="BN20" s="239">
        <f t="shared" si="9"/>
        <v>0</v>
      </c>
      <c r="BO20" s="239">
        <f t="shared" si="9"/>
        <v>0</v>
      </c>
      <c r="BP20" s="239">
        <f t="shared" si="9"/>
        <v>0</v>
      </c>
      <c r="BQ20" s="239">
        <f t="shared" ref="BQ20:CJ20" si="10">SUM(BQ14:BQ19)</f>
        <v>0</v>
      </c>
      <c r="BR20" s="239">
        <f t="shared" si="10"/>
        <v>0</v>
      </c>
      <c r="BS20" s="239">
        <f t="shared" si="10"/>
        <v>0</v>
      </c>
      <c r="BT20" s="239">
        <f t="shared" si="10"/>
        <v>0</v>
      </c>
      <c r="BU20" s="239">
        <f t="shared" si="10"/>
        <v>0</v>
      </c>
      <c r="BV20" s="239">
        <f t="shared" si="10"/>
        <v>0</v>
      </c>
      <c r="BW20" s="239">
        <f t="shared" si="10"/>
        <v>0</v>
      </c>
      <c r="BX20" s="239">
        <f t="shared" si="10"/>
        <v>0</v>
      </c>
      <c r="BY20" s="239">
        <f t="shared" si="10"/>
        <v>0</v>
      </c>
      <c r="BZ20" s="239">
        <f t="shared" si="10"/>
        <v>0</v>
      </c>
      <c r="CA20" s="239">
        <f t="shared" si="10"/>
        <v>0</v>
      </c>
      <c r="CB20" s="239">
        <f t="shared" si="10"/>
        <v>0</v>
      </c>
      <c r="CC20" s="239">
        <f t="shared" si="10"/>
        <v>0</v>
      </c>
      <c r="CD20" s="239">
        <f t="shared" si="10"/>
        <v>0</v>
      </c>
      <c r="CE20" s="239">
        <f t="shared" si="10"/>
        <v>0</v>
      </c>
      <c r="CF20" s="239">
        <f t="shared" si="10"/>
        <v>0</v>
      </c>
      <c r="CG20" s="239">
        <f t="shared" si="10"/>
        <v>0</v>
      </c>
      <c r="CH20" s="239">
        <f t="shared" si="10"/>
        <v>0</v>
      </c>
      <c r="CI20" s="239">
        <f t="shared" si="10"/>
        <v>0</v>
      </c>
      <c r="CJ20" s="239">
        <f t="shared" si="10"/>
        <v>0</v>
      </c>
      <c r="CK20" s="239">
        <f t="shared" ref="CK20:CP20" si="11">SUM(CK14:CK19)</f>
        <v>0</v>
      </c>
      <c r="CL20" s="239">
        <f t="shared" si="11"/>
        <v>0</v>
      </c>
      <c r="CM20" s="239">
        <f t="shared" si="11"/>
        <v>0</v>
      </c>
      <c r="CN20" s="239">
        <f t="shared" si="11"/>
        <v>0</v>
      </c>
      <c r="CO20" s="239">
        <f t="shared" si="11"/>
        <v>0</v>
      </c>
      <c r="CP20" s="239">
        <f t="shared" si="11"/>
        <v>0</v>
      </c>
      <c r="CQ20" s="239">
        <f t="shared" ref="CQ20:CT20" si="12">SUM(CQ14:CQ19)</f>
        <v>0</v>
      </c>
      <c r="CR20" s="239">
        <f t="shared" si="12"/>
        <v>0</v>
      </c>
      <c r="CS20" s="239">
        <f t="shared" si="12"/>
        <v>0</v>
      </c>
      <c r="CT20" s="239">
        <f t="shared" si="12"/>
        <v>0</v>
      </c>
      <c r="CU20" s="239">
        <f t="shared" ref="CU20:CV20" si="13">SUM(CU14:CU19)</f>
        <v>0</v>
      </c>
      <c r="CV20" s="239">
        <f t="shared" si="13"/>
        <v>0</v>
      </c>
      <c r="CW20" s="239">
        <f t="shared" ref="CW20:CX20" si="14">SUM(CW14:CW19)</f>
        <v>0</v>
      </c>
      <c r="CX20" s="687">
        <f t="shared" si="14"/>
        <v>0</v>
      </c>
    </row>
    <row r="21" spans="2:102" x14ac:dyDescent="0.35">
      <c r="B21" s="227" t="s">
        <v>288</v>
      </c>
      <c r="C21" s="227"/>
      <c r="D21" s="234">
        <v>0</v>
      </c>
      <c r="E21" s="234">
        <f t="shared" ref="E21:R21" si="15">IFERROR(IF(E20&gt;SUM(E90:F90),(E20-F90-E90)/D90*D87+E87+F87,(E20-F90)/E90*E87+F87),0)</f>
        <v>31</v>
      </c>
      <c r="F21" s="234">
        <f t="shared" si="15"/>
        <v>0</v>
      </c>
      <c r="G21" s="234">
        <f t="shared" si="15"/>
        <v>0</v>
      </c>
      <c r="H21" s="234">
        <f t="shared" si="15"/>
        <v>0</v>
      </c>
      <c r="I21" s="234">
        <f t="shared" si="15"/>
        <v>43.1875</v>
      </c>
      <c r="J21" s="234">
        <f t="shared" si="15"/>
        <v>54.883106956521743</v>
      </c>
      <c r="K21" s="234">
        <f t="shared" si="15"/>
        <v>59.63636363636364</v>
      </c>
      <c r="L21" s="234">
        <f t="shared" si="15"/>
        <v>34.351351351351354</v>
      </c>
      <c r="M21" s="234">
        <f t="shared" si="15"/>
        <v>64.351351351351354</v>
      </c>
      <c r="N21" s="234">
        <f t="shared" si="15"/>
        <v>0</v>
      </c>
      <c r="O21" s="234">
        <f t="shared" si="15"/>
        <v>0</v>
      </c>
      <c r="P21" s="234">
        <f t="shared" si="15"/>
        <v>0</v>
      </c>
      <c r="Q21" s="234">
        <f t="shared" si="15"/>
        <v>0</v>
      </c>
      <c r="R21" s="234">
        <f t="shared" si="15"/>
        <v>0</v>
      </c>
      <c r="S21" s="234"/>
      <c r="T21" s="234"/>
      <c r="U21" s="234"/>
      <c r="V21" s="234"/>
      <c r="W21" s="234"/>
      <c r="X21" s="234"/>
      <c r="Y21" s="234"/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4"/>
      <c r="AK21" s="234"/>
      <c r="AL21" s="234"/>
      <c r="AM21" s="234"/>
      <c r="AN21" s="234"/>
      <c r="AO21" s="235"/>
      <c r="AP21" s="234"/>
      <c r="AQ21" s="234"/>
      <c r="AR21" s="234"/>
      <c r="AS21" s="234"/>
      <c r="AT21" s="234"/>
      <c r="AU21" s="234"/>
      <c r="AV21" s="234"/>
      <c r="AW21" s="234"/>
      <c r="AX21" s="234"/>
      <c r="AY21" s="234"/>
      <c r="AZ21" s="234"/>
      <c r="BA21" s="235"/>
      <c r="BB21" s="234"/>
      <c r="BC21" s="234"/>
      <c r="CB21"/>
      <c r="CC21"/>
      <c r="CD21"/>
      <c r="CF21"/>
      <c r="CX21" s="79"/>
    </row>
    <row r="22" spans="2:102" x14ac:dyDescent="0.35">
      <c r="B22" s="227"/>
      <c r="C22" s="227"/>
      <c r="D22" s="234"/>
      <c r="E22" s="234"/>
      <c r="F22" s="234"/>
      <c r="G22" s="234"/>
      <c r="H22" s="234"/>
      <c r="I22" s="234"/>
      <c r="J22" s="234"/>
      <c r="K22" s="234"/>
      <c r="L22" s="234"/>
      <c r="M22" s="234"/>
      <c r="N22" s="234"/>
      <c r="O22" s="234"/>
      <c r="P22" s="234"/>
      <c r="AO22" s="78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87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/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/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/>
      <c r="CW22" s="36"/>
      <c r="CX22" s="717"/>
    </row>
    <row r="23" spans="2:102" x14ac:dyDescent="0.35">
      <c r="B23" s="798" t="s">
        <v>290</v>
      </c>
      <c r="C23" s="56" t="s">
        <v>281</v>
      </c>
      <c r="D23" s="229">
        <v>0</v>
      </c>
      <c r="E23" s="230">
        <v>0</v>
      </c>
      <c r="F23" s="230">
        <v>0</v>
      </c>
      <c r="G23" s="230">
        <v>0</v>
      </c>
      <c r="H23" s="230">
        <v>-18</v>
      </c>
      <c r="I23" s="230">
        <v>0</v>
      </c>
      <c r="J23" s="230">
        <v>0</v>
      </c>
      <c r="K23" s="230">
        <v>0</v>
      </c>
      <c r="L23" s="230">
        <v>-5</v>
      </c>
      <c r="M23" s="230">
        <v>0</v>
      </c>
      <c r="N23" s="230">
        <v>-5</v>
      </c>
      <c r="O23" s="230">
        <v>0</v>
      </c>
      <c r="P23" s="229">
        <v>0</v>
      </c>
      <c r="Q23" s="240">
        <v>0</v>
      </c>
      <c r="R23" s="230">
        <v>0</v>
      </c>
      <c r="S23" s="230">
        <v>0</v>
      </c>
      <c r="T23" s="230">
        <v>36</v>
      </c>
      <c r="U23" s="230">
        <v>30</v>
      </c>
      <c r="V23" s="230">
        <v>12</v>
      </c>
      <c r="W23" s="230">
        <v>0</v>
      </c>
      <c r="X23" s="230">
        <v>0</v>
      </c>
      <c r="Y23" s="230">
        <v>1</v>
      </c>
      <c r="Z23" s="230">
        <v>10</v>
      </c>
      <c r="AA23" s="232">
        <v>26</v>
      </c>
      <c r="AB23" s="278">
        <v>55</v>
      </c>
      <c r="AC23" s="240">
        <v>56</v>
      </c>
      <c r="AD23" s="232">
        <v>42</v>
      </c>
      <c r="AE23" s="232">
        <v>30</v>
      </c>
      <c r="AF23" s="232">
        <v>31</v>
      </c>
      <c r="AG23" s="232">
        <v>16</v>
      </c>
      <c r="AH23" s="232">
        <v>6</v>
      </c>
      <c r="AI23" s="232">
        <v>178</v>
      </c>
      <c r="AJ23" s="232">
        <v>18</v>
      </c>
      <c r="AK23" s="232">
        <v>89</v>
      </c>
      <c r="AL23" s="232">
        <v>90</v>
      </c>
      <c r="AM23" s="232">
        <v>93</v>
      </c>
      <c r="AN23" s="232">
        <v>97</v>
      </c>
      <c r="AO23" s="240">
        <v>103</v>
      </c>
      <c r="AP23">
        <v>94</v>
      </c>
      <c r="AQ23" s="232">
        <v>104</v>
      </c>
      <c r="AR23" s="232">
        <v>114</v>
      </c>
      <c r="AS23" s="232">
        <v>105</v>
      </c>
      <c r="AT23" s="232">
        <v>130</v>
      </c>
      <c r="AU23" s="232">
        <v>114</v>
      </c>
      <c r="AV23" s="232">
        <v>127</v>
      </c>
      <c r="AW23" s="232">
        <v>127</v>
      </c>
      <c r="AX23" s="232">
        <v>117</v>
      </c>
      <c r="AY23" s="232">
        <v>128</v>
      </c>
      <c r="AZ23" s="232">
        <v>125</v>
      </c>
      <c r="BA23" s="231">
        <v>117</v>
      </c>
      <c r="BB23" s="232">
        <v>119</v>
      </c>
      <c r="BC23" s="232">
        <v>156</v>
      </c>
      <c r="BD23">
        <v>164</v>
      </c>
      <c r="BE23">
        <v>179</v>
      </c>
      <c r="BF23">
        <v>163</v>
      </c>
      <c r="BG23">
        <v>177</v>
      </c>
      <c r="BH23">
        <f>193-1</f>
        <v>192</v>
      </c>
      <c r="BI23">
        <v>178</v>
      </c>
      <c r="BJ23">
        <v>178</v>
      </c>
      <c r="BK23">
        <v>184</v>
      </c>
      <c r="BL23">
        <v>194</v>
      </c>
      <c r="BM23">
        <v>216</v>
      </c>
      <c r="BN23">
        <v>243</v>
      </c>
      <c r="BO23">
        <v>188</v>
      </c>
      <c r="BP23">
        <v>176</v>
      </c>
      <c r="BQ23">
        <v>201</v>
      </c>
      <c r="BR23">
        <v>177</v>
      </c>
      <c r="BS23">
        <v>252</v>
      </c>
      <c r="BT23">
        <v>199</v>
      </c>
      <c r="BU23" s="243">
        <v>217</v>
      </c>
      <c r="BV23" s="243">
        <v>172</v>
      </c>
      <c r="BW23" s="243">
        <v>199</v>
      </c>
      <c r="BX23" s="243">
        <f>226349.010494267/1000</f>
        <v>226.34901049426699</v>
      </c>
      <c r="BY23" s="243">
        <f>248704.5845/1000</f>
        <v>248.70458450000001</v>
      </c>
      <c r="BZ23" s="243">
        <f>226126.6933/1000</f>
        <v>226.1266933</v>
      </c>
      <c r="CA23" s="243">
        <f>254786.2346/1000</f>
        <v>254.7862346</v>
      </c>
      <c r="CB23" s="243">
        <f>268840.1773/1000</f>
        <v>268.84017729999999</v>
      </c>
      <c r="CC23" s="243">
        <f>300520.3385/1000</f>
        <v>300.52033850000004</v>
      </c>
      <c r="CD23" s="243">
        <f>221956.8161/1000</f>
        <v>221.9568161</v>
      </c>
      <c r="CE23" s="243">
        <f>218296.744/1000</f>
        <v>218.29674400000002</v>
      </c>
      <c r="CF23" s="243">
        <f>218614.2801/1000</f>
        <v>218.6142801</v>
      </c>
      <c r="CG23" s="243">
        <f>232693.46/1000</f>
        <v>232.69345999999999</v>
      </c>
      <c r="CH23" s="243">
        <f>235297.8859/1000</f>
        <v>235.29788589999998</v>
      </c>
      <c r="CI23" s="243">
        <f>245905.4884/1000</f>
        <v>245.9054884</v>
      </c>
      <c r="CJ23" s="243">
        <f>229988.2973/1000</f>
        <v>229.9882973</v>
      </c>
      <c r="CK23" s="243">
        <f>252052.7725/1000</f>
        <v>252.0527725</v>
      </c>
      <c r="CL23" s="243">
        <f>230660.9008/1000</f>
        <v>230.66090080000001</v>
      </c>
      <c r="CM23" s="243">
        <f>239841.8972/1000</f>
        <v>239.84189720000001</v>
      </c>
      <c r="CN23" s="243">
        <f>250165.0727/1000</f>
        <v>250.1650727</v>
      </c>
      <c r="CO23" s="243">
        <f>238621.6063/1000</f>
        <v>238.62160630000002</v>
      </c>
      <c r="CP23" s="243">
        <f>253361.9667/1000</f>
        <v>253.36196669999998</v>
      </c>
      <c r="CQ23" s="243">
        <f>219922.1786/1000</f>
        <v>219.92217860000002</v>
      </c>
      <c r="CR23" s="243">
        <f>246949.815/1000</f>
        <v>246.949815</v>
      </c>
      <c r="CS23" s="243">
        <f>270941.6666/1000</f>
        <v>270.94166660000002</v>
      </c>
      <c r="CT23" s="243">
        <f>210998.404/1000</f>
        <v>210.99840400000002</v>
      </c>
      <c r="CU23" s="243">
        <f>261007.0021/1000</f>
        <v>261.00700210000002</v>
      </c>
      <c r="CV23" s="243">
        <f>202896.0013/1000</f>
        <v>202.89600129999999</v>
      </c>
      <c r="CW23" s="243">
        <f>229998.5403/1000</f>
        <v>229.9985403</v>
      </c>
      <c r="CX23" s="557">
        <f>243138.2877/1000</f>
        <v>243.13828769999998</v>
      </c>
    </row>
    <row r="24" spans="2:102" x14ac:dyDescent="0.35">
      <c r="B24" s="799"/>
      <c r="C24" s="57" t="s">
        <v>282</v>
      </c>
      <c r="D24" s="233">
        <v>9</v>
      </c>
      <c r="E24" s="234">
        <v>6</v>
      </c>
      <c r="F24" s="234">
        <v>2</v>
      </c>
      <c r="G24" s="234">
        <v>10</v>
      </c>
      <c r="H24" s="234">
        <v>-5</v>
      </c>
      <c r="I24" s="234">
        <v>13</v>
      </c>
      <c r="J24" s="234">
        <v>1</v>
      </c>
      <c r="K24" s="234">
        <v>38</v>
      </c>
      <c r="L24" s="234">
        <v>45</v>
      </c>
      <c r="M24" s="234">
        <v>77</v>
      </c>
      <c r="N24" s="234">
        <v>88</v>
      </c>
      <c r="O24" s="234">
        <v>5</v>
      </c>
      <c r="P24" s="233">
        <v>49</v>
      </c>
      <c r="Q24" s="235">
        <v>102</v>
      </c>
      <c r="R24" s="234">
        <v>85</v>
      </c>
      <c r="S24" s="234">
        <f>57+1</f>
        <v>58</v>
      </c>
      <c r="T24" s="234">
        <v>30</v>
      </c>
      <c r="U24" s="234">
        <v>26</v>
      </c>
      <c r="V24" s="234">
        <v>1</v>
      </c>
      <c r="W24" s="234">
        <v>25</v>
      </c>
      <c r="X24" s="234">
        <v>27</v>
      </c>
      <c r="Y24" s="234">
        <v>104</v>
      </c>
      <c r="Z24" s="234">
        <v>97</v>
      </c>
      <c r="AA24" s="234">
        <v>110</v>
      </c>
      <c r="AB24" s="279">
        <v>149</v>
      </c>
      <c r="AC24" s="235">
        <v>90</v>
      </c>
      <c r="AD24" s="234">
        <v>87</v>
      </c>
      <c r="AE24">
        <v>63</v>
      </c>
      <c r="AF24">
        <v>61</v>
      </c>
      <c r="AG24">
        <v>39</v>
      </c>
      <c r="AH24">
        <v>11</v>
      </c>
      <c r="AI24">
        <v>3</v>
      </c>
      <c r="AJ24">
        <v>69</v>
      </c>
      <c r="AK24">
        <v>35</v>
      </c>
      <c r="AL24">
        <v>38</v>
      </c>
      <c r="AM24">
        <v>62</v>
      </c>
      <c r="AN24">
        <v>42</v>
      </c>
      <c r="AO24" s="235">
        <v>47</v>
      </c>
      <c r="AP24">
        <v>60</v>
      </c>
      <c r="AQ24">
        <v>24</v>
      </c>
      <c r="AR24">
        <v>34</v>
      </c>
      <c r="AS24">
        <v>58</v>
      </c>
      <c r="AT24">
        <v>20</v>
      </c>
      <c r="AU24">
        <v>54</v>
      </c>
      <c r="AV24">
        <v>10</v>
      </c>
      <c r="AW24">
        <v>42</v>
      </c>
      <c r="AX24">
        <v>40</v>
      </c>
      <c r="AY24">
        <v>34</v>
      </c>
      <c r="AZ24">
        <v>35</v>
      </c>
      <c r="BA24" s="78">
        <v>20</v>
      </c>
      <c r="BB24">
        <v>137</v>
      </c>
      <c r="BC24">
        <v>21</v>
      </c>
      <c r="BD24">
        <v>89</v>
      </c>
      <c r="BE24">
        <v>27</v>
      </c>
      <c r="BF24">
        <v>103</v>
      </c>
      <c r="BG24">
        <v>99</v>
      </c>
      <c r="BH24">
        <v>33</v>
      </c>
      <c r="BI24">
        <v>42</v>
      </c>
      <c r="BJ24">
        <v>38</v>
      </c>
      <c r="BK24">
        <v>121</v>
      </c>
      <c r="BL24">
        <v>97</v>
      </c>
      <c r="BM24">
        <v>34</v>
      </c>
      <c r="BN24">
        <v>35</v>
      </c>
      <c r="BO24">
        <v>26</v>
      </c>
      <c r="BP24">
        <v>119</v>
      </c>
      <c r="BQ24">
        <v>15</v>
      </c>
      <c r="BR24">
        <v>101</v>
      </c>
      <c r="BS24">
        <v>23</v>
      </c>
      <c r="BT24">
        <v>51</v>
      </c>
      <c r="BU24" s="243">
        <v>87</v>
      </c>
      <c r="BV24" s="243">
        <v>132</v>
      </c>
      <c r="BW24" s="243">
        <v>87</v>
      </c>
      <c r="BX24" s="243">
        <f>98068.0184/1000</f>
        <v>98.0680184</v>
      </c>
      <c r="BY24" s="243">
        <f>40736.11337/1000</f>
        <v>40.736113369999998</v>
      </c>
      <c r="BZ24" s="243">
        <f>146291.0054/1000</f>
        <v>146.29100539999999</v>
      </c>
      <c r="CA24" s="243">
        <f>65434.79038/1000</f>
        <v>65.434790379999995</v>
      </c>
      <c r="CB24" s="243">
        <f>65389.02739/1000</f>
        <v>65.38902739000001</v>
      </c>
      <c r="CC24" s="243">
        <f>39059.66057/1000</f>
        <v>39.059660569999998</v>
      </c>
      <c r="CD24" s="243">
        <f>87016.2959/1000</f>
        <v>87.016295900000003</v>
      </c>
      <c r="CE24" s="243">
        <f>44085.792/1000</f>
        <v>44.085791999999998</v>
      </c>
      <c r="CF24" s="243">
        <f>62904.28796/1000</f>
        <v>62.904287960000005</v>
      </c>
      <c r="CG24" s="243">
        <f>80371.82/1000</f>
        <v>80.371820000000014</v>
      </c>
      <c r="CH24" s="243">
        <f>24745.60258/1000</f>
        <v>24.74560258</v>
      </c>
      <c r="CI24" s="243">
        <f>70892.17492/1000</f>
        <v>70.892174920000002</v>
      </c>
      <c r="CJ24" s="243">
        <f>58895.06486/1000</f>
        <v>58.895064859999998</v>
      </c>
      <c r="CK24" s="243">
        <f>55333.46706/1000</f>
        <v>55.333467060000004</v>
      </c>
      <c r="CL24" s="243">
        <f>48101.68166/1000</f>
        <v>48.101681660000004</v>
      </c>
      <c r="CM24" s="243">
        <f>25720.29631/1000</f>
        <v>25.720296310000002</v>
      </c>
      <c r="CN24" s="243">
        <f>34069.27904/1000</f>
        <v>34.069279039999998</v>
      </c>
      <c r="CO24" s="243">
        <f>31546.53106/1000</f>
        <v>31.54653106</v>
      </c>
      <c r="CP24" s="243">
        <f>29627.4171/1000</f>
        <v>29.627417099999999</v>
      </c>
      <c r="CQ24" s="243">
        <f>56181.79691/1000</f>
        <v>56.181796909999996</v>
      </c>
      <c r="CR24" s="243">
        <f>18979.96368/1000</f>
        <v>18.979963680000001</v>
      </c>
      <c r="CS24" s="243">
        <f>55144.53451/1000</f>
        <v>55.14453451</v>
      </c>
      <c r="CT24" s="243">
        <f>49463.20779/1000</f>
        <v>49.463207789999998</v>
      </c>
      <c r="CU24" s="243">
        <f>37882.60876/1000</f>
        <v>37.882608760000004</v>
      </c>
      <c r="CV24" s="243">
        <f>73715.46821/1000</f>
        <v>73.715468210000012</v>
      </c>
      <c r="CW24" s="243">
        <f>59815.33292/1000</f>
        <v>59.815332920000003</v>
      </c>
      <c r="CX24" s="557">
        <f>78256.91352/1000</f>
        <v>78.256913519999998</v>
      </c>
    </row>
    <row r="25" spans="2:102" x14ac:dyDescent="0.35">
      <c r="B25" s="799"/>
      <c r="C25" s="57" t="s">
        <v>283</v>
      </c>
      <c r="D25" s="233">
        <v>7</v>
      </c>
      <c r="E25" s="234">
        <v>-1</v>
      </c>
      <c r="F25" s="234">
        <v>5</v>
      </c>
      <c r="G25" s="234">
        <v>7</v>
      </c>
      <c r="H25" s="234">
        <v>8</v>
      </c>
      <c r="I25" s="234">
        <v>-2</v>
      </c>
      <c r="J25" s="234">
        <v>12</v>
      </c>
      <c r="K25" s="234">
        <v>27</v>
      </c>
      <c r="L25" s="234">
        <v>-19</v>
      </c>
      <c r="M25" s="234">
        <v>45</v>
      </c>
      <c r="N25" s="234">
        <v>86</v>
      </c>
      <c r="O25" s="234">
        <v>86</v>
      </c>
      <c r="P25" s="233">
        <v>10</v>
      </c>
      <c r="Q25" s="235">
        <v>0</v>
      </c>
      <c r="R25" s="234">
        <v>35</v>
      </c>
      <c r="S25" s="234">
        <f>81-61</f>
        <v>20</v>
      </c>
      <c r="T25" s="234">
        <v>14</v>
      </c>
      <c r="U25" s="234"/>
      <c r="V25" s="234">
        <v>6</v>
      </c>
      <c r="W25" s="234">
        <v>43</v>
      </c>
      <c r="X25" s="234"/>
      <c r="Y25" s="234">
        <v>18</v>
      </c>
      <c r="Z25" s="234">
        <v>82</v>
      </c>
      <c r="AA25" s="234">
        <v>96</v>
      </c>
      <c r="AB25" s="279">
        <f>142-81</f>
        <v>61</v>
      </c>
      <c r="AC25" s="235">
        <v>54</v>
      </c>
      <c r="AD25" s="234">
        <v>54</v>
      </c>
      <c r="AE25">
        <v>37</v>
      </c>
      <c r="AF25">
        <v>37</v>
      </c>
      <c r="AG25">
        <v>25</v>
      </c>
      <c r="AH25">
        <v>8</v>
      </c>
      <c r="AI25">
        <v>85</v>
      </c>
      <c r="AK25">
        <v>16</v>
      </c>
      <c r="AL25">
        <v>1</v>
      </c>
      <c r="AM25">
        <v>5</v>
      </c>
      <c r="AN25">
        <v>4</v>
      </c>
      <c r="AO25" s="235">
        <v>4</v>
      </c>
      <c r="AP25">
        <v>2</v>
      </c>
      <c r="AQ25">
        <v>3</v>
      </c>
      <c r="AR25">
        <v>5</v>
      </c>
      <c r="AT25">
        <v>5</v>
      </c>
      <c r="AV25">
        <v>1</v>
      </c>
      <c r="AX25">
        <v>3</v>
      </c>
      <c r="AZ25">
        <v>2</v>
      </c>
      <c r="BA25" s="78">
        <v>2</v>
      </c>
      <c r="BB25">
        <v>1</v>
      </c>
      <c r="BC25">
        <v>0</v>
      </c>
      <c r="BD25" s="234">
        <v>0</v>
      </c>
      <c r="BE25" s="234">
        <v>2</v>
      </c>
      <c r="BF25" s="234">
        <v>0</v>
      </c>
      <c r="BG25">
        <v>1</v>
      </c>
      <c r="BH25">
        <v>2</v>
      </c>
      <c r="BI25">
        <v>0</v>
      </c>
      <c r="BJ25">
        <v>0</v>
      </c>
      <c r="BK25">
        <v>0</v>
      </c>
      <c r="BL25">
        <v>13</v>
      </c>
      <c r="BM25">
        <v>7</v>
      </c>
      <c r="BN25">
        <v>14</v>
      </c>
      <c r="BO25">
        <v>2</v>
      </c>
      <c r="BP25">
        <v>0</v>
      </c>
      <c r="BQ25" s="234">
        <v>0</v>
      </c>
      <c r="BR25" s="234">
        <v>9</v>
      </c>
      <c r="BS25" s="234">
        <v>1</v>
      </c>
      <c r="BT25" s="234">
        <v>0</v>
      </c>
      <c r="BU25" s="243">
        <v>2</v>
      </c>
      <c r="BV25" s="243">
        <v>1</v>
      </c>
      <c r="BW25" s="243">
        <v>21</v>
      </c>
      <c r="BX25" s="243">
        <f>19773.936/1000</f>
        <v>19.773936000000003</v>
      </c>
      <c r="BY25" s="243">
        <f>4377.7087/1000</f>
        <v>4.3777087000000003</v>
      </c>
      <c r="BZ25" s="243">
        <f>1803.44297/1000</f>
        <v>1.8034429700000001</v>
      </c>
      <c r="CA25" s="243">
        <f>30143.4171/1000</f>
        <v>30.143417099999997</v>
      </c>
      <c r="CB25" s="243">
        <f>4001.8324/1000</f>
        <v>4.0018323999999996</v>
      </c>
      <c r="CC25" s="243">
        <f>4294.76841/1000</f>
        <v>4.2947684099999996</v>
      </c>
      <c r="CD25" s="243">
        <f>1569.9532/1000</f>
        <v>1.5699531999999998</v>
      </c>
      <c r="CE25" s="243">
        <f>5228.287/1000</f>
        <v>5.2282869999999999</v>
      </c>
      <c r="CF25" s="243">
        <f>9431.3804/1000</f>
        <v>9.4313804000000001</v>
      </c>
      <c r="CG25" s="243">
        <f>4737.71/1000</f>
        <v>4.7377099999999999</v>
      </c>
      <c r="CH25" s="243">
        <f>4606.25259/1000</f>
        <v>4.6062525900000004</v>
      </c>
      <c r="CI25" s="243">
        <f>4644.14545/1000</f>
        <v>4.6441454499999999</v>
      </c>
      <c r="CJ25" s="243">
        <f>5871.8696/1000</f>
        <v>5.8718696000000001</v>
      </c>
      <c r="CK25" s="243">
        <f>35134.71475/1000</f>
        <v>35.134714750000001</v>
      </c>
      <c r="CL25" s="243">
        <f>15546.3006/1000</f>
        <v>15.5463006</v>
      </c>
      <c r="CM25" s="243">
        <f>20259.9316/1000</f>
        <v>20.259931600000002</v>
      </c>
      <c r="CN25" s="243">
        <f>5760.03403/1000</f>
        <v>5.7600340299999999</v>
      </c>
      <c r="CO25" s="243">
        <f>18503.0136/1000</f>
        <v>18.503013599999999</v>
      </c>
      <c r="CP25" s="243">
        <f>15664.1352/1000</f>
        <v>15.6641352</v>
      </c>
      <c r="CQ25" s="243">
        <f>12136.209/1000</f>
        <v>12.136209000000001</v>
      </c>
      <c r="CR25" s="243">
        <f>5982.80514/1000</f>
        <v>5.98280514</v>
      </c>
      <c r="CS25" s="243">
        <f>7274.43989/1000</f>
        <v>7.27443989</v>
      </c>
      <c r="CT25" s="243">
        <f>5138.73907/1000</f>
        <v>5.1387390699999997</v>
      </c>
      <c r="CU25" s="243">
        <f>14450.21886/1000</f>
        <v>14.450218860000001</v>
      </c>
      <c r="CV25" s="243">
        <f>6827.27478/1000</f>
        <v>6.8272747799999998</v>
      </c>
      <c r="CW25" s="243">
        <f>14103.02094/1000</f>
        <v>14.10302094</v>
      </c>
      <c r="CX25" s="557">
        <f>8826.37586/1000</f>
        <v>8.8263758600000006</v>
      </c>
    </row>
    <row r="26" spans="2:102" x14ac:dyDescent="0.35">
      <c r="B26" s="799"/>
      <c r="C26" s="57" t="s">
        <v>284</v>
      </c>
      <c r="D26" s="233">
        <v>7</v>
      </c>
      <c r="E26" s="234">
        <v>8</v>
      </c>
      <c r="F26" s="234">
        <v>5</v>
      </c>
      <c r="G26" s="234">
        <v>8</v>
      </c>
      <c r="H26" s="234">
        <v>5</v>
      </c>
      <c r="I26" s="234">
        <v>-12</v>
      </c>
      <c r="J26" s="234">
        <v>-2</v>
      </c>
      <c r="K26" s="234">
        <v>-13</v>
      </c>
      <c r="L26" s="234">
        <v>38</v>
      </c>
      <c r="M26" s="234">
        <v>-21</v>
      </c>
      <c r="N26" s="234">
        <v>-45</v>
      </c>
      <c r="O26" s="234">
        <v>83</v>
      </c>
      <c r="P26" s="233">
        <v>-13</v>
      </c>
      <c r="Q26" s="235">
        <v>0</v>
      </c>
      <c r="R26" s="234">
        <v>0</v>
      </c>
      <c r="S26" s="234">
        <f>34-34</f>
        <v>0</v>
      </c>
      <c r="T26" s="234">
        <v>5</v>
      </c>
      <c r="U26" s="234">
        <f>14-12</f>
        <v>2</v>
      </c>
      <c r="V26" s="234">
        <v>3</v>
      </c>
      <c r="W26" s="234">
        <v>0</v>
      </c>
      <c r="X26" s="234">
        <v>26</v>
      </c>
      <c r="Y26" s="234">
        <v>0</v>
      </c>
      <c r="Z26" s="234"/>
      <c r="AA26" s="234">
        <v>79</v>
      </c>
      <c r="AB26" s="279">
        <v>14</v>
      </c>
      <c r="AC26" s="235">
        <v>96</v>
      </c>
      <c r="AD26" s="234">
        <v>18</v>
      </c>
      <c r="AE26">
        <v>8</v>
      </c>
      <c r="AF26">
        <v>9</v>
      </c>
      <c r="AG26">
        <v>3</v>
      </c>
      <c r="AH26">
        <v>2</v>
      </c>
      <c r="AI26">
        <v>22</v>
      </c>
      <c r="AJ26">
        <v>17</v>
      </c>
      <c r="AL26">
        <v>4</v>
      </c>
      <c r="AM26">
        <v>1</v>
      </c>
      <c r="AO26" s="235">
        <v>1</v>
      </c>
      <c r="AP26">
        <v>1</v>
      </c>
      <c r="AQ26">
        <v>1</v>
      </c>
      <c r="AR26">
        <v>1</v>
      </c>
      <c r="AS26">
        <v>1</v>
      </c>
      <c r="AY26">
        <v>3</v>
      </c>
      <c r="BA26" s="78">
        <v>2</v>
      </c>
      <c r="BB26">
        <v>1</v>
      </c>
      <c r="BC26">
        <v>0</v>
      </c>
      <c r="BD26" s="234">
        <v>0</v>
      </c>
      <c r="BE26" s="234">
        <v>0</v>
      </c>
      <c r="BF26" s="234">
        <v>0</v>
      </c>
      <c r="BG26" s="234">
        <v>0</v>
      </c>
      <c r="BH26" s="234">
        <v>1</v>
      </c>
      <c r="BI26" s="234">
        <v>0</v>
      </c>
      <c r="BJ26" s="234">
        <v>0</v>
      </c>
      <c r="BK26" s="234">
        <v>0</v>
      </c>
      <c r="BL26" s="234">
        <v>0</v>
      </c>
      <c r="BM26" s="234">
        <v>2</v>
      </c>
      <c r="BN26" s="234">
        <v>1</v>
      </c>
      <c r="BO26" s="234">
        <v>1</v>
      </c>
      <c r="BP26">
        <v>1</v>
      </c>
      <c r="BQ26" s="234">
        <v>0</v>
      </c>
      <c r="BR26" s="234">
        <v>0</v>
      </c>
      <c r="BS26" s="234">
        <v>0</v>
      </c>
      <c r="BT26" s="234">
        <v>0</v>
      </c>
      <c r="BU26" s="243">
        <v>0</v>
      </c>
      <c r="BV26" s="243">
        <v>0</v>
      </c>
      <c r="BW26" s="243">
        <v>0</v>
      </c>
      <c r="BX26" s="243">
        <f>-89.56403446/1000</f>
        <v>-8.9564034459999997E-2</v>
      </c>
      <c r="BY26" s="243">
        <f>942.7/1000</f>
        <v>0.94270000000000009</v>
      </c>
      <c r="BZ26" s="243">
        <v>0</v>
      </c>
      <c r="CA26" s="243">
        <f>696.96/1000</f>
        <v>0.69696000000000002</v>
      </c>
      <c r="CB26" s="243">
        <f>5229.372994/1000</f>
        <v>5.2293729940000002</v>
      </c>
      <c r="CC26" s="243">
        <f>803.118453/1000</f>
        <v>0.80311845300000007</v>
      </c>
      <c r="CD26" s="243">
        <f>1027.0267/1000</f>
        <v>1.0270267</v>
      </c>
      <c r="CE26" s="243">
        <f>3158.571/1000</f>
        <v>3.1585709999999998</v>
      </c>
      <c r="CF26" s="243">
        <f>5051.394503/1000</f>
        <v>5.051394503</v>
      </c>
      <c r="CG26" s="243">
        <f>8268.27/1000</f>
        <v>8.2682700000000011</v>
      </c>
      <c r="CH26" s="243">
        <f>2856.436571/1000</f>
        <v>2.8564365710000001</v>
      </c>
      <c r="CI26" s="243">
        <f>4217.091339/1000</f>
        <v>4.2170913389999996</v>
      </c>
      <c r="CJ26" s="243">
        <f>4004.416/1000</f>
        <v>4.004416</v>
      </c>
      <c r="CK26" s="243">
        <f>4985.0277/1000</f>
        <v>4.9850276999999998</v>
      </c>
      <c r="CL26" s="243">
        <f>4525.5806/1000</f>
        <v>4.5255806000000005</v>
      </c>
      <c r="CM26" s="243">
        <f>7287.835356/1000</f>
        <v>7.2878353559999995</v>
      </c>
      <c r="CN26" s="243">
        <f>13523.55123/1000</f>
        <v>13.523551229999999</v>
      </c>
      <c r="CO26" s="243">
        <f>4720.916143/1000</f>
        <v>4.7209161430000002</v>
      </c>
      <c r="CP26" s="243">
        <f>9879.03915/1000</f>
        <v>9.8790391500000005</v>
      </c>
      <c r="CQ26" s="243">
        <f>9287.081851/1000</f>
        <v>9.2870818509999999</v>
      </c>
      <c r="CR26" s="243">
        <f>11558.14411/1000</f>
        <v>11.558144109999999</v>
      </c>
      <c r="CS26" s="243">
        <f>5075.275685/1000</f>
        <v>5.0752756849999994</v>
      </c>
      <c r="CT26" s="243">
        <f>4534.010583/1000</f>
        <v>4.5340105830000006</v>
      </c>
      <c r="CU26" s="243">
        <f>3481.746065/1000</f>
        <v>3.4817460649999998</v>
      </c>
      <c r="CV26" s="243">
        <f>6129.53698/1000</f>
        <v>6.1295369800000001</v>
      </c>
      <c r="CW26" s="243">
        <f>6279.390524/1000</f>
        <v>6.2793905240000001</v>
      </c>
      <c r="CX26" s="557">
        <f>10385.61094/1000</f>
        <v>10.385610940000001</v>
      </c>
    </row>
    <row r="27" spans="2:102" x14ac:dyDescent="0.35">
      <c r="B27" s="799"/>
      <c r="C27" s="57" t="s">
        <v>285</v>
      </c>
      <c r="D27" s="233">
        <v>12</v>
      </c>
      <c r="E27" s="234">
        <v>25</v>
      </c>
      <c r="F27" s="234">
        <v>15</v>
      </c>
      <c r="G27" s="234">
        <v>42</v>
      </c>
      <c r="H27" s="234">
        <v>38</v>
      </c>
      <c r="I27" s="234">
        <v>62</v>
      </c>
      <c r="J27" s="234">
        <v>49</v>
      </c>
      <c r="K27" s="234">
        <v>79</v>
      </c>
      <c r="L27" s="234">
        <v>102</v>
      </c>
      <c r="M27" s="234">
        <v>146</v>
      </c>
      <c r="N27" s="234">
        <v>231</v>
      </c>
      <c r="O27" s="234">
        <v>182</v>
      </c>
      <c r="P27" s="233">
        <v>347</v>
      </c>
      <c r="Q27" s="235">
        <v>3</v>
      </c>
      <c r="R27" s="234">
        <v>0</v>
      </c>
      <c r="S27" s="234">
        <v>0</v>
      </c>
      <c r="T27" s="234">
        <v>0</v>
      </c>
      <c r="U27" s="234"/>
      <c r="V27" s="234"/>
      <c r="W27" s="234">
        <f>54-18</f>
        <v>36</v>
      </c>
      <c r="X27" s="234">
        <f>87-10</f>
        <v>77</v>
      </c>
      <c r="Y27" s="234">
        <f>23</f>
        <v>23</v>
      </c>
      <c r="Z27" s="234">
        <v>40</v>
      </c>
      <c r="AA27" s="234">
        <v>18</v>
      </c>
      <c r="AB27" s="279">
        <f>125-100</f>
        <v>25</v>
      </c>
      <c r="AC27" s="235">
        <v>48</v>
      </c>
      <c r="AD27" s="234">
        <v>5</v>
      </c>
      <c r="AE27">
        <v>8</v>
      </c>
      <c r="AF27">
        <v>5</v>
      </c>
      <c r="AG27">
        <v>9</v>
      </c>
      <c r="AH27">
        <v>2</v>
      </c>
      <c r="AI27">
        <v>14</v>
      </c>
      <c r="AJ27">
        <v>12</v>
      </c>
      <c r="AK27">
        <v>17</v>
      </c>
      <c r="AL27">
        <v>14</v>
      </c>
      <c r="AM27">
        <v>13</v>
      </c>
      <c r="AN27">
        <v>14</v>
      </c>
      <c r="AO27" s="235">
        <v>12</v>
      </c>
      <c r="AP27">
        <v>10</v>
      </c>
      <c r="AQ27">
        <v>11</v>
      </c>
      <c r="AR27">
        <v>10</v>
      </c>
      <c r="AS27">
        <v>8</v>
      </c>
      <c r="AT27">
        <v>9</v>
      </c>
      <c r="AU27">
        <v>9</v>
      </c>
      <c r="AV27">
        <v>9</v>
      </c>
      <c r="AW27">
        <v>9</v>
      </c>
      <c r="AX27">
        <v>9</v>
      </c>
      <c r="AY27">
        <v>10</v>
      </c>
      <c r="AZ27">
        <v>12</v>
      </c>
      <c r="BA27" s="78">
        <v>11</v>
      </c>
      <c r="BB27">
        <v>13</v>
      </c>
      <c r="BC27">
        <v>15</v>
      </c>
      <c r="BD27" s="234">
        <v>15</v>
      </c>
      <c r="BE27" s="234">
        <v>15</v>
      </c>
      <c r="BF27" s="234">
        <v>15</v>
      </c>
      <c r="BG27">
        <v>15</v>
      </c>
      <c r="BH27">
        <v>16</v>
      </c>
      <c r="BI27">
        <v>17</v>
      </c>
      <c r="BJ27">
        <v>17</v>
      </c>
      <c r="BK27">
        <v>15</v>
      </c>
      <c r="BL27">
        <v>15</v>
      </c>
      <c r="BM27">
        <v>14</v>
      </c>
      <c r="BN27">
        <v>15</v>
      </c>
      <c r="BO27">
        <v>16</v>
      </c>
      <c r="BP27">
        <v>17</v>
      </c>
      <c r="BQ27">
        <v>18</v>
      </c>
      <c r="BR27">
        <v>18</v>
      </c>
      <c r="BS27">
        <v>18</v>
      </c>
      <c r="BT27">
        <v>17</v>
      </c>
      <c r="BU27" s="243">
        <v>17</v>
      </c>
      <c r="BV27" s="243">
        <v>17</v>
      </c>
      <c r="BW27" s="243">
        <v>16</v>
      </c>
      <c r="BX27" s="243">
        <f>16268.91235/1000</f>
        <v>16.268912350000001</v>
      </c>
      <c r="BY27" s="243">
        <f>15958.18628/1000</f>
        <v>15.95818628</v>
      </c>
      <c r="BZ27" s="243">
        <f>15804.85189/1000</f>
        <v>15.80485189</v>
      </c>
      <c r="CA27" s="243">
        <f>15421.28083/1000</f>
        <v>15.421280829999999</v>
      </c>
      <c r="CB27" s="243">
        <f>15579.92147/1000</f>
        <v>15.579921469999999</v>
      </c>
      <c r="CC27" s="243">
        <f>19471.83595/1000</f>
        <v>19.471835949999999</v>
      </c>
      <c r="CD27" s="243">
        <f>17533.04674/1000</f>
        <v>17.533046740000003</v>
      </c>
      <c r="CE27" s="243">
        <f>17916.201/1000</f>
        <v>17.916201000000001</v>
      </c>
      <c r="CF27" s="243">
        <f>18025.40085/1000</f>
        <v>18.02540085</v>
      </c>
      <c r="CG27" s="243">
        <f>20928.02/1000</f>
        <v>20.92802</v>
      </c>
      <c r="CH27" s="243">
        <f>23365.9/1000</f>
        <v>23.3659</v>
      </c>
      <c r="CI27" s="243">
        <f>24093.70189/1000</f>
        <v>24.093701890000002</v>
      </c>
      <c r="CJ27" s="243">
        <f>23199.892/1000</f>
        <v>23.199891999999998</v>
      </c>
      <c r="CK27" s="243">
        <f>27789.21196/1000</f>
        <v>27.789211959999999</v>
      </c>
      <c r="CL27" s="243">
        <f>29280.50337/1000</f>
        <v>29.280503369999998</v>
      </c>
      <c r="CM27" s="243">
        <f>24572.9463/1000</f>
        <v>24.572946299999998</v>
      </c>
      <c r="CN27" s="243">
        <f>28205.1011/1000</f>
        <v>28.2051011</v>
      </c>
      <c r="CO27" s="243">
        <f>37879.19023/1000</f>
        <v>37.879190229999999</v>
      </c>
      <c r="CP27" s="243">
        <f>40893.35339/1000</f>
        <v>40.893353389999994</v>
      </c>
      <c r="CQ27" s="243">
        <f>42094.87873/1000</f>
        <v>42.094878729999998</v>
      </c>
      <c r="CR27" s="243">
        <f>48903.04901/1000</f>
        <v>48.903049010000004</v>
      </c>
      <c r="CS27" s="243">
        <f>44177.81381/1000</f>
        <v>44.177813809999996</v>
      </c>
      <c r="CT27" s="243">
        <f>47605.60853/1000</f>
        <v>47.605608529999998</v>
      </c>
      <c r="CU27" s="243">
        <f>48980.19634/1000</f>
        <v>48.980196339999999</v>
      </c>
      <c r="CV27" s="243">
        <f>48669.79935/1000</f>
        <v>48.669799349999998</v>
      </c>
      <c r="CW27" s="243">
        <f>53476.69798/1000</f>
        <v>53.476697979999997</v>
      </c>
      <c r="CX27" s="557">
        <f>59751.99948/1000</f>
        <v>59.751999480000002</v>
      </c>
    </row>
    <row r="28" spans="2:102" x14ac:dyDescent="0.35">
      <c r="B28" s="799"/>
      <c r="C28" s="58" t="s">
        <v>286</v>
      </c>
      <c r="D28" s="236">
        <v>0</v>
      </c>
      <c r="E28" s="237">
        <v>0</v>
      </c>
      <c r="F28" s="237">
        <v>0</v>
      </c>
      <c r="G28" s="237">
        <v>-10</v>
      </c>
      <c r="H28" s="237">
        <v>-10</v>
      </c>
      <c r="I28" s="237">
        <v>0</v>
      </c>
      <c r="J28" s="237">
        <v>0</v>
      </c>
      <c r="K28" s="237">
        <v>0</v>
      </c>
      <c r="L28" s="237">
        <v>0</v>
      </c>
      <c r="M28" s="237">
        <f>-152-15</f>
        <v>-167</v>
      </c>
      <c r="N28" s="237">
        <v>-235</v>
      </c>
      <c r="O28" s="237">
        <v>-215</v>
      </c>
      <c r="P28" s="236">
        <v>-214</v>
      </c>
      <c r="Q28" s="238">
        <v>-40</v>
      </c>
      <c r="R28" s="237">
        <v>-40</v>
      </c>
      <c r="S28" s="237">
        <v>-13</v>
      </c>
      <c r="T28" s="237">
        <v>-13</v>
      </c>
      <c r="U28" s="237">
        <v>-10</v>
      </c>
      <c r="V28" s="237">
        <v>-4</v>
      </c>
      <c r="W28" s="237">
        <v>-7</v>
      </c>
      <c r="X28" s="237">
        <v>-7</v>
      </c>
      <c r="Y28" s="237">
        <v>-10</v>
      </c>
      <c r="Z28" s="237">
        <v>-10</v>
      </c>
      <c r="AA28" s="237">
        <v>-10</v>
      </c>
      <c r="AB28" s="237">
        <v>-14</v>
      </c>
      <c r="AC28" s="238">
        <v>-12</v>
      </c>
      <c r="AD28" s="237">
        <v>-5</v>
      </c>
      <c r="AE28" s="237">
        <v>-3</v>
      </c>
      <c r="AF28" s="237">
        <v>-3</v>
      </c>
      <c r="AG28" s="237">
        <v>-2</v>
      </c>
      <c r="AH28" s="237">
        <v>-1</v>
      </c>
      <c r="AI28" s="237">
        <v>-5</v>
      </c>
      <c r="AJ28" s="237">
        <v>-5</v>
      </c>
      <c r="AK28" s="237">
        <v>-5</v>
      </c>
      <c r="AL28" s="237">
        <v>-5</v>
      </c>
      <c r="AM28" s="237">
        <v>-5</v>
      </c>
      <c r="AN28" s="237">
        <v>-5</v>
      </c>
      <c r="AO28" s="238">
        <v>-13</v>
      </c>
      <c r="AP28" s="237">
        <v>-13</v>
      </c>
      <c r="AQ28" s="237">
        <v>-13</v>
      </c>
      <c r="AR28" s="237">
        <v>-13</v>
      </c>
      <c r="AS28" s="237">
        <v>-13</v>
      </c>
      <c r="AT28" s="237">
        <v>-14</v>
      </c>
      <c r="AU28" s="237">
        <v>-14</v>
      </c>
      <c r="AV28" s="237">
        <v>-14</v>
      </c>
      <c r="AW28" s="237">
        <v>-14</v>
      </c>
      <c r="AX28" s="237">
        <v>-13</v>
      </c>
      <c r="AY28" s="237">
        <v>-13</v>
      </c>
      <c r="AZ28" s="237">
        <v>-11</v>
      </c>
      <c r="BA28" s="238">
        <v>-11</v>
      </c>
      <c r="BB28" s="237">
        <v>-12</v>
      </c>
      <c r="BC28" s="237">
        <v>-13</v>
      </c>
      <c r="BD28" s="237">
        <v>-13</v>
      </c>
      <c r="BE28" s="237">
        <v>-14</v>
      </c>
      <c r="BF28" s="237">
        <v>-20</v>
      </c>
      <c r="BG28" s="237">
        <v>-34</v>
      </c>
      <c r="BH28" s="237">
        <v>-27</v>
      </c>
      <c r="BI28" s="237">
        <v>-29</v>
      </c>
      <c r="BJ28" s="237">
        <v>-16</v>
      </c>
      <c r="BK28" s="237">
        <v>-16</v>
      </c>
      <c r="BL28" s="237">
        <v>-15</v>
      </c>
      <c r="BM28" s="237">
        <v>-15</v>
      </c>
      <c r="BN28" s="237">
        <v>-15</v>
      </c>
      <c r="BO28" s="237">
        <v>-16</v>
      </c>
      <c r="BP28" s="237">
        <v>-16</v>
      </c>
      <c r="BQ28" s="237">
        <v>-17</v>
      </c>
      <c r="BR28" s="237">
        <v>-17</v>
      </c>
      <c r="BS28" s="237">
        <v>-18</v>
      </c>
      <c r="BT28" s="237">
        <v>-18</v>
      </c>
      <c r="BU28" s="237">
        <v>-18</v>
      </c>
      <c r="BV28" s="237">
        <v>-18</v>
      </c>
      <c r="BW28" s="237">
        <v>-17.700584599790542</v>
      </c>
      <c r="BX28" s="237">
        <f>-16511/1000</f>
        <v>-16.510999999999999</v>
      </c>
      <c r="BY28" s="237">
        <f>-16252/1000</f>
        <v>-16.251999999999999</v>
      </c>
      <c r="BZ28" s="237">
        <f>-16176/1000</f>
        <v>-16.175999999999998</v>
      </c>
      <c r="CA28" s="237">
        <f>-15714/1000</f>
        <v>-15.714</v>
      </c>
      <c r="CB28" s="237">
        <f>-15886/1000</f>
        <v>-15.885999999999999</v>
      </c>
      <c r="CC28" s="237">
        <f>-15367/1000</f>
        <v>-15.367000000000001</v>
      </c>
      <c r="CD28" s="237">
        <f>-14585/1000</f>
        <v>-14.585000000000001</v>
      </c>
      <c r="CE28" s="237">
        <f>-14150/1000</f>
        <v>-14.15</v>
      </c>
      <c r="CF28" s="237">
        <f>-13830/1000</f>
        <v>-13.83</v>
      </c>
      <c r="CG28" s="237">
        <f>-13994/1000</f>
        <v>-13.994</v>
      </c>
      <c r="CH28" s="237">
        <f>-13641/1000</f>
        <v>-13.641</v>
      </c>
      <c r="CI28" s="237">
        <f>-13401/1000</f>
        <v>-13.401</v>
      </c>
      <c r="CJ28" s="237">
        <f>-20915/1000</f>
        <v>-20.914999999999999</v>
      </c>
      <c r="CK28" s="237">
        <f>-22360/1000</f>
        <v>-22.36</v>
      </c>
      <c r="CL28" s="237">
        <f>-22011/1000</f>
        <v>-22.010999999999999</v>
      </c>
      <c r="CM28" s="237">
        <f>-21745/1000</f>
        <v>-21.745000000000001</v>
      </c>
      <c r="CN28" s="237">
        <f>-21562/1000</f>
        <v>-21.562000000000001</v>
      </c>
      <c r="CO28" s="237">
        <f>-21040/1000</f>
        <v>-21.04</v>
      </c>
      <c r="CP28" s="237">
        <f>-21590/1000</f>
        <v>-21.59</v>
      </c>
      <c r="CQ28" s="237">
        <f>-21398/1000</f>
        <v>-21.398</v>
      </c>
      <c r="CR28" s="237">
        <f>-22145/1000</f>
        <v>-22.145</v>
      </c>
      <c r="CS28" s="237">
        <f>-22868/1000</f>
        <v>-22.867999999999999</v>
      </c>
      <c r="CT28" s="237">
        <f>-22947/1000</f>
        <v>-22.946999999999999</v>
      </c>
      <c r="CU28" s="237">
        <f>-22974/1000</f>
        <v>-22.974</v>
      </c>
      <c r="CV28" s="237">
        <f>-39643/1000</f>
        <v>-39.643000000000001</v>
      </c>
      <c r="CW28" s="237">
        <f>-40650/1000</f>
        <v>-40.65</v>
      </c>
      <c r="CX28" s="716">
        <f>-42098/1000</f>
        <v>-42.097999999999999</v>
      </c>
    </row>
    <row r="29" spans="2:102" x14ac:dyDescent="0.35">
      <c r="B29" s="800"/>
      <c r="C29" s="59" t="s">
        <v>287</v>
      </c>
      <c r="D29" s="239">
        <v>35</v>
      </c>
      <c r="E29" s="239">
        <f t="shared" ref="E29:AJ29" si="16">SUM(E23:E28)</f>
        <v>38</v>
      </c>
      <c r="F29" s="239">
        <f t="shared" si="16"/>
        <v>27</v>
      </c>
      <c r="G29" s="239">
        <f t="shared" si="16"/>
        <v>57</v>
      </c>
      <c r="H29" s="239">
        <f t="shared" si="16"/>
        <v>18</v>
      </c>
      <c r="I29" s="239">
        <f t="shared" si="16"/>
        <v>61</v>
      </c>
      <c r="J29" s="239">
        <f t="shared" si="16"/>
        <v>60</v>
      </c>
      <c r="K29" s="239">
        <f t="shared" si="16"/>
        <v>131</v>
      </c>
      <c r="L29" s="239">
        <f t="shared" si="16"/>
        <v>161</v>
      </c>
      <c r="M29" s="239">
        <f t="shared" si="16"/>
        <v>80</v>
      </c>
      <c r="N29" s="239">
        <f t="shared" si="16"/>
        <v>120</v>
      </c>
      <c r="O29" s="239">
        <f t="shared" si="16"/>
        <v>141</v>
      </c>
      <c r="P29" s="239">
        <f t="shared" si="16"/>
        <v>179</v>
      </c>
      <c r="Q29" s="237">
        <f t="shared" si="16"/>
        <v>65</v>
      </c>
      <c r="R29" s="237">
        <f t="shared" si="16"/>
        <v>80</v>
      </c>
      <c r="S29" s="237">
        <f t="shared" si="16"/>
        <v>65</v>
      </c>
      <c r="T29" s="237">
        <f t="shared" si="16"/>
        <v>72</v>
      </c>
      <c r="U29" s="237">
        <f t="shared" si="16"/>
        <v>48</v>
      </c>
      <c r="V29" s="237">
        <f t="shared" si="16"/>
        <v>18</v>
      </c>
      <c r="W29" s="237">
        <f t="shared" si="16"/>
        <v>97</v>
      </c>
      <c r="X29" s="237">
        <f t="shared" si="16"/>
        <v>123</v>
      </c>
      <c r="Y29" s="237">
        <f t="shared" si="16"/>
        <v>136</v>
      </c>
      <c r="Z29" s="237">
        <f t="shared" si="16"/>
        <v>219</v>
      </c>
      <c r="AA29" s="237">
        <f t="shared" si="16"/>
        <v>319</v>
      </c>
      <c r="AB29" s="237">
        <f t="shared" si="16"/>
        <v>290</v>
      </c>
      <c r="AC29" s="239">
        <f t="shared" si="16"/>
        <v>332</v>
      </c>
      <c r="AD29" s="237">
        <f t="shared" si="16"/>
        <v>201</v>
      </c>
      <c r="AE29" s="237">
        <f t="shared" si="16"/>
        <v>143</v>
      </c>
      <c r="AF29" s="237">
        <f t="shared" si="16"/>
        <v>140</v>
      </c>
      <c r="AG29" s="237">
        <f t="shared" si="16"/>
        <v>90</v>
      </c>
      <c r="AH29" s="237">
        <f t="shared" si="16"/>
        <v>28</v>
      </c>
      <c r="AI29" s="237">
        <f t="shared" si="16"/>
        <v>297</v>
      </c>
      <c r="AJ29" s="237">
        <f t="shared" si="16"/>
        <v>111</v>
      </c>
      <c r="AK29" s="237">
        <f t="shared" ref="AK29:CJ29" si="17">SUM(AK23:AK28)</f>
        <v>152</v>
      </c>
      <c r="AL29" s="237">
        <f t="shared" si="17"/>
        <v>142</v>
      </c>
      <c r="AM29" s="237">
        <f t="shared" si="17"/>
        <v>169</v>
      </c>
      <c r="AN29" s="237">
        <f t="shared" si="17"/>
        <v>152</v>
      </c>
      <c r="AO29" s="238">
        <f t="shared" si="17"/>
        <v>154</v>
      </c>
      <c r="AP29" s="237">
        <f t="shared" si="17"/>
        <v>154</v>
      </c>
      <c r="AQ29" s="237">
        <f t="shared" si="17"/>
        <v>130</v>
      </c>
      <c r="AR29" s="237">
        <f t="shared" si="17"/>
        <v>151</v>
      </c>
      <c r="AS29" s="237">
        <f t="shared" si="17"/>
        <v>159</v>
      </c>
      <c r="AT29" s="237">
        <f t="shared" si="17"/>
        <v>150</v>
      </c>
      <c r="AU29" s="237">
        <f t="shared" si="17"/>
        <v>163</v>
      </c>
      <c r="AV29" s="237">
        <f t="shared" si="17"/>
        <v>133</v>
      </c>
      <c r="AW29" s="237">
        <f t="shared" si="17"/>
        <v>164</v>
      </c>
      <c r="AX29" s="237">
        <f t="shared" si="17"/>
        <v>156</v>
      </c>
      <c r="AY29" s="237">
        <f t="shared" si="17"/>
        <v>162</v>
      </c>
      <c r="AZ29" s="237">
        <f t="shared" si="17"/>
        <v>163</v>
      </c>
      <c r="BA29" s="238">
        <f t="shared" si="17"/>
        <v>141</v>
      </c>
      <c r="BB29" s="237">
        <f t="shared" si="17"/>
        <v>259</v>
      </c>
      <c r="BC29" s="237">
        <f t="shared" si="17"/>
        <v>179</v>
      </c>
      <c r="BD29" s="237">
        <f t="shared" si="17"/>
        <v>255</v>
      </c>
      <c r="BE29" s="237">
        <f t="shared" si="17"/>
        <v>209</v>
      </c>
      <c r="BF29" s="237">
        <f t="shared" si="17"/>
        <v>261</v>
      </c>
      <c r="BG29" s="237">
        <f t="shared" si="17"/>
        <v>258</v>
      </c>
      <c r="BH29" s="237">
        <f t="shared" si="17"/>
        <v>217</v>
      </c>
      <c r="BI29" s="237">
        <f t="shared" si="17"/>
        <v>208</v>
      </c>
      <c r="BJ29" s="237">
        <f t="shared" si="17"/>
        <v>217</v>
      </c>
      <c r="BK29" s="237">
        <f t="shared" si="17"/>
        <v>304</v>
      </c>
      <c r="BL29" s="237">
        <f t="shared" si="17"/>
        <v>304</v>
      </c>
      <c r="BM29" s="237">
        <f t="shared" si="17"/>
        <v>258</v>
      </c>
      <c r="BN29" s="237">
        <f t="shared" si="17"/>
        <v>293</v>
      </c>
      <c r="BO29" s="237">
        <f t="shared" si="17"/>
        <v>217</v>
      </c>
      <c r="BP29" s="237">
        <f t="shared" si="17"/>
        <v>297</v>
      </c>
      <c r="BQ29" s="237">
        <f t="shared" si="17"/>
        <v>217</v>
      </c>
      <c r="BR29" s="237">
        <f t="shared" si="17"/>
        <v>288</v>
      </c>
      <c r="BS29" s="237">
        <f t="shared" si="17"/>
        <v>276</v>
      </c>
      <c r="BT29" s="237">
        <f t="shared" si="17"/>
        <v>249</v>
      </c>
      <c r="BU29" s="237">
        <f t="shared" si="17"/>
        <v>305</v>
      </c>
      <c r="BV29" s="237">
        <f t="shared" si="17"/>
        <v>304</v>
      </c>
      <c r="BW29" s="237">
        <f t="shared" si="17"/>
        <v>305.29941540020945</v>
      </c>
      <c r="BX29" s="237">
        <f t="shared" si="17"/>
        <v>343.85931320980694</v>
      </c>
      <c r="BY29" s="237">
        <f t="shared" si="17"/>
        <v>294.46729285000004</v>
      </c>
      <c r="BZ29" s="237">
        <f t="shared" si="17"/>
        <v>373.84999355999997</v>
      </c>
      <c r="CA29" s="237">
        <f t="shared" si="17"/>
        <v>350.76868291</v>
      </c>
      <c r="CB29" s="237">
        <f t="shared" si="17"/>
        <v>343.15433155400001</v>
      </c>
      <c r="CC29" s="237">
        <f t="shared" si="17"/>
        <v>348.78272188300008</v>
      </c>
      <c r="CD29" s="237">
        <f t="shared" si="17"/>
        <v>314.51813864000002</v>
      </c>
      <c r="CE29" s="237">
        <f t="shared" si="17"/>
        <v>274.53559500000006</v>
      </c>
      <c r="CF29" s="237">
        <f t="shared" si="17"/>
        <v>300.19674381300001</v>
      </c>
      <c r="CG29" s="237">
        <f t="shared" si="17"/>
        <v>333.00528000000008</v>
      </c>
      <c r="CH29" s="237">
        <f t="shared" si="17"/>
        <v>277.23107764100001</v>
      </c>
      <c r="CI29" s="237">
        <f t="shared" si="17"/>
        <v>336.35160199899991</v>
      </c>
      <c r="CJ29" s="237">
        <f t="shared" si="17"/>
        <v>301.04453975999996</v>
      </c>
      <c r="CK29" s="237">
        <f t="shared" ref="CK29:CP29" si="18">SUM(CK23:CK28)</f>
        <v>352.93519397</v>
      </c>
      <c r="CL29" s="237">
        <f t="shared" si="18"/>
        <v>306.10396703000004</v>
      </c>
      <c r="CM29" s="237">
        <f t="shared" si="18"/>
        <v>295.93790676600003</v>
      </c>
      <c r="CN29" s="237">
        <f t="shared" si="18"/>
        <v>310.16103809999993</v>
      </c>
      <c r="CO29" s="237">
        <f t="shared" si="18"/>
        <v>310.23125733299997</v>
      </c>
      <c r="CP29" s="237">
        <f t="shared" si="18"/>
        <v>327.83591153999998</v>
      </c>
      <c r="CQ29" s="237">
        <f t="shared" ref="CQ29:CT29" si="19">SUM(CQ23:CQ28)</f>
        <v>318.22414509099997</v>
      </c>
      <c r="CR29" s="237">
        <f t="shared" si="19"/>
        <v>310.22877694000005</v>
      </c>
      <c r="CS29" s="237">
        <f t="shared" si="19"/>
        <v>359.74573049500003</v>
      </c>
      <c r="CT29" s="237">
        <f t="shared" si="19"/>
        <v>294.79296997299997</v>
      </c>
      <c r="CU29" s="237">
        <f t="shared" ref="CU29:CV29" si="20">SUM(CU23:CU28)</f>
        <v>342.82777212500002</v>
      </c>
      <c r="CV29" s="237">
        <f t="shared" si="20"/>
        <v>298.59508061999998</v>
      </c>
      <c r="CW29" s="237">
        <f t="shared" ref="CW29:CX29" si="21">SUM(CW23:CW28)</f>
        <v>323.02298266400004</v>
      </c>
      <c r="CX29" s="716">
        <f t="shared" si="21"/>
        <v>358.26118749999995</v>
      </c>
    </row>
    <row r="30" spans="2:102" x14ac:dyDescent="0.35">
      <c r="B30" s="227" t="s">
        <v>288</v>
      </c>
      <c r="C30" s="227"/>
      <c r="D30" s="234">
        <v>126.875</v>
      </c>
      <c r="E30" s="234">
        <f t="shared" ref="E30:BP30" si="22">IF(E29&gt;SUM(E91:F91),(E29-F91-E91)/D91*D87+E87+F87,(E29-F91)/E91*E87+F87)</f>
        <v>112</v>
      </c>
      <c r="F30" s="234">
        <f t="shared" si="22"/>
        <v>-14.071428571428577</v>
      </c>
      <c r="G30" s="234">
        <f t="shared" si="22"/>
        <v>40.739130434782609</v>
      </c>
      <c r="H30" s="234">
        <f t="shared" si="22"/>
        <v>23.951219512195124</v>
      </c>
      <c r="I30" s="234">
        <f t="shared" si="22"/>
        <v>65.536585365853654</v>
      </c>
      <c r="J30" s="234">
        <f t="shared" si="22"/>
        <v>67.92307692307692</v>
      </c>
      <c r="K30" s="234">
        <f t="shared" si="22"/>
        <v>79.172413793103445</v>
      </c>
      <c r="L30" s="234">
        <f t="shared" si="22"/>
        <v>56.426966292134836</v>
      </c>
      <c r="M30" s="234">
        <f t="shared" si="22"/>
        <v>19.079545454545453</v>
      </c>
      <c r="N30" s="234">
        <f t="shared" si="22"/>
        <v>26.135135135135137</v>
      </c>
      <c r="O30" s="234">
        <f t="shared" si="22"/>
        <v>43.927536231884062</v>
      </c>
      <c r="P30" s="234">
        <f t="shared" si="22"/>
        <v>64.144927536231876</v>
      </c>
      <c r="Q30" s="234">
        <f t="shared" si="22"/>
        <v>18.02325581395349</v>
      </c>
      <c r="R30" s="234">
        <f t="shared" si="22"/>
        <v>25.237623762376238</v>
      </c>
      <c r="S30" s="234">
        <f t="shared" si="22"/>
        <v>9.6067415730337089</v>
      </c>
      <c r="T30" s="234">
        <f t="shared" si="22"/>
        <v>21.842105263157897</v>
      </c>
      <c r="U30" s="234">
        <f t="shared" si="22"/>
        <v>9.6915887850467293</v>
      </c>
      <c r="V30" s="234">
        <f t="shared" si="22"/>
        <v>3.25</v>
      </c>
      <c r="W30" s="234">
        <f t="shared" si="22"/>
        <v>22.6</v>
      </c>
      <c r="X30" s="234">
        <f t="shared" si="22"/>
        <v>23.015151515151516</v>
      </c>
      <c r="Y30" s="234">
        <f t="shared" si="22"/>
        <v>21.312101910828027</v>
      </c>
      <c r="Z30" s="234">
        <f t="shared" si="22"/>
        <v>43.666666666666664</v>
      </c>
      <c r="AA30" s="234">
        <f t="shared" si="22"/>
        <v>64.166666666666657</v>
      </c>
      <c r="AB30" s="234">
        <f t="shared" si="22"/>
        <v>50.108280254777071</v>
      </c>
      <c r="AC30" s="234">
        <f t="shared" si="22"/>
        <v>57.921052631578945</v>
      </c>
      <c r="AD30" s="234">
        <f t="shared" si="22"/>
        <v>45.149700598802397</v>
      </c>
      <c r="AE30" s="234">
        <f t="shared" si="22"/>
        <v>34.05263157894737</v>
      </c>
      <c r="AF30" s="234">
        <f t="shared" si="22"/>
        <v>23.374045801526719</v>
      </c>
      <c r="AG30" s="234">
        <f t="shared" si="22"/>
        <v>17.607142857142854</v>
      </c>
      <c r="AH30" s="234">
        <f t="shared" si="22"/>
        <v>4.2606060606060616</v>
      </c>
      <c r="AI30" s="234">
        <f t="shared" si="22"/>
        <v>53.18181818181818</v>
      </c>
      <c r="AJ30" s="234">
        <f t="shared" si="22"/>
        <v>20.371428571428574</v>
      </c>
      <c r="AK30" s="234">
        <f t="shared" si="22"/>
        <v>26.374269005847953</v>
      </c>
      <c r="AL30" s="234">
        <f t="shared" si="22"/>
        <v>26.63953488372093</v>
      </c>
      <c r="AM30" s="234">
        <f t="shared" si="22"/>
        <v>32.598802395209582</v>
      </c>
      <c r="AN30" s="234">
        <f t="shared" si="22"/>
        <v>28.483870967741936</v>
      </c>
      <c r="AO30" s="235">
        <f t="shared" si="22"/>
        <v>26.490909090909092</v>
      </c>
      <c r="AP30" s="234">
        <f t="shared" si="22"/>
        <v>23.820224719101123</v>
      </c>
      <c r="AQ30" s="234">
        <f t="shared" si="22"/>
        <v>23.921348314606742</v>
      </c>
      <c r="AR30" s="234">
        <f t="shared" si="22"/>
        <v>25.217142857142857</v>
      </c>
      <c r="AS30" s="234">
        <f t="shared" si="22"/>
        <v>27.123595505617978</v>
      </c>
      <c r="AT30" s="234">
        <f t="shared" si="22"/>
        <v>21.824175824175825</v>
      </c>
      <c r="AU30" s="234">
        <f t="shared" si="22"/>
        <v>25.242424242424242</v>
      </c>
      <c r="AV30" s="234">
        <f t="shared" si="22"/>
        <v>20.203980099502488</v>
      </c>
      <c r="AW30" s="234">
        <f t="shared" si="22"/>
        <v>24.044334975369459</v>
      </c>
      <c r="AX30" s="234">
        <f t="shared" si="22"/>
        <v>24.645320197044335</v>
      </c>
      <c r="AY30" s="234">
        <f t="shared" si="22"/>
        <v>22.989949748743719</v>
      </c>
      <c r="AZ30" s="234">
        <f t="shared" si="22"/>
        <v>23.89855072463768</v>
      </c>
      <c r="BA30" s="235">
        <f t="shared" si="22"/>
        <v>21.787735849056602</v>
      </c>
      <c r="BB30" s="234">
        <f t="shared" si="22"/>
        <v>34.230392156862749</v>
      </c>
      <c r="BC30" s="234">
        <f t="shared" si="22"/>
        <v>25.73394495412844</v>
      </c>
      <c r="BD30" s="234">
        <f t="shared" si="22"/>
        <v>27.886363636363637</v>
      </c>
      <c r="BE30" s="234">
        <f t="shared" si="22"/>
        <v>23.555555555555557</v>
      </c>
      <c r="BF30" s="234">
        <f t="shared" si="22"/>
        <v>27.528985507246375</v>
      </c>
      <c r="BG30" s="234">
        <f t="shared" si="22"/>
        <v>29.091872791519435</v>
      </c>
      <c r="BH30" s="234">
        <f t="shared" si="22"/>
        <v>21.565217391304348</v>
      </c>
      <c r="BI30" s="234">
        <f t="shared" si="22"/>
        <v>17.229235880398672</v>
      </c>
      <c r="BJ30" s="234">
        <f t="shared" si="22"/>
        <v>20.246987951807228</v>
      </c>
      <c r="BK30" s="234">
        <f t="shared" si="22"/>
        <v>27.970238095238095</v>
      </c>
      <c r="BL30" s="234">
        <f t="shared" si="22"/>
        <v>25.938650306748468</v>
      </c>
      <c r="BM30" s="234">
        <f t="shared" si="22"/>
        <v>25.300835654596099</v>
      </c>
      <c r="BN30" s="234">
        <f t="shared" si="22"/>
        <v>23.407407407407408</v>
      </c>
      <c r="BO30" s="234">
        <f t="shared" si="22"/>
        <v>20.982404692082113</v>
      </c>
      <c r="BP30" s="234">
        <f t="shared" si="22"/>
        <v>25.702064896755161</v>
      </c>
      <c r="BQ30" s="234">
        <f t="shared" ref="BQ30:CJ30" si="23">IF(BQ29&gt;SUM(BQ91:BR91),(BQ29-BR91-BQ91)/BP91*BP87+BQ87+BR87,(BQ29-BR91)/BQ91*BQ87+BR87)</f>
        <v>20.011627906976745</v>
      </c>
      <c r="BR30" s="234">
        <f t="shared" si="23"/>
        <v>24.758017492711371</v>
      </c>
      <c r="BS30" s="234">
        <f t="shared" si="23"/>
        <v>24.843930635838149</v>
      </c>
      <c r="BT30" s="234">
        <f t="shared" si="23"/>
        <v>19.8328530259366</v>
      </c>
      <c r="BU30" s="234">
        <f t="shared" si="23"/>
        <v>24.860962566844918</v>
      </c>
      <c r="BV30" s="234">
        <f t="shared" si="23"/>
        <v>26.422343324250683</v>
      </c>
      <c r="BW30" s="234">
        <f t="shared" si="23"/>
        <v>23.653560770573591</v>
      </c>
      <c r="BX30" s="234">
        <f t="shared" si="23"/>
        <v>25.289655399193162</v>
      </c>
      <c r="BY30" s="234">
        <f t="shared" si="23"/>
        <v>24.104533842187504</v>
      </c>
      <c r="BZ30" s="234">
        <f t="shared" si="23"/>
        <v>28.347157106873382</v>
      </c>
      <c r="CA30" s="234">
        <f t="shared" si="23"/>
        <v>27.566208912015707</v>
      </c>
      <c r="CB30" s="234">
        <f t="shared" si="23"/>
        <v>25.080263328722225</v>
      </c>
      <c r="CC30" s="234">
        <f t="shared" si="23"/>
        <v>27.363255311551729</v>
      </c>
      <c r="CD30" s="234">
        <f t="shared" si="23"/>
        <v>25.211211803618092</v>
      </c>
      <c r="CE30" s="234">
        <f t="shared" si="23"/>
        <v>23.702308111702131</v>
      </c>
      <c r="CF30" s="234">
        <f t="shared" si="23"/>
        <v>25.257101251920766</v>
      </c>
      <c r="CG30" s="234">
        <f t="shared" si="23"/>
        <v>28.989575217391312</v>
      </c>
      <c r="CH30" s="234">
        <f t="shared" si="23"/>
        <v>25.107050229652174</v>
      </c>
      <c r="CI30" s="234">
        <f t="shared" si="23"/>
        <v>29.402607715852167</v>
      </c>
      <c r="CJ30" s="234">
        <f t="shared" si="23"/>
        <v>29.429551582507287</v>
      </c>
      <c r="CK30" s="234">
        <f t="shared" ref="CK30:CX30" si="24">IF(CK29&gt;SUM(CK91:CL91),(CK29-CL91-CK91)/CJ91*CJ87+CK87+CL87,(CK29-CL91)/CK91*CK87+CL87)</f>
        <v>31.285238285485892</v>
      </c>
      <c r="CL30" s="234">
        <f t="shared" si="24"/>
        <v>23.669208508371433</v>
      </c>
      <c r="CM30" s="234">
        <f t="shared" si="24"/>
        <v>26.341581378726762</v>
      </c>
      <c r="CN30" s="234">
        <f t="shared" si="24"/>
        <v>26.87040051014084</v>
      </c>
      <c r="CO30" s="234">
        <f t="shared" si="24"/>
        <v>27.118317109797687</v>
      </c>
      <c r="CP30" s="234">
        <f t="shared" si="24"/>
        <v>27.016657064056336</v>
      </c>
      <c r="CQ30" s="234">
        <f t="shared" si="24"/>
        <v>27.703658432955798</v>
      </c>
      <c r="CR30" s="234">
        <f t="shared" si="24"/>
        <v>26.257240461284919</v>
      </c>
      <c r="CS30" s="234">
        <f t="shared" si="24"/>
        <v>28.279774370808223</v>
      </c>
      <c r="CT30" s="234">
        <f t="shared" si="24"/>
        <v>24.509971313657893</v>
      </c>
      <c r="CU30" s="234">
        <f t="shared" si="24"/>
        <v>25.792204073938994</v>
      </c>
      <c r="CV30" s="234">
        <f t="shared" si="24"/>
        <v>24.497087356852788</v>
      </c>
      <c r="CW30" s="234">
        <f t="shared" si="24"/>
        <v>26.400292871312502</v>
      </c>
      <c r="CX30" s="512">
        <f t="shared" si="24"/>
        <v>25.573938980263154</v>
      </c>
    </row>
    <row r="31" spans="2:102" x14ac:dyDescent="0.35">
      <c r="B31" s="227"/>
      <c r="C31" s="227"/>
      <c r="D31" s="234"/>
      <c r="E31" s="234"/>
      <c r="F31" s="234"/>
      <c r="G31" s="234"/>
      <c r="H31" s="234"/>
      <c r="I31" s="234"/>
      <c r="J31" s="234"/>
      <c r="K31" s="234"/>
      <c r="L31" s="234"/>
      <c r="M31" s="234"/>
      <c r="N31" s="234"/>
      <c r="O31" s="234"/>
      <c r="P31" s="234"/>
      <c r="AO31" s="78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87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  <c r="BN31" s="36"/>
      <c r="BO31" s="36"/>
      <c r="BP31" s="36"/>
      <c r="BQ31" s="36"/>
      <c r="BR31" s="36"/>
      <c r="BS31" s="36"/>
      <c r="BT31" s="36"/>
      <c r="BU31" s="36"/>
      <c r="BV31" s="36"/>
      <c r="BW31" s="36"/>
      <c r="BX31" s="36"/>
      <c r="BY31" s="36"/>
      <c r="BZ31" s="36"/>
      <c r="CA31" s="36"/>
      <c r="CB31" s="36"/>
      <c r="CC31" s="36"/>
      <c r="CD31" s="36"/>
      <c r="CE31" s="36"/>
      <c r="CF31" s="36"/>
      <c r="CG31" s="36"/>
      <c r="CH31" s="36"/>
      <c r="CI31" s="36"/>
      <c r="CJ31" s="36"/>
      <c r="CK31" s="36"/>
      <c r="CL31" s="36"/>
      <c r="CM31" s="36"/>
      <c r="CN31" s="36"/>
      <c r="CO31" s="36"/>
      <c r="CP31" s="36"/>
      <c r="CQ31" s="36"/>
      <c r="CR31" s="36"/>
      <c r="CS31" s="36"/>
      <c r="CT31" s="36"/>
      <c r="CU31" s="36"/>
      <c r="CV31" s="36"/>
      <c r="CW31" s="36"/>
      <c r="CX31" s="717"/>
    </row>
    <row r="32" spans="2:102" x14ac:dyDescent="0.35">
      <c r="B32" s="798" t="s">
        <v>291</v>
      </c>
      <c r="C32" s="56" t="s">
        <v>281</v>
      </c>
      <c r="D32" s="229">
        <v>6</v>
      </c>
      <c r="E32" s="230">
        <v>6</v>
      </c>
      <c r="F32" s="230">
        <v>0</v>
      </c>
      <c r="G32" s="230">
        <v>5</v>
      </c>
      <c r="H32" s="230">
        <v>5</v>
      </c>
      <c r="I32" s="230">
        <v>2</v>
      </c>
      <c r="J32" s="230">
        <v>6</v>
      </c>
      <c r="K32" s="230">
        <v>8</v>
      </c>
      <c r="L32" s="230">
        <v>16</v>
      </c>
      <c r="M32" s="230">
        <v>25</v>
      </c>
      <c r="N32" s="230">
        <v>3</v>
      </c>
      <c r="O32" s="230">
        <v>29</v>
      </c>
      <c r="P32" s="229">
        <v>21</v>
      </c>
      <c r="Q32" s="240">
        <v>10</v>
      </c>
      <c r="R32" s="230">
        <v>10</v>
      </c>
      <c r="S32" s="230">
        <v>11</v>
      </c>
      <c r="T32" s="230">
        <v>13</v>
      </c>
      <c r="U32" s="230">
        <v>16</v>
      </c>
      <c r="V32" s="230">
        <v>16</v>
      </c>
      <c r="W32" s="230">
        <v>20</v>
      </c>
      <c r="X32" s="230">
        <v>14</v>
      </c>
      <c r="Y32" s="230">
        <v>13</v>
      </c>
      <c r="Z32" s="230">
        <v>18</v>
      </c>
      <c r="AA32" s="232">
        <v>19</v>
      </c>
      <c r="AB32" s="278">
        <v>14</v>
      </c>
      <c r="AC32" s="240">
        <v>28</v>
      </c>
      <c r="AD32" s="232">
        <v>19</v>
      </c>
      <c r="AE32" s="232">
        <v>8</v>
      </c>
      <c r="AF32" s="232">
        <v>11</v>
      </c>
      <c r="AG32" s="232">
        <v>13</v>
      </c>
      <c r="AH32" s="232">
        <v>4</v>
      </c>
      <c r="AI32" s="232">
        <v>12</v>
      </c>
      <c r="AJ32" s="232">
        <v>11</v>
      </c>
      <c r="AK32" s="232">
        <v>21</v>
      </c>
      <c r="AL32" s="232">
        <v>15</v>
      </c>
      <c r="AM32" s="232">
        <v>24</v>
      </c>
      <c r="AN32" s="232">
        <v>24</v>
      </c>
      <c r="AO32" s="240">
        <v>15</v>
      </c>
      <c r="AP32">
        <v>25</v>
      </c>
      <c r="AQ32" s="232">
        <v>37</v>
      </c>
      <c r="AR32" s="232">
        <v>12</v>
      </c>
      <c r="AS32" s="232">
        <v>22</v>
      </c>
      <c r="AT32" s="232">
        <v>22</v>
      </c>
      <c r="AU32" s="232">
        <v>22</v>
      </c>
      <c r="AV32" s="232">
        <v>38</v>
      </c>
      <c r="AW32" s="232">
        <v>27</v>
      </c>
      <c r="AX32" s="232">
        <v>39</v>
      </c>
      <c r="AY32" s="232">
        <v>32</v>
      </c>
      <c r="AZ32" s="232">
        <v>33</v>
      </c>
      <c r="BA32" s="231">
        <v>45</v>
      </c>
      <c r="BB32" s="232">
        <v>45</v>
      </c>
      <c r="BC32" s="232">
        <v>44</v>
      </c>
      <c r="BD32">
        <v>40</v>
      </c>
      <c r="BE32">
        <v>59</v>
      </c>
      <c r="BF32">
        <v>56</v>
      </c>
      <c r="BG32">
        <v>84</v>
      </c>
      <c r="BH32">
        <v>189</v>
      </c>
      <c r="BI32">
        <v>48</v>
      </c>
      <c r="BJ32">
        <v>41</v>
      </c>
      <c r="BK32">
        <v>41</v>
      </c>
      <c r="BL32">
        <v>42</v>
      </c>
      <c r="BM32">
        <v>40</v>
      </c>
      <c r="BN32">
        <v>79</v>
      </c>
      <c r="BO32">
        <v>47</v>
      </c>
      <c r="BP32">
        <v>50</v>
      </c>
      <c r="BQ32">
        <v>36</v>
      </c>
      <c r="BR32">
        <v>33</v>
      </c>
      <c r="BS32">
        <v>39</v>
      </c>
      <c r="BT32">
        <v>34</v>
      </c>
      <c r="BU32">
        <v>215</v>
      </c>
      <c r="BV32">
        <v>31</v>
      </c>
      <c r="BW32">
        <v>207</v>
      </c>
      <c r="BX32" s="243">
        <f>204211.273/1000</f>
        <v>204.21127299999998</v>
      </c>
      <c r="BY32" s="243">
        <f>26619.85235/1000</f>
        <v>26.619852350000002</v>
      </c>
      <c r="BZ32" s="243">
        <f>29622.02447/1000</f>
        <v>29.622024469999999</v>
      </c>
      <c r="CA32" s="243">
        <f>30166.50744/1000</f>
        <v>30.16650744</v>
      </c>
      <c r="CB32" s="243">
        <f>26857.40056/1000</f>
        <v>26.857400559999999</v>
      </c>
      <c r="CC32" s="243">
        <f>28472.24014/1000</f>
        <v>28.47224014</v>
      </c>
      <c r="CD32" s="243">
        <f>30127.50256/1000</f>
        <v>30.12750256</v>
      </c>
      <c r="CE32" s="243">
        <f>32367.756/1000</f>
        <v>32.367756</v>
      </c>
      <c r="CF32" s="243">
        <f>216796.3906/1000</f>
        <v>216.79639060000002</v>
      </c>
      <c r="CG32" s="243">
        <f>29387.42/1000</f>
        <v>29.387419999999999</v>
      </c>
      <c r="CH32" s="243">
        <f>130474.05/1000</f>
        <v>130.47405000000001</v>
      </c>
      <c r="CI32" s="243">
        <f>12855.89538/1000</f>
        <v>12.85589538</v>
      </c>
      <c r="CJ32" s="243">
        <f>142016.3933/1000</f>
        <v>142.0163933</v>
      </c>
      <c r="CK32" s="243">
        <f>28474.28653/1000</f>
        <v>28.474286530000001</v>
      </c>
      <c r="CL32" s="243">
        <f>140072.9464/1000</f>
        <v>140.07294639999998</v>
      </c>
      <c r="CM32" s="243">
        <f>27861.58705/1000</f>
        <v>27.861587049999997</v>
      </c>
      <c r="CN32" s="243">
        <f>26535.37501/1000</f>
        <v>26.535375009999999</v>
      </c>
      <c r="CO32" s="243">
        <f>11708.90532/1000</f>
        <v>11.70890532</v>
      </c>
      <c r="CP32" s="243">
        <f>146069.0679/1000</f>
        <v>146.06906789999999</v>
      </c>
      <c r="CQ32" s="243">
        <f>12049.08834/1000</f>
        <v>12.049088340000001</v>
      </c>
      <c r="CR32" s="243">
        <f>119199.7105/1000</f>
        <v>119.19971049999999</v>
      </c>
      <c r="CS32" s="243">
        <f>23405.63295/1000</f>
        <v>23.405632949999998</v>
      </c>
      <c r="CT32" s="243">
        <f>23328.68338/1000</f>
        <v>23.328683379999998</v>
      </c>
      <c r="CU32" s="243">
        <f>542895.758/1000</f>
        <v>542.895758</v>
      </c>
      <c r="CV32" s="243">
        <f>98066.4455/1000</f>
        <v>98.0664455</v>
      </c>
      <c r="CW32" s="243">
        <f>99761.34276/1000</f>
        <v>99.761342760000005</v>
      </c>
      <c r="CX32" s="557">
        <f>102091.9684/1000</f>
        <v>102.0919684</v>
      </c>
    </row>
    <row r="33" spans="2:102" x14ac:dyDescent="0.35">
      <c r="B33" s="799"/>
      <c r="C33" s="57" t="s">
        <v>282</v>
      </c>
      <c r="D33" s="233">
        <v>0</v>
      </c>
      <c r="E33" s="234">
        <v>0</v>
      </c>
      <c r="F33" s="234">
        <v>2</v>
      </c>
      <c r="G33" s="234">
        <v>1</v>
      </c>
      <c r="H33" s="234">
        <v>5</v>
      </c>
      <c r="I33" s="234">
        <v>1</v>
      </c>
      <c r="J33" s="234">
        <v>5</v>
      </c>
      <c r="K33" s="234">
        <v>1</v>
      </c>
      <c r="L33" s="234">
        <v>1</v>
      </c>
      <c r="M33" s="234">
        <v>16</v>
      </c>
      <c r="N33" s="234">
        <v>1</v>
      </c>
      <c r="O33" s="234">
        <v>2</v>
      </c>
      <c r="P33" s="233">
        <v>15</v>
      </c>
      <c r="Q33" s="235">
        <v>4</v>
      </c>
      <c r="R33" s="234">
        <v>11</v>
      </c>
      <c r="S33" s="234">
        <v>5</v>
      </c>
      <c r="T33" s="234">
        <v>2</v>
      </c>
      <c r="U33" s="234">
        <v>5</v>
      </c>
      <c r="V33" s="234">
        <v>2</v>
      </c>
      <c r="W33" s="234">
        <v>2</v>
      </c>
      <c r="X33" s="234"/>
      <c r="Y33" s="234">
        <v>1</v>
      </c>
      <c r="Z33" s="234">
        <v>0</v>
      </c>
      <c r="AA33" s="234">
        <v>8</v>
      </c>
      <c r="AB33" s="279">
        <v>7</v>
      </c>
      <c r="AC33" s="235">
        <v>-11</v>
      </c>
      <c r="AD33">
        <v>2</v>
      </c>
      <c r="AE33">
        <v>2</v>
      </c>
      <c r="AG33">
        <v>3</v>
      </c>
      <c r="AI33">
        <v>0</v>
      </c>
      <c r="AL33">
        <v>6</v>
      </c>
      <c r="AM33">
        <v>1</v>
      </c>
      <c r="AN33">
        <v>11</v>
      </c>
      <c r="AO33" s="235">
        <v>15</v>
      </c>
      <c r="AP33" s="234"/>
      <c r="AQ33">
        <v>9</v>
      </c>
      <c r="AS33" s="234">
        <v>-12</v>
      </c>
      <c r="AU33">
        <v>15</v>
      </c>
      <c r="AW33">
        <v>33</v>
      </c>
      <c r="AX33">
        <v>13</v>
      </c>
      <c r="AZ33">
        <v>7</v>
      </c>
      <c r="BA33" s="78">
        <v>6</v>
      </c>
      <c r="BB33">
        <v>4</v>
      </c>
      <c r="BC33">
        <v>5</v>
      </c>
      <c r="BD33" s="234">
        <v>4</v>
      </c>
      <c r="BE33" s="234">
        <v>10</v>
      </c>
      <c r="BF33" s="234">
        <v>11</v>
      </c>
      <c r="BG33">
        <v>40</v>
      </c>
      <c r="BH33">
        <v>0</v>
      </c>
      <c r="BI33">
        <v>131</v>
      </c>
      <c r="BJ33">
        <v>2</v>
      </c>
      <c r="BK33">
        <v>1</v>
      </c>
      <c r="BL33">
        <v>1</v>
      </c>
      <c r="BM33">
        <v>5</v>
      </c>
      <c r="BN33">
        <v>0</v>
      </c>
      <c r="BO33">
        <v>9</v>
      </c>
      <c r="BP33">
        <v>11</v>
      </c>
      <c r="BQ33">
        <v>7</v>
      </c>
      <c r="BR33">
        <v>7</v>
      </c>
      <c r="BS33">
        <v>2</v>
      </c>
      <c r="BT33">
        <v>6</v>
      </c>
      <c r="BU33">
        <v>2</v>
      </c>
      <c r="BV33">
        <v>202</v>
      </c>
      <c r="BW33">
        <v>1</v>
      </c>
      <c r="BX33" s="243">
        <f>27777.17165/1000</f>
        <v>27.77717165</v>
      </c>
      <c r="BY33" s="243">
        <f>5001.486559/1000</f>
        <v>5.0014865589999999</v>
      </c>
      <c r="BZ33" s="243">
        <f>845.139/1000</f>
        <v>0.84513899999999997</v>
      </c>
      <c r="CA33" s="243">
        <f>1503.103011/1000</f>
        <v>1.5031030109999999</v>
      </c>
      <c r="CB33" s="243">
        <f>4809.919/1000</f>
        <v>4.8099189999999998</v>
      </c>
      <c r="CC33" s="243"/>
      <c r="CD33" s="243">
        <f>17545.41066/1000</f>
        <v>17.545410660000002</v>
      </c>
      <c r="CE33" s="243">
        <f>21656.0811/1000</f>
        <v>21.656081099999998</v>
      </c>
      <c r="CF33" s="243">
        <f>519.759/1000</f>
        <v>0.51975899999999997</v>
      </c>
      <c r="CG33" s="243">
        <f>213384.67/1000</f>
        <v>213.38467</v>
      </c>
      <c r="CH33" s="243">
        <f>4567.63/1000</f>
        <v>4.5676300000000003</v>
      </c>
      <c r="CI33" s="243">
        <f>121488.4615/1000</f>
        <v>121.4884615</v>
      </c>
      <c r="CJ33" s="243">
        <f>9717.974/1000</f>
        <v>9.7179739999999999</v>
      </c>
      <c r="CK33" s="243">
        <f>121699.0808/1000</f>
        <v>121.69908079999999</v>
      </c>
      <c r="CL33" s="243">
        <f>4557.00271/1000</f>
        <v>4.5570027099999999</v>
      </c>
      <c r="CM33" s="243">
        <f>119592.2381/1000</f>
        <v>119.5922381</v>
      </c>
      <c r="CN33" s="243">
        <f>8989.107042/1000</f>
        <v>8.9891070419999988</v>
      </c>
      <c r="CO33" s="243">
        <f>4681.5864/1000</f>
        <v>4.6815864000000005</v>
      </c>
      <c r="CP33" s="243">
        <f>5354.798492/1000</f>
        <v>5.3547984919999996</v>
      </c>
      <c r="CQ33" s="243">
        <f>142212.4487/1000</f>
        <v>142.21244870000001</v>
      </c>
      <c r="CR33" s="243">
        <f>9376.89393/1000</f>
        <v>9.3768939299999996</v>
      </c>
      <c r="CS33" s="243">
        <f>93321.18307/1000</f>
        <v>93.321183070000004</v>
      </c>
      <c r="CT33" s="243">
        <f>1214.99122/1000</f>
        <v>1.2149912200000001</v>
      </c>
      <c r="CU33" s="243">
        <f>10205.1569/1000</f>
        <v>10.2051569</v>
      </c>
      <c r="CV33" s="243">
        <f>538182.7402/1000</f>
        <v>538.18274020000001</v>
      </c>
      <c r="CW33" s="243">
        <f>85866.58384/1000</f>
        <v>85.866583840000004</v>
      </c>
      <c r="CX33" s="557">
        <f>1341.437591/1000</f>
        <v>1.341437591</v>
      </c>
    </row>
    <row r="34" spans="2:102" x14ac:dyDescent="0.35">
      <c r="B34" s="799"/>
      <c r="C34" s="57" t="s">
        <v>283</v>
      </c>
      <c r="D34" s="233">
        <v>0</v>
      </c>
      <c r="E34" s="234">
        <v>0</v>
      </c>
      <c r="F34" s="234">
        <v>0</v>
      </c>
      <c r="G34" s="234">
        <v>0</v>
      </c>
      <c r="H34" s="234">
        <v>1</v>
      </c>
      <c r="I34" s="234">
        <v>0</v>
      </c>
      <c r="J34" s="234"/>
      <c r="K34" s="234">
        <v>0</v>
      </c>
      <c r="L34" s="234">
        <v>6</v>
      </c>
      <c r="M34" s="234">
        <v>1</v>
      </c>
      <c r="N34" s="234">
        <v>2</v>
      </c>
      <c r="O34" s="234">
        <v>1</v>
      </c>
      <c r="P34" s="233">
        <v>0</v>
      </c>
      <c r="Q34" s="235">
        <v>7</v>
      </c>
      <c r="R34" s="234">
        <v>6</v>
      </c>
      <c r="S34" s="234">
        <v>9</v>
      </c>
      <c r="T34" s="234">
        <v>0</v>
      </c>
      <c r="U34" s="234"/>
      <c r="V34" s="234">
        <v>4</v>
      </c>
      <c r="W34" s="234">
        <v>1</v>
      </c>
      <c r="X34" s="234">
        <v>1</v>
      </c>
      <c r="Y34" s="234">
        <v>0</v>
      </c>
      <c r="Z34" s="234">
        <v>1</v>
      </c>
      <c r="AA34" s="234">
        <v>0</v>
      </c>
      <c r="AB34" s="279">
        <v>0</v>
      </c>
      <c r="AC34" s="235">
        <v>7</v>
      </c>
      <c r="AD34" s="234">
        <v>-5</v>
      </c>
      <c r="AE34">
        <v>0</v>
      </c>
      <c r="AF34">
        <v>1</v>
      </c>
      <c r="AH34">
        <v>3</v>
      </c>
      <c r="AN34">
        <v>1</v>
      </c>
      <c r="AO34" s="235"/>
      <c r="AP34">
        <v>7</v>
      </c>
      <c r="AS34">
        <v>2</v>
      </c>
      <c r="AX34">
        <v>6</v>
      </c>
      <c r="BA34" s="78"/>
      <c r="BD34" s="234">
        <v>1</v>
      </c>
      <c r="BE34" s="234">
        <v>4</v>
      </c>
      <c r="BF34" s="234">
        <v>10</v>
      </c>
      <c r="BG34">
        <v>4</v>
      </c>
      <c r="BH34">
        <v>0</v>
      </c>
      <c r="BI34">
        <v>0</v>
      </c>
      <c r="BJ34" s="234">
        <v>117</v>
      </c>
      <c r="BK34" s="234">
        <v>1</v>
      </c>
      <c r="BL34" s="234">
        <v>0</v>
      </c>
      <c r="BM34" s="234">
        <v>0</v>
      </c>
      <c r="BN34" s="234">
        <v>0</v>
      </c>
      <c r="BO34" s="234">
        <v>0</v>
      </c>
      <c r="BP34">
        <v>5</v>
      </c>
      <c r="BQ34">
        <v>6</v>
      </c>
      <c r="BR34" s="234">
        <v>0</v>
      </c>
      <c r="BS34" s="234">
        <v>0</v>
      </c>
      <c r="BT34" s="234">
        <v>0</v>
      </c>
      <c r="BU34" s="234">
        <v>0</v>
      </c>
      <c r="BV34" s="234">
        <v>0</v>
      </c>
      <c r="BW34" s="234"/>
      <c r="BX34" s="234">
        <f>719.252225/1000</f>
        <v>0.71925222499999997</v>
      </c>
      <c r="BY34" s="234">
        <v>0</v>
      </c>
      <c r="BZ34" s="234">
        <v>0</v>
      </c>
      <c r="CA34" s="234"/>
      <c r="CB34" s="234">
        <f>660.02798/1000</f>
        <v>0.66002797999999996</v>
      </c>
      <c r="CC34" s="234"/>
      <c r="CD34" s="234"/>
      <c r="CE34" s="234"/>
      <c r="CF34" s="234"/>
      <c r="CG34" s="234">
        <f>228.85/1000</f>
        <v>0.22885</v>
      </c>
      <c r="CH34" s="234">
        <f>208218.653/1000</f>
        <v>208.21865299999999</v>
      </c>
      <c r="CI34" s="234">
        <f>4556.11459/1000</f>
        <v>4.55611459</v>
      </c>
      <c r="CJ34" s="234">
        <f>4168.592/1000</f>
        <v>4.1685919999999994</v>
      </c>
      <c r="CK34" s="234">
        <f>1203.892397/1000</f>
        <v>1.2038923970000002</v>
      </c>
      <c r="CL34" s="234">
        <f>120882.8/1000</f>
        <v>120.8828</v>
      </c>
      <c r="CM34" s="234">
        <f>4834.622/1000</f>
        <v>4.8346220000000004</v>
      </c>
      <c r="CN34" s="234">
        <f>108783.3/1000</f>
        <v>108.7833</v>
      </c>
      <c r="CO34" s="234">
        <f>4728.66371/1000</f>
        <v>4.7286637100000002</v>
      </c>
      <c r="CP34" s="234">
        <f>297.124719/1000</f>
        <v>0.29712471900000004</v>
      </c>
      <c r="CQ34" s="234">
        <f>4868.7102/1000</f>
        <v>4.8687102000000007</v>
      </c>
      <c r="CR34" s="234">
        <f>660.77528/1000</f>
        <v>0.66077527999999996</v>
      </c>
      <c r="CS34" s="234">
        <f>5447.70808/1000</f>
        <v>5.44770808</v>
      </c>
      <c r="CT34" s="234">
        <f>529.6154/1000</f>
        <v>0.52961540000000007</v>
      </c>
      <c r="CU34" s="234">
        <f>382.5594/1000</f>
        <v>0.38255939999999999</v>
      </c>
      <c r="CV34" s="234">
        <f>256.582621/1000</f>
        <v>0.25658262100000001</v>
      </c>
      <c r="CW34" s="234">
        <f>4695.432948/1000</f>
        <v>4.6954329479999997</v>
      </c>
      <c r="CX34" s="512">
        <f>184.245446/1000</f>
        <v>0.18424544599999998</v>
      </c>
    </row>
    <row r="35" spans="2:102" x14ac:dyDescent="0.35">
      <c r="B35" s="799"/>
      <c r="C35" s="57" t="s">
        <v>284</v>
      </c>
      <c r="D35" s="233">
        <v>0</v>
      </c>
      <c r="E35" s="234">
        <v>0</v>
      </c>
      <c r="F35" s="234">
        <v>0</v>
      </c>
      <c r="G35" s="234">
        <v>0</v>
      </c>
      <c r="H35" s="234">
        <v>0</v>
      </c>
      <c r="I35" s="234">
        <v>5</v>
      </c>
      <c r="J35" s="234">
        <v>1</v>
      </c>
      <c r="K35" s="234">
        <v>1</v>
      </c>
      <c r="L35" s="234">
        <v>0</v>
      </c>
      <c r="M35" s="234">
        <v>6</v>
      </c>
      <c r="N35" s="234">
        <v>1</v>
      </c>
      <c r="O35" s="234">
        <v>2</v>
      </c>
      <c r="P35" s="233">
        <v>1</v>
      </c>
      <c r="Q35" s="235">
        <v>1</v>
      </c>
      <c r="R35" s="234">
        <v>1</v>
      </c>
      <c r="S35" s="234">
        <v>0</v>
      </c>
      <c r="T35" s="234">
        <v>3</v>
      </c>
      <c r="U35" s="234">
        <v>1</v>
      </c>
      <c r="V35" s="234"/>
      <c r="W35" s="234">
        <v>1</v>
      </c>
      <c r="X35" s="234">
        <v>1</v>
      </c>
      <c r="Y35" s="234">
        <v>2</v>
      </c>
      <c r="Z35" s="234">
        <v>1</v>
      </c>
      <c r="AA35" s="234">
        <v>1</v>
      </c>
      <c r="AB35" s="279">
        <v>5</v>
      </c>
      <c r="AC35" s="235">
        <v>6</v>
      </c>
      <c r="AD35" s="234">
        <v>6</v>
      </c>
      <c r="AE35">
        <v>-10</v>
      </c>
      <c r="AG35">
        <v>2</v>
      </c>
      <c r="AO35" s="235"/>
      <c r="AQ35">
        <v>7</v>
      </c>
      <c r="AY35">
        <v>5</v>
      </c>
      <c r="BA35" s="78"/>
      <c r="BD35" s="234">
        <v>0</v>
      </c>
      <c r="BE35" s="234">
        <v>0</v>
      </c>
      <c r="BF35" s="234">
        <v>4</v>
      </c>
      <c r="BG35" s="234">
        <v>6</v>
      </c>
      <c r="BH35" s="234">
        <v>0</v>
      </c>
      <c r="BI35" s="234"/>
      <c r="BJ35" s="234"/>
      <c r="BK35" s="234">
        <v>32</v>
      </c>
      <c r="BL35" s="234">
        <v>1</v>
      </c>
      <c r="BM35" s="234">
        <v>1</v>
      </c>
      <c r="BN35" s="234">
        <v>0</v>
      </c>
      <c r="BO35" s="234">
        <v>0</v>
      </c>
      <c r="BP35" s="234">
        <v>0</v>
      </c>
      <c r="BQ35" s="234">
        <v>0</v>
      </c>
      <c r="BR35" s="234">
        <v>0</v>
      </c>
      <c r="BS35" s="234">
        <v>0</v>
      </c>
      <c r="BT35" s="234">
        <v>0</v>
      </c>
      <c r="BU35" s="234">
        <v>0</v>
      </c>
      <c r="BV35" s="234">
        <v>0</v>
      </c>
      <c r="BW35" s="234"/>
      <c r="BX35" s="234"/>
      <c r="BY35" s="234"/>
      <c r="BZ35" s="234"/>
      <c r="CA35" s="234"/>
      <c r="CB35" s="234"/>
      <c r="CC35" s="234"/>
      <c r="CD35" s="234"/>
      <c r="CE35" s="234"/>
      <c r="CF35" s="234"/>
      <c r="CG35" s="234"/>
      <c r="CH35" s="234">
        <f>182.87/1000</f>
        <v>0.18287</v>
      </c>
      <c r="CI35" s="234">
        <f>207693.9245/1000</f>
        <v>207.69392449999998</v>
      </c>
      <c r="CJ35" s="234">
        <f>4426.965196/1000</f>
        <v>4.4269651960000003</v>
      </c>
      <c r="CK35" s="234">
        <f>269.601/1000</f>
        <v>0.26960099999999998</v>
      </c>
      <c r="CL35" s="234">
        <f>899.8234/1000</f>
        <v>0.89982339999999994</v>
      </c>
      <c r="CM35" s="234">
        <f>118450.9145/1000</f>
        <v>118.4509145</v>
      </c>
      <c r="CN35" s="234">
        <f>4603.819562/1000</f>
        <v>4.603819562</v>
      </c>
      <c r="CO35" s="234">
        <f>4656.6389/1000</f>
        <v>4.6566388999999999</v>
      </c>
      <c r="CP35" s="234">
        <f>282.9759224/1000</f>
        <v>0.28297592240000002</v>
      </c>
      <c r="CQ35" s="234">
        <f>302.2188/1000</f>
        <v>0.30221880000000001</v>
      </c>
      <c r="CR35" s="234">
        <v>0</v>
      </c>
      <c r="CS35" s="234">
        <f>50.8468/1000</f>
        <v>5.0846800000000004E-2</v>
      </c>
      <c r="CT35" s="234">
        <f>72.37027/1000</f>
        <v>7.237027E-2</v>
      </c>
      <c r="CU35" s="234">
        <f>487.51397/1000</f>
        <v>0.48751396999999996</v>
      </c>
      <c r="CV35" s="234">
        <f>388.66767/1000</f>
        <v>0.38866766999999997</v>
      </c>
      <c r="CW35" s="234">
        <f>260.1717594/1000</f>
        <v>0.26017175939999998</v>
      </c>
      <c r="CX35" s="512">
        <f>184.2454464/1000</f>
        <v>0.18424544639999998</v>
      </c>
    </row>
    <row r="36" spans="2:102" x14ac:dyDescent="0.35">
      <c r="B36" s="799"/>
      <c r="C36" s="57" t="s">
        <v>285</v>
      </c>
      <c r="D36" s="233">
        <v>0</v>
      </c>
      <c r="E36" s="234">
        <v>0</v>
      </c>
      <c r="F36" s="234">
        <v>0</v>
      </c>
      <c r="G36" s="234">
        <v>4</v>
      </c>
      <c r="H36" s="234">
        <v>-4</v>
      </c>
      <c r="I36" s="234">
        <v>-4</v>
      </c>
      <c r="J36" s="234">
        <v>0</v>
      </c>
      <c r="K36" s="234">
        <v>1</v>
      </c>
      <c r="L36" s="234">
        <v>1</v>
      </c>
      <c r="M36" s="234">
        <v>2</v>
      </c>
      <c r="N36" s="234">
        <v>2</v>
      </c>
      <c r="O36" s="234">
        <v>3</v>
      </c>
      <c r="P36" s="233">
        <v>1</v>
      </c>
      <c r="Q36" s="235">
        <v>-6</v>
      </c>
      <c r="R36" s="234">
        <v>-6</v>
      </c>
      <c r="S36" s="234">
        <v>2</v>
      </c>
      <c r="T36" s="234">
        <v>3</v>
      </c>
      <c r="U36" s="234">
        <v>7</v>
      </c>
      <c r="V36" s="234">
        <v>8</v>
      </c>
      <c r="W36" s="234">
        <v>11</v>
      </c>
      <c r="X36" s="234">
        <v>10</v>
      </c>
      <c r="Y36" s="234">
        <v>8</v>
      </c>
      <c r="Z36" s="234">
        <v>7</v>
      </c>
      <c r="AA36" s="234">
        <v>7</v>
      </c>
      <c r="AB36" s="279">
        <v>6</v>
      </c>
      <c r="AC36" s="235">
        <v>10</v>
      </c>
      <c r="AD36" s="234">
        <v>10</v>
      </c>
      <c r="AE36">
        <v>19</v>
      </c>
      <c r="AF36">
        <v>8</v>
      </c>
      <c r="AG36">
        <v>8</v>
      </c>
      <c r="AH36">
        <v>2</v>
      </c>
      <c r="AI36">
        <v>2</v>
      </c>
      <c r="AJ36">
        <v>2</v>
      </c>
      <c r="AK36">
        <v>2</v>
      </c>
      <c r="AL36">
        <v>2</v>
      </c>
      <c r="AM36">
        <v>2</v>
      </c>
      <c r="AO36" s="235">
        <v>1</v>
      </c>
      <c r="AY36">
        <v>1</v>
      </c>
      <c r="BA36" s="78"/>
      <c r="BD36" s="234">
        <v>0</v>
      </c>
      <c r="BE36" s="234">
        <v>0</v>
      </c>
      <c r="BF36" s="234">
        <v>0</v>
      </c>
      <c r="BG36" s="234"/>
      <c r="BH36" s="234">
        <v>0</v>
      </c>
      <c r="BI36" s="234"/>
      <c r="BJ36" s="234"/>
      <c r="BK36" s="234">
        <v>0</v>
      </c>
      <c r="BL36" s="234">
        <v>25</v>
      </c>
      <c r="BM36" s="234">
        <v>19</v>
      </c>
      <c r="BN36" s="234">
        <v>13</v>
      </c>
      <c r="BO36" s="234">
        <v>6</v>
      </c>
      <c r="BP36" s="234">
        <v>0</v>
      </c>
      <c r="BQ36" s="234">
        <v>0</v>
      </c>
      <c r="BR36" s="234">
        <v>0</v>
      </c>
      <c r="BS36" s="234">
        <v>0</v>
      </c>
      <c r="BT36" s="234">
        <v>0</v>
      </c>
      <c r="BU36" s="234">
        <v>0</v>
      </c>
      <c r="BV36" s="234">
        <v>0</v>
      </c>
      <c r="BW36" s="234"/>
      <c r="BX36" s="234"/>
      <c r="BY36" s="234"/>
      <c r="BZ36" s="234"/>
      <c r="CA36" s="234"/>
      <c r="CB36" s="234"/>
      <c r="CC36" s="234"/>
      <c r="CD36" s="234"/>
      <c r="CE36" s="234"/>
      <c r="CF36" s="234"/>
      <c r="CG36" s="234"/>
      <c r="CH36" s="234"/>
      <c r="CI36" s="234">
        <f>182.4122296/1000</f>
        <v>0.18241222959999998</v>
      </c>
      <c r="CJ36" s="234">
        <f>201983.7934/1000</f>
        <v>201.9837934</v>
      </c>
      <c r="CK36" s="234">
        <f>206996.2693/1000</f>
        <v>206.99626930000002</v>
      </c>
      <c r="CL36" s="234">
        <f>1284.2469/1000</f>
        <v>1.2842469000000001</v>
      </c>
      <c r="CM36" s="234">
        <f>1906.525277/1000</f>
        <v>1.9065252769999999</v>
      </c>
      <c r="CN36" s="234">
        <f>113316.5583/1000</f>
        <v>113.31655830000001</v>
      </c>
      <c r="CO36" s="234">
        <f>9976.0756/1000</f>
        <v>9.9760755999999997</v>
      </c>
      <c r="CP36" s="234">
        <f>3112.319295/1000</f>
        <v>3.1123192949999998</v>
      </c>
      <c r="CQ36" s="234">
        <f>3472.694356/1000</f>
        <v>3.4726943559999999</v>
      </c>
      <c r="CR36" s="234">
        <f>2349.625284/1000</f>
        <v>2.349625284</v>
      </c>
      <c r="CS36" s="234">
        <f>2410.5168/1000</f>
        <v>2.4105167999999999</v>
      </c>
      <c r="CT36" s="234">
        <f>2510.141365/1000</f>
        <v>2.510141365</v>
      </c>
      <c r="CU36" s="234">
        <f>2564.874512/1000</f>
        <v>2.5648745119999998</v>
      </c>
      <c r="CV36" s="234">
        <f>3101.125694/1000</f>
        <v>3.1011256939999998</v>
      </c>
      <c r="CW36" s="234">
        <f>2776.176693/1000</f>
        <v>2.776176693</v>
      </c>
      <c r="CX36" s="512">
        <f>2791.373803/1000</f>
        <v>2.7913738029999999</v>
      </c>
    </row>
    <row r="37" spans="2:102" x14ac:dyDescent="0.35">
      <c r="B37" s="799"/>
      <c r="C37" s="58" t="s">
        <v>286</v>
      </c>
      <c r="D37" s="236">
        <v>0</v>
      </c>
      <c r="E37" s="237">
        <v>0</v>
      </c>
      <c r="F37" s="237">
        <v>0</v>
      </c>
      <c r="G37" s="237">
        <v>0</v>
      </c>
      <c r="H37" s="237">
        <v>0</v>
      </c>
      <c r="I37" s="237">
        <v>0</v>
      </c>
      <c r="J37" s="237">
        <v>-6</v>
      </c>
      <c r="K37" s="237">
        <v>0</v>
      </c>
      <c r="L37" s="237">
        <v>0</v>
      </c>
      <c r="M37" s="237">
        <v>0</v>
      </c>
      <c r="N37" s="237">
        <v>-6</v>
      </c>
      <c r="O37" s="237">
        <v>-20</v>
      </c>
      <c r="P37" s="236">
        <v>-4</v>
      </c>
      <c r="Q37" s="238">
        <v>-4</v>
      </c>
      <c r="R37" s="237">
        <v>0</v>
      </c>
      <c r="S37" s="237">
        <v>0</v>
      </c>
      <c r="T37" s="237">
        <v>0</v>
      </c>
      <c r="U37" s="237">
        <v>-6</v>
      </c>
      <c r="V37" s="237">
        <v>-6</v>
      </c>
      <c r="W37" s="237">
        <v>-6</v>
      </c>
      <c r="X37" s="237">
        <v>-6</v>
      </c>
      <c r="Y37" s="237">
        <v>-8</v>
      </c>
      <c r="Z37" s="237">
        <v>-6</v>
      </c>
      <c r="AA37" s="237">
        <v>-5</v>
      </c>
      <c r="AB37" s="280">
        <v>0</v>
      </c>
      <c r="AC37" s="238">
        <v>-3</v>
      </c>
      <c r="AD37" s="237">
        <v>-3</v>
      </c>
      <c r="AE37" s="237">
        <v>-2</v>
      </c>
      <c r="AF37" s="237">
        <v>-2</v>
      </c>
      <c r="AG37" s="237">
        <v>-2</v>
      </c>
      <c r="AH37" s="237">
        <v>-2</v>
      </c>
      <c r="AI37" s="237">
        <v>-2</v>
      </c>
      <c r="AJ37" s="237">
        <v>-2</v>
      </c>
      <c r="AK37" s="237">
        <v>-2</v>
      </c>
      <c r="AL37" s="237">
        <v>-2</v>
      </c>
      <c r="AM37" s="237">
        <v>-3</v>
      </c>
      <c r="AN37" s="237">
        <v>-1</v>
      </c>
      <c r="AO37" s="238">
        <v>-1</v>
      </c>
      <c r="AP37" s="237">
        <v>-6</v>
      </c>
      <c r="AQ37" s="237">
        <v>-17</v>
      </c>
      <c r="AR37" s="237">
        <v>-20</v>
      </c>
      <c r="AS37" s="237">
        <v>-10</v>
      </c>
      <c r="AT37" s="237">
        <v>-10</v>
      </c>
      <c r="AU37" s="237">
        <v>-10</v>
      </c>
      <c r="AV37" s="237">
        <v>-5</v>
      </c>
      <c r="AW37" s="237">
        <v>-5</v>
      </c>
      <c r="AX37" s="237">
        <v>-5</v>
      </c>
      <c r="AY37" s="237"/>
      <c r="AZ37" s="36"/>
      <c r="BA37" s="87"/>
      <c r="BB37" s="36"/>
      <c r="BC37" s="36"/>
      <c r="BD37" s="234"/>
      <c r="BE37" s="234">
        <v>-2</v>
      </c>
      <c r="BF37" s="234">
        <v>-5</v>
      </c>
      <c r="BG37" s="237">
        <v>-25</v>
      </c>
      <c r="BH37" s="237">
        <v>-110</v>
      </c>
      <c r="BI37" s="237">
        <v>-109</v>
      </c>
      <c r="BJ37" s="237">
        <v>-76</v>
      </c>
      <c r="BK37" s="237">
        <v>-28</v>
      </c>
      <c r="BL37" s="237">
        <v>-23</v>
      </c>
      <c r="BM37" s="237">
        <v>-16</v>
      </c>
      <c r="BN37" s="237">
        <v>-12</v>
      </c>
      <c r="BO37" s="237">
        <v>-9</v>
      </c>
      <c r="BP37" s="237">
        <v>-10</v>
      </c>
      <c r="BQ37" s="237">
        <v>-10</v>
      </c>
      <c r="BR37" s="237">
        <v>-1</v>
      </c>
      <c r="BS37" s="237">
        <v>-1</v>
      </c>
      <c r="BT37" s="237">
        <v>-1</v>
      </c>
      <c r="BU37" s="237">
        <v>-1</v>
      </c>
      <c r="BV37" s="237">
        <v>-1</v>
      </c>
      <c r="BW37" s="237">
        <v>-1.1116385008874676</v>
      </c>
      <c r="BX37" s="237">
        <f>-1120/1000</f>
        <v>-1.1200000000000001</v>
      </c>
      <c r="BY37" s="237">
        <f>-1098/1000</f>
        <v>-1.0980000000000001</v>
      </c>
      <c r="BZ37" s="237">
        <f>-1076/1000</f>
        <v>-1.0760000000000001</v>
      </c>
      <c r="CA37" s="237">
        <f>-1097/1000</f>
        <v>-1.097</v>
      </c>
      <c r="CB37" s="237">
        <f>-1118/1000</f>
        <v>-1.1180000000000001</v>
      </c>
      <c r="CC37" s="237">
        <f>-1100/1000</f>
        <v>-1.1000000000000001</v>
      </c>
      <c r="CD37" s="237">
        <f>-1139/1000</f>
        <v>-1.139</v>
      </c>
      <c r="CE37" s="237">
        <f>-3580/1000</f>
        <v>-3.58</v>
      </c>
      <c r="CF37" s="237">
        <f>-3577/1000</f>
        <v>-3.577</v>
      </c>
      <c r="CG37" s="237">
        <f>-3639/1000</f>
        <v>-3.6389999999999998</v>
      </c>
      <c r="CH37" s="237">
        <f>-3649/1000</f>
        <v>-3.649</v>
      </c>
      <c r="CI37" s="237">
        <f>-3640/1000</f>
        <v>-3.64</v>
      </c>
      <c r="CJ37" s="237">
        <f>-7372/1000</f>
        <v>-7.3719999999999999</v>
      </c>
      <c r="CK37" s="237">
        <f>-7536/1000</f>
        <v>-7.5359999999999996</v>
      </c>
      <c r="CL37" s="237">
        <f>-7485/1000</f>
        <v>-7.4850000000000003</v>
      </c>
      <c r="CM37" s="237">
        <f>-7357/1000</f>
        <v>-7.3570000000000002</v>
      </c>
      <c r="CN37" s="237">
        <f>-7006/1000</f>
        <v>-7.0060000000000002</v>
      </c>
      <c r="CO37" s="237">
        <f>-7207/1000</f>
        <v>-7.2069999999999999</v>
      </c>
      <c r="CP37" s="237">
        <f>-7156/1000</f>
        <v>-7.1559999999999997</v>
      </c>
      <c r="CQ37" s="237">
        <f>-7279/1000</f>
        <v>-7.2789999999999999</v>
      </c>
      <c r="CR37" s="237">
        <f>-7332/1000</f>
        <v>-7.3319999999999999</v>
      </c>
      <c r="CS37" s="237">
        <f>-7512/1000</f>
        <v>-7.5119999999999996</v>
      </c>
      <c r="CT37" s="237">
        <f>-7661/1000</f>
        <v>-7.6609999999999996</v>
      </c>
      <c r="CU37" s="237">
        <f>-7709/1000</f>
        <v>-7.7089999999999996</v>
      </c>
      <c r="CV37" s="237">
        <f>-5693/1000</f>
        <v>-5.6929999999999996</v>
      </c>
      <c r="CW37" s="237">
        <f>-5772/1000</f>
        <v>-5.7720000000000002</v>
      </c>
      <c r="CX37" s="716">
        <f>-18664/1000</f>
        <v>-18.664000000000001</v>
      </c>
    </row>
    <row r="38" spans="2:102" x14ac:dyDescent="0.35">
      <c r="B38" s="800"/>
      <c r="C38" s="59" t="s">
        <v>287</v>
      </c>
      <c r="D38" s="239">
        <v>6</v>
      </c>
      <c r="E38" s="239">
        <f>SUM(E32:E37)</f>
        <v>6</v>
      </c>
      <c r="F38" s="239">
        <v>0</v>
      </c>
      <c r="G38" s="239">
        <f>SUM(G32:G37)</f>
        <v>10</v>
      </c>
      <c r="H38" s="239">
        <f>SUM(H32:H37)</f>
        <v>7</v>
      </c>
      <c r="I38" s="239">
        <f>SUM(I32:I37)</f>
        <v>4</v>
      </c>
      <c r="J38" s="239">
        <v>23</v>
      </c>
      <c r="K38" s="239">
        <f t="shared" ref="K38:BV38" si="25">SUM(K32:K37)</f>
        <v>11</v>
      </c>
      <c r="L38" s="239">
        <f t="shared" si="25"/>
        <v>24</v>
      </c>
      <c r="M38" s="239">
        <f t="shared" si="25"/>
        <v>50</v>
      </c>
      <c r="N38" s="239">
        <f t="shared" si="25"/>
        <v>3</v>
      </c>
      <c r="O38" s="239">
        <f t="shared" si="25"/>
        <v>17</v>
      </c>
      <c r="P38" s="239">
        <f t="shared" si="25"/>
        <v>34</v>
      </c>
      <c r="Q38" s="237">
        <f t="shared" si="25"/>
        <v>12</v>
      </c>
      <c r="R38" s="237">
        <f t="shared" si="25"/>
        <v>22</v>
      </c>
      <c r="S38" s="237">
        <f t="shared" si="25"/>
        <v>27</v>
      </c>
      <c r="T38" s="237">
        <f t="shared" si="25"/>
        <v>21</v>
      </c>
      <c r="U38" s="237">
        <f t="shared" si="25"/>
        <v>23</v>
      </c>
      <c r="V38" s="237">
        <f t="shared" si="25"/>
        <v>24</v>
      </c>
      <c r="W38" s="237">
        <f t="shared" si="25"/>
        <v>29</v>
      </c>
      <c r="X38" s="237">
        <f t="shared" si="25"/>
        <v>20</v>
      </c>
      <c r="Y38" s="237">
        <f t="shared" si="25"/>
        <v>16</v>
      </c>
      <c r="Z38" s="237">
        <f t="shared" si="25"/>
        <v>21</v>
      </c>
      <c r="AA38" s="237">
        <f t="shared" si="25"/>
        <v>30</v>
      </c>
      <c r="AB38" s="237">
        <f t="shared" si="25"/>
        <v>32</v>
      </c>
      <c r="AC38" s="239">
        <f t="shared" si="25"/>
        <v>37</v>
      </c>
      <c r="AD38" s="237">
        <f t="shared" si="25"/>
        <v>29</v>
      </c>
      <c r="AE38" s="237">
        <f t="shared" si="25"/>
        <v>17</v>
      </c>
      <c r="AF38" s="237">
        <f t="shared" si="25"/>
        <v>18</v>
      </c>
      <c r="AG38" s="237">
        <f t="shared" si="25"/>
        <v>24</v>
      </c>
      <c r="AH38" s="237">
        <f t="shared" si="25"/>
        <v>7</v>
      </c>
      <c r="AI38" s="237">
        <f t="shared" si="25"/>
        <v>12</v>
      </c>
      <c r="AJ38" s="237">
        <f t="shared" si="25"/>
        <v>11</v>
      </c>
      <c r="AK38" s="237">
        <f t="shared" si="25"/>
        <v>21</v>
      </c>
      <c r="AL38" s="237">
        <f t="shared" si="25"/>
        <v>21</v>
      </c>
      <c r="AM38" s="237">
        <f t="shared" si="25"/>
        <v>24</v>
      </c>
      <c r="AN38" s="237">
        <f t="shared" si="25"/>
        <v>35</v>
      </c>
      <c r="AO38" s="238">
        <f t="shared" si="25"/>
        <v>30</v>
      </c>
      <c r="AP38" s="239">
        <f t="shared" si="25"/>
        <v>26</v>
      </c>
      <c r="AQ38" s="239">
        <f t="shared" si="25"/>
        <v>36</v>
      </c>
      <c r="AR38" s="239">
        <f t="shared" si="25"/>
        <v>-8</v>
      </c>
      <c r="AS38" s="239">
        <f t="shared" si="25"/>
        <v>2</v>
      </c>
      <c r="AT38" s="239">
        <f t="shared" si="25"/>
        <v>12</v>
      </c>
      <c r="AU38" s="239">
        <f t="shared" si="25"/>
        <v>27</v>
      </c>
      <c r="AV38" s="239">
        <f t="shared" si="25"/>
        <v>33</v>
      </c>
      <c r="AW38" s="239">
        <f t="shared" si="25"/>
        <v>55</v>
      </c>
      <c r="AX38" s="239">
        <f t="shared" si="25"/>
        <v>53</v>
      </c>
      <c r="AY38" s="239">
        <f t="shared" si="25"/>
        <v>38</v>
      </c>
      <c r="AZ38" s="239">
        <f t="shared" si="25"/>
        <v>40</v>
      </c>
      <c r="BA38" s="242">
        <f t="shared" si="25"/>
        <v>51</v>
      </c>
      <c r="BB38" s="239">
        <f t="shared" si="25"/>
        <v>49</v>
      </c>
      <c r="BC38" s="239">
        <f t="shared" si="25"/>
        <v>49</v>
      </c>
      <c r="BD38" s="239">
        <f t="shared" si="25"/>
        <v>45</v>
      </c>
      <c r="BE38" s="239">
        <f t="shared" si="25"/>
        <v>71</v>
      </c>
      <c r="BF38" s="239">
        <f t="shared" si="25"/>
        <v>76</v>
      </c>
      <c r="BG38" s="239">
        <f t="shared" si="25"/>
        <v>109</v>
      </c>
      <c r="BH38" s="239">
        <f t="shared" si="25"/>
        <v>79</v>
      </c>
      <c r="BI38" s="239">
        <f t="shared" si="25"/>
        <v>70</v>
      </c>
      <c r="BJ38" s="239">
        <f t="shared" si="25"/>
        <v>84</v>
      </c>
      <c r="BK38" s="239">
        <f t="shared" si="25"/>
        <v>47</v>
      </c>
      <c r="BL38" s="239">
        <f t="shared" si="25"/>
        <v>46</v>
      </c>
      <c r="BM38" s="239">
        <f t="shared" si="25"/>
        <v>49</v>
      </c>
      <c r="BN38" s="239">
        <f t="shared" si="25"/>
        <v>80</v>
      </c>
      <c r="BO38" s="239">
        <f t="shared" si="25"/>
        <v>53</v>
      </c>
      <c r="BP38" s="239">
        <f t="shared" si="25"/>
        <v>56</v>
      </c>
      <c r="BQ38" s="239">
        <f t="shared" si="25"/>
        <v>39</v>
      </c>
      <c r="BR38" s="239">
        <f t="shared" si="25"/>
        <v>39</v>
      </c>
      <c r="BS38" s="239">
        <f t="shared" si="25"/>
        <v>40</v>
      </c>
      <c r="BT38" s="239">
        <f t="shared" si="25"/>
        <v>39</v>
      </c>
      <c r="BU38" s="239">
        <f t="shared" si="25"/>
        <v>216</v>
      </c>
      <c r="BV38" s="239">
        <f t="shared" si="25"/>
        <v>232</v>
      </c>
      <c r="BW38" s="239">
        <f t="shared" ref="BW38:CJ38" si="26">SUM(BW32:BW37)</f>
        <v>206.88836149911253</v>
      </c>
      <c r="BX38" s="239">
        <f t="shared" si="26"/>
        <v>231.58769687499995</v>
      </c>
      <c r="BY38" s="239">
        <f t="shared" si="26"/>
        <v>30.523338909000003</v>
      </c>
      <c r="BZ38" s="239">
        <f t="shared" si="26"/>
        <v>29.391163469999999</v>
      </c>
      <c r="CA38" s="239">
        <f t="shared" si="26"/>
        <v>30.572610450999999</v>
      </c>
      <c r="CB38" s="239">
        <f t="shared" si="26"/>
        <v>31.20934754</v>
      </c>
      <c r="CC38" s="239">
        <f t="shared" si="26"/>
        <v>27.372240139999999</v>
      </c>
      <c r="CD38" s="239">
        <f t="shared" si="26"/>
        <v>46.533913219999995</v>
      </c>
      <c r="CE38" s="239">
        <f t="shared" si="26"/>
        <v>50.443837099999996</v>
      </c>
      <c r="CF38" s="239">
        <f t="shared" si="26"/>
        <v>213.73914960000002</v>
      </c>
      <c r="CG38" s="239">
        <f t="shared" si="26"/>
        <v>239.36193999999998</v>
      </c>
      <c r="CH38" s="239">
        <f t="shared" si="26"/>
        <v>339.79420299999998</v>
      </c>
      <c r="CI38" s="239">
        <f t="shared" si="26"/>
        <v>343.13680819959995</v>
      </c>
      <c r="CJ38" s="239">
        <f t="shared" si="26"/>
        <v>354.94171789599994</v>
      </c>
      <c r="CK38" s="239">
        <f t="shared" ref="CK38:CP38" si="27">SUM(CK32:CK37)</f>
        <v>351.10713002699998</v>
      </c>
      <c r="CL38" s="239">
        <f t="shared" si="27"/>
        <v>260.21181940999998</v>
      </c>
      <c r="CM38" s="239">
        <f t="shared" si="27"/>
        <v>265.28888692699996</v>
      </c>
      <c r="CN38" s="239">
        <f t="shared" si="27"/>
        <v>255.222159914</v>
      </c>
      <c r="CO38" s="239">
        <f t="shared" si="27"/>
        <v>28.544869929999997</v>
      </c>
      <c r="CP38" s="239">
        <f t="shared" si="27"/>
        <v>147.96028632839997</v>
      </c>
      <c r="CQ38" s="239">
        <f t="shared" ref="CQ38:CT38" si="28">SUM(CQ32:CQ37)</f>
        <v>155.62616039600002</v>
      </c>
      <c r="CR38" s="239">
        <f t="shared" si="28"/>
        <v>124.25500499400002</v>
      </c>
      <c r="CS38" s="239">
        <f t="shared" si="28"/>
        <v>117.1238877</v>
      </c>
      <c r="CT38" s="239">
        <f t="shared" si="28"/>
        <v>19.994801635000002</v>
      </c>
      <c r="CU38" s="239">
        <f t="shared" ref="CU38:CV38" si="29">SUM(CU32:CU37)</f>
        <v>548.82686278200003</v>
      </c>
      <c r="CV38" s="239">
        <f t="shared" si="29"/>
        <v>634.302561685</v>
      </c>
      <c r="CW38" s="239">
        <f t="shared" ref="CW38:CX38" si="30">SUM(CW32:CW37)</f>
        <v>187.58770800040003</v>
      </c>
      <c r="CX38" s="687">
        <f t="shared" si="30"/>
        <v>87.929270686400002</v>
      </c>
    </row>
    <row r="39" spans="2:102" x14ac:dyDescent="0.35">
      <c r="B39" s="227" t="s">
        <v>288</v>
      </c>
      <c r="C39" s="227"/>
      <c r="D39" s="234">
        <v>31</v>
      </c>
      <c r="E39" s="234">
        <f>IF(E38&gt;SUM(E92:F92),(E38-F92-E92)/D92*D87+E87+F87,(E38-F92)/E92*E87+F87)</f>
        <v>36.166666666666664</v>
      </c>
      <c r="F39" s="234">
        <f>IF(F38&gt;SUM(F92:G92),(F38-G92-F92)/E92*E87+F87+G87,(F38-G92)/F92*F87+G87)</f>
        <v>-3</v>
      </c>
      <c r="G39" s="234">
        <f>IF(G38&gt;SUM(G92:H92),(G38-H92-G92)/F92*F87+G87+H87,(G38-H92)/G92*G87+H87)</f>
        <v>59</v>
      </c>
      <c r="H39" s="234">
        <f>IF(H38&gt;SUM(H92:I92),(H38-I92-H92)/G92*G87+H87+I87,(H38-I92)/H92*H87+I87)</f>
        <v>42.4</v>
      </c>
      <c r="I39" s="234">
        <f>IF(I38&gt;SUM(I92:J92),(I38-J92-I92)/H92*H87+I87+J87,(I38-J92)/I92*I87+J87)</f>
        <v>31</v>
      </c>
      <c r="J39" s="234">
        <v>56</v>
      </c>
      <c r="K39" s="234">
        <f t="shared" ref="K39:BV39" si="31">IF(K38&gt;SUM(K92:L92),(K38-L92-K92)/J92*J87+K87+L87,(K38-L92)/K92*K87+L87)</f>
        <v>51</v>
      </c>
      <c r="L39" s="234">
        <f t="shared" si="31"/>
        <v>67</v>
      </c>
      <c r="M39" s="234">
        <f t="shared" si="31"/>
        <v>118.57142857142858</v>
      </c>
      <c r="N39" s="234">
        <f t="shared" si="31"/>
        <v>22.428571428571431</v>
      </c>
      <c r="O39" s="234">
        <f t="shared" si="31"/>
        <v>65.285714285714278</v>
      </c>
      <c r="P39" s="234">
        <f t="shared" si="31"/>
        <v>81.666666666666657</v>
      </c>
      <c r="Q39" s="234">
        <f t="shared" si="31"/>
        <v>35.043478260869563</v>
      </c>
      <c r="R39" s="234">
        <f t="shared" si="31"/>
        <v>60.347826086956523</v>
      </c>
      <c r="S39" s="234">
        <f t="shared" si="31"/>
        <v>72.777777777777771</v>
      </c>
      <c r="T39" s="234">
        <f t="shared" si="31"/>
        <v>55.363636363636367</v>
      </c>
      <c r="U39" s="234">
        <f t="shared" si="31"/>
        <v>56</v>
      </c>
      <c r="V39" s="234">
        <f t="shared" si="31"/>
        <v>63.5</v>
      </c>
      <c r="W39" s="234">
        <f t="shared" si="31"/>
        <v>75.307692307692307</v>
      </c>
      <c r="X39" s="234">
        <f t="shared" si="31"/>
        <v>50.07692307692308</v>
      </c>
      <c r="Y39" s="234">
        <f t="shared" si="31"/>
        <v>40.333333333333329</v>
      </c>
      <c r="Z39" s="234">
        <f t="shared" si="31"/>
        <v>51</v>
      </c>
      <c r="AA39" s="234">
        <f t="shared" si="31"/>
        <v>71</v>
      </c>
      <c r="AB39" s="234">
        <f t="shared" si="31"/>
        <v>84.84615384615384</v>
      </c>
      <c r="AC39" s="234">
        <f t="shared" si="31"/>
        <v>55.111111111111114</v>
      </c>
      <c r="AD39" s="234">
        <f t="shared" si="31"/>
        <v>35.200000000000003</v>
      </c>
      <c r="AE39" s="234">
        <f t="shared" si="31"/>
        <v>36.043478260869563</v>
      </c>
      <c r="AF39" s="234">
        <f t="shared" si="31"/>
        <v>39.53846153846154</v>
      </c>
      <c r="AG39" s="234">
        <f t="shared" si="31"/>
        <v>52.428571428571431</v>
      </c>
      <c r="AH39" s="234">
        <f t="shared" si="31"/>
        <v>16.714285714285715</v>
      </c>
      <c r="AI39" s="234">
        <f t="shared" si="31"/>
        <v>31</v>
      </c>
      <c r="AJ39" s="234">
        <f t="shared" si="31"/>
        <v>31</v>
      </c>
      <c r="AK39" s="234">
        <f t="shared" si="31"/>
        <v>49.727272727272727</v>
      </c>
      <c r="AL39" s="234">
        <f t="shared" si="31"/>
        <v>46</v>
      </c>
      <c r="AM39" s="234">
        <f t="shared" si="31"/>
        <v>36.642857142857139</v>
      </c>
      <c r="AN39" s="234">
        <f t="shared" si="31"/>
        <v>51</v>
      </c>
      <c r="AO39" s="235">
        <f t="shared" si="31"/>
        <v>51.666666666666664</v>
      </c>
      <c r="AP39" s="234">
        <f t="shared" si="31"/>
        <v>43.5</v>
      </c>
      <c r="AQ39" s="234">
        <f t="shared" si="31"/>
        <v>60.9375</v>
      </c>
      <c r="AR39" s="234">
        <f t="shared" si="31"/>
        <v>-32</v>
      </c>
      <c r="AS39" s="234">
        <f t="shared" si="31"/>
        <v>-10.53846153846154</v>
      </c>
      <c r="AT39" s="234">
        <f t="shared" si="31"/>
        <v>12.868421052631579</v>
      </c>
      <c r="AU39" s="234">
        <f t="shared" si="31"/>
        <v>16.454545454545453</v>
      </c>
      <c r="AV39" s="234">
        <f t="shared" si="31"/>
        <v>20.186046511627907</v>
      </c>
      <c r="AW39" s="234">
        <f t="shared" si="31"/>
        <v>48.083333333333336</v>
      </c>
      <c r="AX39" s="234">
        <f t="shared" si="31"/>
        <v>46.555555555555557</v>
      </c>
      <c r="AY39" s="234">
        <f t="shared" si="31"/>
        <v>32.384615384615387</v>
      </c>
      <c r="AZ39" s="234">
        <f t="shared" si="31"/>
        <v>32.714285714285715</v>
      </c>
      <c r="BA39" s="235">
        <f t="shared" si="31"/>
        <v>39.973684210526315</v>
      </c>
      <c r="BB39" s="234">
        <f t="shared" si="31"/>
        <v>34.975000000000001</v>
      </c>
      <c r="BC39" s="234">
        <f t="shared" si="31"/>
        <v>37.299999999999997</v>
      </c>
      <c r="BD39" s="234">
        <f t="shared" si="31"/>
        <v>31.55</v>
      </c>
      <c r="BE39" s="234">
        <f t="shared" si="31"/>
        <v>44.255813953488371</v>
      </c>
      <c r="BF39" s="234">
        <f t="shared" si="31"/>
        <v>46.096153846153847</v>
      </c>
      <c r="BG39" s="234">
        <f t="shared" si="31"/>
        <v>65.769230769230774</v>
      </c>
      <c r="BH39" s="234">
        <f t="shared" si="31"/>
        <v>50.07692307692308</v>
      </c>
      <c r="BI39" s="234">
        <f t="shared" si="31"/>
        <v>45.829787234042556</v>
      </c>
      <c r="BJ39" s="234">
        <f t="shared" si="31"/>
        <v>38.173913043478258</v>
      </c>
      <c r="BK39" s="234">
        <f t="shared" si="31"/>
        <v>40.19178082191781</v>
      </c>
      <c r="BL39" s="234">
        <f t="shared" si="31"/>
        <v>27.086956521739129</v>
      </c>
      <c r="BM39" s="234">
        <f t="shared" si="31"/>
        <v>31</v>
      </c>
      <c r="BN39" s="234">
        <f t="shared" si="31"/>
        <v>48.877551020408163</v>
      </c>
      <c r="BO39" s="234">
        <f t="shared" si="31"/>
        <v>35.170212765957444</v>
      </c>
      <c r="BP39" s="234">
        <f t="shared" si="31"/>
        <v>38.760869565217391</v>
      </c>
      <c r="BQ39" s="234">
        <f t="shared" si="31"/>
        <v>33.790697674418603</v>
      </c>
      <c r="BR39" s="234">
        <f t="shared" si="31"/>
        <v>30</v>
      </c>
      <c r="BS39" s="234">
        <f t="shared" si="31"/>
        <v>31</v>
      </c>
      <c r="BT39" s="234">
        <f t="shared" si="31"/>
        <v>34.875</v>
      </c>
      <c r="BU39" s="234">
        <f t="shared" si="31"/>
        <v>129.19999999999999</v>
      </c>
      <c r="BV39" s="234">
        <f t="shared" si="31"/>
        <v>103.85294117647058</v>
      </c>
      <c r="BW39" s="234">
        <f t="shared" ref="BW39:CI39" si="32">IF(BW38&gt;SUM(BW92:BX92),(BW38-BX92-BW92)/BV92*BV87+BW87+BX87,(BW38-BX92)/BW92*BW87+BX87)</f>
        <v>68.304796223121031</v>
      </c>
      <c r="BX39" s="234">
        <f t="shared" si="32"/>
        <v>78.573830803571411</v>
      </c>
      <c r="BY39" s="234">
        <f t="shared" si="32"/>
        <v>11.232454094011494</v>
      </c>
      <c r="BZ39" s="234">
        <f t="shared" si="32"/>
        <v>8.9549542740697667</v>
      </c>
      <c r="CA39" s="234">
        <f t="shared" si="32"/>
        <v>12.430655330341178</v>
      </c>
      <c r="CB39" s="234">
        <f t="shared" si="32"/>
        <v>31.899879691058825</v>
      </c>
      <c r="CC39" s="234">
        <f t="shared" si="32"/>
        <v>32.583354007692307</v>
      </c>
      <c r="CD39" s="234">
        <f t="shared" si="32"/>
        <v>-17.055718853076925</v>
      </c>
      <c r="CE39" s="234">
        <f t="shared" si="32"/>
        <v>17.550175732558138</v>
      </c>
      <c r="CF39" s="234">
        <f t="shared" si="32"/>
        <v>74.118308000000013</v>
      </c>
      <c r="CG39" s="234">
        <f t="shared" si="32"/>
        <v>83.418203820224704</v>
      </c>
      <c r="CH39" s="234">
        <f t="shared" si="32"/>
        <v>139.80689214444442</v>
      </c>
      <c r="CI39" s="234">
        <f t="shared" si="32"/>
        <v>185.63652054103528</v>
      </c>
      <c r="CJ39" s="234">
        <f>IF(CJ38&gt;SUM(CJ92:CK92),(CJ38-CK92-CJ92)/CI92*CI87+CJ87+CK87,(CJ38-CK92)/CJ92*CJ87+CK87)</f>
        <v>497.3151251836922</v>
      </c>
      <c r="CK39" s="234">
        <f>IF(CK38&gt;SUM(CK92:CL92),(CK38-CL92-CK92)/CJ92*CJ87+CK87+CL87,(CK38-CL92)/CK92*CK87+CL87)</f>
        <v>-188.92260835583332</v>
      </c>
      <c r="CL39" s="234">
        <f>IF(CL38&gt;SUM(CL92:CM92),(CL38-CM92-CL92)/CK92*CK87+CL87+CM87,(CL38-CM92)/CL92*CL87+CM87)</f>
        <v>319.66265606839994</v>
      </c>
      <c r="CM39" s="234">
        <f>IF(CM38&gt;SUM(CM92:CN92),(CM38-CN92-CM92)/CL92*CL87+CM87+CN87,(CM38-CN92)/CM92*CM87+CN87)</f>
        <v>325.95821978947993</v>
      </c>
      <c r="CN39" s="234">
        <f>IF(CN38&gt;SUM(CN92:CO92),(CN38-CO92-CN92)/CM92*CM87+CN87+CO87,(CN38-CO92)/CN92*CN87+CO87)</f>
        <v>293.08881910368001</v>
      </c>
      <c r="CO39" s="234">
        <f t="shared" ref="CO39" si="33">IF(CO38&gt;SUM(CO92:CP92),(CO38-CP92-CO92)/CN92*CN87+CO87+CP87,(CO38-CP92)/CO92*CO87+CP87)</f>
        <v>36.928091213043473</v>
      </c>
      <c r="CP39" s="234">
        <f t="shared" ref="CP39:CX39" si="34">IF(CP38&gt;SUM(CP92:CQ92),(CP38-CQ92-CP92)/CO92*CO87+CP87+CQ87,(CP38-CQ92)/CP92*CP87+CQ87)</f>
        <v>191.38298216747822</v>
      </c>
      <c r="CQ39" s="234">
        <f t="shared" si="34"/>
        <v>122.51712384483335</v>
      </c>
      <c r="CR39" s="234">
        <f t="shared" si="34"/>
        <v>28.510775652547625</v>
      </c>
      <c r="CS39" s="234">
        <f t="shared" si="34"/>
        <v>36.891912356488547</v>
      </c>
      <c r="CT39" s="234">
        <f t="shared" si="34"/>
        <v>0.31640964829545482</v>
      </c>
      <c r="CU39" s="234">
        <f t="shared" si="34"/>
        <v>167.98643049386365</v>
      </c>
      <c r="CV39" s="234">
        <f t="shared" si="34"/>
        <v>172.68526738395454</v>
      </c>
      <c r="CW39" s="234">
        <f t="shared" si="34"/>
        <v>56.674503964711512</v>
      </c>
      <c r="CX39" s="512">
        <f t="shared" si="34"/>
        <v>29.625610545514895</v>
      </c>
    </row>
    <row r="40" spans="2:102" x14ac:dyDescent="0.35">
      <c r="B40" s="227"/>
      <c r="C40" s="227"/>
      <c r="D40" s="234"/>
      <c r="E40" s="234"/>
      <c r="F40" s="234"/>
      <c r="G40" s="234"/>
      <c r="H40" s="234"/>
      <c r="I40" s="234"/>
      <c r="J40" s="234"/>
      <c r="K40" s="234"/>
      <c r="L40" s="234"/>
      <c r="M40" s="234"/>
      <c r="N40" s="234"/>
      <c r="O40" s="234"/>
      <c r="P40" s="234"/>
      <c r="AO40" s="78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87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/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717"/>
    </row>
    <row r="41" spans="2:102" x14ac:dyDescent="0.35">
      <c r="B41" s="798" t="s">
        <v>292</v>
      </c>
      <c r="C41" s="56" t="s">
        <v>281</v>
      </c>
      <c r="D41" s="229">
        <v>0</v>
      </c>
      <c r="E41" s="230">
        <v>0</v>
      </c>
      <c r="F41" s="230">
        <v>0</v>
      </c>
      <c r="G41" s="230">
        <v>0</v>
      </c>
      <c r="H41" s="230">
        <v>0</v>
      </c>
      <c r="I41" s="230">
        <v>0</v>
      </c>
      <c r="J41" s="230">
        <v>0</v>
      </c>
      <c r="K41" s="230">
        <v>0</v>
      </c>
      <c r="L41" s="230">
        <v>0</v>
      </c>
      <c r="M41" s="230">
        <v>0</v>
      </c>
      <c r="N41" s="230">
        <v>0</v>
      </c>
      <c r="O41" s="230">
        <v>0</v>
      </c>
      <c r="P41" s="229">
        <v>7</v>
      </c>
      <c r="Q41" s="240">
        <v>6</v>
      </c>
      <c r="R41" s="230">
        <v>6</v>
      </c>
      <c r="S41" s="230">
        <v>7</v>
      </c>
      <c r="T41" s="230">
        <v>6</v>
      </c>
      <c r="U41" s="230">
        <v>6</v>
      </c>
      <c r="V41" s="230">
        <v>33</v>
      </c>
      <c r="W41" s="230">
        <v>33</v>
      </c>
      <c r="X41" s="230">
        <v>35</v>
      </c>
      <c r="Y41" s="230">
        <v>34</v>
      </c>
      <c r="Z41" s="230">
        <v>33</v>
      </c>
      <c r="AA41" s="232">
        <v>33</v>
      </c>
      <c r="AB41" s="278">
        <v>33</v>
      </c>
      <c r="AC41" s="240">
        <v>35</v>
      </c>
      <c r="AD41" s="232">
        <v>34</v>
      </c>
      <c r="AE41" s="232">
        <v>35</v>
      </c>
      <c r="AF41" s="232">
        <v>32</v>
      </c>
      <c r="AG41" s="232">
        <v>33</v>
      </c>
      <c r="AH41" s="232">
        <v>34</v>
      </c>
      <c r="AI41" s="232">
        <v>6</v>
      </c>
      <c r="AJ41" s="230">
        <v>32</v>
      </c>
      <c r="AK41" s="232">
        <v>6</v>
      </c>
      <c r="AL41" s="232">
        <v>1</v>
      </c>
      <c r="AM41" s="232">
        <v>27</v>
      </c>
      <c r="AN41" s="232">
        <v>30</v>
      </c>
      <c r="AO41" s="240">
        <v>29</v>
      </c>
      <c r="AP41">
        <v>55</v>
      </c>
      <c r="AQ41" s="232">
        <v>30</v>
      </c>
      <c r="AR41" s="232">
        <v>31</v>
      </c>
      <c r="AS41" s="232">
        <v>29</v>
      </c>
      <c r="AT41" s="232">
        <v>58</v>
      </c>
      <c r="AU41" s="232">
        <v>58</v>
      </c>
      <c r="AV41" s="232">
        <v>29</v>
      </c>
      <c r="AW41" s="232">
        <v>29</v>
      </c>
      <c r="AX41" s="232">
        <v>28</v>
      </c>
      <c r="AY41" s="232">
        <v>28</v>
      </c>
      <c r="AZ41" s="232">
        <v>28</v>
      </c>
      <c r="BA41" s="231">
        <v>27</v>
      </c>
      <c r="BB41" s="232">
        <v>53</v>
      </c>
      <c r="BC41" s="232">
        <v>28</v>
      </c>
      <c r="BD41" s="232">
        <v>32</v>
      </c>
      <c r="BE41" s="232">
        <v>55</v>
      </c>
      <c r="BF41" s="232">
        <v>55</v>
      </c>
      <c r="BG41">
        <v>55</v>
      </c>
      <c r="BH41">
        <v>57</v>
      </c>
      <c r="BI41">
        <v>60</v>
      </c>
      <c r="BJ41">
        <v>28</v>
      </c>
      <c r="BK41">
        <v>26</v>
      </c>
      <c r="BL41">
        <v>48</v>
      </c>
      <c r="BM41">
        <v>47</v>
      </c>
      <c r="BN41">
        <v>52</v>
      </c>
      <c r="BO41">
        <v>24</v>
      </c>
      <c r="BP41">
        <v>23</v>
      </c>
      <c r="BQ41">
        <v>24</v>
      </c>
      <c r="BR41">
        <v>41</v>
      </c>
      <c r="BS41">
        <v>41</v>
      </c>
      <c r="BT41">
        <v>23</v>
      </c>
      <c r="BU41">
        <v>22</v>
      </c>
      <c r="BV41">
        <v>23</v>
      </c>
      <c r="BW41" s="243">
        <v>21.460999999999999</v>
      </c>
      <c r="BX41" s="243">
        <f>21004.25885/1000</f>
        <v>21.004258849999999</v>
      </c>
      <c r="BY41" s="243">
        <f>23157.03946/1000</f>
        <v>23.15703946</v>
      </c>
      <c r="BZ41" s="243">
        <f>24960.59904/1000</f>
        <v>24.960599040000002</v>
      </c>
      <c r="CA41" s="243">
        <f>27827.64299/1000</f>
        <v>27.827642990000001</v>
      </c>
      <c r="CB41" s="243">
        <f>26271.88607/1000</f>
        <v>26.271886070000001</v>
      </c>
      <c r="CC41" s="243">
        <f>27142.79923/1000</f>
        <v>27.142799230000001</v>
      </c>
      <c r="CD41" s="243">
        <f>27561.82964/1000</f>
        <v>27.561829639999999</v>
      </c>
      <c r="CE41" s="243">
        <f>47476.16868/1000</f>
        <v>47.476168680000001</v>
      </c>
      <c r="CF41" s="243">
        <f>23019.48312/1000</f>
        <v>23.01948312</v>
      </c>
      <c r="CG41" s="243">
        <f>20839.63/1000</f>
        <v>20.83963</v>
      </c>
      <c r="CH41" s="243">
        <f>19128.64067/1000</f>
        <v>19.128640669999999</v>
      </c>
      <c r="CI41" s="243">
        <f>18260.05411/1000</f>
        <v>18.260054110000002</v>
      </c>
      <c r="CJ41" s="243">
        <f>17968.26079/1000</f>
        <v>17.968260789999999</v>
      </c>
      <c r="CK41" s="243">
        <f>31759.57266/1000</f>
        <v>31.75957266</v>
      </c>
      <c r="CL41" s="243">
        <f>30550.5624/1000</f>
        <v>30.5505624</v>
      </c>
      <c r="CM41" s="243">
        <f>25271.59712/1000</f>
        <v>25.271597119999999</v>
      </c>
      <c r="CN41" s="243">
        <f>19889.72031/1000</f>
        <v>19.889720310000001</v>
      </c>
      <c r="CO41" s="243">
        <f>18302.67852/1000</f>
        <v>18.302678520000001</v>
      </c>
      <c r="CP41" s="243">
        <f>17988.18004/1000</f>
        <v>17.98818004</v>
      </c>
      <c r="CQ41" s="243">
        <f>10676.21093/1000</f>
        <v>10.67621093</v>
      </c>
      <c r="CR41" s="243">
        <f>10567.80834/1000</f>
        <v>10.567808339999999</v>
      </c>
      <c r="CS41" s="243">
        <f>19335.01386/1000</f>
        <v>19.33501386</v>
      </c>
      <c r="CT41" s="243">
        <f>20318.95525/1000</f>
        <v>20.318955249999998</v>
      </c>
      <c r="CU41" s="243">
        <f>21979.79718/1000</f>
        <v>21.979797180000002</v>
      </c>
      <c r="CV41" s="243">
        <f>10903.19881/1000</f>
        <v>10.903198809999999</v>
      </c>
      <c r="CW41" s="243">
        <f>16073.25239/1000</f>
        <v>16.07325239</v>
      </c>
      <c r="CX41" s="557">
        <f>18283.66174/1000</f>
        <v>18.283661739999999</v>
      </c>
    </row>
    <row r="42" spans="2:102" x14ac:dyDescent="0.35">
      <c r="B42" s="799"/>
      <c r="C42" s="57" t="s">
        <v>282</v>
      </c>
      <c r="D42" s="233">
        <v>0</v>
      </c>
      <c r="E42" s="234">
        <v>0</v>
      </c>
      <c r="F42" s="234">
        <v>0</v>
      </c>
      <c r="G42" s="234">
        <v>0</v>
      </c>
      <c r="H42" s="234">
        <v>0</v>
      </c>
      <c r="I42" s="234">
        <v>0</v>
      </c>
      <c r="J42" s="234">
        <v>0</v>
      </c>
      <c r="K42" s="234">
        <v>0</v>
      </c>
      <c r="L42" s="234">
        <v>0</v>
      </c>
      <c r="M42" s="234">
        <v>0</v>
      </c>
      <c r="N42" s="234">
        <v>0</v>
      </c>
      <c r="O42" s="234">
        <v>0</v>
      </c>
      <c r="P42" s="233">
        <v>210</v>
      </c>
      <c r="Q42" s="235">
        <v>6</v>
      </c>
      <c r="R42" s="234">
        <v>38</v>
      </c>
      <c r="S42" s="234">
        <v>6</v>
      </c>
      <c r="T42" s="234">
        <v>32</v>
      </c>
      <c r="U42" s="234">
        <v>6</v>
      </c>
      <c r="V42" s="234">
        <v>32</v>
      </c>
      <c r="W42" s="234">
        <v>8</v>
      </c>
      <c r="X42" s="234">
        <v>2</v>
      </c>
      <c r="Y42" s="234">
        <v>33</v>
      </c>
      <c r="Z42" s="234">
        <v>7</v>
      </c>
      <c r="AA42" s="234">
        <v>33</v>
      </c>
      <c r="AB42" s="279">
        <v>6</v>
      </c>
      <c r="AC42" s="235">
        <v>1</v>
      </c>
      <c r="AD42" s="234">
        <v>13</v>
      </c>
      <c r="AE42">
        <v>8</v>
      </c>
      <c r="AF42">
        <v>33</v>
      </c>
      <c r="AG42">
        <v>6</v>
      </c>
      <c r="AH42">
        <v>31</v>
      </c>
      <c r="AI42">
        <v>26</v>
      </c>
      <c r="AJ42">
        <v>-29</v>
      </c>
      <c r="AK42">
        <v>12</v>
      </c>
      <c r="AL42">
        <v>28</v>
      </c>
      <c r="AM42">
        <v>27</v>
      </c>
      <c r="AN42">
        <v>30</v>
      </c>
      <c r="AO42" s="235">
        <v>3</v>
      </c>
      <c r="AP42">
        <v>-1</v>
      </c>
      <c r="AQ42">
        <v>54</v>
      </c>
      <c r="AR42">
        <v>29</v>
      </c>
      <c r="AS42">
        <v>5</v>
      </c>
      <c r="AU42">
        <v>2</v>
      </c>
      <c r="AV42">
        <v>29</v>
      </c>
      <c r="AW42">
        <v>2</v>
      </c>
      <c r="AX42">
        <v>28</v>
      </c>
      <c r="AY42">
        <v>28</v>
      </c>
      <c r="AZ42">
        <v>27</v>
      </c>
      <c r="BA42" s="78">
        <v>3</v>
      </c>
      <c r="BB42">
        <v>2</v>
      </c>
      <c r="BC42">
        <v>1</v>
      </c>
      <c r="BD42" s="234">
        <v>2</v>
      </c>
      <c r="BE42" s="234">
        <v>5</v>
      </c>
      <c r="BF42" s="234">
        <v>0</v>
      </c>
      <c r="BG42">
        <v>6</v>
      </c>
      <c r="BH42">
        <v>0</v>
      </c>
      <c r="BI42">
        <v>0</v>
      </c>
      <c r="BJ42" s="234">
        <v>30</v>
      </c>
      <c r="BK42" s="234">
        <v>3</v>
      </c>
      <c r="BL42" s="234">
        <v>2</v>
      </c>
      <c r="BM42" s="234">
        <v>3</v>
      </c>
      <c r="BN42" s="234"/>
      <c r="BO42" s="234">
        <v>3</v>
      </c>
      <c r="BP42">
        <v>22</v>
      </c>
      <c r="BQ42">
        <v>3</v>
      </c>
      <c r="BR42">
        <v>3</v>
      </c>
      <c r="BS42">
        <v>3</v>
      </c>
      <c r="BT42">
        <v>23</v>
      </c>
      <c r="BU42">
        <v>22</v>
      </c>
      <c r="BV42">
        <v>21</v>
      </c>
      <c r="BW42">
        <v>20</v>
      </c>
      <c r="BX42" s="243">
        <f>20836.08038/1000</f>
        <v>20.836080379999999</v>
      </c>
      <c r="BY42" s="243">
        <f>20565.2585/1000</f>
        <v>20.565258499999999</v>
      </c>
      <c r="BZ42" s="243">
        <f>3533.26143/1000</f>
        <v>3.53326143</v>
      </c>
      <c r="CA42" s="243">
        <f>24655.05298/1000</f>
        <v>24.655052980000001</v>
      </c>
      <c r="CB42" s="243">
        <f>4283.698384/1000</f>
        <v>4.283698384</v>
      </c>
      <c r="CC42" s="243">
        <f>26266.39088/1000</f>
        <v>26.266390879999999</v>
      </c>
      <c r="CD42" s="243">
        <f>25915.85369/1000</f>
        <v>25.915853689999999</v>
      </c>
      <c r="CE42" s="243">
        <f>1738.537/1000</f>
        <v>1.738537</v>
      </c>
      <c r="CF42" s="243">
        <f>45816.23048/1000</f>
        <v>45.816230480000002</v>
      </c>
      <c r="CG42" s="243">
        <f>22332.22/1000</f>
        <v>22.33222</v>
      </c>
      <c r="CH42" s="243">
        <f>21571.04511/1000</f>
        <v>21.57104511</v>
      </c>
      <c r="CI42" s="243">
        <f>17494.45003/1000</f>
        <v>17.494450029999999</v>
      </c>
      <c r="CJ42" s="243">
        <f>7447.28692/1000</f>
        <v>7.4472869199999998</v>
      </c>
      <c r="CK42" s="243">
        <f>1904.162723/1000</f>
        <v>1.904162723</v>
      </c>
      <c r="CL42" s="243">
        <f>9616.54589/1000</f>
        <v>9.6165458899999994</v>
      </c>
      <c r="CM42" s="243">
        <f>14906.7979/1000</f>
        <v>14.906797899999999</v>
      </c>
      <c r="CN42" s="243">
        <f>1523.8039/1000</f>
        <v>1.5238039000000001</v>
      </c>
      <c r="CO42" s="243">
        <f>2829.392905/1000</f>
        <v>2.8293929050000002</v>
      </c>
      <c r="CP42" s="243">
        <f>9772.877281/1000</f>
        <v>9.7728772809999995</v>
      </c>
      <c r="CQ42" s="243">
        <f>5340.372089/1000</f>
        <v>5.3403720890000006</v>
      </c>
      <c r="CR42" s="243">
        <f>3432.014556/1000</f>
        <v>3.4320145559999999</v>
      </c>
      <c r="CS42" s="243">
        <f>2440.3405/1000</f>
        <v>2.4403404999999996</v>
      </c>
      <c r="CT42" s="243">
        <f>10718.19761/1000</f>
        <v>10.718197609999999</v>
      </c>
      <c r="CU42" s="243">
        <f>7405.874469/1000</f>
        <v>7.4058744690000005</v>
      </c>
      <c r="CV42" s="243">
        <f>21687.04941/1000</f>
        <v>21.68704941</v>
      </c>
      <c r="CW42" s="243">
        <f>1710.720785/1000</f>
        <v>1.7107207849999999</v>
      </c>
      <c r="CX42" s="512">
        <f>-1037.827627/1000</f>
        <v>-1.037827627</v>
      </c>
    </row>
    <row r="43" spans="2:102" x14ac:dyDescent="0.35">
      <c r="B43" s="799"/>
      <c r="C43" s="57" t="s">
        <v>283</v>
      </c>
      <c r="D43" s="233">
        <v>0</v>
      </c>
      <c r="E43" s="234">
        <v>0</v>
      </c>
      <c r="F43" s="234">
        <v>0</v>
      </c>
      <c r="G43" s="234">
        <v>0</v>
      </c>
      <c r="H43" s="234">
        <v>0</v>
      </c>
      <c r="I43" s="234">
        <v>0</v>
      </c>
      <c r="J43" s="234">
        <v>0</v>
      </c>
      <c r="K43" s="234">
        <v>0</v>
      </c>
      <c r="L43" s="234">
        <v>0</v>
      </c>
      <c r="M43" s="234">
        <v>0</v>
      </c>
      <c r="N43" s="234">
        <v>0</v>
      </c>
      <c r="O43" s="234">
        <v>0</v>
      </c>
      <c r="P43" s="233">
        <v>31</v>
      </c>
      <c r="Q43" s="235">
        <v>94</v>
      </c>
      <c r="R43" s="234">
        <v>28</v>
      </c>
      <c r="S43" s="234">
        <v>39</v>
      </c>
      <c r="T43" s="234">
        <v>6</v>
      </c>
      <c r="U43" s="234">
        <v>0</v>
      </c>
      <c r="V43" s="234">
        <v>6</v>
      </c>
      <c r="W43" s="234">
        <v>27</v>
      </c>
      <c r="X43" s="234">
        <v>33</v>
      </c>
      <c r="Y43" s="234">
        <v>2</v>
      </c>
      <c r="Z43" s="234">
        <v>26</v>
      </c>
      <c r="AA43" s="234">
        <v>7</v>
      </c>
      <c r="AB43" s="279">
        <v>27</v>
      </c>
      <c r="AC43" s="235">
        <v>34</v>
      </c>
      <c r="AD43" s="234">
        <v>35</v>
      </c>
      <c r="AE43">
        <v>13</v>
      </c>
      <c r="AF43">
        <v>8</v>
      </c>
      <c r="AG43">
        <v>25</v>
      </c>
      <c r="AH43">
        <v>6</v>
      </c>
      <c r="AI43">
        <v>30</v>
      </c>
      <c r="AJ43">
        <v>26</v>
      </c>
      <c r="AL43">
        <v>27</v>
      </c>
      <c r="AO43" s="235">
        <v>27</v>
      </c>
      <c r="AP43">
        <v>27</v>
      </c>
      <c r="AR43">
        <v>55</v>
      </c>
      <c r="AS43">
        <v>28</v>
      </c>
      <c r="AT43">
        <v>4</v>
      </c>
      <c r="AV43">
        <v>2</v>
      </c>
      <c r="AW43">
        <v>30</v>
      </c>
      <c r="AY43">
        <v>1</v>
      </c>
      <c r="AZ43">
        <v>2</v>
      </c>
      <c r="BA43" s="78">
        <v>1</v>
      </c>
      <c r="BB43">
        <v>2</v>
      </c>
      <c r="BD43" s="234">
        <v>0</v>
      </c>
      <c r="BE43" s="234">
        <v>1</v>
      </c>
      <c r="BF43" s="234">
        <v>4</v>
      </c>
      <c r="BG43">
        <v>3</v>
      </c>
      <c r="BH43">
        <v>0</v>
      </c>
      <c r="BI43" s="234">
        <v>-1</v>
      </c>
      <c r="BJ43" s="234">
        <v>0</v>
      </c>
      <c r="BK43" s="234">
        <v>25</v>
      </c>
      <c r="BL43" s="234">
        <v>0</v>
      </c>
      <c r="BM43" s="234">
        <v>0</v>
      </c>
      <c r="BN43" s="234">
        <v>1</v>
      </c>
      <c r="BO43" s="234">
        <v>0</v>
      </c>
      <c r="BP43" s="234">
        <v>0</v>
      </c>
      <c r="BQ43" s="234">
        <v>0</v>
      </c>
      <c r="BR43" s="234">
        <v>0</v>
      </c>
      <c r="BS43" s="234">
        <v>0</v>
      </c>
      <c r="BT43" s="234">
        <v>0</v>
      </c>
      <c r="BU43" s="234">
        <v>0</v>
      </c>
      <c r="BV43" s="234">
        <v>1</v>
      </c>
      <c r="BW43" s="234">
        <v>2</v>
      </c>
      <c r="BX43" s="234">
        <f>2692.62592/1000</f>
        <v>2.6926259199999998</v>
      </c>
      <c r="BY43" s="234">
        <f>1473.8505/1000</f>
        <v>1.4738505</v>
      </c>
      <c r="BZ43" s="234">
        <f>22496.098/1000</f>
        <v>22.496098000000003</v>
      </c>
      <c r="CA43" s="234">
        <f>3517.90014/1000</f>
        <v>3.5179001400000001</v>
      </c>
      <c r="CB43" s="234">
        <f>-2532.7136/1000</f>
        <v>-2.5327136000000001</v>
      </c>
      <c r="CC43" s="234">
        <f>4069.25788/1000</f>
        <v>4.0692578800000003</v>
      </c>
      <c r="CD43" s="234">
        <f>25179.209/1000</f>
        <v>25.179209</v>
      </c>
      <c r="CE43" s="234">
        <f>1868.253/1000</f>
        <v>1.8682529999999999</v>
      </c>
      <c r="CF43" s="234">
        <f>1721.17518/1000</f>
        <v>1.7211751799999999</v>
      </c>
      <c r="CG43" s="234">
        <f>3878.94/1000</f>
        <v>3.8789400000000001</v>
      </c>
      <c r="CH43" s="234">
        <f>1373.94666/1000</f>
        <v>1.3739466600000001</v>
      </c>
      <c r="CI43" s="234">
        <f>21194.2067/1000</f>
        <v>21.194206699999999</v>
      </c>
      <c r="CJ43" s="234">
        <f>17798.0355/1000</f>
        <v>17.798035500000001</v>
      </c>
      <c r="CK43" s="234">
        <f>5335.021628/1000</f>
        <v>5.3350216280000007</v>
      </c>
      <c r="CL43" s="234">
        <f>1781.1283/1000</f>
        <v>1.7811283</v>
      </c>
      <c r="CM43" s="234">
        <f>9118.05073/1000</f>
        <v>9.1180507300000002</v>
      </c>
      <c r="CN43" s="234">
        <f>1813.07455/1000</f>
        <v>1.8130745500000001</v>
      </c>
      <c r="CO43" s="234">
        <f>10744.2877/1000</f>
        <v>10.744287700000001</v>
      </c>
      <c r="CP43" s="234">
        <f>2708.52964/1000</f>
        <v>2.7085296400000001</v>
      </c>
      <c r="CQ43" s="234">
        <f>10004.922/1000</f>
        <v>10.004922000000001</v>
      </c>
      <c r="CR43" s="234">
        <f>10087.4999/1000</f>
        <v>10.087499900000001</v>
      </c>
      <c r="CS43" s="234">
        <f>3451.52905/1000</f>
        <v>3.45152905</v>
      </c>
      <c r="CT43" s="234">
        <f>1858.68636/1000</f>
        <v>1.8586863599999999</v>
      </c>
      <c r="CU43" s="234">
        <f>10601.61966/1000</f>
        <v>10.601619660000001</v>
      </c>
      <c r="CV43" s="234">
        <f>7321.53786/1000</f>
        <v>7.3215378600000003</v>
      </c>
      <c r="CW43" s="234">
        <f>21158.7567/1000</f>
        <v>21.158756700000001</v>
      </c>
      <c r="CX43" s="512">
        <f>1744.07972/1000</f>
        <v>1.74407972</v>
      </c>
    </row>
    <row r="44" spans="2:102" x14ac:dyDescent="0.35">
      <c r="B44" s="799"/>
      <c r="C44" s="57" t="s">
        <v>284</v>
      </c>
      <c r="D44" s="233">
        <v>0</v>
      </c>
      <c r="E44" s="234">
        <v>0</v>
      </c>
      <c r="F44" s="234">
        <v>0</v>
      </c>
      <c r="G44" s="234">
        <v>0</v>
      </c>
      <c r="H44" s="234">
        <v>0</v>
      </c>
      <c r="I44" s="234">
        <v>0</v>
      </c>
      <c r="J44" s="234">
        <v>0</v>
      </c>
      <c r="K44" s="234">
        <v>0</v>
      </c>
      <c r="L44" s="234">
        <v>0</v>
      </c>
      <c r="M44" s="234">
        <v>0</v>
      </c>
      <c r="N44" s="234">
        <v>0</v>
      </c>
      <c r="O44" s="234">
        <v>0</v>
      </c>
      <c r="P44" s="233">
        <v>0</v>
      </c>
      <c r="Q44" s="235">
        <v>30</v>
      </c>
      <c r="R44" s="234">
        <v>41</v>
      </c>
      <c r="S44" s="234">
        <v>1</v>
      </c>
      <c r="T44" s="234">
        <v>10</v>
      </c>
      <c r="U44" s="234">
        <v>39</v>
      </c>
      <c r="V44" s="234">
        <v>27</v>
      </c>
      <c r="W44" s="234">
        <v>33</v>
      </c>
      <c r="X44" s="234">
        <v>28</v>
      </c>
      <c r="Y44" s="234">
        <v>26</v>
      </c>
      <c r="Z44" s="234">
        <v>6</v>
      </c>
      <c r="AA44" s="234">
        <v>26</v>
      </c>
      <c r="AB44" s="279">
        <v>33</v>
      </c>
      <c r="AC44" s="235">
        <f>34-32</f>
        <v>2</v>
      </c>
      <c r="AD44" s="234">
        <v>6</v>
      </c>
      <c r="AE44">
        <v>0</v>
      </c>
      <c r="AF44">
        <v>4</v>
      </c>
      <c r="AG44">
        <v>41</v>
      </c>
      <c r="AI44">
        <v>24</v>
      </c>
      <c r="AJ44">
        <v>29</v>
      </c>
      <c r="AK44">
        <v>40</v>
      </c>
      <c r="AO44" s="235">
        <v>2</v>
      </c>
      <c r="AP44">
        <v>1</v>
      </c>
      <c r="AS44">
        <v>27</v>
      </c>
      <c r="AT44">
        <v>2</v>
      </c>
      <c r="AU44">
        <v>4</v>
      </c>
      <c r="AX44">
        <v>2</v>
      </c>
      <c r="BA44" s="78">
        <v>2</v>
      </c>
      <c r="BB44">
        <v>2</v>
      </c>
      <c r="BC44">
        <v>1</v>
      </c>
      <c r="BD44" s="234">
        <v>0</v>
      </c>
      <c r="BE44" s="234"/>
      <c r="BF44" s="234">
        <v>2</v>
      </c>
      <c r="BG44">
        <v>3</v>
      </c>
      <c r="BH44">
        <v>0</v>
      </c>
      <c r="BJ44" s="234">
        <v>-1</v>
      </c>
      <c r="BK44" s="234">
        <v>0</v>
      </c>
      <c r="BL44" s="234">
        <v>1</v>
      </c>
      <c r="BM44" s="234">
        <v>0</v>
      </c>
      <c r="BN44" s="234"/>
      <c r="BO44" s="234"/>
      <c r="BP44" s="234">
        <v>0</v>
      </c>
      <c r="BQ44" s="234">
        <v>0</v>
      </c>
      <c r="BR44" s="234">
        <v>0</v>
      </c>
      <c r="BS44" s="234">
        <v>0</v>
      </c>
      <c r="BT44" s="234">
        <v>0</v>
      </c>
      <c r="BU44" s="234">
        <v>0</v>
      </c>
      <c r="BV44" s="234">
        <v>0</v>
      </c>
      <c r="BW44" s="234">
        <v>1</v>
      </c>
      <c r="BX44" s="234">
        <f>1653.986561/1000</f>
        <v>1.653986561</v>
      </c>
      <c r="BY44" s="234">
        <f>1466.729302/1000</f>
        <v>1.4667293020000001</v>
      </c>
      <c r="BZ44" s="234">
        <f>1614.215214/1000</f>
        <v>1.6142152140000001</v>
      </c>
      <c r="CA44" s="234">
        <f>25162.66248/1000</f>
        <v>25.162662479999998</v>
      </c>
      <c r="CB44" s="234">
        <f>3449.272/1000</f>
        <v>3.4492720000000001</v>
      </c>
      <c r="CC44" s="234">
        <f>-2532.1838/1000</f>
        <v>-2.5321837999999999</v>
      </c>
      <c r="CD44" s="234">
        <f>4247.735642/1000</f>
        <v>4.2477356419999994</v>
      </c>
      <c r="CE44" s="234">
        <f>24057.219/1000</f>
        <v>24.057219</v>
      </c>
      <c r="CF44" s="234">
        <f>1496.62274/1000</f>
        <v>1.4966227400000001</v>
      </c>
      <c r="CG44" s="234">
        <f>1680.91/1000</f>
        <v>1.6809100000000001</v>
      </c>
      <c r="CH44" s="234">
        <f>4012.110837/1000</f>
        <v>4.0121108369999998</v>
      </c>
      <c r="CI44" s="234">
        <f>1392.76906/1000</f>
        <v>1.39276906</v>
      </c>
      <c r="CJ44" s="234">
        <f>21561.99492/1000</f>
        <v>21.56199492</v>
      </c>
      <c r="CK44" s="234">
        <f>17983.90794/1000</f>
        <v>17.983907940000002</v>
      </c>
      <c r="CL44" s="234">
        <f>5258.096985/1000</f>
        <v>5.2580969849999999</v>
      </c>
      <c r="CM44" s="234">
        <f>1731.37153/1000</f>
        <v>1.7313715299999999</v>
      </c>
      <c r="CN44" s="234">
        <f>-6242.716097/1000</f>
        <v>-6.2427160970000006</v>
      </c>
      <c r="CO44" s="234">
        <f>37.8691/1000</f>
        <v>3.7869100000000003E-2</v>
      </c>
      <c r="CP44" s="234">
        <f>10596.60963/1000</f>
        <v>10.596609630000001</v>
      </c>
      <c r="CQ44" s="234">
        <f>2802.412569/1000</f>
        <v>2.8024125689999999</v>
      </c>
      <c r="CR44" s="234">
        <f>9916.06617/1000</f>
        <v>9.9160661700000006</v>
      </c>
      <c r="CS44" s="234">
        <f>10103.01122/1000</f>
        <v>10.103011220000001</v>
      </c>
      <c r="CT44" s="234">
        <f>9893.582148/1000</f>
        <v>9.8935821480000001</v>
      </c>
      <c r="CU44" s="234">
        <f>1838.7401/1000</f>
        <v>1.8387400999999999</v>
      </c>
      <c r="CV44" s="234">
        <f>10480.89055/1000</f>
        <v>10.48089055</v>
      </c>
      <c r="CW44" s="234">
        <f>8150.292994/1000</f>
        <v>8.1502929940000008</v>
      </c>
      <c r="CX44" s="512">
        <f>21550.90892/1000</f>
        <v>21.550908920000001</v>
      </c>
    </row>
    <row r="45" spans="2:102" x14ac:dyDescent="0.35">
      <c r="B45" s="799"/>
      <c r="C45" s="57" t="s">
        <v>285</v>
      </c>
      <c r="D45" s="233">
        <v>0</v>
      </c>
      <c r="E45" s="234">
        <v>0</v>
      </c>
      <c r="F45" s="234">
        <v>0</v>
      </c>
      <c r="G45" s="234">
        <v>0</v>
      </c>
      <c r="H45" s="234">
        <v>0</v>
      </c>
      <c r="I45" s="234">
        <v>0</v>
      </c>
      <c r="J45" s="234">
        <v>0</v>
      </c>
      <c r="K45" s="234">
        <v>0</v>
      </c>
      <c r="L45" s="234">
        <v>0</v>
      </c>
      <c r="M45" s="234">
        <v>0</v>
      </c>
      <c r="N45" s="234">
        <v>0</v>
      </c>
      <c r="O45" s="234">
        <v>0</v>
      </c>
      <c r="P45" s="233">
        <v>0</v>
      </c>
      <c r="Q45" s="235">
        <v>0</v>
      </c>
      <c r="R45" s="234">
        <v>0</v>
      </c>
      <c r="S45" s="234">
        <v>13</v>
      </c>
      <c r="T45" s="234">
        <v>4</v>
      </c>
      <c r="U45" s="234">
        <v>15</v>
      </c>
      <c r="V45" s="234">
        <v>53</v>
      </c>
      <c r="W45" s="234">
        <v>34</v>
      </c>
      <c r="X45" s="234">
        <v>9</v>
      </c>
      <c r="Y45" s="234">
        <v>37</v>
      </c>
      <c r="Z45" s="234">
        <v>9</v>
      </c>
      <c r="AA45" s="234">
        <v>16</v>
      </c>
      <c r="AB45" s="279">
        <v>46</v>
      </c>
      <c r="AC45" s="235">
        <f>56-56</f>
        <v>0</v>
      </c>
      <c r="AD45" s="234">
        <v>29</v>
      </c>
      <c r="AE45">
        <v>42</v>
      </c>
      <c r="AF45">
        <v>22</v>
      </c>
      <c r="AG45">
        <v>28</v>
      </c>
      <c r="AH45">
        <v>68</v>
      </c>
      <c r="AI45">
        <v>39</v>
      </c>
      <c r="AJ45">
        <v>62</v>
      </c>
      <c r="AK45">
        <v>37</v>
      </c>
      <c r="AL45">
        <v>11</v>
      </c>
      <c r="AM45">
        <v>5</v>
      </c>
      <c r="AN45">
        <v>5</v>
      </c>
      <c r="AO45" s="235">
        <v>5</v>
      </c>
      <c r="AP45" s="234">
        <v>7</v>
      </c>
      <c r="AQ45">
        <v>8</v>
      </c>
      <c r="AR45">
        <v>8</v>
      </c>
      <c r="AS45">
        <v>8</v>
      </c>
      <c r="AT45">
        <v>8</v>
      </c>
      <c r="AU45">
        <v>8</v>
      </c>
      <c r="AV45">
        <v>12</v>
      </c>
      <c r="AW45">
        <v>12</v>
      </c>
      <c r="AX45">
        <v>13</v>
      </c>
      <c r="AY45">
        <v>13</v>
      </c>
      <c r="AZ45">
        <v>7</v>
      </c>
      <c r="BA45" s="78">
        <v>7</v>
      </c>
      <c r="BB45">
        <v>9</v>
      </c>
      <c r="BC45">
        <v>8</v>
      </c>
      <c r="BD45" s="234">
        <v>8</v>
      </c>
      <c r="BE45" s="234">
        <v>8</v>
      </c>
      <c r="BF45" s="234">
        <v>5</v>
      </c>
      <c r="BG45">
        <v>7</v>
      </c>
      <c r="BH45">
        <v>7</v>
      </c>
      <c r="BI45">
        <v>7</v>
      </c>
      <c r="BJ45" s="234">
        <v>7</v>
      </c>
      <c r="BK45" s="234">
        <v>5</v>
      </c>
      <c r="BL45" s="234">
        <v>5</v>
      </c>
      <c r="BM45" s="234">
        <v>5</v>
      </c>
      <c r="BN45" s="234">
        <v>5</v>
      </c>
      <c r="BO45" s="234">
        <v>0</v>
      </c>
      <c r="BP45" s="234">
        <v>0</v>
      </c>
      <c r="BQ45" s="234">
        <v>0</v>
      </c>
      <c r="BR45" s="234">
        <v>0</v>
      </c>
      <c r="BS45" s="234">
        <v>0</v>
      </c>
      <c r="BT45" s="234">
        <v>0</v>
      </c>
      <c r="BU45" s="234">
        <v>0</v>
      </c>
      <c r="BV45" s="234">
        <v>0</v>
      </c>
      <c r="BW45" s="234"/>
      <c r="BX45" s="234"/>
      <c r="BY45" s="234"/>
      <c r="BZ45" s="234"/>
      <c r="CA45" s="234"/>
      <c r="CB45" s="234">
        <f>1705.754108/1000</f>
        <v>1.705754108</v>
      </c>
      <c r="CC45" s="234">
        <f>5367.493239/1000</f>
        <v>5.3674932390000007</v>
      </c>
      <c r="CD45" s="234">
        <f>831.474/1000</f>
        <v>0.83147400000000005</v>
      </c>
      <c r="CE45" s="234">
        <f>3148.3283/1000</f>
        <v>3.1483283000000002</v>
      </c>
      <c r="CF45" s="234">
        <f>5559.278026/1000</f>
        <v>5.5592780260000003</v>
      </c>
      <c r="CG45" s="234">
        <f>6805.65/1000</f>
        <v>6.80565</v>
      </c>
      <c r="CH45" s="234">
        <f>8784.415636/1000</f>
        <v>8.7844156360000003</v>
      </c>
      <c r="CI45" s="234">
        <f>12971.83262/1000</f>
        <v>12.971832619999999</v>
      </c>
      <c r="CJ45" s="234">
        <f>14613.87409/1000</f>
        <v>14.613874089999999</v>
      </c>
      <c r="CK45" s="234">
        <f>36553.66906/1000</f>
        <v>36.553669059999997</v>
      </c>
      <c r="CL45" s="234">
        <f>53751.21025/1000</f>
        <v>53.75121025</v>
      </c>
      <c r="CM45" s="234">
        <f>56465.07607/1000</f>
        <v>56.465076070000002</v>
      </c>
      <c r="CN45" s="234">
        <f>10634.94165/1000</f>
        <v>10.63494165</v>
      </c>
      <c r="CO45" s="234">
        <f>5031.5903/1000</f>
        <v>5.0315902999999995</v>
      </c>
      <c r="CP45" s="234">
        <f>4180.50355/1000</f>
        <v>4.1805035500000001</v>
      </c>
      <c r="CQ45" s="234">
        <f>14413.48414/1000</f>
        <v>14.413484140000001</v>
      </c>
      <c r="CR45" s="234">
        <f>11623.4576/1000</f>
        <v>11.6234576</v>
      </c>
      <c r="CS45" s="234">
        <f>13468.24095/1000</f>
        <v>13.46824095</v>
      </c>
      <c r="CT45" s="234">
        <f>17834.06258/1000</f>
        <v>17.834062580000001</v>
      </c>
      <c r="CU45" s="234">
        <f>27426.0612/1000</f>
        <v>27.426061199999999</v>
      </c>
      <c r="CV45" s="234">
        <f>28931.2727/1000</f>
        <v>28.931272700000001</v>
      </c>
      <c r="CW45" s="234">
        <f>35830.27911/1000</f>
        <v>35.830279110000006</v>
      </c>
      <c r="CX45" s="512">
        <f>10385.55221/1000</f>
        <v>10.38555221</v>
      </c>
    </row>
    <row r="46" spans="2:102" x14ac:dyDescent="0.35">
      <c r="B46" s="799"/>
      <c r="C46" s="58" t="s">
        <v>286</v>
      </c>
      <c r="D46" s="236">
        <v>0</v>
      </c>
      <c r="E46" s="237">
        <v>0</v>
      </c>
      <c r="F46" s="237">
        <v>0</v>
      </c>
      <c r="G46" s="237">
        <v>0</v>
      </c>
      <c r="H46" s="237">
        <v>0</v>
      </c>
      <c r="I46" s="237">
        <v>0</v>
      </c>
      <c r="J46" s="237">
        <v>0</v>
      </c>
      <c r="K46" s="237">
        <v>0</v>
      </c>
      <c r="L46" s="237">
        <v>0</v>
      </c>
      <c r="M46" s="237">
        <v>0</v>
      </c>
      <c r="N46" s="237">
        <v>0</v>
      </c>
      <c r="O46" s="237">
        <v>0</v>
      </c>
      <c r="P46" s="236">
        <v>0</v>
      </c>
      <c r="Q46" s="238">
        <v>0</v>
      </c>
      <c r="R46" s="237">
        <v>0</v>
      </c>
      <c r="S46" s="237">
        <v>0</v>
      </c>
      <c r="T46" s="237">
        <v>0</v>
      </c>
      <c r="U46" s="237">
        <v>0</v>
      </c>
      <c r="V46" s="237"/>
      <c r="W46" s="237"/>
      <c r="X46" s="237"/>
      <c r="Y46" s="237"/>
      <c r="Z46" s="237"/>
      <c r="AA46" s="36"/>
      <c r="AB46" s="280"/>
      <c r="AC46" s="238">
        <v>-4</v>
      </c>
      <c r="AD46" s="237">
        <v>-4</v>
      </c>
      <c r="AE46" s="237">
        <v>-4</v>
      </c>
      <c r="AF46" s="237">
        <v>-4</v>
      </c>
      <c r="AG46" s="237">
        <v>-4</v>
      </c>
      <c r="AH46" s="237">
        <v>-4</v>
      </c>
      <c r="AI46" s="237">
        <v>-4</v>
      </c>
      <c r="AJ46" s="237">
        <v>-4</v>
      </c>
      <c r="AK46" s="237">
        <v>-4</v>
      </c>
      <c r="AL46" s="237">
        <v>-4</v>
      </c>
      <c r="AM46" s="237">
        <v>-4</v>
      </c>
      <c r="AN46" s="237">
        <v>-4</v>
      </c>
      <c r="AO46" s="238">
        <v>-4</v>
      </c>
      <c r="AP46" s="237">
        <v>-5</v>
      </c>
      <c r="AQ46" s="237">
        <v>-5</v>
      </c>
      <c r="AR46" s="237">
        <v>-5</v>
      </c>
      <c r="AS46" s="237">
        <v>-5</v>
      </c>
      <c r="AT46" s="237">
        <v>-5</v>
      </c>
      <c r="AU46" s="237">
        <v>-5</v>
      </c>
      <c r="AV46" s="237">
        <v>-5</v>
      </c>
      <c r="AW46" s="237">
        <v>-5</v>
      </c>
      <c r="AX46" s="237">
        <v>-5</v>
      </c>
      <c r="AY46" s="237">
        <v>-5</v>
      </c>
      <c r="AZ46" s="237">
        <v>-8</v>
      </c>
      <c r="BA46" s="238">
        <v>-8</v>
      </c>
      <c r="BB46" s="237">
        <v>-8</v>
      </c>
      <c r="BC46" s="237">
        <v>-8</v>
      </c>
      <c r="BD46" s="237">
        <v>-8</v>
      </c>
      <c r="BE46" s="237">
        <v>-8</v>
      </c>
      <c r="BF46" s="237">
        <v>-5</v>
      </c>
      <c r="BG46" s="237">
        <v>-9</v>
      </c>
      <c r="BH46" s="237">
        <v>-9</v>
      </c>
      <c r="BI46" s="237">
        <v>-9</v>
      </c>
      <c r="BJ46" s="237">
        <v>-9</v>
      </c>
      <c r="BK46" s="237">
        <v>-9</v>
      </c>
      <c r="BL46" s="237">
        <v>-5</v>
      </c>
      <c r="BM46" s="237">
        <v>-5</v>
      </c>
      <c r="BN46" s="237">
        <v>-5</v>
      </c>
      <c r="BO46" s="237">
        <v>0</v>
      </c>
      <c r="BP46" s="237">
        <v>0</v>
      </c>
      <c r="BQ46" s="234">
        <v>0</v>
      </c>
      <c r="BR46" s="234">
        <v>0</v>
      </c>
      <c r="BS46" s="234">
        <v>0</v>
      </c>
      <c r="BT46" s="234">
        <v>0</v>
      </c>
      <c r="BU46" s="234">
        <v>0</v>
      </c>
      <c r="BV46" s="234">
        <v>0</v>
      </c>
      <c r="BW46" s="234"/>
      <c r="BX46" s="234"/>
      <c r="BY46" s="234">
        <v>0</v>
      </c>
      <c r="BZ46" s="234">
        <v>0</v>
      </c>
      <c r="CA46" s="234">
        <v>0</v>
      </c>
      <c r="CB46" s="234"/>
      <c r="CC46" s="234"/>
      <c r="CD46" s="234"/>
      <c r="CE46" s="234"/>
      <c r="CF46" s="234"/>
      <c r="CG46" s="234"/>
      <c r="CH46" s="234"/>
      <c r="CI46" s="234"/>
      <c r="CJ46" s="234">
        <f>-10766/1000</f>
        <v>-10.766</v>
      </c>
      <c r="CK46" s="234">
        <f>-10879/1000</f>
        <v>-10.879</v>
      </c>
      <c r="CL46" s="234">
        <f>-10722/1000</f>
        <v>-10.722</v>
      </c>
      <c r="CM46" s="234">
        <f>-10422/1000</f>
        <v>-10.422000000000001</v>
      </c>
      <c r="CN46" s="234">
        <f>-10084/1000</f>
        <v>-10.084</v>
      </c>
      <c r="CO46" s="234">
        <f>-10035/1000</f>
        <v>-10.035</v>
      </c>
      <c r="CP46" s="234">
        <f>-9849/1000</f>
        <v>-9.8490000000000002</v>
      </c>
      <c r="CQ46" s="234">
        <f>-10190/1000</f>
        <v>-10.19</v>
      </c>
      <c r="CR46" s="234">
        <f>-9993/1000</f>
        <v>-9.9930000000000003</v>
      </c>
      <c r="CS46" s="234">
        <f>-10050/1000</f>
        <v>-10.050000000000001</v>
      </c>
      <c r="CT46" s="234">
        <f>-10287/1000</f>
        <v>-10.287000000000001</v>
      </c>
      <c r="CU46" s="234">
        <f>-10175/1000</f>
        <v>-10.175000000000001</v>
      </c>
      <c r="CV46" s="234">
        <f>-5736/1000</f>
        <v>-5.7359999999999998</v>
      </c>
      <c r="CW46" s="234">
        <f>-5614/1000</f>
        <v>-5.6139999999999999</v>
      </c>
      <c r="CX46" s="512">
        <f>-5724/1000</f>
        <v>-5.7240000000000002</v>
      </c>
    </row>
    <row r="47" spans="2:102" x14ac:dyDescent="0.35">
      <c r="B47" s="800"/>
      <c r="C47" s="59" t="s">
        <v>287</v>
      </c>
      <c r="D47" s="239">
        <v>0</v>
      </c>
      <c r="E47" s="239">
        <f t="shared" ref="E47:AJ47" si="35">SUM(E41:E46)</f>
        <v>0</v>
      </c>
      <c r="F47" s="239">
        <f t="shared" si="35"/>
        <v>0</v>
      </c>
      <c r="G47" s="239">
        <f t="shared" si="35"/>
        <v>0</v>
      </c>
      <c r="H47" s="239">
        <f t="shared" si="35"/>
        <v>0</v>
      </c>
      <c r="I47" s="239">
        <f t="shared" si="35"/>
        <v>0</v>
      </c>
      <c r="J47" s="239">
        <f t="shared" si="35"/>
        <v>0</v>
      </c>
      <c r="K47" s="239">
        <f t="shared" si="35"/>
        <v>0</v>
      </c>
      <c r="L47" s="239">
        <f t="shared" si="35"/>
        <v>0</v>
      </c>
      <c r="M47" s="239">
        <f t="shared" si="35"/>
        <v>0</v>
      </c>
      <c r="N47" s="239">
        <f t="shared" si="35"/>
        <v>0</v>
      </c>
      <c r="O47" s="239">
        <f t="shared" si="35"/>
        <v>0</v>
      </c>
      <c r="P47" s="239">
        <f t="shared" si="35"/>
        <v>248</v>
      </c>
      <c r="Q47" s="237">
        <f t="shared" si="35"/>
        <v>136</v>
      </c>
      <c r="R47" s="237">
        <f t="shared" si="35"/>
        <v>113</v>
      </c>
      <c r="S47" s="237">
        <f t="shared" si="35"/>
        <v>66</v>
      </c>
      <c r="T47" s="237">
        <f t="shared" si="35"/>
        <v>58</v>
      </c>
      <c r="U47" s="237">
        <f t="shared" si="35"/>
        <v>66</v>
      </c>
      <c r="V47" s="237">
        <f t="shared" si="35"/>
        <v>151</v>
      </c>
      <c r="W47" s="237">
        <f t="shared" si="35"/>
        <v>135</v>
      </c>
      <c r="X47" s="237">
        <f t="shared" si="35"/>
        <v>107</v>
      </c>
      <c r="Y47" s="237">
        <f t="shared" si="35"/>
        <v>132</v>
      </c>
      <c r="Z47" s="237">
        <f t="shared" si="35"/>
        <v>81</v>
      </c>
      <c r="AA47" s="237">
        <f t="shared" si="35"/>
        <v>115</v>
      </c>
      <c r="AB47" s="237">
        <f t="shared" si="35"/>
        <v>145</v>
      </c>
      <c r="AC47" s="239">
        <f t="shared" si="35"/>
        <v>68</v>
      </c>
      <c r="AD47" s="237">
        <f t="shared" si="35"/>
        <v>113</v>
      </c>
      <c r="AE47" s="237">
        <f t="shared" si="35"/>
        <v>94</v>
      </c>
      <c r="AF47" s="237">
        <f t="shared" si="35"/>
        <v>95</v>
      </c>
      <c r="AG47" s="237">
        <f t="shared" si="35"/>
        <v>129</v>
      </c>
      <c r="AH47" s="237">
        <f t="shared" si="35"/>
        <v>135</v>
      </c>
      <c r="AI47" s="237">
        <f t="shared" si="35"/>
        <v>121</v>
      </c>
      <c r="AJ47" s="237">
        <f t="shared" si="35"/>
        <v>116</v>
      </c>
      <c r="AK47" s="237">
        <f t="shared" ref="AK47:CI47" si="36">SUM(AK41:AK46)</f>
        <v>91</v>
      </c>
      <c r="AL47" s="237">
        <f t="shared" si="36"/>
        <v>63</v>
      </c>
      <c r="AM47" s="237">
        <f t="shared" si="36"/>
        <v>55</v>
      </c>
      <c r="AN47" s="237">
        <f t="shared" si="36"/>
        <v>61</v>
      </c>
      <c r="AO47" s="238">
        <f t="shared" si="36"/>
        <v>62</v>
      </c>
      <c r="AP47" s="237">
        <f t="shared" si="36"/>
        <v>84</v>
      </c>
      <c r="AQ47" s="237">
        <f t="shared" si="36"/>
        <v>87</v>
      </c>
      <c r="AR47" s="237">
        <f t="shared" si="36"/>
        <v>118</v>
      </c>
      <c r="AS47" s="237">
        <f t="shared" si="36"/>
        <v>92</v>
      </c>
      <c r="AT47" s="237">
        <f t="shared" si="36"/>
        <v>67</v>
      </c>
      <c r="AU47" s="237">
        <f t="shared" si="36"/>
        <v>67</v>
      </c>
      <c r="AV47" s="237">
        <f t="shared" si="36"/>
        <v>67</v>
      </c>
      <c r="AW47" s="237">
        <f t="shared" si="36"/>
        <v>68</v>
      </c>
      <c r="AX47" s="237">
        <f t="shared" si="36"/>
        <v>66</v>
      </c>
      <c r="AY47" s="237">
        <f t="shared" si="36"/>
        <v>65</v>
      </c>
      <c r="AZ47" s="237">
        <f t="shared" si="36"/>
        <v>56</v>
      </c>
      <c r="BA47" s="238">
        <f t="shared" si="36"/>
        <v>32</v>
      </c>
      <c r="BB47" s="237">
        <f t="shared" si="36"/>
        <v>60</v>
      </c>
      <c r="BC47" s="237">
        <f t="shared" si="36"/>
        <v>30</v>
      </c>
      <c r="BD47" s="237">
        <f t="shared" si="36"/>
        <v>34</v>
      </c>
      <c r="BE47" s="237">
        <f t="shared" si="36"/>
        <v>61</v>
      </c>
      <c r="BF47" s="237">
        <f t="shared" si="36"/>
        <v>61</v>
      </c>
      <c r="BG47" s="237">
        <f t="shared" si="36"/>
        <v>65</v>
      </c>
      <c r="BH47" s="237">
        <f t="shared" si="36"/>
        <v>55</v>
      </c>
      <c r="BI47" s="237">
        <f t="shared" si="36"/>
        <v>57</v>
      </c>
      <c r="BJ47" s="237">
        <f t="shared" si="36"/>
        <v>55</v>
      </c>
      <c r="BK47" s="237">
        <f t="shared" si="36"/>
        <v>50</v>
      </c>
      <c r="BL47" s="237">
        <f t="shared" si="36"/>
        <v>51</v>
      </c>
      <c r="BM47" s="237">
        <f t="shared" si="36"/>
        <v>50</v>
      </c>
      <c r="BN47" s="237">
        <f t="shared" si="36"/>
        <v>53</v>
      </c>
      <c r="BO47" s="237">
        <f t="shared" si="36"/>
        <v>27</v>
      </c>
      <c r="BP47" s="237">
        <f t="shared" si="36"/>
        <v>45</v>
      </c>
      <c r="BQ47" s="456">
        <f t="shared" si="36"/>
        <v>27</v>
      </c>
      <c r="BR47" s="456">
        <f t="shared" si="36"/>
        <v>44</v>
      </c>
      <c r="BS47" s="456">
        <f t="shared" si="36"/>
        <v>44</v>
      </c>
      <c r="BT47" s="456">
        <f t="shared" si="36"/>
        <v>46</v>
      </c>
      <c r="BU47" s="456">
        <f t="shared" si="36"/>
        <v>44</v>
      </c>
      <c r="BV47" s="456">
        <f t="shared" si="36"/>
        <v>45</v>
      </c>
      <c r="BW47" s="456">
        <f t="shared" si="36"/>
        <v>44.460999999999999</v>
      </c>
      <c r="BX47" s="456">
        <f t="shared" si="36"/>
        <v>46.186951710999992</v>
      </c>
      <c r="BY47" s="456">
        <f t="shared" si="36"/>
        <v>46.662877761999994</v>
      </c>
      <c r="BZ47" s="456">
        <f t="shared" si="36"/>
        <v>52.604173684000003</v>
      </c>
      <c r="CA47" s="456">
        <f t="shared" si="36"/>
        <v>81.163258589999998</v>
      </c>
      <c r="CB47" s="456">
        <f t="shared" si="36"/>
        <v>33.177896961999998</v>
      </c>
      <c r="CC47" s="456">
        <f t="shared" si="36"/>
        <v>60.313757428999999</v>
      </c>
      <c r="CD47" s="456">
        <f t="shared" si="36"/>
        <v>83.736101972</v>
      </c>
      <c r="CE47" s="456">
        <f t="shared" si="36"/>
        <v>78.288505980000011</v>
      </c>
      <c r="CF47" s="456">
        <f t="shared" si="36"/>
        <v>77.612789546000016</v>
      </c>
      <c r="CG47" s="456">
        <f t="shared" si="36"/>
        <v>55.537349999999996</v>
      </c>
      <c r="CH47" s="456">
        <f t="shared" si="36"/>
        <v>54.870158912999997</v>
      </c>
      <c r="CI47" s="456">
        <f t="shared" si="36"/>
        <v>71.313312519999997</v>
      </c>
      <c r="CJ47" s="456">
        <f>SUM(CJ41:CJ46)</f>
        <v>68.62345221999999</v>
      </c>
      <c r="CK47" s="456">
        <f>SUM(CK41:CK46)</f>
        <v>82.657334011000003</v>
      </c>
      <c r="CL47" s="456">
        <f>SUM(CL41:CL46)</f>
        <v>90.235543825000008</v>
      </c>
      <c r="CM47" s="456">
        <f>SUM(CM41:CM46)</f>
        <v>97.070893350000006</v>
      </c>
      <c r="CN47" s="456">
        <f>SUM(CN41:CN46)</f>
        <v>17.534824313000005</v>
      </c>
      <c r="CO47" s="456">
        <f t="shared" ref="CO47" si="37">SUM(CO41:CO46)</f>
        <v>26.910818525</v>
      </c>
      <c r="CP47" s="456">
        <f t="shared" ref="CP47:CV47" si="38">SUM(CP41:CP46)</f>
        <v>35.397700141000001</v>
      </c>
      <c r="CQ47" s="456">
        <f t="shared" si="38"/>
        <v>33.047401728000011</v>
      </c>
      <c r="CR47" s="456">
        <f t="shared" si="38"/>
        <v>35.633846566000003</v>
      </c>
      <c r="CS47" s="456">
        <f t="shared" si="38"/>
        <v>38.74813558000001</v>
      </c>
      <c r="CT47" s="456">
        <f t="shared" si="38"/>
        <v>50.336483948000001</v>
      </c>
      <c r="CU47" s="456">
        <f t="shared" si="38"/>
        <v>59.077092609000005</v>
      </c>
      <c r="CV47" s="456">
        <f t="shared" si="38"/>
        <v>73.587949330000001</v>
      </c>
      <c r="CW47" s="456">
        <f t="shared" ref="CW47:CX47" si="39">SUM(CW41:CW46)</f>
        <v>77.309301978999997</v>
      </c>
      <c r="CX47" s="718">
        <f t="shared" si="39"/>
        <v>45.202374962999997</v>
      </c>
    </row>
    <row r="48" spans="2:102" x14ac:dyDescent="0.35">
      <c r="B48" s="227" t="s">
        <v>288</v>
      </c>
      <c r="C48" s="227"/>
      <c r="D48" s="234">
        <v>0</v>
      </c>
      <c r="E48" s="234">
        <v>0</v>
      </c>
      <c r="F48" s="234">
        <v>0</v>
      </c>
      <c r="G48" s="234">
        <v>0</v>
      </c>
      <c r="H48" s="234">
        <v>0</v>
      </c>
      <c r="I48" s="234">
        <v>0</v>
      </c>
      <c r="J48" s="234">
        <v>0</v>
      </c>
      <c r="K48" s="234">
        <v>0</v>
      </c>
      <c r="L48" s="234">
        <v>0</v>
      </c>
      <c r="M48" s="234">
        <v>0</v>
      </c>
      <c r="N48" s="234">
        <v>0</v>
      </c>
      <c r="O48" s="234">
        <v>0</v>
      </c>
      <c r="P48" s="234">
        <f>IFERROR(IF(P47&gt;SUM(P93:Q93),(P47-Q93-P93)/O93*O87+P87+Q87,(P47-Q93)/P93*P87+Q87),0)</f>
        <v>0</v>
      </c>
      <c r="Q48" s="234">
        <f t="shared" ref="Q48:CB48" si="40">IF(Q47&gt;SUM(Q93:R93),(Q47-R93-Q93)/P93*P87+Q87+R87,(Q47-R93)/Q93*Q87+R87)</f>
        <v>47.578893651765668</v>
      </c>
      <c r="R48" s="234">
        <f t="shared" si="40"/>
        <v>68.997958767095326</v>
      </c>
      <c r="S48" s="234">
        <f t="shared" si="40"/>
        <v>114.80000000000001</v>
      </c>
      <c r="T48" s="234">
        <f t="shared" si="40"/>
        <v>63.896551724137929</v>
      </c>
      <c r="U48" s="234">
        <f t="shared" si="40"/>
        <v>98.642857142857139</v>
      </c>
      <c r="V48" s="234">
        <f t="shared" si="40"/>
        <v>139.88888888888889</v>
      </c>
      <c r="W48" s="234">
        <f t="shared" si="40"/>
        <v>253.20000000000002</v>
      </c>
      <c r="X48" s="234">
        <f t="shared" si="40"/>
        <v>80.400000000000006</v>
      </c>
      <c r="Y48" s="234">
        <f t="shared" si="40"/>
        <v>137.9655172413793</v>
      </c>
      <c r="Z48" s="234">
        <f t="shared" si="40"/>
        <v>84.25</v>
      </c>
      <c r="AA48" s="234">
        <f t="shared" si="40"/>
        <v>122.07142857142857</v>
      </c>
      <c r="AB48" s="234">
        <f t="shared" si="40"/>
        <v>155.06896551724139</v>
      </c>
      <c r="AC48" s="234">
        <f t="shared" si="40"/>
        <v>71.310344827586206</v>
      </c>
      <c r="AD48" s="234">
        <f t="shared" si="40"/>
        <v>119.78571428571428</v>
      </c>
      <c r="AE48" s="234">
        <f t="shared" si="40"/>
        <v>94</v>
      </c>
      <c r="AF48" s="234">
        <f t="shared" si="40"/>
        <v>97.25</v>
      </c>
      <c r="AG48" s="234">
        <f t="shared" si="40"/>
        <v>130.75</v>
      </c>
      <c r="AH48" s="234">
        <f t="shared" si="40"/>
        <v>141.35714285714283</v>
      </c>
      <c r="AI48" s="234">
        <f t="shared" si="40"/>
        <v>125.13793103448276</v>
      </c>
      <c r="AJ48" s="234">
        <f t="shared" si="40"/>
        <v>117.16129032258064</v>
      </c>
      <c r="AK48" s="234">
        <f t="shared" si="40"/>
        <v>96.133333333333326</v>
      </c>
      <c r="AL48" s="234">
        <f t="shared" si="40"/>
        <v>68.482758620689651</v>
      </c>
      <c r="AM48" s="234">
        <f t="shared" si="40"/>
        <v>64.214285714285722</v>
      </c>
      <c r="AN48" s="234">
        <f t="shared" si="40"/>
        <v>44.75</v>
      </c>
      <c r="AO48" s="235">
        <f t="shared" si="40"/>
        <v>54.56</v>
      </c>
      <c r="AP48" s="234">
        <f t="shared" si="40"/>
        <v>80.7</v>
      </c>
      <c r="AQ48" s="234">
        <f t="shared" si="40"/>
        <v>108.08333333333333</v>
      </c>
      <c r="AR48" s="234">
        <f t="shared" si="40"/>
        <v>137.16000000000003</v>
      </c>
      <c r="AS48" s="234">
        <f t="shared" si="40"/>
        <v>112.66666666666667</v>
      </c>
      <c r="AT48" s="234">
        <f t="shared" si="40"/>
        <v>79.461538461538467</v>
      </c>
      <c r="AU48" s="234">
        <f t="shared" si="40"/>
        <v>80.07692307692308</v>
      </c>
      <c r="AV48" s="234">
        <f t="shared" si="40"/>
        <v>81.2</v>
      </c>
      <c r="AW48" s="234">
        <f t="shared" si="40"/>
        <v>83.65384615384616</v>
      </c>
      <c r="AX48" s="234">
        <f t="shared" si="40"/>
        <v>83.32</v>
      </c>
      <c r="AY48" s="234">
        <f t="shared" si="40"/>
        <v>82.25</v>
      </c>
      <c r="AZ48" s="234">
        <f t="shared" si="40"/>
        <v>70.041666666666671</v>
      </c>
      <c r="BA48" s="235">
        <f t="shared" si="40"/>
        <v>42.16</v>
      </c>
      <c r="BB48" s="234">
        <f t="shared" si="40"/>
        <v>75.12</v>
      </c>
      <c r="BC48" s="234">
        <f t="shared" si="40"/>
        <v>38</v>
      </c>
      <c r="BD48" s="234">
        <f t="shared" si="40"/>
        <v>42.916666666666671</v>
      </c>
      <c r="BE48" s="234">
        <f t="shared" si="40"/>
        <v>76.5</v>
      </c>
      <c r="BF48" s="234">
        <f t="shared" si="40"/>
        <v>76</v>
      </c>
      <c r="BG48" s="234">
        <f t="shared" si="40"/>
        <v>72.16</v>
      </c>
      <c r="BH48" s="234">
        <f t="shared" si="40"/>
        <v>60.0625</v>
      </c>
      <c r="BI48" s="234">
        <f t="shared" si="40"/>
        <v>68.75</v>
      </c>
      <c r="BJ48" s="234">
        <f t="shared" si="40"/>
        <v>69.680000000000007</v>
      </c>
      <c r="BK48" s="234">
        <f t="shared" si="40"/>
        <v>66</v>
      </c>
      <c r="BL48" s="234">
        <f t="shared" si="40"/>
        <v>70.041666666666671</v>
      </c>
      <c r="BM48" s="234">
        <f t="shared" si="40"/>
        <v>67.454545454545453</v>
      </c>
      <c r="BN48" s="234">
        <f t="shared" si="40"/>
        <v>68.86363636363636</v>
      </c>
      <c r="BO48" s="234">
        <f t="shared" si="40"/>
        <v>37.36363636363636</v>
      </c>
      <c r="BP48" s="234">
        <f t="shared" si="40"/>
        <v>63.545454545454547</v>
      </c>
      <c r="BQ48" s="234">
        <f t="shared" si="40"/>
        <v>41</v>
      </c>
      <c r="BR48" s="234">
        <f t="shared" si="40"/>
        <v>68.142857142857139</v>
      </c>
      <c r="BS48" s="234">
        <f t="shared" si="40"/>
        <v>68.75</v>
      </c>
      <c r="BT48" s="234">
        <f t="shared" si="40"/>
        <v>71.473684210526315</v>
      </c>
      <c r="BU48" s="234">
        <f t="shared" si="40"/>
        <v>68.75</v>
      </c>
      <c r="BV48" s="234">
        <f t="shared" si="40"/>
        <v>71.849999999999994</v>
      </c>
      <c r="BW48" s="234">
        <f t="shared" si="40"/>
        <v>71.201578947368418</v>
      </c>
      <c r="BX48" s="234">
        <f t="shared" si="40"/>
        <v>75.989237002157878</v>
      </c>
      <c r="BY48" s="234">
        <f t="shared" si="40"/>
        <v>75.678228045263154</v>
      </c>
      <c r="BZ48" s="234">
        <f t="shared" si="40"/>
        <v>79.984965789111115</v>
      </c>
      <c r="CA48" s="234">
        <f t="shared" si="40"/>
        <v>119.15305081450001</v>
      </c>
      <c r="CB48" s="234">
        <f t="shared" si="40"/>
        <v>45.750672991909084</v>
      </c>
      <c r="CC48" s="234">
        <f t="shared" ref="CC48:CJ48" si="41">IF(CC47&gt;SUM(CC93:CD93),(CC47-CD93-CC93)/CB93*CB87+CC87+CD87,(CC47-CD93)/CC93*CC87+CD87)</f>
        <v>81.169385468136369</v>
      </c>
      <c r="CD48" s="234">
        <f t="shared" si="41"/>
        <v>111.09468450727273</v>
      </c>
      <c r="CE48" s="234">
        <f t="shared" si="41"/>
        <v>106.58098689083334</v>
      </c>
      <c r="CF48" s="234">
        <f t="shared" si="41"/>
        <v>111.06016027739133</v>
      </c>
      <c r="CG48" s="234">
        <f t="shared" si="41"/>
        <v>88.182892499999994</v>
      </c>
      <c r="CH48" s="234">
        <f t="shared" si="41"/>
        <v>96.448746315150004</v>
      </c>
      <c r="CI48" s="234">
        <f t="shared" si="41"/>
        <v>131.52218753333332</v>
      </c>
      <c r="CJ48" s="234">
        <f t="shared" si="41"/>
        <v>146.52335848714284</v>
      </c>
      <c r="CK48" s="234">
        <f t="shared" ref="CK48:CX48" si="42">IF(CK47&gt;SUM(CK93:CL93),(CK47-CL93-CK93)/CJ93*CJ87+CK87+CL87,(CK47-CL93)/CK93*CK87+CL87)</f>
        <v>173.31466802200001</v>
      </c>
      <c r="CL48" s="234">
        <f t="shared" si="42"/>
        <v>202.08679057166668</v>
      </c>
      <c r="CM48" s="234">
        <f t="shared" si="42"/>
        <v>260.68314115416666</v>
      </c>
      <c r="CN48" s="234">
        <f t="shared" si="42"/>
        <v>56.457955370300013</v>
      </c>
      <c r="CO48" s="234">
        <f t="shared" si="42"/>
        <v>88.623537427499997</v>
      </c>
      <c r="CP48" s="234">
        <f t="shared" si="42"/>
        <v>118.99233380333334</v>
      </c>
      <c r="CQ48" s="234">
        <f t="shared" si="42"/>
        <v>112.82993928533337</v>
      </c>
      <c r="CR48" s="234">
        <f t="shared" si="42"/>
        <v>120.77948855333335</v>
      </c>
      <c r="CS48" s="234">
        <f t="shared" si="42"/>
        <v>129.0213558866667</v>
      </c>
      <c r="CT48" s="234">
        <f t="shared" si="42"/>
        <v>168.93677804311113</v>
      </c>
      <c r="CU48" s="234">
        <f t="shared" si="42"/>
        <v>181.23127782700001</v>
      </c>
      <c r="CV48" s="234">
        <f t="shared" si="42"/>
        <v>249.02515880333334</v>
      </c>
      <c r="CW48" s="234">
        <f t="shared" si="42"/>
        <v>248.92790593699999</v>
      </c>
      <c r="CX48" s="512">
        <f t="shared" si="42"/>
        <v>166.47484709477777</v>
      </c>
    </row>
    <row r="49" spans="2:102" ht="15" thickBot="1" x14ac:dyDescent="0.4">
      <c r="B49" s="227"/>
      <c r="C49" s="227"/>
      <c r="D49" s="234"/>
      <c r="E49" s="234"/>
      <c r="F49" s="234"/>
      <c r="G49" s="234"/>
      <c r="H49" s="234"/>
      <c r="I49" s="234"/>
      <c r="J49" s="234"/>
      <c r="K49" s="234"/>
      <c r="L49" s="234"/>
      <c r="M49" s="234"/>
      <c r="N49" s="234"/>
      <c r="O49" s="234"/>
      <c r="P49" s="234"/>
      <c r="AO49" s="78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87"/>
      <c r="BB49" s="36"/>
      <c r="BC49" s="36"/>
      <c r="BD49" s="36"/>
      <c r="BE49" s="36"/>
      <c r="BF49" s="36"/>
      <c r="BG49" s="36"/>
      <c r="BH49" s="36"/>
      <c r="BI49" s="36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6"/>
      <c r="CJ49" s="36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717"/>
    </row>
    <row r="50" spans="2:102" x14ac:dyDescent="0.35">
      <c r="B50" s="801" t="s">
        <v>293</v>
      </c>
      <c r="C50" s="56" t="s">
        <v>281</v>
      </c>
      <c r="D50" s="229">
        <v>17</v>
      </c>
      <c r="E50" s="230">
        <v>21</v>
      </c>
      <c r="F50" s="230">
        <v>14</v>
      </c>
      <c r="G50" s="230">
        <v>19</v>
      </c>
      <c r="H50" s="230">
        <v>18</v>
      </c>
      <c r="I50" s="230">
        <v>15</v>
      </c>
      <c r="J50" s="230">
        <v>27</v>
      </c>
      <c r="K50" s="230">
        <v>25</v>
      </c>
      <c r="L50" s="230">
        <v>21</v>
      </c>
      <c r="M50" s="230">
        <v>22</v>
      </c>
      <c r="N50" s="230">
        <v>19</v>
      </c>
      <c r="O50" s="230">
        <v>17</v>
      </c>
      <c r="P50" s="229">
        <v>16</v>
      </c>
      <c r="Q50" s="240">
        <v>16</v>
      </c>
      <c r="R50" s="230">
        <f>14+3</f>
        <v>17</v>
      </c>
      <c r="S50" s="230">
        <f>15+3</f>
        <v>18</v>
      </c>
      <c r="T50" s="230">
        <f>19+3</f>
        <v>22</v>
      </c>
      <c r="U50" s="230">
        <f>23+2</f>
        <v>25</v>
      </c>
      <c r="V50" s="230">
        <f>28-4</f>
        <v>24</v>
      </c>
      <c r="W50" s="230">
        <v>22</v>
      </c>
      <c r="X50" s="230">
        <f>22+1</f>
        <v>23</v>
      </c>
      <c r="Y50" s="230">
        <f>21+4</f>
        <v>25</v>
      </c>
      <c r="Z50" s="230">
        <f>14+6</f>
        <v>20</v>
      </c>
      <c r="AA50" s="232">
        <f>20+3</f>
        <v>23</v>
      </c>
      <c r="AB50" s="278">
        <f>22+2</f>
        <v>24</v>
      </c>
      <c r="AC50" s="231">
        <f>25+2</f>
        <v>27</v>
      </c>
      <c r="AD50" s="232">
        <v>33</v>
      </c>
      <c r="AE50" s="232">
        <v>26</v>
      </c>
      <c r="AF50" s="232">
        <f>24+3</f>
        <v>27</v>
      </c>
      <c r="AG50" s="232">
        <f>26+3</f>
        <v>29</v>
      </c>
      <c r="AH50" s="232">
        <f>24+2</f>
        <v>26</v>
      </c>
      <c r="AI50" s="232">
        <v>26</v>
      </c>
      <c r="AJ50" s="232">
        <v>22</v>
      </c>
      <c r="AK50" s="232">
        <v>24</v>
      </c>
      <c r="AL50" s="232">
        <f>42-4</f>
        <v>38</v>
      </c>
      <c r="AM50" s="232">
        <v>27</v>
      </c>
      <c r="AN50" s="232">
        <v>23</v>
      </c>
      <c r="AO50" s="231">
        <v>29</v>
      </c>
      <c r="AP50">
        <v>40</v>
      </c>
      <c r="AQ50" s="232">
        <v>57</v>
      </c>
      <c r="AR50" s="232">
        <v>109</v>
      </c>
      <c r="AS50" s="232">
        <v>60</v>
      </c>
      <c r="AT50" s="232">
        <v>105</v>
      </c>
      <c r="AU50" s="232">
        <v>99</v>
      </c>
      <c r="AV50" s="232">
        <v>128</v>
      </c>
      <c r="AW50" s="232">
        <v>212</v>
      </c>
      <c r="AX50" s="232">
        <v>218</v>
      </c>
      <c r="AY50" s="232">
        <v>225</v>
      </c>
      <c r="AZ50" s="232">
        <v>371</v>
      </c>
      <c r="BA50" s="231">
        <v>257</v>
      </c>
      <c r="BB50" s="232">
        <v>250</v>
      </c>
      <c r="BC50" s="232">
        <v>193</v>
      </c>
      <c r="BD50" s="232">
        <v>302</v>
      </c>
      <c r="BE50" s="232">
        <v>260</v>
      </c>
      <c r="BF50" s="232">
        <v>258</v>
      </c>
      <c r="BG50">
        <v>260</v>
      </c>
      <c r="BH50">
        <v>334</v>
      </c>
      <c r="BI50">
        <v>375</v>
      </c>
      <c r="BJ50">
        <f>265+2</f>
        <v>267</v>
      </c>
      <c r="BK50">
        <v>315</v>
      </c>
      <c r="BL50">
        <v>372</v>
      </c>
      <c r="BM50">
        <v>340</v>
      </c>
      <c r="BN50">
        <v>541</v>
      </c>
      <c r="BO50">
        <v>366</v>
      </c>
      <c r="BP50">
        <v>353</v>
      </c>
      <c r="BQ50">
        <v>344</v>
      </c>
      <c r="BR50">
        <v>381</v>
      </c>
      <c r="BS50">
        <v>379</v>
      </c>
      <c r="BT50">
        <v>274</v>
      </c>
      <c r="BU50">
        <v>439</v>
      </c>
      <c r="BV50">
        <v>344</v>
      </c>
      <c r="BW50" s="243">
        <v>324.20800000000003</v>
      </c>
      <c r="BX50" s="243">
        <f>343458.2744/1000</f>
        <v>343.45827439999999</v>
      </c>
      <c r="BY50" s="243">
        <f>293164.4998/1000</f>
        <v>293.16449979999999</v>
      </c>
      <c r="BZ50" s="243">
        <f>414799.0921/1000</f>
        <v>414.7990921</v>
      </c>
      <c r="CA50" s="243">
        <f>416963.7502/1000</f>
        <v>416.96375019999999</v>
      </c>
      <c r="CB50" s="243">
        <f>358904.937/1000</f>
        <v>358.90493699999996</v>
      </c>
      <c r="CC50" s="243">
        <f>331874.031/1000</f>
        <v>331.874031</v>
      </c>
      <c r="CD50" s="243">
        <f>350023.8547/1000</f>
        <v>350.02385470000002</v>
      </c>
      <c r="CE50" s="243">
        <f>404319.0153/1000</f>
        <v>404.31901530000005</v>
      </c>
      <c r="CF50" s="243">
        <f>304495.6287/1000</f>
        <v>304.4956287</v>
      </c>
      <c r="CG50" s="243">
        <f>319424.76/1000-2</f>
        <v>317.42475999999999</v>
      </c>
      <c r="CH50" s="243">
        <f>412323.2146/1000</f>
        <v>412.32321460000003</v>
      </c>
      <c r="CI50" s="243">
        <f>815997.5577/1000</f>
        <v>815.99755770000002</v>
      </c>
      <c r="CJ50" s="243">
        <f>837764.5056/1000</f>
        <v>837.76450560000001</v>
      </c>
      <c r="CK50" s="243">
        <f>868231.6382/1000</f>
        <v>868.23163820000002</v>
      </c>
      <c r="CL50" s="243">
        <f>726124.3091/1000</f>
        <v>726.1243091</v>
      </c>
      <c r="CM50" s="243">
        <f>450697.6295/1000</f>
        <v>450.69762950000001</v>
      </c>
      <c r="CN50" s="243">
        <f>530953.837/1000</f>
        <v>530.95383700000002</v>
      </c>
      <c r="CO50" s="243">
        <f>496055.7025/1000</f>
        <v>496.0557025</v>
      </c>
      <c r="CP50" s="243">
        <f>514665.7478/1000</f>
        <v>514.66574779999996</v>
      </c>
      <c r="CQ50" s="243">
        <f>492251.9804/1000</f>
        <v>492.25198039999998</v>
      </c>
      <c r="CR50" s="243">
        <f>463221.3223/1000</f>
        <v>463.2213223</v>
      </c>
      <c r="CS50" s="243">
        <f>513732.4232/1000</f>
        <v>513.73242319999997</v>
      </c>
      <c r="CT50" s="243">
        <f>524659.8233/1000</f>
        <v>524.65982330000008</v>
      </c>
      <c r="CU50" s="243">
        <f>488600.605/1000</f>
        <v>488.60060499999997</v>
      </c>
      <c r="CV50" s="243">
        <f>530903.6173/1000</f>
        <v>530.90361730000006</v>
      </c>
      <c r="CW50" s="243">
        <f>501796.0413/1000</f>
        <v>501.79604129999996</v>
      </c>
      <c r="CX50" s="557">
        <f>712339.3175/1000</f>
        <v>712.33931749999999</v>
      </c>
    </row>
    <row r="51" spans="2:102" x14ac:dyDescent="0.35">
      <c r="B51" s="802"/>
      <c r="C51" s="57" t="s">
        <v>282</v>
      </c>
      <c r="D51" s="233">
        <v>10</v>
      </c>
      <c r="E51" s="234">
        <v>1</v>
      </c>
      <c r="F51" s="234">
        <v>17</v>
      </c>
      <c r="G51" s="234">
        <v>15</v>
      </c>
      <c r="H51" s="234">
        <v>16</v>
      </c>
      <c r="I51" s="234">
        <v>7</v>
      </c>
      <c r="J51" s="234">
        <v>11</v>
      </c>
      <c r="K51" s="234">
        <v>19</v>
      </c>
      <c r="L51" s="234">
        <v>7</v>
      </c>
      <c r="M51" s="234">
        <v>13</v>
      </c>
      <c r="N51" s="234">
        <v>13</v>
      </c>
      <c r="O51" s="234">
        <v>11</v>
      </c>
      <c r="P51" s="233">
        <v>9</v>
      </c>
      <c r="Q51" s="235">
        <v>-9</v>
      </c>
      <c r="R51" s="234">
        <v>7</v>
      </c>
      <c r="S51" s="234">
        <v>5</v>
      </c>
      <c r="T51" s="234">
        <v>7</v>
      </c>
      <c r="U51" s="234">
        <v>8</v>
      </c>
      <c r="V51" s="234">
        <v>8</v>
      </c>
      <c r="W51" s="234">
        <v>8</v>
      </c>
      <c r="X51" s="234">
        <v>0</v>
      </c>
      <c r="Y51" s="234">
        <v>19</v>
      </c>
      <c r="Z51" s="234">
        <v>13</v>
      </c>
      <c r="AA51" s="234">
        <v>9</v>
      </c>
      <c r="AB51" s="279">
        <v>16</v>
      </c>
      <c r="AC51" s="235">
        <v>0</v>
      </c>
      <c r="AD51" s="234">
        <v>15</v>
      </c>
      <c r="AE51">
        <v>13</v>
      </c>
      <c r="AF51">
        <v>15</v>
      </c>
      <c r="AG51">
        <v>18</v>
      </c>
      <c r="AH51">
        <v>16</v>
      </c>
      <c r="AI51">
        <v>-10</v>
      </c>
      <c r="AJ51">
        <v>7</v>
      </c>
      <c r="AK51">
        <v>8</v>
      </c>
      <c r="AL51">
        <v>2</v>
      </c>
      <c r="AM51">
        <v>25</v>
      </c>
      <c r="AN51">
        <v>2</v>
      </c>
      <c r="AO51" s="235">
        <v>-11</v>
      </c>
      <c r="AP51" s="234">
        <v>-2</v>
      </c>
      <c r="AQ51">
        <v>36</v>
      </c>
      <c r="AR51">
        <v>38</v>
      </c>
      <c r="AS51">
        <v>92</v>
      </c>
      <c r="AT51">
        <v>24</v>
      </c>
      <c r="AU51">
        <v>86</v>
      </c>
      <c r="AV51" s="234">
        <v>61</v>
      </c>
      <c r="AW51">
        <v>87</v>
      </c>
      <c r="AX51">
        <v>121</v>
      </c>
      <c r="AY51">
        <v>106</v>
      </c>
      <c r="AZ51">
        <v>106</v>
      </c>
      <c r="BA51" s="78">
        <v>212</v>
      </c>
      <c r="BB51">
        <v>122</v>
      </c>
      <c r="BC51">
        <v>163</v>
      </c>
      <c r="BD51" s="234">
        <v>78</v>
      </c>
      <c r="BE51" s="234">
        <v>251</v>
      </c>
      <c r="BF51" s="234">
        <v>162</v>
      </c>
      <c r="BG51">
        <v>213</v>
      </c>
      <c r="BH51">
        <v>140</v>
      </c>
      <c r="BI51">
        <v>265</v>
      </c>
      <c r="BJ51">
        <v>239</v>
      </c>
      <c r="BK51">
        <v>213</v>
      </c>
      <c r="BL51">
        <v>158</v>
      </c>
      <c r="BM51">
        <v>129</v>
      </c>
      <c r="BN51">
        <v>65</v>
      </c>
      <c r="BO51">
        <v>229</v>
      </c>
      <c r="BP51">
        <v>167</v>
      </c>
      <c r="BQ51">
        <v>255</v>
      </c>
      <c r="BR51">
        <v>141</v>
      </c>
      <c r="BS51">
        <v>187</v>
      </c>
      <c r="BT51">
        <v>339</v>
      </c>
      <c r="BU51">
        <v>125</v>
      </c>
      <c r="BV51">
        <v>265</v>
      </c>
      <c r="BW51">
        <v>230</v>
      </c>
      <c r="BX51" s="243">
        <f>185950.1807/1000</f>
        <v>185.9501807</v>
      </c>
      <c r="BY51" s="243">
        <f>191402.2562/1000</f>
        <v>191.40225620000001</v>
      </c>
      <c r="BZ51" s="243">
        <f>201429.7963/1000</f>
        <v>201.42979629999999</v>
      </c>
      <c r="CA51" s="243">
        <f>258378.6575/1000</f>
        <v>258.37865749999997</v>
      </c>
      <c r="CB51" s="243">
        <f>157300.8933/1000</f>
        <v>157.30089329999998</v>
      </c>
      <c r="CC51" s="243">
        <f>227445.4517/1000</f>
        <v>227.44545170000001</v>
      </c>
      <c r="CD51" s="243">
        <v>253</v>
      </c>
      <c r="CE51" s="243">
        <f>74625.777/1000</f>
        <v>74.625776999999999</v>
      </c>
      <c r="CF51" s="243">
        <f>328391.4173/1000</f>
        <v>328.39141729999994</v>
      </c>
      <c r="CG51" s="243">
        <f>184208.12/1000</f>
        <v>184.20812000000001</v>
      </c>
      <c r="CH51" s="243">
        <f>126455.7689/1000</f>
        <v>126.4557689</v>
      </c>
      <c r="CI51" s="243">
        <f>243159.5687/1000</f>
        <v>243.15956869999999</v>
      </c>
      <c r="CJ51" s="243">
        <f>161844.1627/1000</f>
        <v>161.8441627</v>
      </c>
      <c r="CK51" s="243">
        <f>223155.1012/1000</f>
        <v>223.15510120000002</v>
      </c>
      <c r="CL51" s="243">
        <f>474051.8406/1000</f>
        <v>474.05184059999999</v>
      </c>
      <c r="CM51" s="243">
        <f>376213.775/1000</f>
        <v>376.213775</v>
      </c>
      <c r="CN51" s="243">
        <f>165062.4823/1000</f>
        <v>165.0624823</v>
      </c>
      <c r="CO51" s="243">
        <f>178005.1564/1000</f>
        <v>178.0051564</v>
      </c>
      <c r="CP51" s="243">
        <f>198111.3688/1000</f>
        <v>198.11136880000001</v>
      </c>
      <c r="CQ51" s="243">
        <f>212303.9532/1000</f>
        <v>212.3039532</v>
      </c>
      <c r="CR51" s="243">
        <f>211397.579/1000</f>
        <v>211.39757900000001</v>
      </c>
      <c r="CS51" s="243">
        <f>201077.271/1000</f>
        <v>201.077271</v>
      </c>
      <c r="CT51" s="243">
        <f>162058.5288/1000</f>
        <v>162.0585288</v>
      </c>
      <c r="CU51" s="243">
        <f>239659.8609/1000</f>
        <v>239.65986090000001</v>
      </c>
      <c r="CV51" s="243">
        <f>67066.6432/1000</f>
        <v>67.066643200000001</v>
      </c>
      <c r="CW51" s="243">
        <f>227701.6082/1000</f>
        <v>227.70160819999998</v>
      </c>
      <c r="CX51" s="557">
        <f>30308.36053/1000</f>
        <v>30.308360530000002</v>
      </c>
    </row>
    <row r="52" spans="2:102" x14ac:dyDescent="0.35">
      <c r="B52" s="802"/>
      <c r="C52" s="57" t="s">
        <v>283</v>
      </c>
      <c r="D52" s="233">
        <v>5</v>
      </c>
      <c r="E52" s="234">
        <v>15</v>
      </c>
      <c r="F52" s="234">
        <v>13</v>
      </c>
      <c r="G52" s="234">
        <v>20</v>
      </c>
      <c r="H52" s="234">
        <v>14</v>
      </c>
      <c r="I52" s="234">
        <v>-2</v>
      </c>
      <c r="J52" s="234">
        <v>7</v>
      </c>
      <c r="K52" s="234">
        <v>-3</v>
      </c>
      <c r="L52" s="234">
        <v>10</v>
      </c>
      <c r="M52" s="234">
        <v>6</v>
      </c>
      <c r="N52" s="234">
        <v>4</v>
      </c>
      <c r="O52" s="234">
        <v>10</v>
      </c>
      <c r="P52" s="233">
        <v>1</v>
      </c>
      <c r="Q52" s="235">
        <v>8</v>
      </c>
      <c r="R52" s="234">
        <v>-2</v>
      </c>
      <c r="S52" s="234">
        <v>8</v>
      </c>
      <c r="T52" s="234">
        <v>2</v>
      </c>
      <c r="U52" s="234"/>
      <c r="V52" s="234">
        <v>9</v>
      </c>
      <c r="W52" s="234">
        <v>1</v>
      </c>
      <c r="X52" s="234">
        <v>9</v>
      </c>
      <c r="Y52" s="234">
        <v>0</v>
      </c>
      <c r="Z52" s="234">
        <v>0</v>
      </c>
      <c r="AA52" s="234">
        <v>5</v>
      </c>
      <c r="AB52" s="279">
        <v>0</v>
      </c>
      <c r="AC52" s="235">
        <v>10</v>
      </c>
      <c r="AD52" s="234">
        <v>10</v>
      </c>
      <c r="AE52">
        <v>12</v>
      </c>
      <c r="AF52">
        <v>8</v>
      </c>
      <c r="AG52">
        <v>3</v>
      </c>
      <c r="AH52">
        <v>7</v>
      </c>
      <c r="AI52">
        <v>27</v>
      </c>
      <c r="AJ52">
        <v>-11</v>
      </c>
      <c r="AK52">
        <v>9</v>
      </c>
      <c r="AL52">
        <v>1</v>
      </c>
      <c r="AN52">
        <v>13</v>
      </c>
      <c r="AO52" s="235">
        <v>4</v>
      </c>
      <c r="AP52">
        <v>2</v>
      </c>
      <c r="AQ52">
        <v>4</v>
      </c>
      <c r="AR52">
        <v>31</v>
      </c>
      <c r="AS52">
        <v>22</v>
      </c>
      <c r="AT52">
        <v>78</v>
      </c>
      <c r="AU52">
        <v>6</v>
      </c>
      <c r="AV52">
        <v>66</v>
      </c>
      <c r="AW52">
        <v>19</v>
      </c>
      <c r="AX52">
        <v>87</v>
      </c>
      <c r="AY52">
        <v>68</v>
      </c>
      <c r="AZ52">
        <v>95</v>
      </c>
      <c r="BA52" s="78">
        <v>80</v>
      </c>
      <c r="BB52">
        <v>35</v>
      </c>
      <c r="BC52">
        <v>15</v>
      </c>
      <c r="BD52" s="234">
        <v>167</v>
      </c>
      <c r="BE52" s="234">
        <v>49</v>
      </c>
      <c r="BF52" s="234">
        <v>154</v>
      </c>
      <c r="BG52">
        <v>128</v>
      </c>
      <c r="BH52">
        <v>87</v>
      </c>
      <c r="BI52">
        <v>108</v>
      </c>
      <c r="BJ52">
        <v>167</v>
      </c>
      <c r="BK52">
        <v>132</v>
      </c>
      <c r="BL52">
        <v>111</v>
      </c>
      <c r="BM52">
        <v>65</v>
      </c>
      <c r="BN52">
        <v>98</v>
      </c>
      <c r="BO52">
        <v>5</v>
      </c>
      <c r="BP52">
        <v>113</v>
      </c>
      <c r="BQ52">
        <v>132</v>
      </c>
      <c r="BR52">
        <v>204</v>
      </c>
      <c r="BS52">
        <v>59</v>
      </c>
      <c r="BT52">
        <v>142</v>
      </c>
      <c r="BU52">
        <v>163</v>
      </c>
      <c r="BV52">
        <v>40</v>
      </c>
      <c r="BW52">
        <v>111</v>
      </c>
      <c r="BX52" s="243">
        <f>103809.657/1000</f>
        <v>103.809657</v>
      </c>
      <c r="BY52" s="243">
        <f>72606.8949/1000</f>
        <v>72.6068949</v>
      </c>
      <c r="BZ52" s="243">
        <f>74256.2135/1000</f>
        <v>74.256213500000001</v>
      </c>
      <c r="CA52" s="243">
        <f>60128.7526/1000</f>
        <v>60.128752599999999</v>
      </c>
      <c r="CB52" s="243">
        <f>219976.14/1000</f>
        <v>219.97614000000002</v>
      </c>
      <c r="CC52" s="243">
        <f>178836.009/1000</f>
        <v>178.83600899999999</v>
      </c>
      <c r="CD52" s="243">
        <f>148372.62/1000</f>
        <v>148.37261999999998</v>
      </c>
      <c r="CE52" s="243">
        <f>27824.4605/1000</f>
        <v>27.824460500000001</v>
      </c>
      <c r="CF52" s="243">
        <f>56779.4608/1000</f>
        <v>56.779460800000003</v>
      </c>
      <c r="CG52" s="243">
        <f>217204.24/1000</f>
        <v>217.20424</v>
      </c>
      <c r="CH52" s="243">
        <f>81503.139/1000</f>
        <v>81.50313899999999</v>
      </c>
      <c r="CI52" s="243">
        <f>99625.4977/1000</f>
        <v>99.625497700000011</v>
      </c>
      <c r="CJ52" s="243">
        <f>94378.5088/1000</f>
        <v>94.378508799999992</v>
      </c>
      <c r="CK52" s="243">
        <f>141501.6294/1000</f>
        <v>141.50162940000001</v>
      </c>
      <c r="CL52" s="243">
        <f>125155.09/1000</f>
        <v>125.15509</v>
      </c>
      <c r="CM52" s="243">
        <f>23765.3154/1000</f>
        <v>23.765315399999999</v>
      </c>
      <c r="CN52" s="243">
        <f>148578.951/1000</f>
        <v>148.57895099999999</v>
      </c>
      <c r="CO52" s="243">
        <f>136408.686/1000</f>
        <v>136.40868599999999</v>
      </c>
      <c r="CP52" s="243">
        <f>151473.514/1000</f>
        <v>151.47351399999999</v>
      </c>
      <c r="CQ52" s="243">
        <f>133721.71/1000</f>
        <v>133.72171</v>
      </c>
      <c r="CR52" s="243">
        <f>154069.786/1000</f>
        <v>154.06978599999999</v>
      </c>
      <c r="CS52" s="243">
        <f>162684.919/1000</f>
        <v>162.68491900000001</v>
      </c>
      <c r="CT52" s="243">
        <f>176993.443/1000</f>
        <v>176.99344300000001</v>
      </c>
      <c r="CU52" s="243">
        <f>136602.601/1000</f>
        <v>136.60260099999999</v>
      </c>
      <c r="CV52" s="243">
        <f>34106.7915/1000</f>
        <v>34.1067915</v>
      </c>
      <c r="CW52" s="243">
        <f>38966.53326/1000</f>
        <v>38.966533259999999</v>
      </c>
      <c r="CX52" s="557">
        <f>152643.895/1000</f>
        <v>152.64389499999999</v>
      </c>
    </row>
    <row r="53" spans="2:102" x14ac:dyDescent="0.35">
      <c r="B53" s="802"/>
      <c r="C53" s="57" t="s">
        <v>284</v>
      </c>
      <c r="D53" s="233">
        <v>1</v>
      </c>
      <c r="E53" s="234">
        <v>7</v>
      </c>
      <c r="F53" s="234">
        <v>8</v>
      </c>
      <c r="G53" s="234">
        <v>14</v>
      </c>
      <c r="H53" s="234">
        <v>19</v>
      </c>
      <c r="I53" s="234">
        <v>14</v>
      </c>
      <c r="J53" s="234">
        <v>-2</v>
      </c>
      <c r="K53" s="234">
        <v>6</v>
      </c>
      <c r="L53" s="234">
        <v>6</v>
      </c>
      <c r="M53" s="234">
        <v>10</v>
      </c>
      <c r="N53" s="234">
        <v>16</v>
      </c>
      <c r="O53" s="234">
        <v>0</v>
      </c>
      <c r="P53" s="233">
        <v>9</v>
      </c>
      <c r="Q53" s="235">
        <v>8</v>
      </c>
      <c r="R53" s="234">
        <v>8</v>
      </c>
      <c r="S53" s="234">
        <v>-1</v>
      </c>
      <c r="T53" s="234">
        <v>2</v>
      </c>
      <c r="U53" s="234">
        <v>2</v>
      </c>
      <c r="V53" s="234"/>
      <c r="W53" s="234">
        <v>4</v>
      </c>
      <c r="X53" s="234">
        <v>7</v>
      </c>
      <c r="Y53" s="234">
        <v>8</v>
      </c>
      <c r="Z53" s="234">
        <v>5</v>
      </c>
      <c r="AA53" s="234">
        <v>0</v>
      </c>
      <c r="AB53" s="279">
        <v>1</v>
      </c>
      <c r="AC53" s="235">
        <v>8</v>
      </c>
      <c r="AD53" s="234">
        <v>8</v>
      </c>
      <c r="AF53">
        <v>7</v>
      </c>
      <c r="AG53">
        <v>14</v>
      </c>
      <c r="AH53">
        <v>3</v>
      </c>
      <c r="AI53">
        <v>0</v>
      </c>
      <c r="AJ53">
        <v>23</v>
      </c>
      <c r="AK53">
        <v>2</v>
      </c>
      <c r="AL53">
        <v>5</v>
      </c>
      <c r="AO53" s="235">
        <v>5</v>
      </c>
      <c r="AQ53">
        <v>3</v>
      </c>
      <c r="AR53">
        <v>2</v>
      </c>
      <c r="AT53">
        <v>20</v>
      </c>
      <c r="AU53">
        <v>6</v>
      </c>
      <c r="AV53">
        <v>5</v>
      </c>
      <c r="AW53">
        <v>31</v>
      </c>
      <c r="AX53">
        <v>16</v>
      </c>
      <c r="AY53">
        <v>16</v>
      </c>
      <c r="AZ53">
        <v>68</v>
      </c>
      <c r="BA53" s="78">
        <v>25</v>
      </c>
      <c r="BB53">
        <v>56</v>
      </c>
      <c r="BC53">
        <v>10</v>
      </c>
      <c r="BD53" s="234">
        <v>26</v>
      </c>
      <c r="BE53" s="234">
        <v>62</v>
      </c>
      <c r="BF53" s="234">
        <v>3</v>
      </c>
      <c r="BG53">
        <v>128</v>
      </c>
      <c r="BH53">
        <v>1</v>
      </c>
      <c r="BI53">
        <v>0</v>
      </c>
      <c r="BJ53" s="234">
        <v>75</v>
      </c>
      <c r="BK53" s="234">
        <v>0</v>
      </c>
      <c r="BL53" s="234">
        <v>43</v>
      </c>
      <c r="BM53" s="234">
        <v>3</v>
      </c>
      <c r="BN53" s="234">
        <v>61</v>
      </c>
      <c r="BO53" s="234">
        <v>92</v>
      </c>
      <c r="BP53">
        <v>81</v>
      </c>
      <c r="BQ53" s="234">
        <v>0</v>
      </c>
      <c r="BR53" s="234">
        <v>76</v>
      </c>
      <c r="BS53" s="234">
        <v>71</v>
      </c>
      <c r="BT53" s="234">
        <v>-1</v>
      </c>
      <c r="BU53" s="234">
        <v>88</v>
      </c>
      <c r="BV53" s="234">
        <v>9</v>
      </c>
      <c r="BW53" s="234">
        <v>20</v>
      </c>
      <c r="BX53" s="234">
        <f>23929.63255/1000</f>
        <v>23.929632549999997</v>
      </c>
      <c r="BY53" s="234">
        <f>9537.732723/1000</f>
        <v>9.5377327229999995</v>
      </c>
      <c r="BZ53" s="234">
        <v>0</v>
      </c>
      <c r="CA53" s="234">
        <f>15289.38818/1000</f>
        <v>15.28938818</v>
      </c>
      <c r="CB53" s="234">
        <f>616.645/1000</f>
        <v>0.616645</v>
      </c>
      <c r="CC53" s="234">
        <f>-972.254108/1000</f>
        <v>-0.97225410800000001</v>
      </c>
      <c r="CD53" s="234">
        <v>75</v>
      </c>
      <c r="CE53" s="234">
        <f>2336.995/1000</f>
        <v>2.3369949999999999</v>
      </c>
      <c r="CF53" s="234">
        <f>25628.07859/1000</f>
        <v>25.628078590000001</v>
      </c>
      <c r="CG53" s="234">
        <f>6503.77/1000</f>
        <v>6.5037700000000003</v>
      </c>
      <c r="CH53" s="234">
        <f>2453.933364/1000</f>
        <v>2.4539333640000001</v>
      </c>
      <c r="CI53" s="234">
        <f>-295.2795/1000</f>
        <v>-0.29527949999999997</v>
      </c>
      <c r="CJ53" s="234">
        <f>19316.53907/1000</f>
        <v>19.316539069999997</v>
      </c>
      <c r="CK53" s="234">
        <f>15743.08615/1000</f>
        <v>15.74308615</v>
      </c>
      <c r="CL53" s="234">
        <f>5309.6137/1000</f>
        <v>5.3096136999999999</v>
      </c>
      <c r="CM53" s="234">
        <f>6451.131187/1000</f>
        <v>6.4511311869999997</v>
      </c>
      <c r="CN53" s="234">
        <f>13931.27849/1000</f>
        <v>13.93127849</v>
      </c>
      <c r="CO53" s="234">
        <f>917.6313/1000</f>
        <v>0.91763130000000004</v>
      </c>
      <c r="CP53" s="234">
        <f>2929.089185/1000</f>
        <v>2.9290891849999996</v>
      </c>
      <c r="CQ53" s="234">
        <f>30312.78008/1000</f>
        <v>30.31278008</v>
      </c>
      <c r="CR53" s="234">
        <f>19380.12142/1000</f>
        <v>19.380121419999998</v>
      </c>
      <c r="CS53" s="234">
        <f>17979.23518/1000</f>
        <v>17.97923518</v>
      </c>
      <c r="CT53" s="234">
        <f>13878.50289/1000</f>
        <v>13.87850289</v>
      </c>
      <c r="CU53" s="234">
        <f>16109.92892/1000</f>
        <v>16.109928920000002</v>
      </c>
      <c r="CV53" s="234">
        <f>15801.00267/1000</f>
        <v>15.801002669999999</v>
      </c>
      <c r="CW53" s="234">
        <f>1669.633241/1000</f>
        <v>1.6696332410000001</v>
      </c>
      <c r="CX53" s="512">
        <f>24345.68991/1000</f>
        <v>24.345689910000001</v>
      </c>
    </row>
    <row r="54" spans="2:102" x14ac:dyDescent="0.35">
      <c r="B54" s="802"/>
      <c r="C54" s="57" t="s">
        <v>285</v>
      </c>
      <c r="D54" s="233">
        <v>3</v>
      </c>
      <c r="E54" s="234">
        <v>8</v>
      </c>
      <c r="F54" s="234">
        <v>7</v>
      </c>
      <c r="G54" s="234">
        <v>17</v>
      </c>
      <c r="H54" s="234">
        <v>25</v>
      </c>
      <c r="I54" s="234">
        <v>35</v>
      </c>
      <c r="J54" s="234">
        <v>33</v>
      </c>
      <c r="K54" s="234">
        <v>32</v>
      </c>
      <c r="L54" s="234">
        <v>37</v>
      </c>
      <c r="M54" s="234">
        <v>42</v>
      </c>
      <c r="N54" s="234">
        <v>52</v>
      </c>
      <c r="O54" s="234">
        <v>68</v>
      </c>
      <c r="P54" s="233">
        <v>75</v>
      </c>
      <c r="Q54" s="235">
        <f>64+2</f>
        <v>66</v>
      </c>
      <c r="R54" s="234">
        <v>63</v>
      </c>
      <c r="S54" s="234">
        <v>61</v>
      </c>
      <c r="T54" s="234">
        <v>7</v>
      </c>
      <c r="U54" s="234">
        <v>-4</v>
      </c>
      <c r="V54" s="234">
        <v>2</v>
      </c>
      <c r="W54" s="234">
        <v>-2</v>
      </c>
      <c r="X54" s="234">
        <v>2</v>
      </c>
      <c r="Y54" s="234">
        <v>8</v>
      </c>
      <c r="Z54" s="234">
        <v>12</v>
      </c>
      <c r="AA54" s="234">
        <v>14</v>
      </c>
      <c r="AB54" s="279">
        <v>17</v>
      </c>
      <c r="AC54" s="235">
        <v>17</v>
      </c>
      <c r="AD54" s="234">
        <v>16</v>
      </c>
      <c r="AE54">
        <v>27</v>
      </c>
      <c r="AF54">
        <v>2</v>
      </c>
      <c r="AG54">
        <v>0</v>
      </c>
      <c r="AH54">
        <v>8</v>
      </c>
      <c r="AI54">
        <v>8</v>
      </c>
      <c r="AJ54">
        <v>8</v>
      </c>
      <c r="AK54">
        <v>6</v>
      </c>
      <c r="AL54">
        <v>4</v>
      </c>
      <c r="AM54">
        <v>5</v>
      </c>
      <c r="AN54">
        <v>1</v>
      </c>
      <c r="AO54" s="235">
        <v>1</v>
      </c>
      <c r="AP54">
        <v>1</v>
      </c>
      <c r="AR54">
        <v>3</v>
      </c>
      <c r="AS54">
        <v>1</v>
      </c>
      <c r="AT54">
        <v>0</v>
      </c>
      <c r="AU54">
        <v>4</v>
      </c>
      <c r="AV54">
        <v>4</v>
      </c>
      <c r="AW54" s="234">
        <v>-5</v>
      </c>
      <c r="AX54">
        <v>27</v>
      </c>
      <c r="AY54">
        <v>3</v>
      </c>
      <c r="AZ54">
        <v>19</v>
      </c>
      <c r="BA54" s="78">
        <v>3</v>
      </c>
      <c r="BB54">
        <v>28</v>
      </c>
      <c r="BC54">
        <v>4</v>
      </c>
      <c r="BD54" s="234">
        <v>6</v>
      </c>
      <c r="BE54" s="234">
        <v>2</v>
      </c>
      <c r="BF54" s="234">
        <v>61</v>
      </c>
      <c r="BG54">
        <v>67</v>
      </c>
      <c r="BH54">
        <v>3</v>
      </c>
      <c r="BI54">
        <v>4</v>
      </c>
      <c r="BJ54" s="234">
        <v>0</v>
      </c>
      <c r="BK54" s="234">
        <v>0</v>
      </c>
      <c r="BL54" s="234">
        <v>1</v>
      </c>
      <c r="BM54" s="234">
        <v>42</v>
      </c>
      <c r="BN54" s="234">
        <v>0</v>
      </c>
      <c r="BO54" s="234">
        <v>56</v>
      </c>
      <c r="BP54">
        <v>56</v>
      </c>
      <c r="BQ54" s="234">
        <v>0</v>
      </c>
      <c r="BR54" s="234">
        <v>0</v>
      </c>
      <c r="BS54" s="234">
        <v>0</v>
      </c>
      <c r="BT54" s="234">
        <v>6</v>
      </c>
      <c r="BU54" s="234">
        <v>10</v>
      </c>
      <c r="BV54" s="234">
        <v>95</v>
      </c>
      <c r="BW54" s="234">
        <v>92</v>
      </c>
      <c r="BX54" s="234">
        <f>56265.51155/1000</f>
        <v>56.265511549999999</v>
      </c>
      <c r="BY54" s="234">
        <f>20028.62102/1000</f>
        <v>20.028621019999999</v>
      </c>
      <c r="BZ54" s="234">
        <v>0</v>
      </c>
      <c r="CA54" s="234"/>
      <c r="CB54" s="234">
        <f>3349.816/1000</f>
        <v>3.3498159999999997</v>
      </c>
      <c r="CC54" s="234">
        <f>-57.04/1000</f>
        <v>-5.704E-2</v>
      </c>
      <c r="CD54" s="234">
        <f>-1281.08236/1000</f>
        <v>-1.2810823600000001</v>
      </c>
      <c r="CE54" s="234">
        <f>72387.7308/1000</f>
        <v>72.3877308</v>
      </c>
      <c r="CF54" s="234">
        <f>73106.90732/1000</f>
        <v>73.106907320000005</v>
      </c>
      <c r="CG54" s="234">
        <f>23616.11/1000</f>
        <v>23.616109999999999</v>
      </c>
      <c r="CH54" s="234">
        <f>326.6003/1000</f>
        <v>0.32660030000000001</v>
      </c>
      <c r="CI54" s="234">
        <f>705.5843942/1000</f>
        <v>0.70558439419999996</v>
      </c>
      <c r="CJ54" s="234">
        <f>416/643/1000</f>
        <v>6.4696734059097982E-4</v>
      </c>
      <c r="CK54" s="234">
        <f>1104.0668/1000</f>
        <v>1.1040668</v>
      </c>
      <c r="CL54" s="234">
        <f>2300.759004/1000</f>
        <v>2.3007590040000001</v>
      </c>
      <c r="CM54" s="234">
        <f>5752.29712/1000</f>
        <v>5.7522971200000006</v>
      </c>
      <c r="CN54" s="234">
        <f>2140.327281/1000</f>
        <v>2.1403272809999998</v>
      </c>
      <c r="CO54" s="234">
        <f>15980.29571/1000</f>
        <v>15.98029571</v>
      </c>
      <c r="CP54" s="234">
        <f>7269.401298/1000</f>
        <v>7.269401298</v>
      </c>
      <c r="CQ54" s="234">
        <f>10396.34855/1000</f>
        <v>10.396348550000001</v>
      </c>
      <c r="CR54" s="234">
        <f>26984.74125/1000</f>
        <v>26.984741249999999</v>
      </c>
      <c r="CS54" s="234">
        <f>36103.97292/1000</f>
        <v>36.103972919999997</v>
      </c>
      <c r="CT54" s="234">
        <f>4389.620774/1000</f>
        <v>4.3896207739999999</v>
      </c>
      <c r="CU54" s="234">
        <f>12091.57592/1000</f>
        <v>12.091575919999999</v>
      </c>
      <c r="CV54" s="234">
        <f>21494.698/1000</f>
        <v>21.494698</v>
      </c>
      <c r="CW54" s="234">
        <f>-2010.72624/1000</f>
        <v>-2.0107262399999999</v>
      </c>
      <c r="CX54" s="512">
        <f>-494.532641/1000</f>
        <v>-0.494532641</v>
      </c>
    </row>
    <row r="55" spans="2:102" x14ac:dyDescent="0.35">
      <c r="B55" s="802"/>
      <c r="C55" s="58" t="s">
        <v>286</v>
      </c>
      <c r="D55" s="236">
        <v>0</v>
      </c>
      <c r="E55" s="237">
        <v>0</v>
      </c>
      <c r="F55" s="237">
        <v>0</v>
      </c>
      <c r="G55" s="237">
        <v>0</v>
      </c>
      <c r="H55" s="237">
        <v>0</v>
      </c>
      <c r="I55" s="237">
        <v>0</v>
      </c>
      <c r="J55" s="237">
        <v>-20</v>
      </c>
      <c r="K55" s="237">
        <v>-41</v>
      </c>
      <c r="L55" s="237">
        <v>-31</v>
      </c>
      <c r="M55" s="237">
        <v>-31</v>
      </c>
      <c r="N55" s="237">
        <v>-39</v>
      </c>
      <c r="O55" s="237">
        <v>-40</v>
      </c>
      <c r="P55" s="236">
        <v>-95</v>
      </c>
      <c r="Q55" s="238">
        <f>-87</f>
        <v>-87</v>
      </c>
      <c r="R55" s="237">
        <v>-83</v>
      </c>
      <c r="S55" s="237">
        <v>-85</v>
      </c>
      <c r="T55" s="237">
        <v>-14</v>
      </c>
      <c r="U55" s="237">
        <v>-5</v>
      </c>
      <c r="V55" s="237">
        <v>-5</v>
      </c>
      <c r="W55" s="237">
        <v>-4</v>
      </c>
      <c r="X55" s="237">
        <v>-5</v>
      </c>
      <c r="Y55" s="237">
        <f>-27+21</f>
        <v>-6</v>
      </c>
      <c r="Z55" s="237">
        <f>-25+21</f>
        <v>-4</v>
      </c>
      <c r="AA55" s="237">
        <f>-25+21</f>
        <v>-4</v>
      </c>
      <c r="AB55" s="237">
        <f>-26</f>
        <v>-26</v>
      </c>
      <c r="AC55" s="238">
        <f>-27</f>
        <v>-27</v>
      </c>
      <c r="AD55" s="237">
        <f>-27</f>
        <v>-27</v>
      </c>
      <c r="AE55" s="237">
        <f>-27</f>
        <v>-27</v>
      </c>
      <c r="AF55" s="237">
        <f>-28+23</f>
        <v>-5</v>
      </c>
      <c r="AG55" s="237">
        <v>-5</v>
      </c>
      <c r="AH55" s="237">
        <v>-5</v>
      </c>
      <c r="AI55" s="237">
        <v>-5</v>
      </c>
      <c r="AJ55" s="237">
        <v>-5</v>
      </c>
      <c r="AK55" s="237">
        <v>-5</v>
      </c>
      <c r="AL55" s="237">
        <v>-5</v>
      </c>
      <c r="AM55" s="237">
        <v>-5</v>
      </c>
      <c r="AN55" s="237">
        <v>-4</v>
      </c>
      <c r="AO55" s="238">
        <v>-4</v>
      </c>
      <c r="AP55" s="237">
        <v>-6</v>
      </c>
      <c r="AQ55" s="237">
        <v>-11</v>
      </c>
      <c r="AR55" s="237">
        <v>-16</v>
      </c>
      <c r="AS55" s="237">
        <v>-11</v>
      </c>
      <c r="AT55" s="237">
        <v>-14</v>
      </c>
      <c r="AU55" s="237">
        <v>-25</v>
      </c>
      <c r="AV55" s="237">
        <v>-39</v>
      </c>
      <c r="AW55" s="237">
        <v>-42</v>
      </c>
      <c r="AX55" s="237">
        <v>-24</v>
      </c>
      <c r="AY55" s="237">
        <v>-17</v>
      </c>
      <c r="AZ55" s="237">
        <v>-23</v>
      </c>
      <c r="BA55" s="238">
        <v>-25</v>
      </c>
      <c r="BB55" s="237">
        <v>-26</v>
      </c>
      <c r="BC55" s="237">
        <v>-33</v>
      </c>
      <c r="BD55" s="237">
        <v>-34</v>
      </c>
      <c r="BE55" s="237">
        <v>-47</v>
      </c>
      <c r="BF55" s="237">
        <v>-49</v>
      </c>
      <c r="BG55" s="237">
        <v>-48</v>
      </c>
      <c r="BH55" s="237">
        <v>-43</v>
      </c>
      <c r="BI55" s="237">
        <v>-45</v>
      </c>
      <c r="BJ55" s="237">
        <v>-41</v>
      </c>
      <c r="BK55" s="237">
        <v>-39</v>
      </c>
      <c r="BL55" s="237">
        <v>-40</v>
      </c>
      <c r="BM55" s="237">
        <v>-39</v>
      </c>
      <c r="BN55" s="237">
        <v>-41</v>
      </c>
      <c r="BO55" s="237">
        <v>-40</v>
      </c>
      <c r="BP55" s="237">
        <v>-41</v>
      </c>
      <c r="BQ55" s="237">
        <v>-9</v>
      </c>
      <c r="BR55" s="237">
        <v>-7</v>
      </c>
      <c r="BS55" s="237">
        <v>-7</v>
      </c>
      <c r="BT55" s="237">
        <v>-7</v>
      </c>
      <c r="BU55" s="237">
        <v>-7</v>
      </c>
      <c r="BV55" s="237">
        <v>-24</v>
      </c>
      <c r="BW55" s="237">
        <v>-23.228232124715877</v>
      </c>
      <c r="BX55" s="237">
        <f>-6169/1000</f>
        <v>-6.1689999999999996</v>
      </c>
      <c r="BY55" s="237">
        <f>-655/1000</f>
        <v>-0.65500000000000003</v>
      </c>
      <c r="BZ55" s="237">
        <f>-656/1000</f>
        <v>-0.65600000000000003</v>
      </c>
      <c r="CA55" s="237">
        <f>-658/1000</f>
        <v>-0.65800000000000003</v>
      </c>
      <c r="CB55" s="237">
        <f>-10712/1000</f>
        <v>-10.712</v>
      </c>
      <c r="CC55" s="237">
        <f>-21252/1000</f>
        <v>-21.251999999999999</v>
      </c>
      <c r="CD55" s="237">
        <f>-2556/1000</f>
        <v>-2.556</v>
      </c>
      <c r="CE55" s="237">
        <f>-3977/1000</f>
        <v>-3.9769999999999999</v>
      </c>
      <c r="CF55" s="237">
        <f>-2460/1000</f>
        <v>-2.46</v>
      </c>
      <c r="CG55" s="237">
        <f>-2410/1000</f>
        <v>-2.41</v>
      </c>
      <c r="CH55" s="237">
        <f>-2492/1000</f>
        <v>-2.492</v>
      </c>
      <c r="CI55" s="237">
        <f>-2537/1000</f>
        <v>-2.5369999999999999</v>
      </c>
      <c r="CJ55" s="237">
        <f>-7729/1000</f>
        <v>-7.7290000000000001</v>
      </c>
      <c r="CK55" s="237">
        <f>-7803/1000</f>
        <v>-7.8029999999999999</v>
      </c>
      <c r="CL55" s="237">
        <f>-7697/1000</f>
        <v>-7.6970000000000001</v>
      </c>
      <c r="CM55" s="237">
        <f>-7484/1000</f>
        <v>-7.484</v>
      </c>
      <c r="CN55" s="237">
        <f>-7242/1000</f>
        <v>-7.242</v>
      </c>
      <c r="CO55" s="237">
        <f>-27863/1000</f>
        <v>-27.863</v>
      </c>
      <c r="CP55" s="237">
        <f>-27347/1000</f>
        <v>-27.347000000000001</v>
      </c>
      <c r="CQ55" s="237">
        <f>-28291/1000</f>
        <v>-28.291</v>
      </c>
      <c r="CR55" s="237">
        <f>-27763/1000</f>
        <v>-27.763000000000002</v>
      </c>
      <c r="CS55" s="237">
        <f>-27901/1000</f>
        <v>-27.901</v>
      </c>
      <c r="CT55" s="237">
        <f>-28557/1000</f>
        <v>-28.556999999999999</v>
      </c>
      <c r="CU55" s="237">
        <f>-18528/1000</f>
        <v>-18.527999999999999</v>
      </c>
      <c r="CV55" s="237">
        <f>-219/1000</f>
        <v>-0.219</v>
      </c>
      <c r="CW55" s="237">
        <f>-214/1000</f>
        <v>-0.214</v>
      </c>
      <c r="CX55" s="716">
        <f>-71/1000</f>
        <v>-7.0999999999999994E-2</v>
      </c>
    </row>
    <row r="56" spans="2:102" ht="15" thickBot="1" x14ac:dyDescent="0.4">
      <c r="B56" s="803"/>
      <c r="C56" s="59" t="s">
        <v>287</v>
      </c>
      <c r="D56" s="239">
        <v>36</v>
      </c>
      <c r="E56" s="239">
        <f t="shared" ref="E56:AJ56" si="43">SUM(E50:E55)</f>
        <v>52</v>
      </c>
      <c r="F56" s="239">
        <f t="shared" si="43"/>
        <v>59</v>
      </c>
      <c r="G56" s="239">
        <f t="shared" si="43"/>
        <v>85</v>
      </c>
      <c r="H56" s="239">
        <f t="shared" si="43"/>
        <v>92</v>
      </c>
      <c r="I56" s="239">
        <f t="shared" si="43"/>
        <v>69</v>
      </c>
      <c r="J56" s="239">
        <f t="shared" si="43"/>
        <v>56</v>
      </c>
      <c r="K56" s="239">
        <f t="shared" si="43"/>
        <v>38</v>
      </c>
      <c r="L56" s="239">
        <f t="shared" si="43"/>
        <v>50</v>
      </c>
      <c r="M56" s="239">
        <f t="shared" si="43"/>
        <v>62</v>
      </c>
      <c r="N56" s="239">
        <f t="shared" si="43"/>
        <v>65</v>
      </c>
      <c r="O56" s="239">
        <f t="shared" si="43"/>
        <v>66</v>
      </c>
      <c r="P56" s="239">
        <f t="shared" si="43"/>
        <v>15</v>
      </c>
      <c r="Q56" s="237">
        <f t="shared" si="43"/>
        <v>2</v>
      </c>
      <c r="R56" s="237">
        <f t="shared" si="43"/>
        <v>10</v>
      </c>
      <c r="S56" s="237">
        <f t="shared" si="43"/>
        <v>6</v>
      </c>
      <c r="T56" s="237">
        <f t="shared" si="43"/>
        <v>26</v>
      </c>
      <c r="U56" s="237">
        <f t="shared" si="43"/>
        <v>26</v>
      </c>
      <c r="V56" s="237">
        <f t="shared" si="43"/>
        <v>38</v>
      </c>
      <c r="W56" s="237">
        <f t="shared" si="43"/>
        <v>29</v>
      </c>
      <c r="X56" s="237">
        <f t="shared" si="43"/>
        <v>36</v>
      </c>
      <c r="Y56" s="237">
        <f t="shared" si="43"/>
        <v>54</v>
      </c>
      <c r="Z56" s="237">
        <f t="shared" si="43"/>
        <v>46</v>
      </c>
      <c r="AA56" s="237">
        <f t="shared" si="43"/>
        <v>47</v>
      </c>
      <c r="AB56" s="237">
        <f t="shared" si="43"/>
        <v>32</v>
      </c>
      <c r="AC56" s="239">
        <f t="shared" si="43"/>
        <v>35</v>
      </c>
      <c r="AD56" s="237">
        <f t="shared" si="43"/>
        <v>55</v>
      </c>
      <c r="AE56" s="237">
        <f t="shared" si="43"/>
        <v>51</v>
      </c>
      <c r="AF56" s="237">
        <f t="shared" si="43"/>
        <v>54</v>
      </c>
      <c r="AG56" s="237">
        <f t="shared" si="43"/>
        <v>59</v>
      </c>
      <c r="AH56" s="237">
        <f t="shared" si="43"/>
        <v>55</v>
      </c>
      <c r="AI56" s="237">
        <f t="shared" si="43"/>
        <v>46</v>
      </c>
      <c r="AJ56" s="237">
        <f t="shared" si="43"/>
        <v>44</v>
      </c>
      <c r="AK56" s="237">
        <f t="shared" ref="AK56:CJ56" si="44">SUM(AK50:AK55)</f>
        <v>44</v>
      </c>
      <c r="AL56" s="237">
        <f t="shared" si="44"/>
        <v>45</v>
      </c>
      <c r="AM56" s="237">
        <f t="shared" si="44"/>
        <v>52</v>
      </c>
      <c r="AN56" s="237">
        <f t="shared" si="44"/>
        <v>35</v>
      </c>
      <c r="AO56" s="238">
        <f t="shared" si="44"/>
        <v>24</v>
      </c>
      <c r="AP56" s="239">
        <f t="shared" si="44"/>
        <v>35</v>
      </c>
      <c r="AQ56" s="239">
        <f t="shared" si="44"/>
        <v>89</v>
      </c>
      <c r="AR56" s="239">
        <f t="shared" si="44"/>
        <v>167</v>
      </c>
      <c r="AS56" s="239">
        <f t="shared" si="44"/>
        <v>164</v>
      </c>
      <c r="AT56" s="239">
        <f t="shared" si="44"/>
        <v>213</v>
      </c>
      <c r="AU56" s="239">
        <f t="shared" si="44"/>
        <v>176</v>
      </c>
      <c r="AV56" s="239">
        <f t="shared" si="44"/>
        <v>225</v>
      </c>
      <c r="AW56" s="239">
        <f t="shared" si="44"/>
        <v>302</v>
      </c>
      <c r="AX56" s="239">
        <f t="shared" si="44"/>
        <v>445</v>
      </c>
      <c r="AY56" s="239">
        <f t="shared" si="44"/>
        <v>401</v>
      </c>
      <c r="AZ56" s="239">
        <f t="shared" si="44"/>
        <v>636</v>
      </c>
      <c r="BA56" s="242">
        <f t="shared" si="44"/>
        <v>552</v>
      </c>
      <c r="BB56" s="239">
        <f t="shared" si="44"/>
        <v>465</v>
      </c>
      <c r="BC56" s="239">
        <f t="shared" si="44"/>
        <v>352</v>
      </c>
      <c r="BD56" s="239">
        <f t="shared" si="44"/>
        <v>545</v>
      </c>
      <c r="BE56" s="239">
        <f t="shared" si="44"/>
        <v>577</v>
      </c>
      <c r="BF56" s="239">
        <f t="shared" si="44"/>
        <v>589</v>
      </c>
      <c r="BG56" s="239">
        <f t="shared" si="44"/>
        <v>748</v>
      </c>
      <c r="BH56" s="239">
        <f t="shared" si="44"/>
        <v>522</v>
      </c>
      <c r="BI56" s="239">
        <f t="shared" si="44"/>
        <v>707</v>
      </c>
      <c r="BJ56" s="239">
        <f t="shared" si="44"/>
        <v>707</v>
      </c>
      <c r="BK56" s="239">
        <f t="shared" si="44"/>
        <v>621</v>
      </c>
      <c r="BL56" s="239">
        <f t="shared" si="44"/>
        <v>645</v>
      </c>
      <c r="BM56" s="239">
        <f t="shared" si="44"/>
        <v>540</v>
      </c>
      <c r="BN56" s="239">
        <f t="shared" si="44"/>
        <v>724</v>
      </c>
      <c r="BO56" s="239">
        <f t="shared" si="44"/>
        <v>708</v>
      </c>
      <c r="BP56" s="239">
        <f t="shared" si="44"/>
        <v>729</v>
      </c>
      <c r="BQ56" s="239">
        <f t="shared" si="44"/>
        <v>722</v>
      </c>
      <c r="BR56" s="239">
        <f t="shared" si="44"/>
        <v>795</v>
      </c>
      <c r="BS56" s="239">
        <f t="shared" si="44"/>
        <v>689</v>
      </c>
      <c r="BT56" s="239">
        <f t="shared" si="44"/>
        <v>753</v>
      </c>
      <c r="BU56" s="239">
        <f t="shared" si="44"/>
        <v>818</v>
      </c>
      <c r="BV56" s="239">
        <f t="shared" si="44"/>
        <v>729</v>
      </c>
      <c r="BW56" s="239">
        <f t="shared" si="44"/>
        <v>753.97976787528421</v>
      </c>
      <c r="BX56" s="239">
        <f t="shared" si="44"/>
        <v>707.2442562</v>
      </c>
      <c r="BY56" s="239">
        <f t="shared" si="44"/>
        <v>586.08500464299993</v>
      </c>
      <c r="BZ56" s="239">
        <f t="shared" si="44"/>
        <v>689.82910190000007</v>
      </c>
      <c r="CA56" s="239">
        <f t="shared" si="44"/>
        <v>750.10254847999988</v>
      </c>
      <c r="CB56" s="239">
        <f t="shared" si="44"/>
        <v>729.43643129999987</v>
      </c>
      <c r="CC56" s="239">
        <f t="shared" si="44"/>
        <v>715.87419759199997</v>
      </c>
      <c r="CD56" s="239">
        <f t="shared" si="44"/>
        <v>822.55939233999993</v>
      </c>
      <c r="CE56" s="239">
        <f t="shared" si="44"/>
        <v>577.51697860000002</v>
      </c>
      <c r="CF56" s="239">
        <f t="shared" si="44"/>
        <v>785.94149270999992</v>
      </c>
      <c r="CG56" s="239">
        <f t="shared" si="44"/>
        <v>746.54700000000014</v>
      </c>
      <c r="CH56" s="239">
        <f t="shared" si="44"/>
        <v>620.57065616400007</v>
      </c>
      <c r="CI56" s="239">
        <f t="shared" si="44"/>
        <v>1156.6559289941999</v>
      </c>
      <c r="CJ56" s="239">
        <f t="shared" si="44"/>
        <v>1105.5753631373407</v>
      </c>
      <c r="CK56" s="239">
        <f t="shared" ref="CK56:CP56" si="45">SUM(CK50:CK55)</f>
        <v>1241.93252175</v>
      </c>
      <c r="CL56" s="239">
        <f t="shared" si="45"/>
        <v>1325.244612404</v>
      </c>
      <c r="CM56" s="239">
        <f t="shared" si="45"/>
        <v>855.3961482069999</v>
      </c>
      <c r="CN56" s="239">
        <f t="shared" si="45"/>
        <v>853.42487607100009</v>
      </c>
      <c r="CO56" s="239">
        <f t="shared" si="45"/>
        <v>799.50447190999989</v>
      </c>
      <c r="CP56" s="239">
        <f t="shared" si="45"/>
        <v>847.10212108300004</v>
      </c>
      <c r="CQ56" s="239">
        <f t="shared" ref="CQ56:CT56" si="46">SUM(CQ50:CQ55)</f>
        <v>850.69577222999999</v>
      </c>
      <c r="CR56" s="239">
        <f t="shared" si="46"/>
        <v>847.29054997000003</v>
      </c>
      <c r="CS56" s="239">
        <f t="shared" si="46"/>
        <v>903.67682130000014</v>
      </c>
      <c r="CT56" s="239">
        <f t="shared" si="46"/>
        <v>853.42291876400009</v>
      </c>
      <c r="CU56" s="239">
        <f t="shared" ref="CU56:CV56" si="47">SUM(CU50:CU55)</f>
        <v>874.53657173999989</v>
      </c>
      <c r="CV56" s="239">
        <f t="shared" si="47"/>
        <v>669.15375267000002</v>
      </c>
      <c r="CW56" s="239">
        <f t="shared" ref="CW56:CX56" si="48">SUM(CW50:CW55)</f>
        <v>767.9090897609999</v>
      </c>
      <c r="CX56" s="687">
        <f t="shared" si="48"/>
        <v>919.07173029899991</v>
      </c>
    </row>
    <row r="57" spans="2:102" x14ac:dyDescent="0.35">
      <c r="B57" s="227" t="s">
        <v>288</v>
      </c>
      <c r="C57" s="227"/>
      <c r="D57" s="234">
        <v>80.72727272727272</v>
      </c>
      <c r="E57" s="234">
        <f t="shared" ref="E57:BP57" si="49">IF(E56&gt;SUM(E94:F94),(E56-F94-E94)/D94*D87+E87+F87,(E56-F94)/E94*E87+F87)</f>
        <v>99.5</v>
      </c>
      <c r="F57" s="234">
        <f t="shared" si="49"/>
        <v>115.52941176470588</v>
      </c>
      <c r="G57" s="234">
        <f t="shared" si="49"/>
        <v>136.5</v>
      </c>
      <c r="H57" s="234">
        <f t="shared" si="49"/>
        <v>222</v>
      </c>
      <c r="I57" s="234">
        <f t="shared" si="49"/>
        <v>98.888888888888886</v>
      </c>
      <c r="J57" s="234">
        <f t="shared" si="49"/>
        <v>108.36842105263159</v>
      </c>
      <c r="K57" s="234">
        <f t="shared" si="49"/>
        <v>70.117647058823536</v>
      </c>
      <c r="L57" s="234">
        <f t="shared" si="49"/>
        <v>108.66666666666666</v>
      </c>
      <c r="M57" s="234">
        <f t="shared" si="49"/>
        <v>98.458333333333329</v>
      </c>
      <c r="N57" s="234">
        <f t="shared" si="49"/>
        <v>112.66666666666667</v>
      </c>
      <c r="O57" s="234">
        <f t="shared" si="49"/>
        <v>101</v>
      </c>
      <c r="P57" s="234">
        <f t="shared" si="49"/>
        <v>-37.571428571428569</v>
      </c>
      <c r="Q57" s="234">
        <f t="shared" si="49"/>
        <v>23.085106382978722</v>
      </c>
      <c r="R57" s="234">
        <f t="shared" si="49"/>
        <v>12.5</v>
      </c>
      <c r="S57" s="234">
        <f t="shared" si="49"/>
        <v>14.52941176470588</v>
      </c>
      <c r="T57" s="234">
        <f t="shared" si="49"/>
        <v>24.1875</v>
      </c>
      <c r="U57" s="234">
        <f t="shared" si="49"/>
        <v>32.03448275862069</v>
      </c>
      <c r="V57" s="234">
        <f t="shared" si="49"/>
        <v>48.599999999999994</v>
      </c>
      <c r="W57" s="234">
        <f t="shared" si="49"/>
        <v>38.826086956521742</v>
      </c>
      <c r="X57" s="234">
        <f t="shared" si="49"/>
        <v>48.521739130434781</v>
      </c>
      <c r="Y57" s="234">
        <f t="shared" si="49"/>
        <v>71.782608695652172</v>
      </c>
      <c r="Z57" s="234">
        <f t="shared" si="49"/>
        <v>67.739130434782609</v>
      </c>
      <c r="AA57" s="234">
        <f t="shared" si="49"/>
        <v>68.826086956521749</v>
      </c>
      <c r="AB57" s="234">
        <f t="shared" si="49"/>
        <v>42.739130434782609</v>
      </c>
      <c r="AC57" s="234">
        <f t="shared" si="49"/>
        <v>43.130434782608695</v>
      </c>
      <c r="AD57" s="234">
        <f t="shared" si="49"/>
        <v>56.42307692307692</v>
      </c>
      <c r="AE57" s="234">
        <f t="shared" si="49"/>
        <v>55.46875</v>
      </c>
      <c r="AF57" s="234">
        <f t="shared" si="49"/>
        <v>63.71875</v>
      </c>
      <c r="AG57" s="234">
        <f t="shared" si="49"/>
        <v>63.583333333333336</v>
      </c>
      <c r="AH57" s="234">
        <f t="shared" si="49"/>
        <v>57.900000000000006</v>
      </c>
      <c r="AI57" s="234">
        <f t="shared" si="49"/>
        <v>49.214285714285708</v>
      </c>
      <c r="AJ57" s="234">
        <f t="shared" si="49"/>
        <v>52.379310344827587</v>
      </c>
      <c r="AK57" s="234">
        <f t="shared" si="49"/>
        <v>53.25</v>
      </c>
      <c r="AL57" s="234">
        <f t="shared" si="49"/>
        <v>34.46153846153846</v>
      </c>
      <c r="AM57" s="234">
        <f t="shared" si="49"/>
        <v>42.547619047619051</v>
      </c>
      <c r="AN57" s="234">
        <f t="shared" si="49"/>
        <v>35.285714285714285</v>
      </c>
      <c r="AO57" s="235">
        <f t="shared" si="49"/>
        <v>21.700000000000003</v>
      </c>
      <c r="AP57" s="234">
        <f t="shared" si="49"/>
        <v>23.303030303030305</v>
      </c>
      <c r="AQ57" s="234">
        <f t="shared" si="49"/>
        <v>65.575757575757578</v>
      </c>
      <c r="AR57" s="234">
        <f t="shared" si="49"/>
        <v>70.099999999999994</v>
      </c>
      <c r="AS57" s="234">
        <f t="shared" si="49"/>
        <v>50.821428571428569</v>
      </c>
      <c r="AT57" s="234">
        <f t="shared" si="49"/>
        <v>63.678571428571431</v>
      </c>
      <c r="AU57" s="234">
        <f t="shared" si="49"/>
        <v>50.380530973451329</v>
      </c>
      <c r="AV57" s="234">
        <f t="shared" si="49"/>
        <v>38.524271844660191</v>
      </c>
      <c r="AW57" s="234">
        <f t="shared" si="49"/>
        <v>46.74</v>
      </c>
      <c r="AX57" s="234">
        <f t="shared" si="49"/>
        <v>69.835000000000008</v>
      </c>
      <c r="AY57" s="234">
        <f t="shared" si="49"/>
        <v>61.309278350515463</v>
      </c>
      <c r="AZ57" s="234">
        <f t="shared" si="49"/>
        <v>89.44329896907216</v>
      </c>
      <c r="BA57" s="235">
        <f t="shared" si="49"/>
        <v>83.073170731707307</v>
      </c>
      <c r="BB57" s="234">
        <f t="shared" si="49"/>
        <v>77.747035573122531</v>
      </c>
      <c r="BC57" s="234">
        <f t="shared" si="49"/>
        <v>54.184713375796179</v>
      </c>
      <c r="BD57" s="234">
        <f t="shared" si="49"/>
        <v>71.522292993630572</v>
      </c>
      <c r="BE57" s="234">
        <f t="shared" si="49"/>
        <v>73.009009009009006</v>
      </c>
      <c r="BF57" s="234">
        <f t="shared" si="49"/>
        <v>74.409090909090907</v>
      </c>
      <c r="BG57" s="234">
        <f t="shared" si="49"/>
        <v>96.370044052863435</v>
      </c>
      <c r="BH57" s="234">
        <f t="shared" si="49"/>
        <v>68.393442622950829</v>
      </c>
      <c r="BI57" s="234">
        <f t="shared" si="49"/>
        <v>73.779591836734696</v>
      </c>
      <c r="BJ57" s="234">
        <f t="shared" si="49"/>
        <v>72.848888888888894</v>
      </c>
      <c r="BK57" s="234">
        <f t="shared" si="49"/>
        <v>64.464566929133866</v>
      </c>
      <c r="BL57" s="234">
        <f t="shared" si="49"/>
        <v>59.931750741839764</v>
      </c>
      <c r="BM57" s="234">
        <f t="shared" si="49"/>
        <v>52.796875</v>
      </c>
      <c r="BN57" s="234">
        <f t="shared" si="49"/>
        <v>67.71875</v>
      </c>
      <c r="BO57" s="234">
        <f t="shared" si="49"/>
        <v>61.361904761904761</v>
      </c>
      <c r="BP57" s="234">
        <f t="shared" si="49"/>
        <v>62.404388714733543</v>
      </c>
      <c r="BQ57" s="234">
        <f t="shared" ref="BQ57:CJ57" si="50">IF(BQ56&gt;SUM(BQ94:BR94),(BQ56-BR94-BQ94)/BP94*BP87+BQ87+BR87,(BQ56-BR94)/BQ94*BQ87+BR87)</f>
        <v>62.868493150684927</v>
      </c>
      <c r="BR57" s="234">
        <f t="shared" si="50"/>
        <v>71.948275862068968</v>
      </c>
      <c r="BS57" s="234">
        <f t="shared" si="50"/>
        <v>65.931818181818187</v>
      </c>
      <c r="BT57" s="234">
        <f t="shared" si="50"/>
        <v>75.291139240506325</v>
      </c>
      <c r="BU57" s="234">
        <f t="shared" si="50"/>
        <v>78.700315457413254</v>
      </c>
      <c r="BV57" s="234">
        <f t="shared" si="50"/>
        <v>70.320945945945937</v>
      </c>
      <c r="BW57" s="234">
        <f t="shared" si="50"/>
        <v>74.458630604863714</v>
      </c>
      <c r="BX57" s="234">
        <f t="shared" si="50"/>
        <v>70.563785759866221</v>
      </c>
      <c r="BY57" s="234">
        <f t="shared" si="50"/>
        <v>61.31512825537699</v>
      </c>
      <c r="BZ57" s="234">
        <f t="shared" si="50"/>
        <v>65.430358335143779</v>
      </c>
      <c r="CA57" s="234">
        <f t="shared" si="50"/>
        <v>61.118496438857129</v>
      </c>
      <c r="CB57" s="234">
        <f t="shared" si="50"/>
        <v>63.404666218873231</v>
      </c>
      <c r="CC57" s="234">
        <f t="shared" si="50"/>
        <v>68.317143182732465</v>
      </c>
      <c r="CD57" s="234">
        <f t="shared" si="50"/>
        <v>75.910418318095225</v>
      </c>
      <c r="CE57" s="234">
        <f t="shared" si="50"/>
        <v>52.616599320224722</v>
      </c>
      <c r="CF57" s="234">
        <f t="shared" si="50"/>
        <v>73.28720444185393</v>
      </c>
      <c r="CG57" s="234">
        <f t="shared" si="50"/>
        <v>71.96559813084113</v>
      </c>
      <c r="CH57" s="234">
        <f t="shared" si="50"/>
        <v>54.500396307682124</v>
      </c>
      <c r="CI57" s="234">
        <f t="shared" si="50"/>
        <v>91.462509502735088</v>
      </c>
      <c r="CJ57" s="234">
        <f t="shared" si="50"/>
        <v>80.986552753274907</v>
      </c>
      <c r="CK57" s="234">
        <f t="shared" ref="CK57:CX57" si="51">IF(CK56&gt;SUM(CK94:CL94),(CK56-CL94-CK94)/CJ94*CJ87+CK87+CL87,(CK56-CL94)/CK94*CK87+CL87)</f>
        <v>90.965612988197421</v>
      </c>
      <c r="CL57" s="234">
        <f t="shared" si="51"/>
        <v>93.498936185010194</v>
      </c>
      <c r="CM57" s="234">
        <f t="shared" si="51"/>
        <v>58.507345909603266</v>
      </c>
      <c r="CN57" s="234">
        <f t="shared" si="51"/>
        <v>63.371976543942743</v>
      </c>
      <c r="CO57" s="234">
        <f t="shared" si="51"/>
        <v>59.181085028146441</v>
      </c>
      <c r="CP57" s="234">
        <f t="shared" si="51"/>
        <v>63.203806939336388</v>
      </c>
      <c r="CQ57" s="234">
        <f t="shared" si="51"/>
        <v>59.570124804929577</v>
      </c>
      <c r="CR57" s="234">
        <f t="shared" si="51"/>
        <v>62.583841547183098</v>
      </c>
      <c r="CS57" s="234">
        <f t="shared" si="51"/>
        <v>69.058385304044947</v>
      </c>
      <c r="CT57" s="234">
        <f t="shared" si="51"/>
        <v>62.449518989045693</v>
      </c>
      <c r="CU57" s="234">
        <f t="shared" si="51"/>
        <v>62.944409015736035</v>
      </c>
      <c r="CV57" s="234">
        <f t="shared" si="51"/>
        <v>44.98189357867647</v>
      </c>
      <c r="CW57" s="234">
        <f t="shared" si="51"/>
        <v>52.868855496014611</v>
      </c>
      <c r="CX57" s="512">
        <f t="shared" si="51"/>
        <v>67.029694445237993</v>
      </c>
    </row>
    <row r="58" spans="2:102" ht="15" thickBot="1" x14ac:dyDescent="0.4">
      <c r="B58" s="227"/>
      <c r="C58" s="227"/>
      <c r="D58" s="234"/>
      <c r="E58" s="234"/>
      <c r="F58" s="234"/>
      <c r="G58" s="234"/>
      <c r="H58" s="234"/>
      <c r="I58" s="234"/>
      <c r="J58" s="234"/>
      <c r="K58" s="234"/>
      <c r="L58" s="234"/>
      <c r="M58" s="234"/>
      <c r="N58" s="234"/>
      <c r="O58" s="234"/>
      <c r="P58" s="234"/>
      <c r="AO58" s="78"/>
      <c r="BA58" s="78"/>
      <c r="BD58" s="36"/>
      <c r="BE58" s="36"/>
      <c r="BF58" s="36"/>
      <c r="BG58" s="36"/>
      <c r="BH58" s="36"/>
      <c r="BI58" s="36"/>
      <c r="BJ58" s="36"/>
      <c r="BK58" s="36"/>
      <c r="BL58" s="36"/>
      <c r="BM58" s="36"/>
      <c r="BN58" s="36"/>
      <c r="BO58" s="36"/>
      <c r="BP58" s="36"/>
      <c r="BQ58" s="36"/>
      <c r="BR58" s="36"/>
      <c r="BS58" s="36"/>
      <c r="BT58" s="36"/>
      <c r="BU58" s="36"/>
      <c r="BV58" s="36"/>
      <c r="BW58" s="36"/>
      <c r="BX58" s="36"/>
      <c r="BY58" s="36"/>
      <c r="BZ58" s="36"/>
      <c r="CA58" s="36"/>
      <c r="CB58" s="36"/>
      <c r="CC58" s="36"/>
      <c r="CD58" s="36"/>
      <c r="CE58" s="36"/>
      <c r="CF58" s="36"/>
      <c r="CG58" s="36"/>
      <c r="CH58" s="36"/>
      <c r="CI58" s="36"/>
      <c r="CJ58" s="36"/>
      <c r="CK58" s="36"/>
      <c r="CL58" s="36"/>
      <c r="CM58" s="36"/>
      <c r="CN58" s="36"/>
      <c r="CO58" s="36"/>
      <c r="CP58" s="36"/>
      <c r="CQ58" s="36"/>
      <c r="CR58" s="36"/>
      <c r="CS58" s="36"/>
      <c r="CT58" s="36"/>
      <c r="CU58" s="36"/>
      <c r="CV58" s="36"/>
      <c r="CW58" s="36"/>
      <c r="CX58" s="717"/>
    </row>
    <row r="59" spans="2:102" x14ac:dyDescent="0.35">
      <c r="B59" s="795" t="s">
        <v>294</v>
      </c>
      <c r="C59" s="56" t="s">
        <v>281</v>
      </c>
      <c r="D59" s="229">
        <v>43</v>
      </c>
      <c r="E59" s="230">
        <v>24</v>
      </c>
      <c r="F59" s="230">
        <v>75</v>
      </c>
      <c r="G59" s="230">
        <v>40</v>
      </c>
      <c r="H59" s="230">
        <v>80</v>
      </c>
      <c r="I59" s="230">
        <v>43</v>
      </c>
      <c r="J59" s="230">
        <v>84</v>
      </c>
      <c r="K59" s="230">
        <v>39</v>
      </c>
      <c r="L59" s="230">
        <v>0</v>
      </c>
      <c r="M59" s="230">
        <v>86</v>
      </c>
      <c r="N59" s="230">
        <v>29</v>
      </c>
      <c r="O59" s="230">
        <v>58</v>
      </c>
      <c r="P59" s="229">
        <v>28</v>
      </c>
      <c r="Q59" s="240">
        <v>30</v>
      </c>
      <c r="R59" s="230">
        <v>53</v>
      </c>
      <c r="S59" s="230">
        <v>28</v>
      </c>
      <c r="T59" s="230">
        <v>24</v>
      </c>
      <c r="U59" s="230">
        <v>25</v>
      </c>
      <c r="V59" s="230">
        <v>45</v>
      </c>
      <c r="W59" s="230">
        <v>27</v>
      </c>
      <c r="X59" s="230">
        <v>26</v>
      </c>
      <c r="Y59" s="230">
        <v>26</v>
      </c>
      <c r="Z59" s="230">
        <v>24</v>
      </c>
      <c r="AA59" s="232">
        <v>45</v>
      </c>
      <c r="AB59" s="278">
        <v>23</v>
      </c>
      <c r="AC59" s="240">
        <v>24</v>
      </c>
      <c r="AD59" s="232">
        <v>47</v>
      </c>
      <c r="AE59" s="232">
        <v>26</v>
      </c>
      <c r="AF59" s="232">
        <v>47</v>
      </c>
      <c r="AG59" s="232">
        <v>25</v>
      </c>
      <c r="AH59" s="232">
        <v>25</v>
      </c>
      <c r="AI59" s="232">
        <v>3</v>
      </c>
      <c r="AJ59" s="232">
        <v>4</v>
      </c>
      <c r="AK59" s="232">
        <v>5</v>
      </c>
      <c r="AL59" s="232">
        <v>3</v>
      </c>
      <c r="AM59" s="232">
        <v>3</v>
      </c>
      <c r="AN59" s="232">
        <v>2</v>
      </c>
      <c r="AO59" s="240">
        <v>4</v>
      </c>
      <c r="AP59" s="230">
        <v>4</v>
      </c>
      <c r="AQ59" s="232">
        <v>4</v>
      </c>
      <c r="AR59" s="232">
        <v>5</v>
      </c>
      <c r="AS59" s="232">
        <v>4</v>
      </c>
      <c r="AT59" s="232">
        <v>3</v>
      </c>
      <c r="AU59" s="232">
        <v>3</v>
      </c>
      <c r="AV59" s="232">
        <v>3</v>
      </c>
      <c r="AW59" s="232">
        <v>3</v>
      </c>
      <c r="AX59" s="232">
        <v>4</v>
      </c>
      <c r="AY59" s="232">
        <v>4</v>
      </c>
      <c r="AZ59" s="232">
        <v>4</v>
      </c>
      <c r="BA59" s="231">
        <v>5</v>
      </c>
      <c r="BB59" s="232">
        <v>4</v>
      </c>
      <c r="BC59" s="232">
        <v>4</v>
      </c>
      <c r="BD59">
        <v>7</v>
      </c>
      <c r="BE59">
        <v>4</v>
      </c>
      <c r="BF59">
        <v>5</v>
      </c>
      <c r="BG59">
        <v>6</v>
      </c>
      <c r="BH59">
        <v>5</v>
      </c>
      <c r="BI59">
        <v>5</v>
      </c>
      <c r="BJ59">
        <v>5</v>
      </c>
      <c r="BK59">
        <v>6</v>
      </c>
      <c r="BL59">
        <v>6</v>
      </c>
      <c r="BM59">
        <v>6</v>
      </c>
      <c r="BN59">
        <v>5</v>
      </c>
      <c r="BO59">
        <v>6</v>
      </c>
      <c r="BP59">
        <v>6</v>
      </c>
      <c r="BQ59">
        <v>5</v>
      </c>
      <c r="BR59">
        <v>4</v>
      </c>
      <c r="BS59">
        <v>5</v>
      </c>
      <c r="BT59">
        <v>4</v>
      </c>
      <c r="BU59">
        <v>5</v>
      </c>
      <c r="BV59">
        <v>5</v>
      </c>
      <c r="BW59" s="243">
        <v>5.1356000000000002</v>
      </c>
      <c r="BX59" s="243">
        <f>4585/1000</f>
        <v>4.585</v>
      </c>
      <c r="BY59" s="243">
        <f>4628.193284/1000</f>
        <v>4.628193284</v>
      </c>
      <c r="BZ59" s="243">
        <f>16434.53012/1000</f>
        <v>16.434530119999998</v>
      </c>
      <c r="CA59" s="243">
        <f>8041.22662/1000</f>
        <v>8.0412266199999998</v>
      </c>
      <c r="CB59" s="243">
        <f>5633.57102/1000</f>
        <v>5.6335710200000007</v>
      </c>
      <c r="CC59" s="243">
        <f>4661.181942/1000</f>
        <v>4.6611819419999998</v>
      </c>
      <c r="CD59" s="243">
        <f>4055.214692/1000</f>
        <v>4.0552146919999998</v>
      </c>
      <c r="CE59" s="243">
        <f>2868/1000</f>
        <v>2.8679999999999999</v>
      </c>
      <c r="CF59" s="243">
        <f>2140.9922/1000</f>
        <v>2.1409922000000003</v>
      </c>
      <c r="CG59" s="243">
        <f>3785.5/1000</f>
        <v>3.7854999999999999</v>
      </c>
      <c r="CH59" s="243">
        <f>572.83413/1000</f>
        <v>0.57283412999999994</v>
      </c>
      <c r="CI59" s="243">
        <f>3865.014556/1000</f>
        <v>3.8650145560000002</v>
      </c>
      <c r="CJ59" s="243">
        <f>1367.455/1000</f>
        <v>1.3674549999999999</v>
      </c>
      <c r="CK59" s="243">
        <f>4608.278951/1000</f>
        <v>4.608278951</v>
      </c>
      <c r="CL59" s="243">
        <f>571.3257/1000</f>
        <v>0.57132569999999994</v>
      </c>
      <c r="CM59" s="243">
        <f>4505.28739/1000</f>
        <v>4.5052873900000003</v>
      </c>
      <c r="CN59" s="243">
        <f>4456.204484/1000</f>
        <v>4.4562044839999997</v>
      </c>
      <c r="CO59" s="243">
        <f>1312.3734/1000</f>
        <v>1.3123734</v>
      </c>
      <c r="CP59" s="243">
        <f>1290.852232/1000</f>
        <v>1.290852232</v>
      </c>
      <c r="CQ59" s="243">
        <f>1317.877177/1000</f>
        <v>1.3178771770000002</v>
      </c>
      <c r="CR59" s="243">
        <f>4478.69/1000</f>
        <v>4.4786899999999994</v>
      </c>
      <c r="CS59" s="243">
        <f>617.5633/1000</f>
        <v>0.61756330000000004</v>
      </c>
      <c r="CT59" s="243">
        <f>1475.605381/1000</f>
        <v>1.475605381</v>
      </c>
      <c r="CU59" s="243">
        <f>1534.566925/1000</f>
        <v>1.534566925</v>
      </c>
      <c r="CV59" s="243">
        <f>1425.110697/1000</f>
        <v>1.425110697</v>
      </c>
      <c r="CW59" s="243">
        <f>581.6343166/1000</f>
        <v>0.58163431659999998</v>
      </c>
      <c r="CX59" s="557">
        <f>639.527027/1000</f>
        <v>0.63952702699999997</v>
      </c>
    </row>
    <row r="60" spans="2:102" x14ac:dyDescent="0.35">
      <c r="B60" s="796"/>
      <c r="C60" s="57" t="s">
        <v>282</v>
      </c>
      <c r="D60" s="233">
        <v>40</v>
      </c>
      <c r="E60" s="234">
        <v>23</v>
      </c>
      <c r="F60" s="234">
        <v>39</v>
      </c>
      <c r="G60" s="234">
        <v>36</v>
      </c>
      <c r="H60" s="234">
        <v>1</v>
      </c>
      <c r="I60" s="234">
        <v>40</v>
      </c>
      <c r="J60" s="234">
        <v>0</v>
      </c>
      <c r="K60" s="234">
        <v>42</v>
      </c>
      <c r="L60" s="234">
        <v>36</v>
      </c>
      <c r="M60" s="234">
        <v>-38</v>
      </c>
      <c r="N60" s="234">
        <v>49</v>
      </c>
      <c r="O60" s="234">
        <v>0</v>
      </c>
      <c r="P60" s="233">
        <v>29</v>
      </c>
      <c r="Q60" s="235">
        <v>25</v>
      </c>
      <c r="R60" s="234">
        <v>24</v>
      </c>
      <c r="S60" s="234">
        <v>52</v>
      </c>
      <c r="T60" s="234">
        <v>25</v>
      </c>
      <c r="U60" s="234">
        <v>21</v>
      </c>
      <c r="V60" s="234"/>
      <c r="W60" s="234">
        <v>22</v>
      </c>
      <c r="X60" s="234">
        <v>23</v>
      </c>
      <c r="Y60" s="234">
        <v>24</v>
      </c>
      <c r="Z60" s="234">
        <v>24</v>
      </c>
      <c r="AA60" s="234">
        <v>1</v>
      </c>
      <c r="AB60" s="279">
        <v>23</v>
      </c>
      <c r="AC60" s="235">
        <v>22</v>
      </c>
      <c r="AD60" s="234">
        <v>21</v>
      </c>
      <c r="AE60">
        <v>23</v>
      </c>
      <c r="AF60">
        <v>1</v>
      </c>
      <c r="AG60">
        <v>23</v>
      </c>
      <c r="AH60">
        <v>22</v>
      </c>
      <c r="AJ60">
        <v>2</v>
      </c>
      <c r="AK60">
        <v>0.5</v>
      </c>
      <c r="AO60" s="235"/>
      <c r="AP60" s="234"/>
      <c r="AW60">
        <v>1</v>
      </c>
      <c r="BA60" s="78"/>
      <c r="BM60">
        <v>1</v>
      </c>
      <c r="BO60">
        <v>4</v>
      </c>
      <c r="BP60">
        <v>0</v>
      </c>
      <c r="BT60">
        <v>0</v>
      </c>
      <c r="BU60">
        <v>0</v>
      </c>
      <c r="BV60">
        <v>1</v>
      </c>
      <c r="BW60" s="243">
        <v>-0.56620000000000004</v>
      </c>
      <c r="BX60" s="243"/>
      <c r="BY60" s="243"/>
      <c r="BZ60" s="243"/>
      <c r="CA60" s="243">
        <f>26.144/1000</f>
        <v>2.6143999999999997E-2</v>
      </c>
      <c r="CB60" s="243">
        <f>1.301/1000</f>
        <v>1.3009999999999999E-3</v>
      </c>
      <c r="CC60" s="243">
        <f>26.664/1000</f>
        <v>2.6664E-2</v>
      </c>
      <c r="CD60" s="243">
        <f>2017.19638/1000</f>
        <v>2.0171963800000001</v>
      </c>
      <c r="CE60" s="243">
        <f>104.5712/1000</f>
        <v>0.1045712</v>
      </c>
      <c r="CF60" s="243">
        <f>51.569/1000</f>
        <v>5.1569000000000004E-2</v>
      </c>
      <c r="CG60" s="243">
        <v>0</v>
      </c>
      <c r="CH60" s="243">
        <f>3146.519404/1000</f>
        <v>3.1465194040000002</v>
      </c>
      <c r="CI60" s="243">
        <f>148.65421/1000</f>
        <v>0.14865421000000001</v>
      </c>
      <c r="CJ60" s="243">
        <f>3560.229/1000</f>
        <v>3.5602289999999996</v>
      </c>
      <c r="CK60" s="234">
        <f>-785.8775/1000</f>
        <v>-0.78587750000000001</v>
      </c>
      <c r="CL60" s="234">
        <f>-804.80198/1000</f>
        <v>-0.80480197999999992</v>
      </c>
      <c r="CM60" s="234">
        <f>-697.092178/1000</f>
        <v>-0.69709217800000001</v>
      </c>
      <c r="CN60" s="234">
        <f>3464.679954/1000</f>
        <v>3.4646799540000002</v>
      </c>
      <c r="CO60" s="234">
        <f>3132.0828/1000</f>
        <v>3.1320828000000001</v>
      </c>
      <c r="CP60" s="234">
        <v>0</v>
      </c>
      <c r="CQ60" s="234">
        <f>-766.8357641/1000</f>
        <v>-0.76683576409999998</v>
      </c>
      <c r="CR60" s="234">
        <f>36.7866/1000</f>
        <v>3.6786600000000003E-2</v>
      </c>
      <c r="CS60" s="234">
        <f>3221.1103/1000</f>
        <v>3.2211102999999999</v>
      </c>
      <c r="CT60" s="234">
        <f>-3336.656702/1000</f>
        <v>-3.3366567020000004</v>
      </c>
      <c r="CU60" s="234">
        <f>-772.4689955/1000</f>
        <v>-0.77246899550000003</v>
      </c>
      <c r="CV60" s="234">
        <f>57.31405/1000</f>
        <v>5.7314049999999998E-2</v>
      </c>
      <c r="CW60" s="234">
        <f>852.1626165/1000</f>
        <v>0.85216261650000003</v>
      </c>
      <c r="CX60" s="512">
        <f>89.74873311/1000</f>
        <v>8.9748733110000006E-2</v>
      </c>
    </row>
    <row r="61" spans="2:102" x14ac:dyDescent="0.35">
      <c r="B61" s="796"/>
      <c r="C61" s="57" t="s">
        <v>283</v>
      </c>
      <c r="D61" s="233">
        <v>0</v>
      </c>
      <c r="E61" s="234">
        <v>3</v>
      </c>
      <c r="F61" s="234">
        <v>0</v>
      </c>
      <c r="G61" s="234">
        <v>0</v>
      </c>
      <c r="H61" s="234">
        <v>1</v>
      </c>
      <c r="I61" s="234">
        <v>0</v>
      </c>
      <c r="J61" s="234">
        <v>0</v>
      </c>
      <c r="K61" s="234">
        <v>42</v>
      </c>
      <c r="L61" s="234">
        <v>0</v>
      </c>
      <c r="M61" s="234">
        <v>36</v>
      </c>
      <c r="N61" s="234">
        <v>0</v>
      </c>
      <c r="O61" s="234">
        <v>2</v>
      </c>
      <c r="P61" s="233">
        <v>27</v>
      </c>
      <c r="Q61" s="235">
        <v>27</v>
      </c>
      <c r="R61" s="234">
        <v>0</v>
      </c>
      <c r="S61" s="234">
        <v>0</v>
      </c>
      <c r="T61" s="234">
        <v>24</v>
      </c>
      <c r="U61" s="234">
        <v>5</v>
      </c>
      <c r="V61" s="234">
        <v>22</v>
      </c>
      <c r="W61" s="234">
        <v>23</v>
      </c>
      <c r="X61" s="234">
        <v>0</v>
      </c>
      <c r="Y61" s="234">
        <v>0</v>
      </c>
      <c r="Z61" s="234">
        <v>22</v>
      </c>
      <c r="AA61" s="234">
        <v>22</v>
      </c>
      <c r="AB61" s="279">
        <v>1</v>
      </c>
      <c r="AC61" s="78"/>
      <c r="AF61">
        <v>1</v>
      </c>
      <c r="AI61" s="234">
        <v>-2</v>
      </c>
      <c r="AJ61" s="234">
        <v>-2</v>
      </c>
      <c r="AO61" s="78"/>
      <c r="AX61">
        <v>1</v>
      </c>
      <c r="AY61">
        <v>1</v>
      </c>
      <c r="BA61" s="78"/>
      <c r="CB61" s="243">
        <f>26.336/1000</f>
        <v>2.6335999999999998E-2</v>
      </c>
      <c r="CC61" s="243">
        <v>0</v>
      </c>
      <c r="CD61" s="243">
        <f>-2.32/1000</f>
        <v>-2.32E-3</v>
      </c>
      <c r="CE61" s="243">
        <f>6.6748/1000</f>
        <v>6.6748000000000007E-3</v>
      </c>
      <c r="CF61" s="243">
        <f>26.0677/1000</f>
        <v>2.6067699999999999E-2</v>
      </c>
      <c r="CG61" s="243">
        <v>0</v>
      </c>
      <c r="CH61" s="243">
        <v>0</v>
      </c>
      <c r="CI61" s="243">
        <f>3174.6908/1000</f>
        <v>3.1746908</v>
      </c>
      <c r="CJ61" s="243">
        <f>143.8372/1000</f>
        <v>0.1438372</v>
      </c>
      <c r="CK61" s="243">
        <f>231.1195/1000</f>
        <v>0.23111949999999998</v>
      </c>
      <c r="CL61" s="243">
        <v>0</v>
      </c>
      <c r="CM61" s="243">
        <v>0</v>
      </c>
      <c r="CN61" s="243">
        <f>126.173821/1000</f>
        <v>0.12617382099999999</v>
      </c>
      <c r="CO61" s="243">
        <f>32.1545/1000</f>
        <v>3.2154499999999996E-2</v>
      </c>
      <c r="CP61" s="243">
        <v>0</v>
      </c>
      <c r="CQ61" s="243">
        <v>0</v>
      </c>
      <c r="CR61" s="243">
        <v>0</v>
      </c>
      <c r="CS61" s="243">
        <f>37.33235/1000</f>
        <v>3.733235E-2</v>
      </c>
      <c r="CT61" s="243">
        <f>3266.85102/1000</f>
        <v>3.2668510200000003</v>
      </c>
      <c r="CU61" s="234">
        <f>-3308.794901/1000</f>
        <v>-3.3087949010000002</v>
      </c>
      <c r="CV61" s="234">
        <v>0</v>
      </c>
      <c r="CW61" s="234">
        <f>58.77018697/1000</f>
        <v>5.8770186969999999E-2</v>
      </c>
      <c r="CX61" s="512">
        <f>802.158995/1000</f>
        <v>0.80215899499999999</v>
      </c>
    </row>
    <row r="62" spans="2:102" x14ac:dyDescent="0.35">
      <c r="B62" s="796"/>
      <c r="C62" s="57" t="s">
        <v>284</v>
      </c>
      <c r="D62" s="233">
        <v>0</v>
      </c>
      <c r="E62" s="234">
        <v>0</v>
      </c>
      <c r="F62" s="234">
        <v>0</v>
      </c>
      <c r="G62" s="234">
        <v>0</v>
      </c>
      <c r="H62" s="234">
        <v>0</v>
      </c>
      <c r="I62" s="234">
        <v>2</v>
      </c>
      <c r="J62" s="234">
        <v>0</v>
      </c>
      <c r="K62" s="234">
        <v>0</v>
      </c>
      <c r="L62" s="234">
        <v>0</v>
      </c>
      <c r="M62" s="234">
        <v>0</v>
      </c>
      <c r="N62" s="234">
        <v>0</v>
      </c>
      <c r="O62" s="234">
        <v>0</v>
      </c>
      <c r="P62" s="233">
        <v>0</v>
      </c>
      <c r="Q62" s="235">
        <v>0</v>
      </c>
      <c r="R62" s="234">
        <v>0</v>
      </c>
      <c r="S62" s="234">
        <v>0</v>
      </c>
      <c r="T62" s="234">
        <v>0</v>
      </c>
      <c r="U62" s="234">
        <v>0</v>
      </c>
      <c r="V62" s="234">
        <v>5</v>
      </c>
      <c r="W62" s="234">
        <v>0</v>
      </c>
      <c r="X62" s="234">
        <v>0</v>
      </c>
      <c r="Y62" s="234">
        <v>0</v>
      </c>
      <c r="Z62" s="234">
        <v>0</v>
      </c>
      <c r="AA62" s="234">
        <v>21</v>
      </c>
      <c r="AB62" s="279">
        <v>0</v>
      </c>
      <c r="AC62" s="78"/>
      <c r="AO62" s="78"/>
      <c r="BA62" s="78"/>
      <c r="BY62" s="234">
        <f>-266.5438314/1000</f>
        <v>-0.26654383139999999</v>
      </c>
      <c r="BZ62" s="234"/>
      <c r="CA62" s="234"/>
      <c r="CB62" s="234"/>
      <c r="CC62" s="234">
        <f>26.4395/1000</f>
        <v>2.6439499999999998E-2</v>
      </c>
      <c r="CD62" s="234">
        <f>3.8676/1000</f>
        <v>3.8676000000000001E-3</v>
      </c>
      <c r="CE62" s="234">
        <f>-2.235/1000</f>
        <v>-2.235E-3</v>
      </c>
      <c r="CF62" s="234">
        <f>6.8/1000</f>
        <v>6.7999999999999996E-3</v>
      </c>
      <c r="CG62" s="234">
        <v>0</v>
      </c>
      <c r="CH62" s="234">
        <v>0</v>
      </c>
      <c r="CI62" s="234"/>
      <c r="CJ62" s="234">
        <f>3071.8172/1000</f>
        <v>3.0718171999999999</v>
      </c>
      <c r="CK62" s="234">
        <f>13.760335/1000</f>
        <v>1.3760335E-2</v>
      </c>
      <c r="CL62" s="234">
        <v>0</v>
      </c>
      <c r="CM62" s="234">
        <v>0</v>
      </c>
      <c r="CN62" s="234">
        <v>0</v>
      </c>
      <c r="CO62" s="234">
        <v>0</v>
      </c>
      <c r="CP62" s="234">
        <f>32.1222/1000</f>
        <v>3.2122199999999997E-2</v>
      </c>
      <c r="CQ62" s="234">
        <v>0</v>
      </c>
      <c r="CR62" s="234">
        <v>0</v>
      </c>
      <c r="CS62" s="234">
        <v>0</v>
      </c>
      <c r="CT62" s="234">
        <f>37.8625/1000</f>
        <v>3.78625E-2</v>
      </c>
      <c r="CU62" s="234">
        <f>3239.572113/1000</f>
        <v>3.2395721130000004</v>
      </c>
      <c r="CV62" s="234">
        <v>0</v>
      </c>
      <c r="CW62" s="234">
        <v>0</v>
      </c>
      <c r="CX62" s="512">
        <v>0</v>
      </c>
    </row>
    <row r="63" spans="2:102" x14ac:dyDescent="0.35">
      <c r="B63" s="796"/>
      <c r="C63" s="57" t="s">
        <v>285</v>
      </c>
      <c r="D63" s="233">
        <v>1</v>
      </c>
      <c r="E63" s="234">
        <v>1</v>
      </c>
      <c r="F63" s="234">
        <v>1</v>
      </c>
      <c r="G63" s="234">
        <v>1</v>
      </c>
      <c r="H63" s="234">
        <v>1</v>
      </c>
      <c r="I63" s="234">
        <v>2</v>
      </c>
      <c r="J63" s="234">
        <v>1</v>
      </c>
      <c r="K63" s="234">
        <v>1</v>
      </c>
      <c r="L63" s="234">
        <v>1</v>
      </c>
      <c r="M63" s="234">
        <v>1</v>
      </c>
      <c r="N63" s="234">
        <v>1</v>
      </c>
      <c r="O63" s="234">
        <v>1</v>
      </c>
      <c r="P63" s="233">
        <v>3</v>
      </c>
      <c r="Q63" s="235">
        <v>3</v>
      </c>
      <c r="R63" s="234">
        <v>1</v>
      </c>
      <c r="S63" s="234">
        <v>1</v>
      </c>
      <c r="T63" s="234">
        <v>1</v>
      </c>
      <c r="U63" s="234">
        <v>1</v>
      </c>
      <c r="V63" s="234">
        <v>1</v>
      </c>
      <c r="W63" s="234">
        <v>6</v>
      </c>
      <c r="X63" s="234">
        <v>6</v>
      </c>
      <c r="Y63" s="234">
        <v>1</v>
      </c>
      <c r="Z63" s="234">
        <v>1</v>
      </c>
      <c r="AA63" s="234">
        <v>1</v>
      </c>
      <c r="AB63" s="279">
        <v>1</v>
      </c>
      <c r="AC63" s="235">
        <v>1</v>
      </c>
      <c r="AD63" s="234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 s="235"/>
      <c r="AP63" s="234"/>
      <c r="BA63" s="78"/>
      <c r="CB63"/>
      <c r="CC63"/>
      <c r="CD63" s="243">
        <f>26.625/1000</f>
        <v>2.6624999999999999E-2</v>
      </c>
      <c r="CE63" s="243">
        <f>36.8426/1000</f>
        <v>3.6842599999999996E-2</v>
      </c>
      <c r="CF63" s="243">
        <f>-12.5908/1000</f>
        <v>-1.2590799999999999E-2</v>
      </c>
      <c r="CG63" s="243">
        <f>-8/1000</f>
        <v>-8.0000000000000002E-3</v>
      </c>
      <c r="CH63" s="243">
        <v>0</v>
      </c>
      <c r="CI63" s="243"/>
      <c r="CJ63" s="243"/>
      <c r="CK63" s="243">
        <f>21.5425/1000</f>
        <v>2.1542499999999999E-2</v>
      </c>
      <c r="CL63" s="243">
        <f>21.21211/1000</f>
        <v>2.1212109999999999E-2</v>
      </c>
      <c r="CM63" s="243">
        <f>20.8345/1000</f>
        <v>2.0834499999999999E-2</v>
      </c>
      <c r="CN63" s="243">
        <f>20.59697/1000</f>
        <v>2.0596969999999999E-2</v>
      </c>
      <c r="CO63" s="243">
        <f>20.5458/1000</f>
        <v>2.0545799999999999E-2</v>
      </c>
      <c r="CP63" s="243">
        <f>23.5252/1000</f>
        <v>2.3525200000000003E-2</v>
      </c>
      <c r="CQ63" s="243">
        <f>53.7876/1000</f>
        <v>5.3787599999999998E-2</v>
      </c>
      <c r="CR63" s="243">
        <f>53.3814/1000</f>
        <v>5.3381400000000002E-2</v>
      </c>
      <c r="CS63" s="243">
        <f>56.34488/1000</f>
        <v>5.634488E-2</v>
      </c>
      <c r="CT63" s="243">
        <f>57.14499/1000</f>
        <v>5.714499E-2</v>
      </c>
      <c r="CU63" s="234">
        <f>94.21313/1000</f>
        <v>9.4213130000000006E-2</v>
      </c>
      <c r="CV63" s="234">
        <f>25.13948/1000</f>
        <v>2.5139479999999999E-2</v>
      </c>
      <c r="CW63" s="234">
        <f>25.77818534/1000</f>
        <v>2.5778185339999999E-2</v>
      </c>
      <c r="CX63" s="512">
        <f>26.71030405/1000</f>
        <v>2.6710304050000001E-2</v>
      </c>
    </row>
    <row r="64" spans="2:102" x14ac:dyDescent="0.35">
      <c r="B64" s="796"/>
      <c r="C64" s="58" t="s">
        <v>286</v>
      </c>
      <c r="D64" s="236">
        <v>0</v>
      </c>
      <c r="E64" s="237">
        <v>0</v>
      </c>
      <c r="F64" s="237">
        <v>0</v>
      </c>
      <c r="G64" s="237">
        <v>0</v>
      </c>
      <c r="H64" s="237">
        <v>0</v>
      </c>
      <c r="I64" s="237">
        <v>0</v>
      </c>
      <c r="J64" s="237">
        <v>0</v>
      </c>
      <c r="K64" s="237">
        <v>0</v>
      </c>
      <c r="L64" s="237">
        <v>0</v>
      </c>
      <c r="M64" s="237">
        <v>0</v>
      </c>
      <c r="N64" s="237">
        <v>0</v>
      </c>
      <c r="O64" s="237">
        <v>0</v>
      </c>
      <c r="P64" s="236">
        <v>0</v>
      </c>
      <c r="Q64" s="235">
        <v>0</v>
      </c>
      <c r="R64" s="234">
        <v>0</v>
      </c>
      <c r="S64" s="234">
        <v>0</v>
      </c>
      <c r="T64" s="234">
        <v>0</v>
      </c>
      <c r="U64" s="234">
        <v>0</v>
      </c>
      <c r="V64" s="234"/>
      <c r="W64" s="234"/>
      <c r="X64" s="234"/>
      <c r="Y64" s="234"/>
      <c r="Z64" s="237"/>
      <c r="AA64" s="36"/>
      <c r="AB64" s="280"/>
      <c r="AC64" s="87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87"/>
      <c r="AQ64">
        <v>0</v>
      </c>
      <c r="AR64" s="36"/>
      <c r="AS64" s="36"/>
      <c r="AT64" s="36"/>
      <c r="AU64" s="36"/>
      <c r="AV64" s="36"/>
      <c r="AW64" s="36"/>
      <c r="AX64" s="36"/>
      <c r="AY64" s="36"/>
      <c r="AZ64" s="36"/>
      <c r="BA64" s="87"/>
      <c r="BB64" s="36"/>
      <c r="BC64" s="36"/>
      <c r="CB64"/>
      <c r="CC64"/>
      <c r="CD64"/>
      <c r="CF64"/>
      <c r="CJ64" s="237">
        <f>-3070/1000</f>
        <v>-3.07</v>
      </c>
      <c r="CK64" s="237">
        <f>-3111/1000</f>
        <v>-3.1110000000000002</v>
      </c>
      <c r="CL64" s="237">
        <f>-3063/1000</f>
        <v>-3.0630000000000002</v>
      </c>
      <c r="CM64" s="237">
        <f>-3008/1000</f>
        <v>-3.008</v>
      </c>
      <c r="CN64" s="237">
        <f>-2974/1000</f>
        <v>-2.9740000000000002</v>
      </c>
      <c r="CO64" s="237">
        <f>-2967/1000</f>
        <v>-2.9670000000000001</v>
      </c>
      <c r="CP64" s="237">
        <f>-2964/1000</f>
        <v>-2.964</v>
      </c>
      <c r="CQ64" s="237">
        <f>-3028/1000</f>
        <v>-3.028</v>
      </c>
      <c r="CR64" s="237">
        <f>-3005/1000</f>
        <v>-3.0049999999999999</v>
      </c>
      <c r="CS64" s="237">
        <f>-3050/1000</f>
        <v>-3.05</v>
      </c>
      <c r="CT64" s="237">
        <f>-3093/1000</f>
        <v>-3.093</v>
      </c>
      <c r="CU64" s="234">
        <f>-3067/1000</f>
        <v>-3.0670000000000002</v>
      </c>
      <c r="CV64" s="234">
        <v>0</v>
      </c>
      <c r="CW64" s="234">
        <v>0</v>
      </c>
      <c r="CX64" s="512">
        <v>0</v>
      </c>
    </row>
    <row r="65" spans="2:102" ht="15" thickBot="1" x14ac:dyDescent="0.4">
      <c r="B65" s="797"/>
      <c r="C65" s="59" t="s">
        <v>287</v>
      </c>
      <c r="D65" s="239">
        <v>84</v>
      </c>
      <c r="E65" s="239">
        <f t="shared" ref="E65:AJ65" si="52">SUM(E59:E64)</f>
        <v>51</v>
      </c>
      <c r="F65" s="239">
        <f t="shared" si="52"/>
        <v>115</v>
      </c>
      <c r="G65" s="239">
        <f t="shared" si="52"/>
        <v>77</v>
      </c>
      <c r="H65" s="239">
        <f t="shared" si="52"/>
        <v>83</v>
      </c>
      <c r="I65" s="239">
        <f t="shared" si="52"/>
        <v>87</v>
      </c>
      <c r="J65" s="239">
        <f t="shared" si="52"/>
        <v>85</v>
      </c>
      <c r="K65" s="239">
        <f t="shared" si="52"/>
        <v>124</v>
      </c>
      <c r="L65" s="239">
        <f t="shared" si="52"/>
        <v>37</v>
      </c>
      <c r="M65" s="239">
        <f t="shared" si="52"/>
        <v>85</v>
      </c>
      <c r="N65" s="239">
        <f t="shared" si="52"/>
        <v>79</v>
      </c>
      <c r="O65" s="239">
        <f t="shared" si="52"/>
        <v>61</v>
      </c>
      <c r="P65" s="239">
        <f t="shared" si="52"/>
        <v>87</v>
      </c>
      <c r="Q65" s="239">
        <f t="shared" si="52"/>
        <v>85</v>
      </c>
      <c r="R65" s="239">
        <f t="shared" si="52"/>
        <v>78</v>
      </c>
      <c r="S65" s="239">
        <f t="shared" si="52"/>
        <v>81</v>
      </c>
      <c r="T65" s="239">
        <f t="shared" si="52"/>
        <v>74</v>
      </c>
      <c r="U65" s="239">
        <f t="shared" si="52"/>
        <v>52</v>
      </c>
      <c r="V65" s="239">
        <f t="shared" si="52"/>
        <v>73</v>
      </c>
      <c r="W65" s="239">
        <f t="shared" si="52"/>
        <v>78</v>
      </c>
      <c r="X65" s="239">
        <f t="shared" si="52"/>
        <v>55</v>
      </c>
      <c r="Y65" s="239">
        <f t="shared" si="52"/>
        <v>51</v>
      </c>
      <c r="Z65" s="239">
        <f t="shared" si="52"/>
        <v>71</v>
      </c>
      <c r="AA65" s="239">
        <f t="shared" si="52"/>
        <v>90</v>
      </c>
      <c r="AB65" s="239">
        <f t="shared" si="52"/>
        <v>48</v>
      </c>
      <c r="AC65" s="239">
        <f t="shared" si="52"/>
        <v>47</v>
      </c>
      <c r="AD65" s="239">
        <f t="shared" si="52"/>
        <v>69</v>
      </c>
      <c r="AE65" s="239">
        <f t="shared" si="52"/>
        <v>50</v>
      </c>
      <c r="AF65" s="239">
        <f t="shared" si="52"/>
        <v>50</v>
      </c>
      <c r="AG65" s="239">
        <f t="shared" si="52"/>
        <v>49</v>
      </c>
      <c r="AH65" s="239">
        <f t="shared" si="52"/>
        <v>48</v>
      </c>
      <c r="AI65" s="239">
        <f t="shared" si="52"/>
        <v>2</v>
      </c>
      <c r="AJ65" s="239">
        <f t="shared" si="52"/>
        <v>5</v>
      </c>
      <c r="AK65" s="239">
        <f t="shared" ref="AK65:CJ65" si="53">SUM(AK59:AK64)</f>
        <v>6.5</v>
      </c>
      <c r="AL65" s="239">
        <f t="shared" si="53"/>
        <v>4</v>
      </c>
      <c r="AM65" s="239">
        <f t="shared" si="53"/>
        <v>4</v>
      </c>
      <c r="AN65" s="239">
        <f t="shared" si="53"/>
        <v>3</v>
      </c>
      <c r="AO65" s="238">
        <f t="shared" si="53"/>
        <v>4</v>
      </c>
      <c r="AP65" s="230">
        <f t="shared" si="53"/>
        <v>4</v>
      </c>
      <c r="AQ65" s="230">
        <f t="shared" si="53"/>
        <v>4</v>
      </c>
      <c r="AR65" s="230">
        <f t="shared" si="53"/>
        <v>5</v>
      </c>
      <c r="AS65" s="230">
        <f t="shared" si="53"/>
        <v>4</v>
      </c>
      <c r="AT65" s="230">
        <f t="shared" si="53"/>
        <v>3</v>
      </c>
      <c r="AU65" s="230">
        <f t="shared" si="53"/>
        <v>3</v>
      </c>
      <c r="AV65" s="230">
        <f t="shared" si="53"/>
        <v>3</v>
      </c>
      <c r="AW65" s="230">
        <f t="shared" si="53"/>
        <v>4</v>
      </c>
      <c r="AX65" s="230">
        <f t="shared" si="53"/>
        <v>5</v>
      </c>
      <c r="AY65" s="230">
        <f t="shared" si="53"/>
        <v>5</v>
      </c>
      <c r="AZ65" s="230">
        <f t="shared" si="53"/>
        <v>4</v>
      </c>
      <c r="BA65" s="240">
        <f t="shared" si="53"/>
        <v>5</v>
      </c>
      <c r="BB65" s="230">
        <f t="shared" si="53"/>
        <v>4</v>
      </c>
      <c r="BC65" s="230">
        <f t="shared" si="53"/>
        <v>4</v>
      </c>
      <c r="BD65" s="230">
        <f t="shared" si="53"/>
        <v>7</v>
      </c>
      <c r="BE65" s="230">
        <f t="shared" si="53"/>
        <v>4</v>
      </c>
      <c r="BF65" s="230">
        <f t="shared" si="53"/>
        <v>5</v>
      </c>
      <c r="BG65" s="230">
        <f t="shared" si="53"/>
        <v>6</v>
      </c>
      <c r="BH65" s="230">
        <f t="shared" si="53"/>
        <v>5</v>
      </c>
      <c r="BI65" s="230">
        <f t="shared" si="53"/>
        <v>5</v>
      </c>
      <c r="BJ65" s="230">
        <f t="shared" si="53"/>
        <v>5</v>
      </c>
      <c r="BK65" s="230">
        <f t="shared" si="53"/>
        <v>6</v>
      </c>
      <c r="BL65" s="230">
        <f t="shared" si="53"/>
        <v>6</v>
      </c>
      <c r="BM65" s="230">
        <f t="shared" si="53"/>
        <v>7</v>
      </c>
      <c r="BN65" s="230">
        <f t="shared" si="53"/>
        <v>5</v>
      </c>
      <c r="BO65" s="230">
        <f t="shared" si="53"/>
        <v>10</v>
      </c>
      <c r="BP65" s="230">
        <f t="shared" si="53"/>
        <v>6</v>
      </c>
      <c r="BQ65" s="230">
        <f t="shared" si="53"/>
        <v>5</v>
      </c>
      <c r="BR65" s="230">
        <f t="shared" si="53"/>
        <v>4</v>
      </c>
      <c r="BS65" s="230">
        <f t="shared" si="53"/>
        <v>5</v>
      </c>
      <c r="BT65" s="230">
        <f t="shared" si="53"/>
        <v>4</v>
      </c>
      <c r="BU65" s="230">
        <f t="shared" si="53"/>
        <v>5</v>
      </c>
      <c r="BV65" s="230">
        <f t="shared" si="53"/>
        <v>6</v>
      </c>
      <c r="BW65" s="230">
        <f t="shared" si="53"/>
        <v>4.5693999999999999</v>
      </c>
      <c r="BX65" s="230">
        <f t="shared" si="53"/>
        <v>4.585</v>
      </c>
      <c r="BY65" s="230">
        <f t="shared" si="53"/>
        <v>4.3616494526</v>
      </c>
      <c r="BZ65" s="230">
        <f t="shared" si="53"/>
        <v>16.434530119999998</v>
      </c>
      <c r="CA65" s="230">
        <f t="shared" si="53"/>
        <v>8.0673706200000002</v>
      </c>
      <c r="CB65" s="230">
        <f t="shared" si="53"/>
        <v>5.6612080200000001</v>
      </c>
      <c r="CC65" s="230">
        <f t="shared" si="53"/>
        <v>4.7142854420000004</v>
      </c>
      <c r="CD65" s="230">
        <f t="shared" si="53"/>
        <v>6.100583672</v>
      </c>
      <c r="CE65" s="230">
        <f t="shared" si="53"/>
        <v>3.0138535999999996</v>
      </c>
      <c r="CF65" s="230">
        <f t="shared" si="53"/>
        <v>2.2128381000000008</v>
      </c>
      <c r="CG65" s="230">
        <f t="shared" si="53"/>
        <v>3.7774999999999999</v>
      </c>
      <c r="CH65" s="230">
        <f t="shared" si="53"/>
        <v>3.7193535340000001</v>
      </c>
      <c r="CI65" s="230">
        <f t="shared" si="53"/>
        <v>7.1883595660000008</v>
      </c>
      <c r="CJ65" s="230">
        <f t="shared" si="53"/>
        <v>5.073338399999999</v>
      </c>
      <c r="CK65" s="230">
        <f t="shared" ref="CK65:CP65" si="54">SUM(CK59:CK64)</f>
        <v>0.97782378599999964</v>
      </c>
      <c r="CL65" s="230">
        <f t="shared" si="54"/>
        <v>-3.2752641700000003</v>
      </c>
      <c r="CM65" s="230">
        <f t="shared" si="54"/>
        <v>0.82102971200000008</v>
      </c>
      <c r="CN65" s="230">
        <f t="shared" si="54"/>
        <v>5.0936552289999995</v>
      </c>
      <c r="CO65" s="230">
        <f t="shared" si="54"/>
        <v>1.5301564999999999</v>
      </c>
      <c r="CP65" s="230">
        <f t="shared" si="54"/>
        <v>-1.617500368</v>
      </c>
      <c r="CQ65" s="230">
        <f t="shared" ref="CQ65:CT65" si="55">SUM(CQ59:CQ64)</f>
        <v>-2.4231709870999998</v>
      </c>
      <c r="CR65" s="230">
        <f t="shared" si="55"/>
        <v>1.5638579999999997</v>
      </c>
      <c r="CS65" s="230">
        <f t="shared" si="55"/>
        <v>0.88235083000000003</v>
      </c>
      <c r="CT65" s="230">
        <f t="shared" si="55"/>
        <v>-1.5921928110000001</v>
      </c>
      <c r="CU65" s="230">
        <f t="shared" ref="CU65:CV65" si="56">SUM(CU59:CU64)</f>
        <v>-2.2799117285000001</v>
      </c>
      <c r="CV65" s="230">
        <f t="shared" si="56"/>
        <v>1.507564227</v>
      </c>
      <c r="CW65" s="230">
        <f t="shared" ref="CW65:CX65" si="57">SUM(CW59:CW64)</f>
        <v>1.51834530541</v>
      </c>
      <c r="CX65" s="565">
        <f t="shared" si="57"/>
        <v>1.5581450591599999</v>
      </c>
    </row>
    <row r="66" spans="2:102" x14ac:dyDescent="0.35">
      <c r="B66" s="227" t="s">
        <v>288</v>
      </c>
      <c r="C66" s="227"/>
      <c r="D66" s="234">
        <v>62.143943661971832</v>
      </c>
      <c r="E66" s="234">
        <f t="shared" ref="E66:BP66" si="58">IF(E65&gt;SUM(E95:F95),(E65-F95-E95)/D95*D87+E87+F87,(E65-F95)/E95*E87+F87)</f>
        <v>37.065217391304344</v>
      </c>
      <c r="F66" s="234">
        <f t="shared" si="58"/>
        <v>82.586956521739125</v>
      </c>
      <c r="G66" s="234">
        <f t="shared" si="58"/>
        <v>56.789473684210527</v>
      </c>
      <c r="H66" s="234">
        <f t="shared" si="58"/>
        <v>66.89473684210526</v>
      </c>
      <c r="I66" s="234">
        <f t="shared" si="58"/>
        <v>71.333333333333329</v>
      </c>
      <c r="J66" s="234">
        <f t="shared" si="58"/>
        <v>65.545454545454547</v>
      </c>
      <c r="K66" s="234">
        <f t="shared" si="58"/>
        <v>97.425000000000011</v>
      </c>
      <c r="L66" s="234">
        <f t="shared" si="58"/>
        <v>61.162162162162161</v>
      </c>
      <c r="M66" s="234">
        <f t="shared" si="58"/>
        <v>93.675675675675677</v>
      </c>
      <c r="N66" s="234">
        <f t="shared" si="58"/>
        <v>278</v>
      </c>
      <c r="O66" s="234">
        <f t="shared" si="58"/>
        <v>63.666666666666664</v>
      </c>
      <c r="P66" s="234">
        <f t="shared" si="58"/>
        <v>95.444444444444443</v>
      </c>
      <c r="Q66" s="234">
        <f t="shared" si="58"/>
        <v>91</v>
      </c>
      <c r="R66" s="234">
        <f t="shared" si="58"/>
        <v>85.407407407407405</v>
      </c>
      <c r="S66" s="234">
        <f t="shared" si="58"/>
        <v>88.931034482758619</v>
      </c>
      <c r="T66" s="234">
        <f t="shared" si="58"/>
        <v>86.84615384615384</v>
      </c>
      <c r="U66" s="234">
        <f t="shared" si="58"/>
        <v>67.888888888888886</v>
      </c>
      <c r="V66" s="234">
        <f t="shared" si="58"/>
        <v>96.217391304347828</v>
      </c>
      <c r="W66" s="234">
        <f t="shared" si="58"/>
        <v>101.43478260869566</v>
      </c>
      <c r="X66" s="234">
        <f t="shared" si="58"/>
        <v>68.521739130434781</v>
      </c>
      <c r="Y66" s="234">
        <f t="shared" si="58"/>
        <v>62.24</v>
      </c>
      <c r="Z66" s="234">
        <f t="shared" si="58"/>
        <v>89.52</v>
      </c>
      <c r="AA66" s="234">
        <f t="shared" si="58"/>
        <v>112.6</v>
      </c>
      <c r="AB66" s="234">
        <f t="shared" si="58"/>
        <v>62.347826086956523</v>
      </c>
      <c r="AC66" s="234">
        <f t="shared" si="58"/>
        <v>63.25</v>
      </c>
      <c r="AD66" s="234">
        <f t="shared" si="58"/>
        <v>89.652173913043484</v>
      </c>
      <c r="AE66" s="234">
        <f t="shared" si="58"/>
        <v>62.695652173913047</v>
      </c>
      <c r="AF66" s="234">
        <f t="shared" si="58"/>
        <v>64.625</v>
      </c>
      <c r="AG66" s="234">
        <f t="shared" si="58"/>
        <v>64.875</v>
      </c>
      <c r="AH66" s="234">
        <f t="shared" si="58"/>
        <v>63.608695652173914</v>
      </c>
      <c r="AI66" s="234">
        <f t="shared" si="58"/>
        <v>31</v>
      </c>
      <c r="AJ66" s="234">
        <f t="shared" si="58"/>
        <v>46.5</v>
      </c>
      <c r="AK66" s="234">
        <f t="shared" si="58"/>
        <v>57.125</v>
      </c>
      <c r="AL66" s="234">
        <f t="shared" si="58"/>
        <v>41</v>
      </c>
      <c r="AM66" s="234">
        <f t="shared" si="58"/>
        <v>40.333333333333329</v>
      </c>
      <c r="AN66" s="234">
        <f t="shared" si="58"/>
        <v>31</v>
      </c>
      <c r="AO66" s="235">
        <f t="shared" si="58"/>
        <v>20.666666666666668</v>
      </c>
      <c r="AP66" s="230">
        <f t="shared" si="58"/>
        <v>28</v>
      </c>
      <c r="AQ66" s="230">
        <f t="shared" si="58"/>
        <v>31</v>
      </c>
      <c r="AR66" s="230">
        <f t="shared" si="58"/>
        <v>37.75</v>
      </c>
      <c r="AS66" s="230">
        <f t="shared" si="58"/>
        <v>31</v>
      </c>
      <c r="AT66" s="230">
        <f t="shared" si="58"/>
        <v>22.25</v>
      </c>
      <c r="AU66" s="230">
        <f t="shared" si="58"/>
        <v>23.5</v>
      </c>
      <c r="AV66" s="230">
        <f t="shared" si="58"/>
        <v>31</v>
      </c>
      <c r="AW66" s="230">
        <f t="shared" si="58"/>
        <v>30</v>
      </c>
      <c r="AX66" s="230">
        <f t="shared" si="58"/>
        <v>38.5</v>
      </c>
      <c r="AY66" s="230">
        <f t="shared" si="58"/>
        <v>37.75</v>
      </c>
      <c r="AZ66" s="230">
        <f t="shared" si="58"/>
        <v>23.5</v>
      </c>
      <c r="BA66" s="240">
        <f t="shared" si="58"/>
        <v>31</v>
      </c>
      <c r="BB66" s="230">
        <f t="shared" si="58"/>
        <v>28</v>
      </c>
      <c r="BC66" s="230">
        <f t="shared" si="58"/>
        <v>31</v>
      </c>
      <c r="BD66" s="230">
        <f t="shared" si="58"/>
        <v>37.75</v>
      </c>
      <c r="BE66" s="230">
        <f t="shared" si="58"/>
        <v>26</v>
      </c>
      <c r="BF66" s="230">
        <f t="shared" si="58"/>
        <v>30</v>
      </c>
      <c r="BG66" s="230">
        <f t="shared" si="58"/>
        <v>37</v>
      </c>
      <c r="BH66" s="230">
        <f t="shared" si="58"/>
        <v>31</v>
      </c>
      <c r="BI66" s="230">
        <f t="shared" si="58"/>
        <v>23.8</v>
      </c>
      <c r="BJ66" s="230">
        <f t="shared" si="58"/>
        <v>31</v>
      </c>
      <c r="BK66" s="230">
        <f t="shared" si="58"/>
        <v>36.200000000000003</v>
      </c>
      <c r="BL66" s="230">
        <f t="shared" si="58"/>
        <v>37</v>
      </c>
      <c r="BM66" s="230">
        <f t="shared" si="58"/>
        <v>43.4</v>
      </c>
      <c r="BN66" s="230">
        <f t="shared" si="58"/>
        <v>28</v>
      </c>
      <c r="BO66" s="230">
        <f t="shared" si="58"/>
        <v>59</v>
      </c>
      <c r="BP66" s="230">
        <f t="shared" si="58"/>
        <v>36.200000000000003</v>
      </c>
      <c r="BQ66" s="230">
        <f t="shared" ref="BQ66:CJ66" si="59">IF(BQ65&gt;SUM(BQ95:BR95),(BQ65-BR95-BQ95)/BP95*BP87+BQ87+BR87,(BQ65-BR95)/BQ95*BQ87+BR87)</f>
        <v>31</v>
      </c>
      <c r="BR66" s="230">
        <f t="shared" si="59"/>
        <v>23.8</v>
      </c>
      <c r="BS66" s="230">
        <f t="shared" si="59"/>
        <v>25</v>
      </c>
      <c r="BT66" s="230">
        <f t="shared" si="59"/>
        <v>25.833333333333336</v>
      </c>
      <c r="BU66" s="230">
        <f t="shared" si="59"/>
        <v>30</v>
      </c>
      <c r="BV66" s="230">
        <f t="shared" si="59"/>
        <v>37</v>
      </c>
      <c r="BW66" s="230">
        <f t="shared" si="59"/>
        <v>27.330279999999998</v>
      </c>
      <c r="BX66" s="230">
        <f t="shared" si="59"/>
        <v>28.509999999999998</v>
      </c>
      <c r="BY66" s="230">
        <f t="shared" si="59"/>
        <v>33.242226606119999</v>
      </c>
      <c r="BZ66" s="230">
        <f t="shared" si="59"/>
        <v>40.117608429999983</v>
      </c>
      <c r="CA66" s="230">
        <f t="shared" si="59"/>
        <v>33.063583198666663</v>
      </c>
      <c r="CB66" s="230">
        <f t="shared" si="59"/>
        <v>37.356778374285717</v>
      </c>
      <c r="CC66" s="230">
        <f t="shared" si="59"/>
        <v>43.857140815000001</v>
      </c>
      <c r="CD66" s="230">
        <f t="shared" si="59"/>
        <v>51.706031277333338</v>
      </c>
      <c r="CE66" s="230">
        <f t="shared" si="59"/>
        <v>31.103901999999998</v>
      </c>
      <c r="CF66" s="230">
        <f t="shared" si="59"/>
        <v>33.19932703333334</v>
      </c>
      <c r="CG66" s="230">
        <f t="shared" si="59"/>
        <v>26.551249999999996</v>
      </c>
      <c r="CH66" s="230">
        <f t="shared" si="59"/>
        <v>51.395151505000001</v>
      </c>
      <c r="CI66" s="230">
        <f t="shared" si="59"/>
        <v>77.412696745000005</v>
      </c>
      <c r="CJ66" s="230">
        <f t="shared" si="59"/>
        <v>63.273490399999972</v>
      </c>
      <c r="CK66" s="230">
        <f t="shared" ref="CK66:CX66" si="60">IF(CK65&gt;SUM(CK95:CL95),(CK65-CL95-CK95)/CJ95*CJ87+CK87+CL87,(CK65-CL95)/CK95*CK87+CL87)</f>
        <v>-62.687462634000013</v>
      </c>
      <c r="CL66" s="230">
        <f t="shared" si="60"/>
        <v>-5.133297317499995</v>
      </c>
      <c r="CM66" s="230">
        <f t="shared" si="60"/>
        <v>-58.011168064000003</v>
      </c>
      <c r="CN66" s="230">
        <f t="shared" si="60"/>
        <v>38.475828024749994</v>
      </c>
      <c r="CO66" s="230">
        <f t="shared" si="60"/>
        <v>34.976173750000001</v>
      </c>
      <c r="CP66" s="230">
        <f t="shared" si="60"/>
        <v>-51.142511408000004</v>
      </c>
      <c r="CQ66" s="230">
        <f t="shared" si="60"/>
        <v>-71.695129612999992</v>
      </c>
      <c r="CR66" s="230">
        <f t="shared" si="60"/>
        <v>-44.520402000000004</v>
      </c>
      <c r="CS66" s="230">
        <f t="shared" si="60"/>
        <v>-25.161781067500002</v>
      </c>
      <c r="CT66" s="230">
        <f t="shared" si="60"/>
        <v>21.27927695875</v>
      </c>
      <c r="CU66" s="230">
        <f t="shared" si="60"/>
        <v>-133.67726358350001</v>
      </c>
      <c r="CV66" s="230">
        <f t="shared" si="60"/>
        <v>36.075642270000003</v>
      </c>
      <c r="CW66" s="230">
        <f t="shared" si="60"/>
        <v>47.068704467709999</v>
      </c>
      <c r="CX66" s="565">
        <f t="shared" si="60"/>
        <v>45.302496833959992</v>
      </c>
    </row>
    <row r="67" spans="2:102" ht="15" thickBot="1" x14ac:dyDescent="0.4"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AD67" s="36"/>
      <c r="AE67" s="36"/>
      <c r="AF67" s="36"/>
      <c r="AG67" s="36"/>
      <c r="AO67" s="78"/>
      <c r="AP67" s="36"/>
      <c r="AQ67" s="36"/>
      <c r="AR67" s="36"/>
      <c r="AS67" s="36"/>
      <c r="AT67" s="36"/>
      <c r="AU67" s="36"/>
      <c r="AV67" s="36"/>
      <c r="AW67" s="36"/>
      <c r="AX67" s="36"/>
      <c r="AY67" s="36"/>
      <c r="AZ67" s="36"/>
      <c r="BA67" s="87"/>
      <c r="BB67" s="36"/>
      <c r="BC67" s="36"/>
      <c r="CB67"/>
      <c r="CC67"/>
      <c r="CD67"/>
      <c r="CF67"/>
      <c r="CX67" s="79"/>
    </row>
    <row r="68" spans="2:102" x14ac:dyDescent="0.35">
      <c r="B68" s="795" t="s">
        <v>295</v>
      </c>
      <c r="C68" s="56" t="s">
        <v>281</v>
      </c>
      <c r="D68" s="229">
        <v>0</v>
      </c>
      <c r="E68" s="230">
        <v>10</v>
      </c>
      <c r="F68" s="230">
        <v>0</v>
      </c>
      <c r="G68" s="230">
        <v>13</v>
      </c>
      <c r="H68" s="230">
        <v>0</v>
      </c>
      <c r="I68" s="230">
        <v>0</v>
      </c>
      <c r="J68" s="230">
        <v>0</v>
      </c>
      <c r="K68" s="230">
        <v>0</v>
      </c>
      <c r="L68" s="230">
        <v>0</v>
      </c>
      <c r="M68" s="230">
        <v>0</v>
      </c>
      <c r="N68" s="230">
        <v>0</v>
      </c>
      <c r="O68" s="230">
        <v>2</v>
      </c>
      <c r="P68" s="229">
        <v>2</v>
      </c>
      <c r="Q68" s="240">
        <v>0</v>
      </c>
      <c r="R68" s="230">
        <v>0</v>
      </c>
      <c r="S68" s="230">
        <v>0</v>
      </c>
      <c r="T68" s="230">
        <v>0</v>
      </c>
      <c r="U68" s="230">
        <v>0</v>
      </c>
      <c r="V68" s="230">
        <v>0</v>
      </c>
      <c r="W68" s="230">
        <v>0</v>
      </c>
      <c r="X68" s="230">
        <v>0</v>
      </c>
      <c r="Y68" s="230"/>
      <c r="Z68" s="230"/>
      <c r="AA68" s="230"/>
      <c r="AB68" s="229"/>
      <c r="AC68" s="231"/>
      <c r="AE68" s="232"/>
      <c r="AF68" s="232"/>
      <c r="AG68" s="232"/>
      <c r="AH68" s="232"/>
      <c r="AI68" s="232"/>
      <c r="AJ68" s="232"/>
      <c r="AK68" s="232"/>
      <c r="AL68" s="232"/>
      <c r="AM68" s="232"/>
      <c r="AN68" s="232"/>
      <c r="AO68" s="231"/>
      <c r="AQ68" s="232"/>
      <c r="AR68" s="232"/>
      <c r="AS68" s="232"/>
      <c r="AT68" s="232"/>
      <c r="AU68" s="232"/>
      <c r="AV68" s="232"/>
      <c r="AW68" s="232"/>
      <c r="AX68" s="232"/>
      <c r="AY68" s="232"/>
      <c r="AZ68" s="232"/>
      <c r="BA68" s="231"/>
      <c r="BB68" s="232"/>
      <c r="BC68" s="232"/>
      <c r="BD68" s="232"/>
      <c r="BE68" s="232"/>
      <c r="BF68" s="232"/>
      <c r="BG68" s="232"/>
      <c r="BH68" s="232"/>
      <c r="BI68" s="232"/>
      <c r="BJ68" s="232"/>
      <c r="BK68" s="232"/>
      <c r="BL68" s="232"/>
      <c r="BM68" s="232"/>
      <c r="BN68" s="232"/>
      <c r="BO68" s="232"/>
      <c r="BP68" s="232"/>
      <c r="BQ68" s="232"/>
      <c r="BR68" s="232"/>
      <c r="BS68" s="232"/>
      <c r="BT68" s="232"/>
      <c r="BU68" s="232"/>
      <c r="BV68" s="232"/>
      <c r="BW68" s="232"/>
      <c r="BX68" s="232"/>
      <c r="BY68" s="232"/>
      <c r="BZ68" s="232"/>
      <c r="CA68" s="232"/>
      <c r="CB68" s="232"/>
      <c r="CC68" s="232"/>
      <c r="CD68" s="232"/>
      <c r="CE68" s="232"/>
      <c r="CF68" s="232"/>
      <c r="CG68" s="232"/>
      <c r="CH68" s="232"/>
      <c r="CI68" s="232"/>
      <c r="CJ68" s="232"/>
      <c r="CK68" s="232"/>
      <c r="CL68" s="232"/>
      <c r="CM68" s="232"/>
      <c r="CN68" s="232"/>
      <c r="CO68" s="232"/>
      <c r="CP68" s="232"/>
      <c r="CQ68" s="232"/>
      <c r="CR68" s="232"/>
      <c r="CS68" s="232"/>
      <c r="CT68" s="232"/>
      <c r="CU68" s="232"/>
      <c r="CV68" s="232"/>
      <c r="CW68" s="232"/>
      <c r="CX68" s="691"/>
    </row>
    <row r="69" spans="2:102" x14ac:dyDescent="0.35">
      <c r="B69" s="796"/>
      <c r="C69" s="57" t="s">
        <v>282</v>
      </c>
      <c r="D69" s="233">
        <v>0</v>
      </c>
      <c r="E69" s="234">
        <v>0</v>
      </c>
      <c r="F69" s="234">
        <v>0</v>
      </c>
      <c r="G69" s="234">
        <v>0</v>
      </c>
      <c r="H69" s="234">
        <v>0</v>
      </c>
      <c r="I69" s="234">
        <v>0</v>
      </c>
      <c r="J69" s="234">
        <v>0</v>
      </c>
      <c r="K69" s="234">
        <v>0</v>
      </c>
      <c r="L69" s="234">
        <v>0</v>
      </c>
      <c r="M69" s="234">
        <v>0</v>
      </c>
      <c r="N69" s="234">
        <v>0</v>
      </c>
      <c r="O69" s="234">
        <v>0</v>
      </c>
      <c r="P69" s="233">
        <v>0</v>
      </c>
      <c r="Q69" s="235">
        <v>0</v>
      </c>
      <c r="R69" s="234">
        <v>0</v>
      </c>
      <c r="S69" s="234">
        <v>0</v>
      </c>
      <c r="T69" s="234">
        <v>0</v>
      </c>
      <c r="U69" s="234">
        <v>0</v>
      </c>
      <c r="V69" s="234">
        <v>0</v>
      </c>
      <c r="W69" s="234">
        <v>3</v>
      </c>
      <c r="X69" s="234">
        <v>0</v>
      </c>
      <c r="Y69" s="234"/>
      <c r="Z69" s="234"/>
      <c r="AA69" s="234"/>
      <c r="AB69" s="233"/>
      <c r="AC69" s="78"/>
      <c r="AO69" s="78"/>
      <c r="BA69" s="78"/>
      <c r="CB69"/>
      <c r="CC69"/>
      <c r="CD69"/>
      <c r="CF69"/>
      <c r="CX69" s="79"/>
    </row>
    <row r="70" spans="2:102" x14ac:dyDescent="0.35">
      <c r="B70" s="796"/>
      <c r="C70" s="57" t="s">
        <v>283</v>
      </c>
      <c r="D70" s="233">
        <v>0</v>
      </c>
      <c r="E70" s="234">
        <v>0</v>
      </c>
      <c r="F70" s="234">
        <v>0</v>
      </c>
      <c r="G70" s="234">
        <v>0</v>
      </c>
      <c r="H70" s="234">
        <v>0</v>
      </c>
      <c r="I70" s="234">
        <v>0</v>
      </c>
      <c r="J70" s="234">
        <v>0</v>
      </c>
      <c r="K70" s="234">
        <v>0</v>
      </c>
      <c r="L70" s="234">
        <v>0</v>
      </c>
      <c r="M70" s="234">
        <v>0</v>
      </c>
      <c r="N70" s="234">
        <v>0</v>
      </c>
      <c r="O70" s="234">
        <v>0</v>
      </c>
      <c r="P70" s="233">
        <v>0</v>
      </c>
      <c r="Q70" s="235">
        <v>2</v>
      </c>
      <c r="R70" s="234">
        <v>0</v>
      </c>
      <c r="S70" s="234">
        <v>0</v>
      </c>
      <c r="T70" s="234">
        <v>0</v>
      </c>
      <c r="U70" s="234">
        <v>0</v>
      </c>
      <c r="V70" s="234">
        <v>0</v>
      </c>
      <c r="W70" s="234">
        <v>0</v>
      </c>
      <c r="X70" s="234">
        <v>2</v>
      </c>
      <c r="Y70" s="234"/>
      <c r="Z70" s="234"/>
      <c r="AA70" s="234"/>
      <c r="AB70" s="233"/>
      <c r="AC70" s="78"/>
      <c r="AO70" s="78"/>
      <c r="BA70" s="78"/>
      <c r="CB70"/>
      <c r="CC70"/>
      <c r="CD70"/>
      <c r="CF70"/>
      <c r="CX70" s="79"/>
    </row>
    <row r="71" spans="2:102" x14ac:dyDescent="0.35">
      <c r="B71" s="796"/>
      <c r="C71" s="57" t="s">
        <v>284</v>
      </c>
      <c r="D71" s="233">
        <v>0</v>
      </c>
      <c r="E71" s="234">
        <v>0</v>
      </c>
      <c r="F71" s="234">
        <v>0</v>
      </c>
      <c r="G71" s="234">
        <v>0</v>
      </c>
      <c r="H71" s="234">
        <v>0</v>
      </c>
      <c r="I71" s="234">
        <v>0</v>
      </c>
      <c r="J71" s="234">
        <v>0</v>
      </c>
      <c r="K71" s="234">
        <v>0</v>
      </c>
      <c r="L71" s="234">
        <v>0</v>
      </c>
      <c r="M71" s="234">
        <v>0</v>
      </c>
      <c r="N71" s="234">
        <v>0</v>
      </c>
      <c r="O71" s="234">
        <v>0</v>
      </c>
      <c r="P71" s="233">
        <v>0</v>
      </c>
      <c r="Q71" s="235">
        <v>0</v>
      </c>
      <c r="R71" s="234">
        <v>0</v>
      </c>
      <c r="S71" s="234">
        <v>0</v>
      </c>
      <c r="T71" s="234">
        <v>0</v>
      </c>
      <c r="U71" s="234">
        <v>0</v>
      </c>
      <c r="V71" s="234">
        <v>0</v>
      </c>
      <c r="W71" s="234">
        <v>0</v>
      </c>
      <c r="X71" s="234">
        <v>0</v>
      </c>
      <c r="Y71" s="234">
        <v>2</v>
      </c>
      <c r="AB71" s="279"/>
      <c r="AC71" s="78"/>
      <c r="AO71" s="78"/>
      <c r="BA71" s="78"/>
      <c r="CB71"/>
      <c r="CC71"/>
      <c r="CD71"/>
      <c r="CF71"/>
      <c r="CX71" s="79"/>
    </row>
    <row r="72" spans="2:102" x14ac:dyDescent="0.35">
      <c r="B72" s="796"/>
      <c r="C72" s="57" t="s">
        <v>285</v>
      </c>
      <c r="D72" s="233">
        <v>-5</v>
      </c>
      <c r="E72" s="234">
        <v>-5</v>
      </c>
      <c r="F72" s="234">
        <v>-5</v>
      </c>
      <c r="G72" s="234">
        <v>-5</v>
      </c>
      <c r="H72" s="234">
        <v>-5</v>
      </c>
      <c r="I72" s="234">
        <v>-5</v>
      </c>
      <c r="J72" s="234">
        <v>-5</v>
      </c>
      <c r="K72" s="234">
        <v>-5</v>
      </c>
      <c r="L72" s="234">
        <v>-5</v>
      </c>
      <c r="M72" s="234">
        <v>-5</v>
      </c>
      <c r="N72" s="234">
        <v>-5</v>
      </c>
      <c r="O72" s="234">
        <v>-5</v>
      </c>
      <c r="P72" s="233">
        <v>-5</v>
      </c>
      <c r="Q72" s="235">
        <v>-5</v>
      </c>
      <c r="R72" s="234">
        <v>-5</v>
      </c>
      <c r="S72" s="234">
        <v>-5</v>
      </c>
      <c r="T72" s="234">
        <v>-5</v>
      </c>
      <c r="U72" s="234">
        <v>-5</v>
      </c>
      <c r="V72" s="234">
        <v>-5</v>
      </c>
      <c r="W72" s="234">
        <v>-5</v>
      </c>
      <c r="X72" s="234">
        <v>-5</v>
      </c>
      <c r="Y72" s="234">
        <v>-5</v>
      </c>
      <c r="Z72" s="234">
        <f>-7</f>
        <v>-7</v>
      </c>
      <c r="AA72" s="234">
        <v>-6</v>
      </c>
      <c r="AB72" s="234">
        <v>-5</v>
      </c>
      <c r="AC72" s="235">
        <v>-5</v>
      </c>
      <c r="AD72" s="234">
        <v>-5</v>
      </c>
      <c r="AE72" s="234">
        <v>3</v>
      </c>
      <c r="AF72" s="234">
        <v>3</v>
      </c>
      <c r="AG72" s="234">
        <v>-5</v>
      </c>
      <c r="AH72" s="234">
        <v>-5</v>
      </c>
      <c r="AI72" s="234">
        <v>25</v>
      </c>
      <c r="AJ72" s="234">
        <v>-5</v>
      </c>
      <c r="AK72" s="234">
        <v>-5</v>
      </c>
      <c r="AL72" s="234">
        <v>-5</v>
      </c>
      <c r="AM72" s="234">
        <v>-5</v>
      </c>
      <c r="AN72" s="234">
        <v>0</v>
      </c>
      <c r="AO72" s="235"/>
      <c r="AZ72" s="234"/>
      <c r="BA72" s="235"/>
      <c r="BB72" s="234"/>
      <c r="BC72" s="234"/>
      <c r="CB72"/>
      <c r="CC72"/>
      <c r="CD72"/>
      <c r="CF72"/>
      <c r="CX72" s="79"/>
    </row>
    <row r="73" spans="2:102" x14ac:dyDescent="0.35">
      <c r="B73" s="796"/>
      <c r="C73" s="58" t="s">
        <v>286</v>
      </c>
      <c r="D73" s="236">
        <v>0</v>
      </c>
      <c r="E73" s="237">
        <v>0</v>
      </c>
      <c r="F73" s="237">
        <v>0</v>
      </c>
      <c r="G73" s="237">
        <v>0</v>
      </c>
      <c r="H73" s="237">
        <v>0</v>
      </c>
      <c r="I73" s="237">
        <v>0</v>
      </c>
      <c r="J73" s="237">
        <v>0</v>
      </c>
      <c r="K73" s="237">
        <v>0</v>
      </c>
      <c r="L73" s="237">
        <v>0</v>
      </c>
      <c r="M73" s="237">
        <v>0</v>
      </c>
      <c r="N73" s="237">
        <v>0</v>
      </c>
      <c r="O73" s="237">
        <v>0</v>
      </c>
      <c r="P73" s="236">
        <v>0</v>
      </c>
      <c r="Q73" s="238">
        <v>0</v>
      </c>
      <c r="R73" s="237">
        <v>0</v>
      </c>
      <c r="S73" s="237">
        <v>0</v>
      </c>
      <c r="T73" s="237">
        <v>0</v>
      </c>
      <c r="U73" s="237">
        <v>0</v>
      </c>
      <c r="V73" s="237">
        <v>0</v>
      </c>
      <c r="W73" s="237">
        <v>0</v>
      </c>
      <c r="X73" s="237">
        <v>0</v>
      </c>
      <c r="Y73" s="237"/>
      <c r="Z73" s="237"/>
      <c r="AA73" s="237"/>
      <c r="AB73" s="236"/>
      <c r="AC73" s="87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87"/>
      <c r="AS73" s="36"/>
      <c r="AT73" s="36"/>
      <c r="AU73" s="36"/>
      <c r="AV73" s="36"/>
      <c r="AW73" s="36"/>
      <c r="AX73" s="36"/>
      <c r="AY73" s="36"/>
      <c r="AZ73" s="36"/>
      <c r="BA73" s="87"/>
      <c r="BB73" s="36"/>
      <c r="BC73" s="36"/>
      <c r="CB73"/>
      <c r="CC73"/>
      <c r="CD73"/>
      <c r="CF73"/>
      <c r="CX73" s="79"/>
    </row>
    <row r="74" spans="2:102" ht="15" thickBot="1" x14ac:dyDescent="0.4">
      <c r="B74" s="797"/>
      <c r="C74" s="59" t="s">
        <v>287</v>
      </c>
      <c r="D74" s="239">
        <v>-5</v>
      </c>
      <c r="E74" s="239">
        <f t="shared" ref="E74:AJ74" si="61">SUM(E68:E73)</f>
        <v>5</v>
      </c>
      <c r="F74" s="239">
        <f t="shared" si="61"/>
        <v>-5</v>
      </c>
      <c r="G74" s="239">
        <f t="shared" si="61"/>
        <v>8</v>
      </c>
      <c r="H74" s="239">
        <f t="shared" si="61"/>
        <v>-5</v>
      </c>
      <c r="I74" s="239">
        <f t="shared" si="61"/>
        <v>-5</v>
      </c>
      <c r="J74" s="239">
        <f t="shared" si="61"/>
        <v>-5</v>
      </c>
      <c r="K74" s="239">
        <f t="shared" si="61"/>
        <v>-5</v>
      </c>
      <c r="L74" s="239">
        <f t="shared" si="61"/>
        <v>-5</v>
      </c>
      <c r="M74" s="239">
        <f t="shared" si="61"/>
        <v>-5</v>
      </c>
      <c r="N74" s="239">
        <f t="shared" si="61"/>
        <v>-5</v>
      </c>
      <c r="O74" s="239">
        <f t="shared" si="61"/>
        <v>-3</v>
      </c>
      <c r="P74" s="239">
        <f t="shared" si="61"/>
        <v>-3</v>
      </c>
      <c r="Q74" s="237">
        <f t="shared" si="61"/>
        <v>-3</v>
      </c>
      <c r="R74" s="237">
        <f t="shared" si="61"/>
        <v>-5</v>
      </c>
      <c r="S74" s="237">
        <f t="shared" si="61"/>
        <v>-5</v>
      </c>
      <c r="T74" s="237">
        <f t="shared" si="61"/>
        <v>-5</v>
      </c>
      <c r="U74" s="237">
        <f t="shared" si="61"/>
        <v>-5</v>
      </c>
      <c r="V74" s="237">
        <f t="shared" si="61"/>
        <v>-5</v>
      </c>
      <c r="W74" s="237">
        <f t="shared" si="61"/>
        <v>-2</v>
      </c>
      <c r="X74" s="237">
        <f t="shared" si="61"/>
        <v>-3</v>
      </c>
      <c r="Y74" s="237">
        <f t="shared" si="61"/>
        <v>-3</v>
      </c>
      <c r="Z74" s="237">
        <f t="shared" si="61"/>
        <v>-7</v>
      </c>
      <c r="AA74" s="237">
        <f t="shared" si="61"/>
        <v>-6</v>
      </c>
      <c r="AB74" s="236">
        <f t="shared" si="61"/>
        <v>-5</v>
      </c>
      <c r="AC74" s="242">
        <f t="shared" si="61"/>
        <v>-5</v>
      </c>
      <c r="AD74" s="239">
        <f t="shared" si="61"/>
        <v>-5</v>
      </c>
      <c r="AE74" s="239">
        <f t="shared" si="61"/>
        <v>3</v>
      </c>
      <c r="AF74" s="239">
        <f t="shared" si="61"/>
        <v>3</v>
      </c>
      <c r="AG74" s="239">
        <f t="shared" si="61"/>
        <v>-5</v>
      </c>
      <c r="AH74" s="239">
        <f t="shared" si="61"/>
        <v>-5</v>
      </c>
      <c r="AI74" s="239">
        <f t="shared" si="61"/>
        <v>25</v>
      </c>
      <c r="AJ74" s="239">
        <f t="shared" si="61"/>
        <v>-5</v>
      </c>
      <c r="AK74" s="239">
        <f t="shared" ref="AK74:CJ74" si="62">SUM(AK68:AK73)</f>
        <v>-5</v>
      </c>
      <c r="AL74" s="239">
        <f t="shared" si="62"/>
        <v>-5</v>
      </c>
      <c r="AM74" s="239">
        <f t="shared" si="62"/>
        <v>-5</v>
      </c>
      <c r="AN74" s="239">
        <f t="shared" si="62"/>
        <v>0</v>
      </c>
      <c r="AO74" s="238">
        <f t="shared" si="62"/>
        <v>0</v>
      </c>
      <c r="AP74" s="239">
        <f t="shared" si="62"/>
        <v>0</v>
      </c>
      <c r="AQ74" s="239">
        <f t="shared" si="62"/>
        <v>0</v>
      </c>
      <c r="AR74" s="239">
        <f t="shared" si="62"/>
        <v>0</v>
      </c>
      <c r="AS74" s="239">
        <f t="shared" si="62"/>
        <v>0</v>
      </c>
      <c r="AT74" s="239">
        <f t="shared" si="62"/>
        <v>0</v>
      </c>
      <c r="AU74" s="239">
        <f t="shared" si="62"/>
        <v>0</v>
      </c>
      <c r="AV74" s="239">
        <f t="shared" si="62"/>
        <v>0</v>
      </c>
      <c r="AW74" s="239">
        <f t="shared" si="62"/>
        <v>0</v>
      </c>
      <c r="AX74" s="239">
        <f t="shared" si="62"/>
        <v>0</v>
      </c>
      <c r="AY74" s="239">
        <f t="shared" si="62"/>
        <v>0</v>
      </c>
      <c r="AZ74" s="239">
        <f t="shared" si="62"/>
        <v>0</v>
      </c>
      <c r="BA74" s="242">
        <f t="shared" si="62"/>
        <v>0</v>
      </c>
      <c r="BB74" s="239">
        <f t="shared" si="62"/>
        <v>0</v>
      </c>
      <c r="BC74" s="239">
        <f t="shared" si="62"/>
        <v>0</v>
      </c>
      <c r="BD74" s="239">
        <f t="shared" si="62"/>
        <v>0</v>
      </c>
      <c r="BE74" s="239">
        <f t="shared" si="62"/>
        <v>0</v>
      </c>
      <c r="BF74" s="239">
        <f t="shared" si="62"/>
        <v>0</v>
      </c>
      <c r="BG74" s="239">
        <f t="shared" si="62"/>
        <v>0</v>
      </c>
      <c r="BH74" s="239">
        <f t="shared" si="62"/>
        <v>0</v>
      </c>
      <c r="BI74" s="239">
        <f t="shared" si="62"/>
        <v>0</v>
      </c>
      <c r="BJ74" s="239">
        <f t="shared" si="62"/>
        <v>0</v>
      </c>
      <c r="BK74" s="239">
        <f t="shared" si="62"/>
        <v>0</v>
      </c>
      <c r="BL74" s="239">
        <f t="shared" si="62"/>
        <v>0</v>
      </c>
      <c r="BM74" s="239">
        <f t="shared" si="62"/>
        <v>0</v>
      </c>
      <c r="BN74" s="239">
        <f t="shared" si="62"/>
        <v>0</v>
      </c>
      <c r="BO74" s="239">
        <f t="shared" si="62"/>
        <v>0</v>
      </c>
      <c r="BP74" s="239">
        <f t="shared" si="62"/>
        <v>0</v>
      </c>
      <c r="BQ74" s="239">
        <f t="shared" si="62"/>
        <v>0</v>
      </c>
      <c r="BR74" s="239">
        <f t="shared" si="62"/>
        <v>0</v>
      </c>
      <c r="BS74" s="239">
        <f t="shared" si="62"/>
        <v>0</v>
      </c>
      <c r="BT74" s="239">
        <f t="shared" si="62"/>
        <v>0</v>
      </c>
      <c r="BU74" s="239">
        <f t="shared" si="62"/>
        <v>0</v>
      </c>
      <c r="BV74" s="239">
        <f t="shared" si="62"/>
        <v>0</v>
      </c>
      <c r="BW74" s="239">
        <f t="shared" si="62"/>
        <v>0</v>
      </c>
      <c r="BX74" s="239">
        <f t="shared" si="62"/>
        <v>0</v>
      </c>
      <c r="BY74" s="239">
        <f t="shared" si="62"/>
        <v>0</v>
      </c>
      <c r="BZ74" s="239">
        <f t="shared" si="62"/>
        <v>0</v>
      </c>
      <c r="CA74" s="239">
        <f t="shared" si="62"/>
        <v>0</v>
      </c>
      <c r="CB74" s="239">
        <f t="shared" si="62"/>
        <v>0</v>
      </c>
      <c r="CC74" s="239">
        <f t="shared" si="62"/>
        <v>0</v>
      </c>
      <c r="CD74" s="239">
        <f t="shared" si="62"/>
        <v>0</v>
      </c>
      <c r="CE74" s="239">
        <f t="shared" si="62"/>
        <v>0</v>
      </c>
      <c r="CF74" s="239">
        <f t="shared" si="62"/>
        <v>0</v>
      </c>
      <c r="CG74" s="239">
        <f t="shared" si="62"/>
        <v>0</v>
      </c>
      <c r="CH74" s="239">
        <f t="shared" si="62"/>
        <v>0</v>
      </c>
      <c r="CI74" s="239">
        <f t="shared" si="62"/>
        <v>0</v>
      </c>
      <c r="CJ74" s="239">
        <f t="shared" si="62"/>
        <v>0</v>
      </c>
      <c r="CK74" s="239">
        <f t="shared" ref="CK74:CP74" si="63">SUM(CK68:CK73)</f>
        <v>0</v>
      </c>
      <c r="CL74" s="239">
        <f t="shared" si="63"/>
        <v>0</v>
      </c>
      <c r="CM74" s="239">
        <f t="shared" si="63"/>
        <v>0</v>
      </c>
      <c r="CN74" s="239">
        <f t="shared" si="63"/>
        <v>0</v>
      </c>
      <c r="CO74" s="239">
        <f t="shared" si="63"/>
        <v>0</v>
      </c>
      <c r="CP74" s="239">
        <f t="shared" si="63"/>
        <v>0</v>
      </c>
      <c r="CQ74" s="239">
        <f t="shared" ref="CQ74:CT74" si="64">SUM(CQ68:CQ73)</f>
        <v>0</v>
      </c>
      <c r="CR74" s="239">
        <f t="shared" si="64"/>
        <v>0</v>
      </c>
      <c r="CS74" s="239">
        <f t="shared" si="64"/>
        <v>0</v>
      </c>
      <c r="CT74" s="239">
        <f t="shared" si="64"/>
        <v>0</v>
      </c>
      <c r="CU74" s="239">
        <f t="shared" ref="CU74:CV74" si="65">SUM(CU68:CU73)</f>
        <v>0</v>
      </c>
      <c r="CV74" s="239">
        <f t="shared" si="65"/>
        <v>0</v>
      </c>
      <c r="CW74" s="239">
        <f t="shared" ref="CW74:CX74" si="66">SUM(CW68:CW73)</f>
        <v>0</v>
      </c>
      <c r="CX74" s="687">
        <f t="shared" si="66"/>
        <v>0</v>
      </c>
    </row>
    <row r="75" spans="2:102" x14ac:dyDescent="0.35">
      <c r="B75" s="227" t="s">
        <v>288</v>
      </c>
      <c r="C75" s="227"/>
      <c r="D75" s="234"/>
      <c r="E75" s="234">
        <f t="shared" ref="E75:W75" si="67">IFERROR(IF(E74&gt;SUM(E96:F96),(E74-F96-E96)/D96*D87+E87+F87,(E74-F96)/E96*E87+F87),0)</f>
        <v>0</v>
      </c>
      <c r="F75" s="234">
        <f t="shared" si="67"/>
        <v>0</v>
      </c>
      <c r="G75" s="234">
        <f t="shared" si="67"/>
        <v>0</v>
      </c>
      <c r="H75" s="234">
        <f t="shared" si="67"/>
        <v>0</v>
      </c>
      <c r="I75" s="234">
        <f t="shared" si="67"/>
        <v>0</v>
      </c>
      <c r="J75" s="234">
        <f t="shared" si="67"/>
        <v>0</v>
      </c>
      <c r="K75" s="234">
        <f t="shared" si="67"/>
        <v>0</v>
      </c>
      <c r="L75" s="234">
        <f t="shared" si="67"/>
        <v>0</v>
      </c>
      <c r="M75" s="234">
        <f t="shared" si="67"/>
        <v>0</v>
      </c>
      <c r="N75" s="234">
        <f t="shared" si="67"/>
        <v>0</v>
      </c>
      <c r="O75" s="234">
        <f t="shared" si="67"/>
        <v>0</v>
      </c>
      <c r="P75" s="234">
        <f t="shared" si="67"/>
        <v>0</v>
      </c>
      <c r="Q75" s="234">
        <f t="shared" si="67"/>
        <v>0</v>
      </c>
      <c r="R75" s="234">
        <f t="shared" si="67"/>
        <v>0</v>
      </c>
      <c r="S75" s="234">
        <f t="shared" si="67"/>
        <v>0</v>
      </c>
      <c r="T75" s="234">
        <f t="shared" si="67"/>
        <v>0</v>
      </c>
      <c r="U75" s="234">
        <f t="shared" si="67"/>
        <v>0</v>
      </c>
      <c r="V75" s="234">
        <f t="shared" si="67"/>
        <v>0</v>
      </c>
      <c r="W75" s="234">
        <f t="shared" si="67"/>
        <v>0</v>
      </c>
      <c r="AO75" s="78"/>
      <c r="BA75" s="78"/>
      <c r="CB75"/>
      <c r="CC75"/>
      <c r="CD75"/>
      <c r="CF75"/>
      <c r="CX75" s="79"/>
    </row>
    <row r="76" spans="2:102" ht="15" thickBot="1" x14ac:dyDescent="0.4">
      <c r="D76" s="234"/>
      <c r="E76" s="234"/>
      <c r="F76" s="234"/>
      <c r="G76" s="234"/>
      <c r="H76" s="234"/>
      <c r="I76" s="234"/>
      <c r="J76" s="234"/>
      <c r="K76" s="234"/>
      <c r="L76" s="234"/>
      <c r="M76" s="234"/>
      <c r="N76" s="234"/>
      <c r="O76" s="234"/>
      <c r="P76" s="234"/>
      <c r="AD76" s="36"/>
      <c r="AE76" s="36"/>
      <c r="AF76" s="36"/>
      <c r="AG76" s="36"/>
      <c r="AH76" s="36"/>
      <c r="AI76" s="36"/>
      <c r="AO76" s="78"/>
      <c r="BA76" s="78"/>
      <c r="CB76"/>
      <c r="CC76"/>
      <c r="CD76"/>
      <c r="CF76"/>
      <c r="CX76" s="79"/>
    </row>
    <row r="77" spans="2:102" x14ac:dyDescent="0.35">
      <c r="B77" s="795" t="s">
        <v>198</v>
      </c>
      <c r="C77" s="56" t="s">
        <v>281</v>
      </c>
      <c r="D77" s="229">
        <f t="shared" ref="D77:O82" si="68">D5+D59+D68+D14+D50+D23+D32</f>
        <v>704</v>
      </c>
      <c r="E77" s="240">
        <f t="shared" si="68"/>
        <v>569</v>
      </c>
      <c r="F77" s="230">
        <f t="shared" si="68"/>
        <v>683</v>
      </c>
      <c r="G77" s="230">
        <f t="shared" si="68"/>
        <v>672</v>
      </c>
      <c r="H77" s="230">
        <f t="shared" si="68"/>
        <v>830</v>
      </c>
      <c r="I77" s="230">
        <f t="shared" si="68"/>
        <v>662</v>
      </c>
      <c r="J77" s="230">
        <f t="shared" si="68"/>
        <v>794</v>
      </c>
      <c r="K77" s="230">
        <f t="shared" si="68"/>
        <v>1036</v>
      </c>
      <c r="L77" s="230">
        <f t="shared" si="68"/>
        <v>615</v>
      </c>
      <c r="M77" s="230">
        <f t="shared" si="68"/>
        <v>857</v>
      </c>
      <c r="N77" s="230">
        <f t="shared" si="68"/>
        <v>839</v>
      </c>
      <c r="O77" s="230">
        <f t="shared" si="68"/>
        <v>754</v>
      </c>
      <c r="P77" s="229">
        <f t="shared" ref="P77:CA80" si="69">P5+P59+P68+P14+P50+P23+P32+P41</f>
        <v>1023</v>
      </c>
      <c r="Q77" s="240">
        <f t="shared" si="69"/>
        <v>838</v>
      </c>
      <c r="R77" s="230">
        <f t="shared" si="69"/>
        <v>780</v>
      </c>
      <c r="S77" s="230">
        <f t="shared" si="69"/>
        <v>817</v>
      </c>
      <c r="T77" s="230">
        <f t="shared" si="69"/>
        <v>1099</v>
      </c>
      <c r="U77" s="230">
        <f t="shared" si="69"/>
        <v>776</v>
      </c>
      <c r="V77" s="230">
        <f t="shared" si="69"/>
        <v>816</v>
      </c>
      <c r="W77" s="230">
        <f t="shared" si="69"/>
        <v>939</v>
      </c>
      <c r="X77" s="230">
        <f t="shared" si="69"/>
        <v>892</v>
      </c>
      <c r="Y77" s="230">
        <f t="shared" si="69"/>
        <v>942</v>
      </c>
      <c r="Z77" s="230">
        <f t="shared" si="69"/>
        <v>945</v>
      </c>
      <c r="AA77" s="230">
        <f t="shared" si="69"/>
        <v>1069</v>
      </c>
      <c r="AB77" s="229">
        <f t="shared" si="69"/>
        <v>1108</v>
      </c>
      <c r="AC77" s="240">
        <f t="shared" si="69"/>
        <v>1187</v>
      </c>
      <c r="AD77" s="234">
        <f t="shared" si="69"/>
        <v>1067</v>
      </c>
      <c r="AE77" s="234">
        <f t="shared" si="69"/>
        <v>1163</v>
      </c>
      <c r="AF77" s="234">
        <f t="shared" si="69"/>
        <v>1216</v>
      </c>
      <c r="AG77" s="234">
        <f t="shared" si="69"/>
        <v>1157</v>
      </c>
      <c r="AH77" s="234">
        <f t="shared" si="69"/>
        <v>1128</v>
      </c>
      <c r="AI77" s="234">
        <f t="shared" si="69"/>
        <v>1094</v>
      </c>
      <c r="AJ77" s="230">
        <f t="shared" si="69"/>
        <v>1022</v>
      </c>
      <c r="AK77" s="230">
        <f t="shared" si="69"/>
        <v>1363</v>
      </c>
      <c r="AL77" s="230">
        <f t="shared" si="69"/>
        <v>1215</v>
      </c>
      <c r="AM77" s="230">
        <f t="shared" si="69"/>
        <v>1127</v>
      </c>
      <c r="AN77" s="230">
        <f t="shared" si="69"/>
        <v>1005</v>
      </c>
      <c r="AO77" s="240">
        <f t="shared" si="69"/>
        <v>1368</v>
      </c>
      <c r="AP77" s="230">
        <f t="shared" si="69"/>
        <v>1263</v>
      </c>
      <c r="AQ77" s="230">
        <f t="shared" si="69"/>
        <v>1148</v>
      </c>
      <c r="AR77" s="230">
        <f t="shared" si="69"/>
        <v>1241</v>
      </c>
      <c r="AS77" s="230">
        <f t="shared" si="69"/>
        <v>1260</v>
      </c>
      <c r="AT77" s="230">
        <f t="shared" si="69"/>
        <v>1772</v>
      </c>
      <c r="AU77" s="230">
        <f t="shared" si="69"/>
        <v>1476</v>
      </c>
      <c r="AV77" s="230">
        <f t="shared" si="69"/>
        <v>1442</v>
      </c>
      <c r="AW77" s="230">
        <f t="shared" si="69"/>
        <v>1399</v>
      </c>
      <c r="AX77" s="230">
        <f t="shared" si="69"/>
        <v>1503</v>
      </c>
      <c r="AY77" s="230">
        <f t="shared" si="69"/>
        <v>1405</v>
      </c>
      <c r="AZ77" s="230">
        <f t="shared" si="69"/>
        <v>1697</v>
      </c>
      <c r="BA77" s="240">
        <f t="shared" si="69"/>
        <v>1568</v>
      </c>
      <c r="BB77" s="230">
        <f t="shared" si="69"/>
        <v>1629</v>
      </c>
      <c r="BC77" s="230">
        <f t="shared" si="69"/>
        <v>1651</v>
      </c>
      <c r="BD77" s="230">
        <f t="shared" si="69"/>
        <v>1758</v>
      </c>
      <c r="BE77" s="230">
        <f t="shared" si="69"/>
        <v>1829</v>
      </c>
      <c r="BF77" s="230">
        <f t="shared" si="69"/>
        <v>1764</v>
      </c>
      <c r="BG77" s="230">
        <f t="shared" si="69"/>
        <v>1755</v>
      </c>
      <c r="BH77" s="230">
        <f t="shared" si="69"/>
        <v>2039</v>
      </c>
      <c r="BI77" s="230">
        <f t="shared" si="69"/>
        <v>2233</v>
      </c>
      <c r="BJ77" s="230">
        <f t="shared" si="69"/>
        <v>1904</v>
      </c>
      <c r="BK77" s="230">
        <f t="shared" si="69"/>
        <v>2007</v>
      </c>
      <c r="BL77" s="230">
        <f t="shared" si="69"/>
        <v>2213</v>
      </c>
      <c r="BM77" s="230">
        <f t="shared" si="69"/>
        <v>1969</v>
      </c>
      <c r="BN77" s="230">
        <f t="shared" si="69"/>
        <v>2444</v>
      </c>
      <c r="BO77" s="230">
        <f t="shared" si="69"/>
        <v>1831</v>
      </c>
      <c r="BP77" s="230">
        <f t="shared" si="69"/>
        <v>1956</v>
      </c>
      <c r="BQ77" s="230">
        <f t="shared" si="69"/>
        <v>1883</v>
      </c>
      <c r="BR77" s="230">
        <f t="shared" si="69"/>
        <v>2089</v>
      </c>
      <c r="BS77" s="230">
        <f t="shared" si="69"/>
        <v>2295</v>
      </c>
      <c r="BT77" s="230">
        <f t="shared" si="69"/>
        <v>1973</v>
      </c>
      <c r="BU77" s="230">
        <f t="shared" si="69"/>
        <v>2179.0021100000004</v>
      </c>
      <c r="BV77" s="230">
        <f t="shared" si="69"/>
        <v>2187.3773000000001</v>
      </c>
      <c r="BW77" s="230">
        <f t="shared" si="69"/>
        <v>2147.3665999999998</v>
      </c>
      <c r="BX77" s="230">
        <f t="shared" si="69"/>
        <v>2271.607816744267</v>
      </c>
      <c r="BY77" s="230">
        <f t="shared" si="69"/>
        <v>2121.3423793940001</v>
      </c>
      <c r="BZ77" s="230">
        <f t="shared" si="69"/>
        <v>2178.7556290299999</v>
      </c>
      <c r="CA77" s="230">
        <f t="shared" si="69"/>
        <v>2360.1298018500001</v>
      </c>
      <c r="CB77" s="230">
        <f t="shared" ref="CB77:CM82" si="70">CB5+CB59+CB68+CB14+CB50+CB23+CB32+CB41</f>
        <v>2257.7749019500002</v>
      </c>
      <c r="CC77" s="230">
        <f t="shared" si="70"/>
        <v>2128.9870108119999</v>
      </c>
      <c r="CD77" s="230">
        <f t="shared" si="70"/>
        <v>2351.835497692</v>
      </c>
      <c r="CE77" s="230">
        <f t="shared" si="70"/>
        <v>2495.1556339799999</v>
      </c>
      <c r="CF77" s="230">
        <f t="shared" si="70"/>
        <v>2181.9055547200005</v>
      </c>
      <c r="CG77" s="230">
        <f t="shared" si="70"/>
        <v>1948.9101999999998</v>
      </c>
      <c r="CH77" s="230">
        <f t="shared" si="70"/>
        <v>2279.5343253000001</v>
      </c>
      <c r="CI77" s="230">
        <f t="shared" si="70"/>
        <v>2606.0815901460005</v>
      </c>
      <c r="CJ77" s="230">
        <f t="shared" si="70"/>
        <v>2490.3412719899998</v>
      </c>
      <c r="CK77" s="230">
        <f t="shared" si="70"/>
        <v>2607.1691588410004</v>
      </c>
      <c r="CL77" s="230">
        <f t="shared" si="70"/>
        <v>2781.0585944000004</v>
      </c>
      <c r="CM77" s="230">
        <f t="shared" si="70"/>
        <v>2050.5356482599996</v>
      </c>
      <c r="CN77" s="230">
        <f t="shared" ref="CN77:CO82" si="71">CN5+CN59+CN68+CN14+CN50+CN23+CN32+CN41</f>
        <v>2323.0808395039999</v>
      </c>
      <c r="CO77" s="230">
        <f t="shared" si="71"/>
        <v>2434.4610460400004</v>
      </c>
      <c r="CP77" s="230">
        <f t="shared" ref="CP77:CT82" si="72">CP5+CP59+CP68+CP14+CP50+CP23+CP32+CP41</f>
        <v>2363.0000846719995</v>
      </c>
      <c r="CQ77" s="230">
        <f t="shared" si="72"/>
        <v>2271.720745446999</v>
      </c>
      <c r="CR77" s="230">
        <f t="shared" si="72"/>
        <v>2114.0398361399998</v>
      </c>
      <c r="CS77" s="230">
        <f t="shared" si="72"/>
        <v>2476.3814899099998</v>
      </c>
      <c r="CT77" s="230">
        <f t="shared" si="72"/>
        <v>2292.3912113109996</v>
      </c>
      <c r="CU77" s="230">
        <f t="shared" ref="CU77:CV82" si="73">CU5+CU59+CU68+CU14+CU50+CU23+CU32+CU41</f>
        <v>3070.0001392049999</v>
      </c>
      <c r="CV77" s="230">
        <f t="shared" si="73"/>
        <v>2325.7239236070004</v>
      </c>
      <c r="CW77" s="230">
        <f t="shared" ref="CW77:CX77" si="74">CW5+CW59+CW68+CW14+CW50+CW23+CW32+CW41</f>
        <v>2203.3418310666002</v>
      </c>
      <c r="CX77" s="565">
        <f t="shared" si="74"/>
        <v>2794.3085923670001</v>
      </c>
    </row>
    <row r="78" spans="2:102" x14ac:dyDescent="0.35">
      <c r="B78" s="796"/>
      <c r="C78" s="57" t="s">
        <v>282</v>
      </c>
      <c r="D78" s="233">
        <f t="shared" si="68"/>
        <v>418</v>
      </c>
      <c r="E78" s="235">
        <f t="shared" si="68"/>
        <v>412</v>
      </c>
      <c r="F78" s="234">
        <f t="shared" si="68"/>
        <v>412</v>
      </c>
      <c r="G78" s="234">
        <f t="shared" si="68"/>
        <v>506</v>
      </c>
      <c r="H78" s="234">
        <f t="shared" si="68"/>
        <v>-20</v>
      </c>
      <c r="I78" s="234">
        <f t="shared" si="68"/>
        <v>567</v>
      </c>
      <c r="J78" s="234">
        <f t="shared" si="68"/>
        <v>296</v>
      </c>
      <c r="K78" s="234">
        <f t="shared" si="68"/>
        <v>584</v>
      </c>
      <c r="L78" s="234">
        <f t="shared" si="68"/>
        <v>242</v>
      </c>
      <c r="M78" s="234">
        <f t="shared" si="68"/>
        <v>467</v>
      </c>
      <c r="N78" s="234">
        <f t="shared" si="68"/>
        <v>523</v>
      </c>
      <c r="O78" s="234">
        <f t="shared" si="68"/>
        <v>568</v>
      </c>
      <c r="P78" s="233">
        <f t="shared" si="69"/>
        <v>709</v>
      </c>
      <c r="Q78" s="235">
        <f t="shared" si="69"/>
        <v>313</v>
      </c>
      <c r="R78" s="234">
        <f t="shared" si="69"/>
        <v>863</v>
      </c>
      <c r="S78" s="234">
        <f t="shared" si="69"/>
        <v>529</v>
      </c>
      <c r="T78" s="234">
        <f t="shared" si="69"/>
        <v>496</v>
      </c>
      <c r="U78" s="234">
        <f t="shared" si="69"/>
        <v>499</v>
      </c>
      <c r="V78" s="234">
        <f t="shared" si="69"/>
        <v>480</v>
      </c>
      <c r="W78" s="234">
        <f t="shared" si="69"/>
        <v>514</v>
      </c>
      <c r="X78" s="234">
        <f t="shared" si="69"/>
        <v>163</v>
      </c>
      <c r="Y78" s="234">
        <f t="shared" si="69"/>
        <v>601</v>
      </c>
      <c r="Z78" s="234">
        <f t="shared" si="69"/>
        <v>515</v>
      </c>
      <c r="AA78" s="234">
        <f t="shared" si="69"/>
        <v>550</v>
      </c>
      <c r="AB78" s="233">
        <f t="shared" si="69"/>
        <v>834</v>
      </c>
      <c r="AC78" s="235">
        <f t="shared" si="69"/>
        <v>186</v>
      </c>
      <c r="AD78" s="234">
        <f t="shared" si="69"/>
        <v>478</v>
      </c>
      <c r="AE78" s="234">
        <f t="shared" si="69"/>
        <v>599</v>
      </c>
      <c r="AF78" s="234">
        <f t="shared" si="69"/>
        <v>768</v>
      </c>
      <c r="AG78" s="234">
        <f t="shared" si="69"/>
        <v>793</v>
      </c>
      <c r="AH78" s="234">
        <f t="shared" si="69"/>
        <v>421</v>
      </c>
      <c r="AI78" s="234">
        <f t="shared" si="69"/>
        <v>34</v>
      </c>
      <c r="AJ78" s="234">
        <f t="shared" si="69"/>
        <v>581</v>
      </c>
      <c r="AK78" s="234">
        <f t="shared" si="69"/>
        <v>428.5</v>
      </c>
      <c r="AL78" s="234">
        <f t="shared" si="69"/>
        <v>614</v>
      </c>
      <c r="AM78" s="234">
        <f t="shared" si="69"/>
        <v>673</v>
      </c>
      <c r="AN78" s="234">
        <f t="shared" si="69"/>
        <v>514</v>
      </c>
      <c r="AO78" s="235">
        <f t="shared" si="69"/>
        <v>568</v>
      </c>
      <c r="AP78" s="234">
        <f t="shared" si="69"/>
        <v>695</v>
      </c>
      <c r="AQ78" s="234">
        <f t="shared" si="69"/>
        <v>468</v>
      </c>
      <c r="AR78" s="234">
        <f t="shared" si="69"/>
        <v>453</v>
      </c>
      <c r="AS78" s="234">
        <f t="shared" si="69"/>
        <v>578</v>
      </c>
      <c r="AT78" s="234">
        <f t="shared" si="69"/>
        <v>394</v>
      </c>
      <c r="AU78" s="234">
        <f t="shared" si="69"/>
        <v>923</v>
      </c>
      <c r="AV78" s="234">
        <f t="shared" si="69"/>
        <v>667</v>
      </c>
      <c r="AW78" s="234">
        <f t="shared" si="69"/>
        <v>803</v>
      </c>
      <c r="AX78" s="234">
        <f t="shared" si="69"/>
        <v>857</v>
      </c>
      <c r="AY78" s="234">
        <f t="shared" si="69"/>
        <v>606</v>
      </c>
      <c r="AZ78" s="234">
        <f t="shared" si="69"/>
        <v>661</v>
      </c>
      <c r="BA78" s="235">
        <f t="shared" si="69"/>
        <v>840</v>
      </c>
      <c r="BB78" s="234">
        <f t="shared" si="69"/>
        <v>724</v>
      </c>
      <c r="BC78" s="234">
        <f t="shared" si="69"/>
        <v>803</v>
      </c>
      <c r="BD78" s="234">
        <f t="shared" si="69"/>
        <v>772</v>
      </c>
      <c r="BE78" s="234">
        <f t="shared" si="69"/>
        <v>748</v>
      </c>
      <c r="BF78" s="234">
        <f t="shared" si="69"/>
        <v>933</v>
      </c>
      <c r="BG78" s="234">
        <f t="shared" si="69"/>
        <v>887</v>
      </c>
      <c r="BH78" s="234">
        <f t="shared" si="69"/>
        <v>526</v>
      </c>
      <c r="BI78" s="234">
        <f t="shared" si="69"/>
        <v>993</v>
      </c>
      <c r="BJ78" s="234">
        <f t="shared" si="69"/>
        <v>856</v>
      </c>
      <c r="BK78" s="234">
        <f t="shared" si="69"/>
        <v>1055</v>
      </c>
      <c r="BL78" s="234">
        <f t="shared" si="69"/>
        <v>875</v>
      </c>
      <c r="BM78" s="234">
        <f t="shared" si="69"/>
        <v>650</v>
      </c>
      <c r="BN78" s="234">
        <f t="shared" si="69"/>
        <v>419</v>
      </c>
      <c r="BO78" s="234">
        <f t="shared" si="69"/>
        <v>865</v>
      </c>
      <c r="BP78" s="234">
        <f t="shared" si="69"/>
        <v>832</v>
      </c>
      <c r="BQ78" s="234">
        <f t="shared" si="69"/>
        <v>820</v>
      </c>
      <c r="BR78" s="234">
        <f t="shared" si="69"/>
        <v>710</v>
      </c>
      <c r="BS78" s="234">
        <f t="shared" si="69"/>
        <v>615</v>
      </c>
      <c r="BT78" s="234">
        <f t="shared" si="69"/>
        <v>1010</v>
      </c>
      <c r="BU78" s="234">
        <f t="shared" si="69"/>
        <v>850.9889300000001</v>
      </c>
      <c r="BV78" s="234">
        <f t="shared" si="69"/>
        <v>1029.10653</v>
      </c>
      <c r="BW78" s="234">
        <f t="shared" si="69"/>
        <v>961.93380000000002</v>
      </c>
      <c r="BX78" s="234">
        <f t="shared" si="69"/>
        <v>907.57021113000008</v>
      </c>
      <c r="BY78" s="234">
        <f t="shared" si="69"/>
        <v>632.89198462900004</v>
      </c>
      <c r="BZ78" s="234">
        <f t="shared" si="69"/>
        <v>841.13463213000011</v>
      </c>
      <c r="CA78" s="234">
        <f t="shared" si="69"/>
        <v>875.47824787100001</v>
      </c>
      <c r="CB78" s="234">
        <f t="shared" si="70"/>
        <v>763.19363907400009</v>
      </c>
      <c r="CC78" s="234">
        <f t="shared" si="70"/>
        <v>735.78991715000006</v>
      </c>
      <c r="CD78" s="234">
        <f t="shared" si="70"/>
        <v>923.12362662999999</v>
      </c>
      <c r="CE78" s="234">
        <f t="shared" si="70"/>
        <v>475.36765830000002</v>
      </c>
      <c r="CF78" s="234">
        <f t="shared" si="70"/>
        <v>964.48678373999996</v>
      </c>
      <c r="CG78" s="234">
        <f t="shared" si="70"/>
        <v>1052.63653</v>
      </c>
      <c r="CH78" s="234">
        <f t="shared" si="70"/>
        <v>633.21644599399997</v>
      </c>
      <c r="CI78" s="234">
        <f t="shared" si="70"/>
        <v>795.86126936000005</v>
      </c>
      <c r="CJ78" s="234">
        <f t="shared" si="70"/>
        <v>973.71499748000008</v>
      </c>
      <c r="CK78" s="234">
        <f t="shared" si="70"/>
        <v>820.11371428299992</v>
      </c>
      <c r="CL78" s="234">
        <f t="shared" si="70"/>
        <v>905.96619887999998</v>
      </c>
      <c r="CM78" s="234">
        <f t="shared" si="70"/>
        <v>1025.478705132</v>
      </c>
      <c r="CN78" s="234">
        <f t="shared" ref="CN78" si="75">CN6+CN60+CN69+CN15+CN51+CN24+CN33+CN42</f>
        <v>610.114602236</v>
      </c>
      <c r="CO78" s="234">
        <f t="shared" si="71"/>
        <v>829.64796956500004</v>
      </c>
      <c r="CP78" s="234">
        <f t="shared" si="72"/>
        <v>788.08320167299996</v>
      </c>
      <c r="CQ78" s="234">
        <f t="shared" si="72"/>
        <v>1045.7438451349001</v>
      </c>
      <c r="CR78" s="234">
        <f t="shared" si="72"/>
        <v>716.36662776600008</v>
      </c>
      <c r="CS78" s="234">
        <f t="shared" si="72"/>
        <v>828.83064937999995</v>
      </c>
      <c r="CT78" s="234">
        <f t="shared" si="72"/>
        <v>1019.1058187179999</v>
      </c>
      <c r="CU78" s="234">
        <f t="shared" ref="CU78" si="76">CU6+CU60+CU69+CU15+CU51+CU24+CU33+CU42</f>
        <v>1113.3441620335002</v>
      </c>
      <c r="CV78" s="234">
        <f t="shared" si="73"/>
        <v>1432.2295350700001</v>
      </c>
      <c r="CW78" s="234">
        <f t="shared" ref="CW78:CX78" si="77">CW6+CW60+CW69+CW15+CW51+CW24+CW33+CW42</f>
        <v>918.23409836150006</v>
      </c>
      <c r="CX78" s="512">
        <f t="shared" si="77"/>
        <v>154.66484274710996</v>
      </c>
    </row>
    <row r="79" spans="2:102" x14ac:dyDescent="0.35">
      <c r="B79" s="796"/>
      <c r="C79" s="57" t="s">
        <v>283</v>
      </c>
      <c r="D79" s="233">
        <f t="shared" si="68"/>
        <v>204</v>
      </c>
      <c r="E79" s="235">
        <f t="shared" si="68"/>
        <v>164</v>
      </c>
      <c r="F79" s="234">
        <f t="shared" si="68"/>
        <v>181</v>
      </c>
      <c r="G79" s="234">
        <f t="shared" si="68"/>
        <v>252</v>
      </c>
      <c r="H79" s="234">
        <f>H7+H61+H70+H17+H52+H25+H34</f>
        <v>24</v>
      </c>
      <c r="I79" s="234">
        <f t="shared" si="68"/>
        <v>61</v>
      </c>
      <c r="J79" s="234">
        <f t="shared" si="68"/>
        <v>315</v>
      </c>
      <c r="K79" s="234">
        <f t="shared" si="68"/>
        <v>87</v>
      </c>
      <c r="L79" s="234">
        <f t="shared" si="68"/>
        <v>553</v>
      </c>
      <c r="M79" s="234">
        <f t="shared" si="68"/>
        <v>188</v>
      </c>
      <c r="N79" s="234">
        <f t="shared" si="68"/>
        <v>148</v>
      </c>
      <c r="O79" s="234">
        <f t="shared" si="68"/>
        <v>298</v>
      </c>
      <c r="P79" s="233">
        <f t="shared" si="69"/>
        <v>130</v>
      </c>
      <c r="Q79" s="235">
        <f t="shared" si="69"/>
        <v>496</v>
      </c>
      <c r="R79" s="234">
        <f t="shared" si="69"/>
        <v>248</v>
      </c>
      <c r="S79" s="234">
        <f t="shared" si="69"/>
        <v>328</v>
      </c>
      <c r="T79" s="234">
        <f t="shared" si="69"/>
        <v>200</v>
      </c>
      <c r="U79" s="234">
        <f t="shared" si="69"/>
        <v>23</v>
      </c>
      <c r="V79" s="234">
        <f t="shared" si="69"/>
        <v>253</v>
      </c>
      <c r="W79" s="234">
        <f t="shared" si="69"/>
        <v>116</v>
      </c>
      <c r="X79" s="234">
        <f t="shared" si="69"/>
        <v>385</v>
      </c>
      <c r="Y79" s="234">
        <f t="shared" si="69"/>
        <v>111</v>
      </c>
      <c r="Z79" s="234">
        <f t="shared" si="69"/>
        <v>154</v>
      </c>
      <c r="AA79" s="234">
        <f t="shared" si="69"/>
        <v>327</v>
      </c>
      <c r="AB79" s="233">
        <f t="shared" si="69"/>
        <v>100</v>
      </c>
      <c r="AC79" s="235">
        <f t="shared" si="69"/>
        <v>712</v>
      </c>
      <c r="AD79" s="234">
        <f t="shared" si="69"/>
        <v>265</v>
      </c>
      <c r="AE79" s="234">
        <f t="shared" si="69"/>
        <v>230</v>
      </c>
      <c r="AF79" s="234">
        <f t="shared" si="69"/>
        <v>239</v>
      </c>
      <c r="AG79" s="234">
        <f t="shared" si="69"/>
        <v>240</v>
      </c>
      <c r="AH79" s="234">
        <f t="shared" si="69"/>
        <v>162</v>
      </c>
      <c r="AI79" s="234">
        <f t="shared" si="69"/>
        <v>687</v>
      </c>
      <c r="AJ79" s="234">
        <f t="shared" si="69"/>
        <v>19</v>
      </c>
      <c r="AK79" s="234">
        <f t="shared" si="69"/>
        <v>274</v>
      </c>
      <c r="AL79" s="234">
        <f t="shared" si="69"/>
        <v>63</v>
      </c>
      <c r="AM79" s="234">
        <f t="shared" si="69"/>
        <v>283</v>
      </c>
      <c r="AN79" s="234">
        <f t="shared" si="69"/>
        <v>133</v>
      </c>
      <c r="AO79" s="235">
        <f t="shared" si="69"/>
        <v>260</v>
      </c>
      <c r="AP79" s="234">
        <f t="shared" si="69"/>
        <v>265</v>
      </c>
      <c r="AQ79" s="234">
        <f t="shared" si="69"/>
        <v>144</v>
      </c>
      <c r="AR79" s="234">
        <f t="shared" si="69"/>
        <v>215</v>
      </c>
      <c r="AS79" s="234">
        <f t="shared" si="69"/>
        <v>257</v>
      </c>
      <c r="AT79" s="234">
        <f t="shared" si="69"/>
        <v>238</v>
      </c>
      <c r="AU79" s="234">
        <f t="shared" si="69"/>
        <v>164</v>
      </c>
      <c r="AV79" s="234">
        <f t="shared" si="69"/>
        <v>588</v>
      </c>
      <c r="AW79" s="234">
        <f t="shared" si="69"/>
        <v>279</v>
      </c>
      <c r="AX79" s="234">
        <f t="shared" si="69"/>
        <v>397</v>
      </c>
      <c r="AY79" s="234">
        <f t="shared" si="69"/>
        <v>364</v>
      </c>
      <c r="AZ79" s="234">
        <f t="shared" si="69"/>
        <v>365</v>
      </c>
      <c r="BA79" s="235">
        <f t="shared" si="69"/>
        <v>306</v>
      </c>
      <c r="BB79" s="234">
        <f t="shared" si="69"/>
        <v>271</v>
      </c>
      <c r="BC79" s="234">
        <f t="shared" si="69"/>
        <v>217</v>
      </c>
      <c r="BD79" s="234">
        <f t="shared" si="69"/>
        <v>452</v>
      </c>
      <c r="BE79" s="234">
        <f t="shared" si="69"/>
        <v>274</v>
      </c>
      <c r="BF79" s="234">
        <f t="shared" si="69"/>
        <v>343</v>
      </c>
      <c r="BG79" s="234">
        <f t="shared" si="69"/>
        <v>395</v>
      </c>
      <c r="BH79" s="234">
        <f t="shared" si="69"/>
        <v>360</v>
      </c>
      <c r="BI79" s="234">
        <f t="shared" si="69"/>
        <v>278</v>
      </c>
      <c r="BJ79" s="234">
        <f t="shared" si="69"/>
        <v>469</v>
      </c>
      <c r="BK79" s="234">
        <f t="shared" si="69"/>
        <v>353</v>
      </c>
      <c r="BL79" s="234">
        <f t="shared" si="69"/>
        <v>317</v>
      </c>
      <c r="BM79" s="234">
        <f t="shared" si="69"/>
        <v>330</v>
      </c>
      <c r="BN79" s="234">
        <f t="shared" si="69"/>
        <v>231</v>
      </c>
      <c r="BO79" s="234">
        <f t="shared" si="69"/>
        <v>216</v>
      </c>
      <c r="BP79" s="234">
        <f t="shared" si="69"/>
        <v>365</v>
      </c>
      <c r="BQ79" s="234">
        <f t="shared" si="69"/>
        <v>315</v>
      </c>
      <c r="BR79" s="234">
        <f t="shared" si="69"/>
        <v>331</v>
      </c>
      <c r="BS79" s="234">
        <f t="shared" si="69"/>
        <v>178</v>
      </c>
      <c r="BT79" s="234">
        <f t="shared" si="69"/>
        <v>361</v>
      </c>
      <c r="BU79" s="234">
        <f t="shared" si="69"/>
        <v>555</v>
      </c>
      <c r="BV79" s="234">
        <f t="shared" si="69"/>
        <v>201.11088000000001</v>
      </c>
      <c r="BW79" s="234">
        <f t="shared" si="69"/>
        <v>326.25800000000004</v>
      </c>
      <c r="BX79" s="234">
        <f t="shared" si="69"/>
        <v>317.11465114499998</v>
      </c>
      <c r="BY79" s="234">
        <f t="shared" si="69"/>
        <v>177.72101409999999</v>
      </c>
      <c r="BZ79" s="234">
        <f t="shared" si="69"/>
        <v>189.08756447000002</v>
      </c>
      <c r="CA79" s="234">
        <f t="shared" si="69"/>
        <v>229.55691984000001</v>
      </c>
      <c r="CB79" s="234">
        <f t="shared" si="70"/>
        <v>425.60234278000001</v>
      </c>
      <c r="CC79" s="234">
        <f t="shared" si="70"/>
        <v>359.13829529000003</v>
      </c>
      <c r="CD79" s="234">
        <f t="shared" si="70"/>
        <v>390.51380219999999</v>
      </c>
      <c r="CE79" s="234">
        <f t="shared" si="70"/>
        <v>341.6129353</v>
      </c>
      <c r="CF79" s="234">
        <f t="shared" si="70"/>
        <v>232.65574408000001</v>
      </c>
      <c r="CG79" s="234">
        <f t="shared" si="70"/>
        <v>449.30083000000002</v>
      </c>
      <c r="CH79" s="234">
        <f t="shared" si="70"/>
        <v>443.55486124999993</v>
      </c>
      <c r="CI79" s="234">
        <f t="shared" si="70"/>
        <v>308.03029523999999</v>
      </c>
      <c r="CJ79" s="234">
        <f t="shared" si="70"/>
        <v>134.14229309999999</v>
      </c>
      <c r="CK79" s="234">
        <f t="shared" si="70"/>
        <v>451.07278767499997</v>
      </c>
      <c r="CL79" s="234">
        <f t="shared" si="70"/>
        <v>415.57464889999994</v>
      </c>
      <c r="CM79" s="234">
        <f t="shared" si="70"/>
        <v>241.77792973000001</v>
      </c>
      <c r="CN79" s="234">
        <f t="shared" ref="CN79" si="78">CN7+CN61+CN70+CN16+CN52+CN25+CN34+CN43</f>
        <v>461.726413401</v>
      </c>
      <c r="CO79" s="234">
        <f t="shared" si="71"/>
        <v>372.21714550999991</v>
      </c>
      <c r="CP79" s="234">
        <f t="shared" si="72"/>
        <v>502.20077355899997</v>
      </c>
      <c r="CQ79" s="234">
        <f t="shared" si="72"/>
        <v>388.55684120000006</v>
      </c>
      <c r="CR79" s="234">
        <f t="shared" si="72"/>
        <v>344.61555632</v>
      </c>
      <c r="CS79" s="234">
        <f t="shared" si="72"/>
        <v>262.88237836999997</v>
      </c>
      <c r="CT79" s="234">
        <f t="shared" si="72"/>
        <v>299.26678484999996</v>
      </c>
      <c r="CU79" s="234">
        <f t="shared" ref="CU79" si="79">CU7+CU61+CU70+CU16+CU52+CU25+CU34+CU43</f>
        <v>375.58979401899995</v>
      </c>
      <c r="CV79" s="234">
        <f t="shared" si="73"/>
        <v>257.06415676100005</v>
      </c>
      <c r="CW79" s="234">
        <f t="shared" ref="CW79:CX79" si="80">CW7+CW61+CW70+CW16+CW52+CW25+CW34+CW43</f>
        <v>316.83093403497008</v>
      </c>
      <c r="CX79" s="512">
        <f t="shared" si="80"/>
        <v>382.00429502099996</v>
      </c>
    </row>
    <row r="80" spans="2:102" x14ac:dyDescent="0.35">
      <c r="B80" s="796"/>
      <c r="C80" s="57" t="s">
        <v>284</v>
      </c>
      <c r="D80" s="233">
        <f t="shared" si="68"/>
        <v>135</v>
      </c>
      <c r="E80" s="235">
        <f t="shared" si="68"/>
        <v>114</v>
      </c>
      <c r="F80" s="234">
        <f t="shared" si="68"/>
        <v>72</v>
      </c>
      <c r="G80" s="234">
        <f t="shared" si="68"/>
        <v>155</v>
      </c>
      <c r="H80" s="234">
        <f>H8+H62+H71+H17+H53+H26+H35</f>
        <v>105</v>
      </c>
      <c r="I80" s="234">
        <f t="shared" si="68"/>
        <v>211</v>
      </c>
      <c r="J80" s="234">
        <f t="shared" si="68"/>
        <v>30.461660000000002</v>
      </c>
      <c r="K80" s="234">
        <f t="shared" si="68"/>
        <v>129</v>
      </c>
      <c r="L80" s="234">
        <f t="shared" si="68"/>
        <v>274</v>
      </c>
      <c r="M80" s="234">
        <f t="shared" si="68"/>
        <v>357</v>
      </c>
      <c r="N80" s="234">
        <f t="shared" si="68"/>
        <v>207</v>
      </c>
      <c r="O80" s="234">
        <f t="shared" si="68"/>
        <v>135</v>
      </c>
      <c r="P80" s="233">
        <f t="shared" si="69"/>
        <v>164</v>
      </c>
      <c r="Q80" s="235">
        <f t="shared" si="69"/>
        <v>266</v>
      </c>
      <c r="R80" s="234">
        <f t="shared" si="69"/>
        <v>198</v>
      </c>
      <c r="S80" s="234">
        <f t="shared" si="69"/>
        <v>95</v>
      </c>
      <c r="T80" s="234">
        <f t="shared" si="69"/>
        <v>141</v>
      </c>
      <c r="U80" s="234">
        <f t="shared" si="69"/>
        <v>282</v>
      </c>
      <c r="V80" s="234">
        <f t="shared" si="69"/>
        <v>39</v>
      </c>
      <c r="W80" s="234">
        <f t="shared" si="69"/>
        <v>175</v>
      </c>
      <c r="X80" s="234">
        <f t="shared" si="69"/>
        <v>252</v>
      </c>
      <c r="Y80" s="234">
        <f t="shared" si="69"/>
        <v>240</v>
      </c>
      <c r="Z80" s="234">
        <f t="shared" si="69"/>
        <v>138</v>
      </c>
      <c r="AA80" s="234">
        <f t="shared" si="69"/>
        <v>132</v>
      </c>
      <c r="AB80" s="233">
        <f t="shared" si="69"/>
        <v>192</v>
      </c>
      <c r="AC80" s="235">
        <f t="shared" si="69"/>
        <v>347</v>
      </c>
      <c r="AD80" s="234">
        <f>AD8+AD62+AD71+AD17+AD53+AD26+AD36+AD44</f>
        <v>95</v>
      </c>
      <c r="AE80" s="234">
        <f t="shared" si="69"/>
        <v>15</v>
      </c>
      <c r="AF80" s="234">
        <f t="shared" si="69"/>
        <v>58</v>
      </c>
      <c r="AG80" s="234">
        <f t="shared" si="69"/>
        <v>393</v>
      </c>
      <c r="AH80" s="234">
        <f t="shared" si="69"/>
        <v>164</v>
      </c>
      <c r="AI80" s="234">
        <f t="shared" si="69"/>
        <v>264</v>
      </c>
      <c r="AJ80" s="234">
        <f t="shared" si="69"/>
        <v>301</v>
      </c>
      <c r="AK80" s="234">
        <f t="shared" si="69"/>
        <v>149</v>
      </c>
      <c r="AL80" s="234">
        <f t="shared" si="69"/>
        <v>56</v>
      </c>
      <c r="AM80" s="234">
        <f t="shared" si="69"/>
        <v>47</v>
      </c>
      <c r="AN80" s="234">
        <f t="shared" si="69"/>
        <v>62</v>
      </c>
      <c r="AO80" s="235">
        <f t="shared" si="69"/>
        <v>71</v>
      </c>
      <c r="AP80" s="234">
        <f t="shared" si="69"/>
        <v>39</v>
      </c>
      <c r="AQ80" s="234">
        <f t="shared" si="69"/>
        <v>53</v>
      </c>
      <c r="AR80" s="234">
        <f t="shared" si="69"/>
        <v>36</v>
      </c>
      <c r="AS80" s="234">
        <f t="shared" si="69"/>
        <v>44</v>
      </c>
      <c r="AT80" s="234">
        <f t="shared" si="69"/>
        <v>106</v>
      </c>
      <c r="AU80" s="234">
        <f t="shared" si="69"/>
        <v>29</v>
      </c>
      <c r="AV80" s="234">
        <f t="shared" si="69"/>
        <v>79</v>
      </c>
      <c r="AW80" s="234">
        <f t="shared" si="69"/>
        <v>121</v>
      </c>
      <c r="AX80" s="234">
        <f t="shared" si="69"/>
        <v>54</v>
      </c>
      <c r="AY80" s="234">
        <f t="shared" si="69"/>
        <v>163</v>
      </c>
      <c r="AZ80" s="234">
        <f t="shared" si="69"/>
        <v>180</v>
      </c>
      <c r="BA80" s="235">
        <f t="shared" si="69"/>
        <v>145</v>
      </c>
      <c r="BB80" s="234">
        <f t="shared" si="69"/>
        <v>165</v>
      </c>
      <c r="BC80" s="234">
        <f t="shared" si="69"/>
        <v>141</v>
      </c>
      <c r="BD80" s="234">
        <f t="shared" si="69"/>
        <v>99</v>
      </c>
      <c r="BE80" s="234">
        <f t="shared" si="69"/>
        <v>162</v>
      </c>
      <c r="BF80" s="234">
        <f t="shared" si="69"/>
        <v>130</v>
      </c>
      <c r="BG80" s="234">
        <f t="shared" si="69"/>
        <v>250</v>
      </c>
      <c r="BH80" s="234">
        <f t="shared" si="69"/>
        <v>80</v>
      </c>
      <c r="BI80" s="234">
        <f t="shared" si="69"/>
        <v>80</v>
      </c>
      <c r="BJ80" s="234">
        <f t="shared" si="69"/>
        <v>136</v>
      </c>
      <c r="BK80" s="234">
        <f t="shared" si="69"/>
        <v>54</v>
      </c>
      <c r="BL80" s="234">
        <f t="shared" si="69"/>
        <v>77</v>
      </c>
      <c r="BM80" s="234">
        <f t="shared" si="69"/>
        <v>35</v>
      </c>
      <c r="BN80" s="234">
        <f t="shared" si="69"/>
        <v>138</v>
      </c>
      <c r="BO80" s="234">
        <f t="shared" si="69"/>
        <v>138</v>
      </c>
      <c r="BP80" s="234">
        <f t="shared" si="69"/>
        <v>104</v>
      </c>
      <c r="BQ80" s="234">
        <f t="shared" si="69"/>
        <v>61</v>
      </c>
      <c r="BR80" s="234">
        <f t="shared" si="69"/>
        <v>96</v>
      </c>
      <c r="BS80" s="234">
        <f t="shared" si="69"/>
        <v>70</v>
      </c>
      <c r="BT80" s="234">
        <f t="shared" si="69"/>
        <v>12</v>
      </c>
      <c r="BU80" s="234">
        <f t="shared" si="69"/>
        <v>195.59521000000001</v>
      </c>
      <c r="BV80" s="234">
        <f t="shared" si="69"/>
        <v>210.07344000000001</v>
      </c>
      <c r="BW80" s="234">
        <f t="shared" si="69"/>
        <v>69.3</v>
      </c>
      <c r="BX80" s="234">
        <f t="shared" si="69"/>
        <v>103.59297507653999</v>
      </c>
      <c r="BY80" s="234">
        <f t="shared" si="69"/>
        <v>60.395978193600001</v>
      </c>
      <c r="BZ80" s="234">
        <f t="shared" si="69"/>
        <v>36.778305213999992</v>
      </c>
      <c r="CA80" s="234">
        <f t="shared" si="69"/>
        <v>107.60784066000001</v>
      </c>
      <c r="CB80" s="234">
        <f t="shared" si="70"/>
        <v>70.561119993999995</v>
      </c>
      <c r="CC80" s="234">
        <f t="shared" si="70"/>
        <v>58.168110045000006</v>
      </c>
      <c r="CD80" s="234">
        <f t="shared" si="70"/>
        <v>123.53254994199999</v>
      </c>
      <c r="CE80" s="234">
        <f t="shared" si="70"/>
        <v>98.067499999999995</v>
      </c>
      <c r="CF80" s="234">
        <f t="shared" si="70"/>
        <v>98.892575832999995</v>
      </c>
      <c r="CG80" s="234">
        <f t="shared" si="70"/>
        <v>61.772010000000002</v>
      </c>
      <c r="CH80" s="234">
        <f t="shared" si="70"/>
        <v>55.841330772000013</v>
      </c>
      <c r="CI80" s="234">
        <f t="shared" si="70"/>
        <v>307.79439539899994</v>
      </c>
      <c r="CJ80" s="234">
        <f t="shared" si="70"/>
        <v>123.801832386</v>
      </c>
      <c r="CK80" s="234">
        <f t="shared" si="70"/>
        <v>36.304553125000005</v>
      </c>
      <c r="CL80" s="234">
        <f t="shared" si="70"/>
        <v>68.103264684999999</v>
      </c>
      <c r="CM80" s="234">
        <f t="shared" si="70"/>
        <v>184.842362573</v>
      </c>
      <c r="CN80" s="234">
        <f t="shared" ref="CN80" si="81">CN8+CN62+CN71+CN17+CN53+CN26+CN35+CN44</f>
        <v>94.962753184999997</v>
      </c>
      <c r="CO80" s="234">
        <f t="shared" si="71"/>
        <v>99.615665442999997</v>
      </c>
      <c r="CP80" s="234">
        <f t="shared" si="72"/>
        <v>116.16331608739999</v>
      </c>
      <c r="CQ80" s="234">
        <f t="shared" si="72"/>
        <v>181.02296330000001</v>
      </c>
      <c r="CR80" s="234">
        <f t="shared" si="72"/>
        <v>110.9734517</v>
      </c>
      <c r="CS80" s="234">
        <f t="shared" si="72"/>
        <v>121.835398885</v>
      </c>
      <c r="CT80" s="234">
        <f t="shared" si="72"/>
        <v>84.903868391000003</v>
      </c>
      <c r="CU80" s="234">
        <f t="shared" ref="CU80" si="82">CU8+CU62+CU71+CU17+CU53+CU26+CU35+CU44</f>
        <v>72.488301167999992</v>
      </c>
      <c r="CV80" s="234">
        <f t="shared" si="73"/>
        <v>164.64617787</v>
      </c>
      <c r="CW80" s="234">
        <f t="shared" ref="CW80:CX80" si="83">CW8+CW62+CW71+CW17+CW53+CW26+CW35+CW44</f>
        <v>151.39074851840004</v>
      </c>
      <c r="CX80" s="512">
        <f t="shared" si="83"/>
        <v>181.32766521640002</v>
      </c>
    </row>
    <row r="81" spans="2:103" x14ac:dyDescent="0.35">
      <c r="B81" s="796"/>
      <c r="C81" s="57" t="s">
        <v>285</v>
      </c>
      <c r="D81" s="233">
        <f t="shared" si="68"/>
        <v>148</v>
      </c>
      <c r="E81" s="235">
        <f t="shared" si="68"/>
        <v>181</v>
      </c>
      <c r="F81" s="234">
        <f t="shared" si="68"/>
        <v>194</v>
      </c>
      <c r="G81" s="234">
        <f t="shared" si="68"/>
        <v>259</v>
      </c>
      <c r="H81" s="234">
        <f>H9+H63+H72+H18+H54+H27+H36</f>
        <v>156</v>
      </c>
      <c r="I81" s="234">
        <f t="shared" si="68"/>
        <v>222</v>
      </c>
      <c r="J81" s="234">
        <f t="shared" si="68"/>
        <v>262</v>
      </c>
      <c r="K81" s="234">
        <f t="shared" si="68"/>
        <v>376</v>
      </c>
      <c r="L81" s="234">
        <f t="shared" si="68"/>
        <v>445</v>
      </c>
      <c r="M81" s="234">
        <f t="shared" si="68"/>
        <v>503</v>
      </c>
      <c r="N81" s="234">
        <f t="shared" si="68"/>
        <v>553</v>
      </c>
      <c r="O81" s="234">
        <f t="shared" si="68"/>
        <v>580</v>
      </c>
      <c r="P81" s="233">
        <f t="shared" ref="P81:AC82" si="84">P9+P63+P72+P18+P54+P27+P36+P45</f>
        <v>677</v>
      </c>
      <c r="Q81" s="235">
        <f t="shared" si="84"/>
        <v>338</v>
      </c>
      <c r="R81" s="234">
        <f t="shared" si="84"/>
        <v>251</v>
      </c>
      <c r="S81" s="234">
        <f t="shared" si="84"/>
        <v>252</v>
      </c>
      <c r="T81" s="234">
        <f t="shared" si="84"/>
        <v>190</v>
      </c>
      <c r="U81" s="234">
        <f t="shared" si="84"/>
        <v>189</v>
      </c>
      <c r="V81" s="234">
        <f t="shared" si="84"/>
        <v>302</v>
      </c>
      <c r="W81" s="234">
        <f t="shared" si="84"/>
        <v>275</v>
      </c>
      <c r="X81" s="234">
        <f t="shared" si="84"/>
        <v>314</v>
      </c>
      <c r="Y81" s="234">
        <f t="shared" si="84"/>
        <v>347</v>
      </c>
      <c r="Z81" s="234">
        <f t="shared" si="84"/>
        <v>214</v>
      </c>
      <c r="AA81" s="234">
        <f t="shared" si="84"/>
        <v>177</v>
      </c>
      <c r="AB81" s="233">
        <f t="shared" si="84"/>
        <v>240</v>
      </c>
      <c r="AC81" s="235">
        <f t="shared" si="84"/>
        <v>218</v>
      </c>
      <c r="AD81" s="234">
        <f>AD9+AD63+AD72+AD18+AD54+AD27+AD36+AD45</f>
        <v>127</v>
      </c>
      <c r="AE81" s="234">
        <f t="shared" ref="AE81:CH82" si="85">AE9+AE63+AE72+AE18+AE54+AE27+AE36+AE45</f>
        <v>201</v>
      </c>
      <c r="AF81" s="234">
        <f t="shared" si="85"/>
        <v>100</v>
      </c>
      <c r="AG81" s="234">
        <f t="shared" si="85"/>
        <v>87</v>
      </c>
      <c r="AH81" s="234">
        <f t="shared" si="85"/>
        <v>135</v>
      </c>
      <c r="AI81" s="234">
        <f t="shared" si="85"/>
        <v>128</v>
      </c>
      <c r="AJ81" s="234">
        <f t="shared" si="85"/>
        <v>342</v>
      </c>
      <c r="AK81" s="234">
        <f t="shared" si="85"/>
        <v>190</v>
      </c>
      <c r="AL81" s="234">
        <f t="shared" si="85"/>
        <v>123</v>
      </c>
      <c r="AM81" s="234">
        <f t="shared" si="85"/>
        <v>82</v>
      </c>
      <c r="AN81" s="234">
        <f t="shared" si="85"/>
        <v>30</v>
      </c>
      <c r="AO81" s="235">
        <f t="shared" si="85"/>
        <v>52</v>
      </c>
      <c r="AP81" s="234">
        <f t="shared" si="85"/>
        <v>52</v>
      </c>
      <c r="AQ81" s="234">
        <f t="shared" si="85"/>
        <v>53</v>
      </c>
      <c r="AR81" s="234">
        <f t="shared" si="85"/>
        <v>48</v>
      </c>
      <c r="AS81" s="234">
        <f t="shared" si="85"/>
        <v>35</v>
      </c>
      <c r="AT81" s="234">
        <f t="shared" si="85"/>
        <v>11</v>
      </c>
      <c r="AU81" s="234">
        <f t="shared" si="85"/>
        <v>25</v>
      </c>
      <c r="AV81" s="234">
        <f t="shared" si="85"/>
        <v>-3</v>
      </c>
      <c r="AW81" s="234">
        <f t="shared" si="85"/>
        <v>44</v>
      </c>
      <c r="AX81" s="234">
        <f t="shared" si="85"/>
        <v>105</v>
      </c>
      <c r="AY81" s="234">
        <f t="shared" si="85"/>
        <v>37</v>
      </c>
      <c r="AZ81" s="234">
        <f t="shared" si="85"/>
        <v>32</v>
      </c>
      <c r="BA81" s="235">
        <f t="shared" si="85"/>
        <v>19</v>
      </c>
      <c r="BB81" s="234">
        <f t="shared" si="85"/>
        <v>59</v>
      </c>
      <c r="BC81" s="234">
        <f t="shared" si="85"/>
        <v>35</v>
      </c>
      <c r="BD81" s="234">
        <f t="shared" si="85"/>
        <v>84</v>
      </c>
      <c r="BE81" s="234">
        <f t="shared" si="85"/>
        <v>57</v>
      </c>
      <c r="BF81" s="234">
        <f t="shared" si="85"/>
        <v>101</v>
      </c>
      <c r="BG81" s="234">
        <f t="shared" si="85"/>
        <v>81</v>
      </c>
      <c r="BH81" s="234">
        <f t="shared" si="85"/>
        <v>45</v>
      </c>
      <c r="BI81" s="234">
        <f t="shared" si="85"/>
        <v>108</v>
      </c>
      <c r="BJ81" s="234">
        <f t="shared" si="85"/>
        <v>159</v>
      </c>
      <c r="BK81" s="234">
        <f t="shared" si="85"/>
        <v>-13</v>
      </c>
      <c r="BL81" s="234">
        <f t="shared" si="85"/>
        <v>28</v>
      </c>
      <c r="BM81" s="234">
        <f t="shared" si="85"/>
        <v>81</v>
      </c>
      <c r="BN81" s="234">
        <f t="shared" si="85"/>
        <v>38</v>
      </c>
      <c r="BO81" s="234">
        <f t="shared" si="85"/>
        <v>138</v>
      </c>
      <c r="BP81" s="234">
        <f t="shared" si="85"/>
        <v>130</v>
      </c>
      <c r="BQ81" s="234">
        <f t="shared" si="85"/>
        <v>17</v>
      </c>
      <c r="BR81" s="234">
        <f t="shared" si="85"/>
        <v>59</v>
      </c>
      <c r="BS81" s="234">
        <f t="shared" si="85"/>
        <v>21</v>
      </c>
      <c r="BT81" s="234">
        <f t="shared" si="85"/>
        <v>-5</v>
      </c>
      <c r="BU81" s="234">
        <f t="shared" si="85"/>
        <v>-2.796990000000001</v>
      </c>
      <c r="BV81" s="234">
        <f t="shared" si="85"/>
        <v>98.878640000000004</v>
      </c>
      <c r="BW81" s="234">
        <f t="shared" si="85"/>
        <v>92.8</v>
      </c>
      <c r="BX81" s="234">
        <f t="shared" si="85"/>
        <v>80.578003899999999</v>
      </c>
      <c r="BY81" s="234">
        <f t="shared" si="85"/>
        <v>57.291847300000001</v>
      </c>
      <c r="BZ81" s="234">
        <f t="shared" si="85"/>
        <v>28.020911890000001</v>
      </c>
      <c r="CA81" s="234">
        <f t="shared" si="85"/>
        <v>39.211290829999996</v>
      </c>
      <c r="CB81" s="234">
        <f t="shared" si="85"/>
        <v>49.861291577999999</v>
      </c>
      <c r="CC81" s="234">
        <f t="shared" si="85"/>
        <v>48.836069189</v>
      </c>
      <c r="CD81" s="234">
        <f t="shared" si="85"/>
        <v>65.376453380000001</v>
      </c>
      <c r="CE81" s="234">
        <f t="shared" si="85"/>
        <v>134.18960269999999</v>
      </c>
      <c r="CF81" s="234">
        <f t="shared" si="85"/>
        <v>168.65027539599998</v>
      </c>
      <c r="CG81" s="234">
        <f t="shared" si="85"/>
        <v>91.581190000000007</v>
      </c>
      <c r="CH81" s="234">
        <f t="shared" si="85"/>
        <v>94.058215936000011</v>
      </c>
      <c r="CI81" s="234">
        <f t="shared" si="70"/>
        <v>97.933801133800003</v>
      </c>
      <c r="CJ81" s="234">
        <f t="shared" si="70"/>
        <v>343.35214645734061</v>
      </c>
      <c r="CK81" s="234">
        <f t="shared" si="70"/>
        <v>424.97824961999999</v>
      </c>
      <c r="CL81" s="234">
        <f t="shared" si="70"/>
        <v>251.49359163399998</v>
      </c>
      <c r="CM81" s="234">
        <f t="shared" si="70"/>
        <v>209.43878926699998</v>
      </c>
      <c r="CN81" s="234">
        <f t="shared" ref="CN81" si="86">CN9+CN63+CN72+CN18+CN54+CN27+CN36+CN45</f>
        <v>233.17807530100001</v>
      </c>
      <c r="CO81" s="234">
        <f t="shared" si="71"/>
        <v>187.02028763999999</v>
      </c>
      <c r="CP81" s="234">
        <f t="shared" si="72"/>
        <v>156.27669273299998</v>
      </c>
      <c r="CQ81" s="234">
        <f t="shared" si="72"/>
        <v>248.19508337600001</v>
      </c>
      <c r="CR81" s="234">
        <f t="shared" si="72"/>
        <v>227.15422454400004</v>
      </c>
      <c r="CS81" s="234">
        <f t="shared" si="72"/>
        <v>261.70792936000004</v>
      </c>
      <c r="CT81" s="234">
        <f t="shared" si="72"/>
        <v>205.82960823900004</v>
      </c>
      <c r="CU81" s="234">
        <f t="shared" ref="CU81" si="87">CU9+CU63+CU72+CU18+CU54+CU27+CU36+CU45</f>
        <v>227.12480110199999</v>
      </c>
      <c r="CV81" s="234">
        <f t="shared" si="73"/>
        <v>186.51798522399997</v>
      </c>
      <c r="CW81" s="234">
        <f t="shared" ref="CW81:CX81" si="88">CW9+CW63+CW72+CW18+CW54+CW27+CW36+CW45</f>
        <v>219.96081572833998</v>
      </c>
      <c r="CX81" s="512">
        <f t="shared" si="88"/>
        <v>190.94567315605002</v>
      </c>
    </row>
    <row r="82" spans="2:103" x14ac:dyDescent="0.35">
      <c r="B82" s="796"/>
      <c r="C82" s="58" t="s">
        <v>286</v>
      </c>
      <c r="D82" s="236">
        <f t="shared" si="68"/>
        <v>-79</v>
      </c>
      <c r="E82" s="238">
        <f t="shared" si="68"/>
        <v>-101</v>
      </c>
      <c r="F82" s="237">
        <f t="shared" si="68"/>
        <v>-101</v>
      </c>
      <c r="G82" s="237">
        <f t="shared" si="68"/>
        <v>-111</v>
      </c>
      <c r="H82" s="237">
        <f>H10+H64+H73+H19+H55+H28+H37</f>
        <v>-112</v>
      </c>
      <c r="I82" s="237">
        <f t="shared" si="68"/>
        <v>-92</v>
      </c>
      <c r="J82" s="237">
        <f t="shared" si="68"/>
        <v>-154</v>
      </c>
      <c r="K82" s="237">
        <f t="shared" si="68"/>
        <v>-255</v>
      </c>
      <c r="L82" s="237">
        <f t="shared" si="68"/>
        <v>-245</v>
      </c>
      <c r="M82" s="237">
        <f t="shared" si="68"/>
        <v>-447</v>
      </c>
      <c r="N82" s="237">
        <f t="shared" si="68"/>
        <v>-371</v>
      </c>
      <c r="O82" s="237">
        <f t="shared" si="68"/>
        <v>-366</v>
      </c>
      <c r="P82" s="236">
        <f t="shared" si="84"/>
        <v>-396</v>
      </c>
      <c r="Q82" s="238">
        <f t="shared" si="84"/>
        <v>-217</v>
      </c>
      <c r="R82" s="237">
        <f t="shared" si="84"/>
        <v>-206</v>
      </c>
      <c r="S82" s="237">
        <f t="shared" si="84"/>
        <v>-181</v>
      </c>
      <c r="T82" s="237">
        <f t="shared" si="84"/>
        <v>-109</v>
      </c>
      <c r="U82" s="237">
        <f t="shared" si="84"/>
        <v>-79</v>
      </c>
      <c r="V82" s="237">
        <f t="shared" si="84"/>
        <v>-80</v>
      </c>
      <c r="W82" s="237">
        <f t="shared" si="84"/>
        <v>-86</v>
      </c>
      <c r="X82" s="237">
        <f t="shared" si="84"/>
        <v>-83</v>
      </c>
      <c r="Y82" s="237">
        <f t="shared" si="84"/>
        <v>-89</v>
      </c>
      <c r="Z82" s="237">
        <f t="shared" si="84"/>
        <v>-85</v>
      </c>
      <c r="AA82" s="237">
        <f t="shared" si="84"/>
        <v>-64</v>
      </c>
      <c r="AB82" s="236">
        <f t="shared" si="84"/>
        <v>-100</v>
      </c>
      <c r="AC82" s="238">
        <f t="shared" si="84"/>
        <v>-106</v>
      </c>
      <c r="AD82" s="237">
        <f>AD10+AD64+AD73+AD19+AD55+AD28+AD37+AD46</f>
        <v>-123</v>
      </c>
      <c r="AE82" s="237">
        <f t="shared" si="85"/>
        <v>-135</v>
      </c>
      <c r="AF82" s="237">
        <f t="shared" si="85"/>
        <v>-144</v>
      </c>
      <c r="AG82" s="237">
        <f t="shared" si="85"/>
        <v>-207</v>
      </c>
      <c r="AH82" s="237">
        <f t="shared" si="85"/>
        <v>-146</v>
      </c>
      <c r="AI82" s="237">
        <f t="shared" si="85"/>
        <v>-155</v>
      </c>
      <c r="AJ82" s="237">
        <f t="shared" si="85"/>
        <v>-192</v>
      </c>
      <c r="AK82" s="237">
        <f t="shared" si="85"/>
        <v>-207</v>
      </c>
      <c r="AL82" s="237">
        <f t="shared" si="85"/>
        <v>-244</v>
      </c>
      <c r="AM82" s="237">
        <f t="shared" si="85"/>
        <v>-288</v>
      </c>
      <c r="AN82" s="237">
        <f t="shared" si="85"/>
        <v>-199</v>
      </c>
      <c r="AO82" s="238">
        <f t="shared" si="85"/>
        <v>-248</v>
      </c>
      <c r="AP82" s="234">
        <f t="shared" si="85"/>
        <v>-230</v>
      </c>
      <c r="AQ82" s="234">
        <f t="shared" si="85"/>
        <v>-254</v>
      </c>
      <c r="AR82" s="234">
        <f t="shared" si="85"/>
        <v>-271</v>
      </c>
      <c r="AS82" s="234">
        <f t="shared" si="85"/>
        <v>-259</v>
      </c>
      <c r="AT82" s="234">
        <f t="shared" si="85"/>
        <v>-277</v>
      </c>
      <c r="AU82" s="234">
        <f t="shared" si="85"/>
        <v>-300</v>
      </c>
      <c r="AV82" s="234">
        <f t="shared" si="85"/>
        <v>-261</v>
      </c>
      <c r="AW82" s="234">
        <f t="shared" si="85"/>
        <v>-251</v>
      </c>
      <c r="AX82" s="234">
        <f t="shared" si="85"/>
        <v>-222</v>
      </c>
      <c r="AY82" s="234">
        <f t="shared" si="85"/>
        <v>-166</v>
      </c>
      <c r="AZ82" s="234">
        <f t="shared" si="85"/>
        <v>-164</v>
      </c>
      <c r="BA82" s="235">
        <f t="shared" si="85"/>
        <v>-174</v>
      </c>
      <c r="BB82" s="234">
        <f t="shared" si="85"/>
        <v>-161</v>
      </c>
      <c r="BC82" s="234">
        <f t="shared" si="85"/>
        <v>-172</v>
      </c>
      <c r="BD82" s="234">
        <f t="shared" si="85"/>
        <v>-185</v>
      </c>
      <c r="BE82" s="234">
        <f t="shared" si="85"/>
        <v>-208</v>
      </c>
      <c r="BF82" s="234">
        <f t="shared" si="85"/>
        <v>-212</v>
      </c>
      <c r="BG82" s="234">
        <f t="shared" si="85"/>
        <v>-245</v>
      </c>
      <c r="BH82" s="234">
        <f t="shared" si="85"/>
        <v>-342</v>
      </c>
      <c r="BI82" s="234">
        <f t="shared" si="85"/>
        <v>-352</v>
      </c>
      <c r="BJ82" s="234">
        <f t="shared" si="85"/>
        <v>-332</v>
      </c>
      <c r="BK82" s="234">
        <f t="shared" si="85"/>
        <v>-275</v>
      </c>
      <c r="BL82" s="234">
        <f t="shared" si="85"/>
        <v>-291</v>
      </c>
      <c r="BM82" s="234">
        <f t="shared" si="85"/>
        <v>-261</v>
      </c>
      <c r="BN82" s="234">
        <f t="shared" si="85"/>
        <v>-264</v>
      </c>
      <c r="BO82" s="234">
        <f t="shared" si="85"/>
        <v>-264</v>
      </c>
      <c r="BP82" s="234">
        <f t="shared" si="85"/>
        <v>-273</v>
      </c>
      <c r="BQ82" s="234">
        <f t="shared" si="85"/>
        <v>-254</v>
      </c>
      <c r="BR82" s="234">
        <f t="shared" si="85"/>
        <v>-256</v>
      </c>
      <c r="BS82" s="234">
        <f t="shared" si="85"/>
        <v>-265</v>
      </c>
      <c r="BT82" s="234">
        <f t="shared" si="85"/>
        <v>-268</v>
      </c>
      <c r="BU82" s="234">
        <f t="shared" si="85"/>
        <v>-234</v>
      </c>
      <c r="BV82" s="234">
        <f t="shared" si="85"/>
        <v>-240</v>
      </c>
      <c r="BW82" s="234">
        <f t="shared" si="85"/>
        <v>-223.73870522539389</v>
      </c>
      <c r="BX82" s="234">
        <f t="shared" si="85"/>
        <v>-195.23000000000002</v>
      </c>
      <c r="BY82" s="234">
        <f t="shared" si="85"/>
        <v>-172.20900000000003</v>
      </c>
      <c r="BZ82" s="234">
        <f t="shared" si="85"/>
        <v>-188.57899999999998</v>
      </c>
      <c r="CA82" s="234">
        <f t="shared" si="85"/>
        <v>-225.458</v>
      </c>
      <c r="CB82" s="234">
        <f t="shared" si="85"/>
        <v>-270.74700000000001</v>
      </c>
      <c r="CC82" s="234">
        <f t="shared" si="85"/>
        <v>-275.80200000000002</v>
      </c>
      <c r="CD82" s="234">
        <f t="shared" si="85"/>
        <v>-248.52000000000004</v>
      </c>
      <c r="CE82" s="234">
        <f t="shared" si="85"/>
        <v>-268.767</v>
      </c>
      <c r="CF82" s="234">
        <f t="shared" si="85"/>
        <v>-282.80099999999999</v>
      </c>
      <c r="CG82" s="234">
        <f t="shared" si="85"/>
        <v>-267.61500000000001</v>
      </c>
      <c r="CH82" s="234">
        <f t="shared" si="85"/>
        <v>-266.43099999999998</v>
      </c>
      <c r="CI82" s="234">
        <f t="shared" si="70"/>
        <v>-194.727</v>
      </c>
      <c r="CJ82" s="234">
        <f t="shared" si="70"/>
        <v>-171.67299999999997</v>
      </c>
      <c r="CK82" s="234">
        <f t="shared" si="70"/>
        <v>-185.75899999999999</v>
      </c>
      <c r="CL82" s="234">
        <f t="shared" si="70"/>
        <v>-184.21600000000001</v>
      </c>
      <c r="CM82" s="234">
        <f t="shared" si="70"/>
        <v>-161.035</v>
      </c>
      <c r="CN82" s="234">
        <f t="shared" ref="CN82" si="89">CN10+CN64+CN73+CN19+CN55+CN28+CN37+CN46</f>
        <v>-157.53500000000003</v>
      </c>
      <c r="CO82" s="234">
        <f t="shared" si="71"/>
        <v>-190.34899999999999</v>
      </c>
      <c r="CP82" s="234">
        <f t="shared" si="72"/>
        <v>-199.32500000000002</v>
      </c>
      <c r="CQ82" s="234">
        <f t="shared" si="72"/>
        <v>-210.84299999999999</v>
      </c>
      <c r="CR82" s="234">
        <f t="shared" si="72"/>
        <v>-218.84200000000001</v>
      </c>
      <c r="CS82" s="234">
        <f t="shared" si="72"/>
        <v>-224.98500000000004</v>
      </c>
      <c r="CT82" s="234">
        <f t="shared" si="72"/>
        <v>-231.149</v>
      </c>
      <c r="CU82" s="234">
        <f t="shared" ref="CU82" si="90">CU10+CU64+CU73+CU19+CU55+CU28+CU37+CU46</f>
        <v>-216.10900000000001</v>
      </c>
      <c r="CV82" s="234">
        <f t="shared" si="73"/>
        <v>-202.042</v>
      </c>
      <c r="CW82" s="234">
        <f t="shared" ref="CW82:CX82" si="91">CW10+CW64+CW73+CW19+CW55+CW28+CW37+CW46</f>
        <v>-189.15100000000001</v>
      </c>
      <c r="CX82" s="512">
        <f t="shared" si="91"/>
        <v>-174.83199999999999</v>
      </c>
    </row>
    <row r="83" spans="2:103" ht="15" thickBot="1" x14ac:dyDescent="0.4">
      <c r="B83" s="797"/>
      <c r="C83" s="59" t="s">
        <v>287</v>
      </c>
      <c r="D83" s="241">
        <f t="shared" ref="D83:AI83" si="92">SUM(D77:D82)</f>
        <v>1530</v>
      </c>
      <c r="E83" s="242">
        <f t="shared" si="92"/>
        <v>1339</v>
      </c>
      <c r="F83" s="239">
        <f t="shared" si="92"/>
        <v>1441</v>
      </c>
      <c r="G83" s="239">
        <f t="shared" si="92"/>
        <v>1733</v>
      </c>
      <c r="H83" s="239">
        <f t="shared" si="92"/>
        <v>983</v>
      </c>
      <c r="I83" s="239">
        <f t="shared" si="92"/>
        <v>1631</v>
      </c>
      <c r="J83" s="239">
        <f t="shared" si="92"/>
        <v>1543.4616599999999</v>
      </c>
      <c r="K83" s="239">
        <f t="shared" si="92"/>
        <v>1957</v>
      </c>
      <c r="L83" s="239">
        <f t="shared" si="92"/>
        <v>1884</v>
      </c>
      <c r="M83" s="239">
        <f t="shared" si="92"/>
        <v>1925</v>
      </c>
      <c r="N83" s="239">
        <f t="shared" si="92"/>
        <v>1899</v>
      </c>
      <c r="O83" s="239">
        <f t="shared" si="92"/>
        <v>1969</v>
      </c>
      <c r="P83" s="241">
        <f t="shared" si="92"/>
        <v>2307</v>
      </c>
      <c r="Q83" s="238">
        <f t="shared" si="92"/>
        <v>2034</v>
      </c>
      <c r="R83" s="239">
        <f t="shared" si="92"/>
        <v>2134</v>
      </c>
      <c r="S83" s="239">
        <f t="shared" si="92"/>
        <v>1840</v>
      </c>
      <c r="T83" s="239">
        <f t="shared" si="92"/>
        <v>2017</v>
      </c>
      <c r="U83" s="239">
        <f t="shared" si="92"/>
        <v>1690</v>
      </c>
      <c r="V83" s="239">
        <f t="shared" si="92"/>
        <v>1810</v>
      </c>
      <c r="W83" s="239">
        <f t="shared" si="92"/>
        <v>1933</v>
      </c>
      <c r="X83" s="239">
        <f t="shared" si="92"/>
        <v>1923</v>
      </c>
      <c r="Y83" s="239">
        <f t="shared" si="92"/>
        <v>2152</v>
      </c>
      <c r="Z83" s="239">
        <f t="shared" si="92"/>
        <v>1881</v>
      </c>
      <c r="AA83" s="239">
        <f t="shared" si="92"/>
        <v>2191</v>
      </c>
      <c r="AB83" s="239">
        <f t="shared" si="92"/>
        <v>2374</v>
      </c>
      <c r="AC83" s="239">
        <f t="shared" si="92"/>
        <v>2544</v>
      </c>
      <c r="AD83" s="237">
        <f t="shared" si="92"/>
        <v>1909</v>
      </c>
      <c r="AE83" s="237">
        <f t="shared" si="92"/>
        <v>2073</v>
      </c>
      <c r="AF83" s="237">
        <f t="shared" si="92"/>
        <v>2237</v>
      </c>
      <c r="AG83" s="237">
        <f t="shared" si="92"/>
        <v>2463</v>
      </c>
      <c r="AH83" s="237">
        <f t="shared" si="92"/>
        <v>1864</v>
      </c>
      <c r="AI83" s="237">
        <f t="shared" si="92"/>
        <v>2052</v>
      </c>
      <c r="AJ83" s="237">
        <f t="shared" ref="AJ83:CH83" si="93">SUM(AJ77:AJ82)</f>
        <v>2073</v>
      </c>
      <c r="AK83" s="237">
        <f t="shared" si="93"/>
        <v>2197.5</v>
      </c>
      <c r="AL83" s="237">
        <f t="shared" si="93"/>
        <v>1827</v>
      </c>
      <c r="AM83" s="237">
        <f t="shared" si="93"/>
        <v>1924</v>
      </c>
      <c r="AN83" s="237">
        <f t="shared" si="93"/>
        <v>1545</v>
      </c>
      <c r="AO83" s="238">
        <f t="shared" si="93"/>
        <v>2071</v>
      </c>
      <c r="AP83" s="239">
        <f t="shared" si="93"/>
        <v>2084</v>
      </c>
      <c r="AQ83" s="239">
        <f t="shared" si="93"/>
        <v>1612</v>
      </c>
      <c r="AR83" s="239">
        <f t="shared" si="93"/>
        <v>1722</v>
      </c>
      <c r="AS83" s="239">
        <f t="shared" si="93"/>
        <v>1915</v>
      </c>
      <c r="AT83" s="239">
        <f t="shared" si="93"/>
        <v>2244</v>
      </c>
      <c r="AU83" s="239">
        <f t="shared" si="93"/>
        <v>2317</v>
      </c>
      <c r="AV83" s="239">
        <f t="shared" si="93"/>
        <v>2512</v>
      </c>
      <c r="AW83" s="239">
        <f t="shared" si="93"/>
        <v>2395</v>
      </c>
      <c r="AX83" s="239">
        <f t="shared" si="93"/>
        <v>2694</v>
      </c>
      <c r="AY83" s="239">
        <f t="shared" si="93"/>
        <v>2409</v>
      </c>
      <c r="AZ83" s="239">
        <f t="shared" si="93"/>
        <v>2771</v>
      </c>
      <c r="BA83" s="242">
        <f t="shared" si="93"/>
        <v>2704</v>
      </c>
      <c r="BB83" s="239">
        <f t="shared" si="93"/>
        <v>2687</v>
      </c>
      <c r="BC83" s="239">
        <f t="shared" si="93"/>
        <v>2675</v>
      </c>
      <c r="BD83" s="239">
        <f t="shared" si="93"/>
        <v>2980</v>
      </c>
      <c r="BE83" s="239">
        <f t="shared" si="93"/>
        <v>2862</v>
      </c>
      <c r="BF83" s="239">
        <f t="shared" si="93"/>
        <v>3059</v>
      </c>
      <c r="BG83" s="239">
        <f t="shared" si="93"/>
        <v>3123</v>
      </c>
      <c r="BH83" s="239">
        <f t="shared" si="93"/>
        <v>2708</v>
      </c>
      <c r="BI83" s="239">
        <f t="shared" si="93"/>
        <v>3340</v>
      </c>
      <c r="BJ83" s="239">
        <f t="shared" si="93"/>
        <v>3192</v>
      </c>
      <c r="BK83" s="239">
        <f t="shared" si="93"/>
        <v>3181</v>
      </c>
      <c r="BL83" s="239">
        <f t="shared" si="93"/>
        <v>3219</v>
      </c>
      <c r="BM83" s="239">
        <f t="shared" si="93"/>
        <v>2804</v>
      </c>
      <c r="BN83" s="239">
        <f t="shared" si="93"/>
        <v>3006</v>
      </c>
      <c r="BO83" s="239">
        <f t="shared" si="93"/>
        <v>2924</v>
      </c>
      <c r="BP83" s="239">
        <f t="shared" si="93"/>
        <v>3114</v>
      </c>
      <c r="BQ83" s="239">
        <f t="shared" si="93"/>
        <v>2842</v>
      </c>
      <c r="BR83" s="239">
        <f t="shared" si="93"/>
        <v>3029</v>
      </c>
      <c r="BS83" s="239">
        <f t="shared" si="93"/>
        <v>2914</v>
      </c>
      <c r="BT83" s="239">
        <f t="shared" si="93"/>
        <v>3083</v>
      </c>
      <c r="BU83" s="239">
        <f t="shared" si="93"/>
        <v>3543.7892600000005</v>
      </c>
      <c r="BV83" s="239">
        <f t="shared" si="93"/>
        <v>3486.5467900000003</v>
      </c>
      <c r="BW83" s="239">
        <f t="shared" si="93"/>
        <v>3373.9196947746063</v>
      </c>
      <c r="BX83" s="239">
        <f t="shared" si="93"/>
        <v>3485.2336579958073</v>
      </c>
      <c r="BY83" s="239">
        <f t="shared" si="93"/>
        <v>2877.4342036166004</v>
      </c>
      <c r="BZ83" s="239">
        <f t="shared" si="93"/>
        <v>3085.198042734</v>
      </c>
      <c r="CA83" s="239">
        <f t="shared" si="93"/>
        <v>3386.5261010509998</v>
      </c>
      <c r="CB83" s="239">
        <f t="shared" si="93"/>
        <v>3296.2462953760005</v>
      </c>
      <c r="CC83" s="239">
        <f t="shared" si="93"/>
        <v>3055.1174024859997</v>
      </c>
      <c r="CD83" s="239">
        <f t="shared" si="93"/>
        <v>3605.8619298440003</v>
      </c>
      <c r="CE83" s="239">
        <f t="shared" si="93"/>
        <v>3275.6263302800003</v>
      </c>
      <c r="CF83" s="239">
        <f t="shared" si="93"/>
        <v>3363.7899337690005</v>
      </c>
      <c r="CG83" s="239">
        <f t="shared" si="93"/>
        <v>3336.5857599999999</v>
      </c>
      <c r="CH83" s="239">
        <f t="shared" si="93"/>
        <v>3239.7741792520005</v>
      </c>
      <c r="CI83" s="239">
        <f t="shared" ref="CI83:CO83" si="94">SUM(CI77:CI82)</f>
        <v>3920.9743512788009</v>
      </c>
      <c r="CJ83" s="239">
        <f t="shared" si="94"/>
        <v>3893.6795414133408</v>
      </c>
      <c r="CK83" s="239">
        <f t="shared" si="94"/>
        <v>4153.8794635439999</v>
      </c>
      <c r="CL83" s="239">
        <f t="shared" si="94"/>
        <v>4237.9802984990001</v>
      </c>
      <c r="CM83" s="239">
        <f t="shared" si="94"/>
        <v>3551.0384349619999</v>
      </c>
      <c r="CN83" s="239">
        <f t="shared" si="94"/>
        <v>3565.527683627</v>
      </c>
      <c r="CO83" s="239">
        <f t="shared" si="94"/>
        <v>3732.6131141979999</v>
      </c>
      <c r="CP83" s="239">
        <f t="shared" ref="CP83:CV83" si="95">SUM(CP77:CP82)</f>
        <v>3726.3990687243995</v>
      </c>
      <c r="CQ83" s="239">
        <f t="shared" si="95"/>
        <v>3924.3964784578993</v>
      </c>
      <c r="CR83" s="239">
        <f t="shared" si="95"/>
        <v>3294.3076964699999</v>
      </c>
      <c r="CS83" s="239">
        <f t="shared" si="95"/>
        <v>3726.6528459049996</v>
      </c>
      <c r="CT83" s="239">
        <f t="shared" si="95"/>
        <v>3670.3482915089999</v>
      </c>
      <c r="CU83" s="239">
        <f t="shared" si="95"/>
        <v>4642.4381975274991</v>
      </c>
      <c r="CV83" s="239">
        <f t="shared" si="95"/>
        <v>4164.1397785320005</v>
      </c>
      <c r="CW83" s="239">
        <f t="shared" ref="CW83:CX83" si="96">SUM(CW77:CW82)</f>
        <v>3620.6074277098105</v>
      </c>
      <c r="CX83" s="687">
        <f t="shared" si="96"/>
        <v>3528.41906850756</v>
      </c>
    </row>
    <row r="84" spans="2:103" x14ac:dyDescent="0.35">
      <c r="B84" s="227" t="s">
        <v>296</v>
      </c>
      <c r="C84" s="227"/>
      <c r="D84" s="234">
        <v>55.905286343612339</v>
      </c>
      <c r="E84" s="234">
        <f t="shared" ref="E84:AJ84" si="97">IF(E83&gt;SUM(E97:F97),(E83-F97-E97)/D97*D87+E87+F87,(E83-F97)/E97*E87+F87)</f>
        <v>50.088595203132655</v>
      </c>
      <c r="F84" s="234">
        <f t="shared" si="97"/>
        <v>51.455850681981332</v>
      </c>
      <c r="G84" s="234">
        <f t="shared" si="97"/>
        <v>61.329265374491499</v>
      </c>
      <c r="H84" s="234">
        <f t="shared" si="97"/>
        <v>31.136954503249768</v>
      </c>
      <c r="I84" s="234">
        <f t="shared" si="97"/>
        <v>56.768341391633385</v>
      </c>
      <c r="J84" s="234">
        <f t="shared" si="97"/>
        <v>55.562683042516589</v>
      </c>
      <c r="K84" s="234">
        <f t="shared" si="97"/>
        <v>57.760660247592853</v>
      </c>
      <c r="L84" s="234">
        <f t="shared" si="97"/>
        <v>57.019172039362061</v>
      </c>
      <c r="M84" s="234">
        <f t="shared" si="97"/>
        <v>59.07332886206126</v>
      </c>
      <c r="N84" s="234">
        <f t="shared" si="97"/>
        <v>51.966850828729278</v>
      </c>
      <c r="O84" s="234">
        <f t="shared" si="97"/>
        <v>57.611754385964915</v>
      </c>
      <c r="P84" s="234">
        <f t="shared" si="97"/>
        <v>62.703640350877194</v>
      </c>
      <c r="Q84" s="234">
        <f t="shared" si="97"/>
        <v>53.547201239589391</v>
      </c>
      <c r="R84" s="234">
        <f t="shared" si="97"/>
        <v>59.821382916908782</v>
      </c>
      <c r="S84" s="234">
        <f t="shared" si="97"/>
        <v>50.404340035835162</v>
      </c>
      <c r="T84" s="234">
        <f t="shared" si="97"/>
        <v>48.467739115229939</v>
      </c>
      <c r="U84" s="234">
        <f t="shared" si="97"/>
        <v>45.258760107816713</v>
      </c>
      <c r="V84" s="234">
        <f t="shared" si="97"/>
        <v>51.540181956027297</v>
      </c>
      <c r="W84" s="234">
        <f t="shared" si="97"/>
        <v>51.655646359583955</v>
      </c>
      <c r="X84" s="234">
        <f t="shared" si="97"/>
        <v>50.386706948640487</v>
      </c>
      <c r="Y84" s="234">
        <f t="shared" si="97"/>
        <v>50.687722873153341</v>
      </c>
      <c r="Z84" s="234">
        <f t="shared" si="97"/>
        <v>39.806734992679353</v>
      </c>
      <c r="AA84" s="234">
        <f t="shared" si="97"/>
        <v>48.419864864864863</v>
      </c>
      <c r="AB84" s="234">
        <f t="shared" si="97"/>
        <v>48.397072278133578</v>
      </c>
      <c r="AC84" s="234">
        <f t="shared" si="97"/>
        <v>50.371637535639024</v>
      </c>
      <c r="AD84" s="234">
        <f t="shared" si="97"/>
        <v>42.362416981377784</v>
      </c>
      <c r="AE84" s="234">
        <f t="shared" si="97"/>
        <v>47.20930232558139</v>
      </c>
      <c r="AF84" s="234">
        <f t="shared" si="97"/>
        <v>48.829796511627904</v>
      </c>
      <c r="AG84" s="234">
        <f t="shared" si="97"/>
        <v>48.624892948900943</v>
      </c>
      <c r="AH84" s="234">
        <f t="shared" si="97"/>
        <v>36.208318087571655</v>
      </c>
      <c r="AI84" s="234">
        <f t="shared" si="97"/>
        <v>45.683511331075806</v>
      </c>
      <c r="AJ84" s="234">
        <f t="shared" si="97"/>
        <v>46.972008612734541</v>
      </c>
      <c r="AK84" s="234">
        <f t="shared" ref="AK84:CH84" si="98">IF(AK83&gt;SUM(AK97:AL97),(AK83-AL97-AK97)/AJ97*AJ87+AK87+AL87,(AK83-AL97)/AK97*AK87+AL87)</f>
        <v>44.046115466856733</v>
      </c>
      <c r="AL84" s="234">
        <f t="shared" si="98"/>
        <v>36.850941221667313</v>
      </c>
      <c r="AM84" s="234">
        <f t="shared" si="98"/>
        <v>40.409353652128218</v>
      </c>
      <c r="AN84" s="234">
        <f t="shared" si="98"/>
        <v>37.022083805209512</v>
      </c>
      <c r="AO84" s="235">
        <f t="shared" si="98"/>
        <v>48.001585539876331</v>
      </c>
      <c r="AP84" s="234">
        <f t="shared" si="98"/>
        <v>44.367604408352669</v>
      </c>
      <c r="AQ84" s="234">
        <f t="shared" si="98"/>
        <v>35.931700840831979</v>
      </c>
      <c r="AR84" s="234">
        <f t="shared" si="98"/>
        <v>34.596271482668222</v>
      </c>
      <c r="AS84" s="234">
        <f t="shared" si="98"/>
        <v>38.527660695468917</v>
      </c>
      <c r="AT84" s="234">
        <f t="shared" si="98"/>
        <v>37.15788787483703</v>
      </c>
      <c r="AU84" s="234">
        <f t="shared" si="98"/>
        <v>38.57540480474124</v>
      </c>
      <c r="AV84" s="234">
        <f t="shared" si="98"/>
        <v>43.55973475377759</v>
      </c>
      <c r="AW84" s="234">
        <f t="shared" si="98"/>
        <v>39.858372014038267</v>
      </c>
      <c r="AX84" s="234">
        <f t="shared" si="98"/>
        <v>45.721797948941742</v>
      </c>
      <c r="AY84" s="234">
        <f t="shared" si="98"/>
        <v>40.628176549264381</v>
      </c>
      <c r="AZ84" s="234">
        <f t="shared" si="98"/>
        <v>46.091983498717809</v>
      </c>
      <c r="BA84" s="235">
        <f t="shared" si="98"/>
        <v>47.414106817938567</v>
      </c>
      <c r="BB84" s="234">
        <f t="shared" si="98"/>
        <v>46.116178700571567</v>
      </c>
      <c r="BC84" s="234">
        <f t="shared" si="98"/>
        <v>43.346587537091992</v>
      </c>
      <c r="BD84" s="234">
        <f t="shared" si="98"/>
        <v>45.259316770186338</v>
      </c>
      <c r="BE84" s="234">
        <f t="shared" si="98"/>
        <v>41.139970428782654</v>
      </c>
      <c r="BF84" s="234">
        <f t="shared" si="98"/>
        <v>45.333333333333336</v>
      </c>
      <c r="BG84" s="234">
        <f t="shared" si="98"/>
        <v>47.980732371633209</v>
      </c>
      <c r="BH84" s="234">
        <f t="shared" si="98"/>
        <v>39.667233106757301</v>
      </c>
      <c r="BI84" s="234">
        <f t="shared" si="98"/>
        <v>42.428278879270223</v>
      </c>
      <c r="BJ84" s="234">
        <f t="shared" si="98"/>
        <v>44.376906318082789</v>
      </c>
      <c r="BK84" s="234">
        <f t="shared" si="98"/>
        <v>40.672033735863522</v>
      </c>
      <c r="BL84" s="234">
        <f t="shared" si="98"/>
        <v>39.746852919678389</v>
      </c>
      <c r="BM84" s="234">
        <f t="shared" si="98"/>
        <v>40.150019992003195</v>
      </c>
      <c r="BN84" s="234">
        <f t="shared" si="98"/>
        <v>41.853809662116369</v>
      </c>
      <c r="BO84" s="234">
        <f t="shared" si="98"/>
        <v>37.907240253504895</v>
      </c>
      <c r="BP84" s="234">
        <f t="shared" si="98"/>
        <v>42.314081818936188</v>
      </c>
      <c r="BQ84" s="234">
        <f t="shared" si="98"/>
        <v>41.202170082537329</v>
      </c>
      <c r="BR84" s="234">
        <f t="shared" si="98"/>
        <v>40.497012235606562</v>
      </c>
      <c r="BS84" s="234">
        <f t="shared" si="98"/>
        <v>38.697624190064793</v>
      </c>
      <c r="BT84" s="234">
        <f t="shared" si="98"/>
        <v>41.817931034482761</v>
      </c>
      <c r="BU84" s="234">
        <f t="shared" si="98"/>
        <v>47.276619626990417</v>
      </c>
      <c r="BV84" s="234">
        <f t="shared" si="98"/>
        <v>45.617183634926221</v>
      </c>
      <c r="BW84" s="234">
        <f t="shared" si="98"/>
        <v>42.997774919238097</v>
      </c>
      <c r="BX84" s="234">
        <f t="shared" si="98"/>
        <v>44.087249596110645</v>
      </c>
      <c r="BY84" s="234">
        <f t="shared" si="98"/>
        <v>39.264180668292873</v>
      </c>
      <c r="BZ84" s="234">
        <f t="shared" si="98"/>
        <v>38.726514693136011</v>
      </c>
      <c r="CA84" s="234">
        <f t="shared" si="98"/>
        <v>39.859278747556502</v>
      </c>
      <c r="CB84" s="234">
        <f t="shared" si="98"/>
        <v>42.002406364617144</v>
      </c>
      <c r="CC84" s="234">
        <f t="shared" si="98"/>
        <v>40.138281427604937</v>
      </c>
      <c r="CD84" s="234">
        <f t="shared" si="98"/>
        <v>44.902691472468753</v>
      </c>
      <c r="CE84" s="234">
        <f t="shared" si="98"/>
        <v>43.116470884659009</v>
      </c>
      <c r="CF84" s="234">
        <f t="shared" si="98"/>
        <v>44.20716161925202</v>
      </c>
      <c r="CG84" s="234">
        <f t="shared" si="98"/>
        <v>43.904867981723633</v>
      </c>
      <c r="CH84" s="234">
        <f t="shared" si="98"/>
        <v>42.866684266313143</v>
      </c>
      <c r="CI84" s="234">
        <f t="shared" ref="CI84:CO84" si="99">IF(CI83&gt;SUM(CI97:CJ97),(CI83-CJ97-CI97)/CH97*CH87+CI87+CJ87,(CI83-CJ97)/CI97*CI87+CJ87)</f>
        <v>50.536215361021604</v>
      </c>
      <c r="CJ84" s="234">
        <f t="shared" si="99"/>
        <v>47.233779115843149</v>
      </c>
      <c r="CK84" s="234">
        <f t="shared" si="99"/>
        <v>53.931478636170709</v>
      </c>
      <c r="CL84" s="234">
        <f t="shared" si="99"/>
        <v>48.139592587238376</v>
      </c>
      <c r="CM84" s="234">
        <f t="shared" si="99"/>
        <v>45.133926898811779</v>
      </c>
      <c r="CN84" s="234">
        <f t="shared" si="99"/>
        <v>48.089549215704587</v>
      </c>
      <c r="CO84" s="234">
        <f t="shared" si="99"/>
        <v>40.85862152012399</v>
      </c>
      <c r="CP84" s="234">
        <f t="shared" ref="CP84:CX84" si="100">IF(CP83&gt;SUM(CP97:CQ97),(CP83-CQ97-CP97)/CO97*CO87+CP87+CQ87,(CP83-CQ97)/CP97*CP87+CQ87)</f>
        <v>43.024906419089028</v>
      </c>
      <c r="CQ84" s="234">
        <f t="shared" si="100"/>
        <v>46.287210099026566</v>
      </c>
      <c r="CR84" s="234">
        <f t="shared" si="100"/>
        <v>37.755980450361641</v>
      </c>
      <c r="CS84" s="234">
        <f t="shared" si="100"/>
        <v>38.801439545819051</v>
      </c>
      <c r="CT84" s="234">
        <f t="shared" si="100"/>
        <v>40.556619815595539</v>
      </c>
      <c r="CU84" s="234">
        <f t="shared" si="100"/>
        <v>49.70718791502582</v>
      </c>
      <c r="CV84" s="234">
        <f t="shared" si="100"/>
        <v>43.010999975912782</v>
      </c>
      <c r="CW84" s="234">
        <f t="shared" si="100"/>
        <v>39.803441403960726</v>
      </c>
      <c r="CX84" s="512">
        <f t="shared" si="100"/>
        <v>40.5427350639644</v>
      </c>
    </row>
    <row r="85" spans="2:103" x14ac:dyDescent="0.35">
      <c r="Q85" s="243"/>
      <c r="AO85" s="78"/>
      <c r="BA85" s="78"/>
      <c r="CA85" s="234"/>
      <c r="CB85" s="234"/>
      <c r="CC85" s="234"/>
      <c r="CD85" s="234"/>
      <c r="CE85" s="234"/>
      <c r="CF85" s="234"/>
      <c r="CG85" s="234"/>
      <c r="CH85" s="234"/>
      <c r="CI85" s="234"/>
      <c r="CJ85" s="234"/>
      <c r="CK85" s="234"/>
      <c r="CL85" s="234"/>
      <c r="CM85" s="234"/>
      <c r="CN85" s="234"/>
      <c r="CO85" s="234"/>
      <c r="CP85" s="234"/>
      <c r="CQ85" s="234"/>
      <c r="CR85" s="234"/>
    </row>
    <row r="86" spans="2:103" x14ac:dyDescent="0.35">
      <c r="AO86" s="78"/>
      <c r="BA86" s="78"/>
      <c r="CB86"/>
      <c r="CC86"/>
      <c r="CD86"/>
      <c r="CF86"/>
    </row>
    <row r="87" spans="2:103" x14ac:dyDescent="0.35">
      <c r="B87" s="112"/>
      <c r="C87" s="112"/>
      <c r="D87" s="73">
        <v>30</v>
      </c>
      <c r="E87" s="73">
        <v>31</v>
      </c>
      <c r="F87" s="73">
        <v>31</v>
      </c>
      <c r="G87" s="73">
        <v>28</v>
      </c>
      <c r="H87" s="73">
        <v>31</v>
      </c>
      <c r="I87" s="73">
        <v>30</v>
      </c>
      <c r="J87" s="73">
        <v>31</v>
      </c>
      <c r="K87" s="73">
        <v>30</v>
      </c>
      <c r="L87" s="73">
        <v>31</v>
      </c>
      <c r="M87" s="73">
        <v>31</v>
      </c>
      <c r="N87" s="73">
        <v>30</v>
      </c>
      <c r="O87" s="73">
        <v>31</v>
      </c>
      <c r="P87" s="73">
        <v>30</v>
      </c>
      <c r="Q87" s="73">
        <v>31</v>
      </c>
      <c r="R87" s="73">
        <v>31</v>
      </c>
      <c r="S87" s="73">
        <v>28</v>
      </c>
      <c r="T87" s="73">
        <v>31</v>
      </c>
      <c r="U87" s="73">
        <v>30</v>
      </c>
      <c r="V87" s="73">
        <v>31</v>
      </c>
      <c r="W87" s="73">
        <v>30</v>
      </c>
      <c r="X87" s="73">
        <v>31</v>
      </c>
      <c r="Y87" s="73">
        <v>31</v>
      </c>
      <c r="Z87" s="73">
        <v>30</v>
      </c>
      <c r="AA87" s="73">
        <v>31</v>
      </c>
      <c r="AB87" s="73">
        <v>30</v>
      </c>
      <c r="AC87" s="73">
        <v>31</v>
      </c>
      <c r="AD87" s="73">
        <v>31</v>
      </c>
      <c r="AE87" s="73">
        <v>29</v>
      </c>
      <c r="AF87" s="73">
        <v>31</v>
      </c>
      <c r="AG87" s="73">
        <v>30</v>
      </c>
      <c r="AH87" s="73">
        <v>31</v>
      </c>
      <c r="AI87" s="73">
        <v>30</v>
      </c>
      <c r="AJ87" s="73">
        <v>31</v>
      </c>
      <c r="AK87" s="73">
        <v>31</v>
      </c>
      <c r="AL87" s="73">
        <v>30</v>
      </c>
      <c r="AM87" s="73">
        <v>31</v>
      </c>
      <c r="AN87" s="73">
        <v>30</v>
      </c>
      <c r="AO87" s="73">
        <v>31</v>
      </c>
      <c r="AP87" s="73">
        <v>31</v>
      </c>
      <c r="AQ87" s="73">
        <v>28</v>
      </c>
      <c r="AR87" s="73">
        <v>31</v>
      </c>
      <c r="AS87" s="73">
        <v>30</v>
      </c>
      <c r="AT87" s="73">
        <v>31</v>
      </c>
      <c r="AU87" s="73">
        <v>30</v>
      </c>
      <c r="AV87" s="73">
        <v>31</v>
      </c>
      <c r="AW87" s="73">
        <v>31</v>
      </c>
      <c r="AX87" s="73">
        <v>30</v>
      </c>
      <c r="AY87" s="73">
        <v>31</v>
      </c>
      <c r="AZ87" s="73">
        <v>30</v>
      </c>
      <c r="BA87" s="73">
        <v>31</v>
      </c>
      <c r="BB87" s="73">
        <v>31</v>
      </c>
      <c r="BC87" s="73">
        <v>28</v>
      </c>
      <c r="BD87" s="73">
        <v>31</v>
      </c>
      <c r="BE87" s="73">
        <v>30</v>
      </c>
      <c r="BF87" s="73">
        <v>31</v>
      </c>
      <c r="BG87" s="73">
        <v>30</v>
      </c>
      <c r="BH87" s="73">
        <v>31</v>
      </c>
      <c r="BI87" s="73">
        <v>31</v>
      </c>
      <c r="BJ87" s="73">
        <v>30</v>
      </c>
      <c r="BK87" s="73">
        <v>31</v>
      </c>
      <c r="BL87" s="73">
        <v>30</v>
      </c>
      <c r="BM87" s="73">
        <v>31</v>
      </c>
      <c r="BN87" s="73">
        <v>31</v>
      </c>
      <c r="BO87" s="73">
        <v>28</v>
      </c>
      <c r="BP87" s="73">
        <v>31</v>
      </c>
      <c r="BQ87" s="73">
        <v>30</v>
      </c>
      <c r="BR87" s="466">
        <v>31</v>
      </c>
      <c r="BS87" s="73">
        <v>30</v>
      </c>
      <c r="BT87" s="73">
        <v>31</v>
      </c>
      <c r="BU87" s="73">
        <v>31</v>
      </c>
      <c r="BV87" s="73">
        <v>30</v>
      </c>
      <c r="BW87" s="73">
        <v>31</v>
      </c>
      <c r="BX87" s="73">
        <v>30</v>
      </c>
      <c r="BY87" s="73">
        <v>31</v>
      </c>
      <c r="BZ87" s="73">
        <v>31</v>
      </c>
      <c r="CA87" s="73">
        <v>29</v>
      </c>
      <c r="CB87" s="73">
        <v>31</v>
      </c>
      <c r="CC87" s="568">
        <v>30</v>
      </c>
      <c r="CD87" s="568">
        <v>31</v>
      </c>
      <c r="CE87" s="568">
        <v>30</v>
      </c>
      <c r="CF87" s="568">
        <v>31</v>
      </c>
      <c r="CG87" s="568">
        <v>31</v>
      </c>
      <c r="CH87" s="568">
        <v>30</v>
      </c>
      <c r="CI87" s="568">
        <v>31</v>
      </c>
      <c r="CJ87" s="568">
        <v>30</v>
      </c>
      <c r="CK87" s="568">
        <v>31</v>
      </c>
      <c r="CL87" s="568">
        <v>31</v>
      </c>
      <c r="CM87" s="568">
        <v>28</v>
      </c>
      <c r="CN87" s="568">
        <v>31</v>
      </c>
      <c r="CO87" s="568">
        <v>30</v>
      </c>
      <c r="CP87" s="568">
        <v>31</v>
      </c>
      <c r="CQ87" s="568">
        <v>30</v>
      </c>
      <c r="CR87" s="568">
        <v>31</v>
      </c>
      <c r="CS87" s="568">
        <v>31</v>
      </c>
      <c r="CT87" s="568">
        <v>30</v>
      </c>
      <c r="CU87" s="568">
        <v>31</v>
      </c>
      <c r="CV87" s="568">
        <v>30</v>
      </c>
      <c r="CW87" s="568">
        <v>31</v>
      </c>
      <c r="CX87" s="568">
        <v>31</v>
      </c>
      <c r="CY87" s="568">
        <v>28</v>
      </c>
    </row>
    <row r="88" spans="2:103" x14ac:dyDescent="0.35">
      <c r="B88" s="73" t="s">
        <v>297</v>
      </c>
      <c r="C88" s="244"/>
      <c r="D88" s="74">
        <v>43040</v>
      </c>
      <c r="E88" s="74">
        <v>43070</v>
      </c>
      <c r="F88" s="74">
        <v>43101</v>
      </c>
      <c r="G88" s="74">
        <v>43132</v>
      </c>
      <c r="H88" s="74">
        <v>43160</v>
      </c>
      <c r="I88" s="74">
        <v>43191</v>
      </c>
      <c r="J88" s="74">
        <v>43221</v>
      </c>
      <c r="K88" s="74">
        <v>43252</v>
      </c>
      <c r="L88" s="74">
        <v>43282</v>
      </c>
      <c r="M88" s="74">
        <v>43313</v>
      </c>
      <c r="N88" s="74">
        <v>43344</v>
      </c>
      <c r="O88" s="74">
        <v>43374</v>
      </c>
      <c r="P88" s="74">
        <v>43405</v>
      </c>
      <c r="Q88" s="74">
        <v>43435</v>
      </c>
      <c r="R88" s="74">
        <v>43466</v>
      </c>
      <c r="S88" s="74">
        <v>43497</v>
      </c>
      <c r="T88" s="74">
        <v>43525</v>
      </c>
      <c r="U88" s="74">
        <v>43556</v>
      </c>
      <c r="V88" s="74">
        <v>43586</v>
      </c>
      <c r="W88" s="74">
        <v>43617</v>
      </c>
      <c r="X88" s="74">
        <v>43647</v>
      </c>
      <c r="Y88" s="74">
        <v>43678</v>
      </c>
      <c r="Z88" s="74">
        <v>43709</v>
      </c>
      <c r="AA88" s="74">
        <v>43739</v>
      </c>
      <c r="AB88" s="74">
        <v>43770</v>
      </c>
      <c r="AC88" s="74">
        <v>43800</v>
      </c>
      <c r="AD88" s="74">
        <v>43831</v>
      </c>
      <c r="AE88" s="74">
        <v>43862</v>
      </c>
      <c r="AF88" s="74">
        <v>43891</v>
      </c>
      <c r="AG88" s="74">
        <v>43922</v>
      </c>
      <c r="AH88" s="74">
        <v>43952</v>
      </c>
      <c r="AI88" s="74">
        <v>43983</v>
      </c>
      <c r="AJ88" s="74">
        <v>44013</v>
      </c>
      <c r="AK88" s="74">
        <v>44044</v>
      </c>
      <c r="AL88" s="74">
        <v>44075</v>
      </c>
      <c r="AM88" s="74">
        <v>44105</v>
      </c>
      <c r="AN88" s="74">
        <v>44136</v>
      </c>
      <c r="AO88" s="74">
        <v>44166</v>
      </c>
      <c r="AP88" s="74">
        <v>44197</v>
      </c>
      <c r="AQ88" s="74">
        <v>44228</v>
      </c>
      <c r="AR88" s="74">
        <v>44256</v>
      </c>
      <c r="AS88" s="74">
        <v>44287</v>
      </c>
      <c r="AT88" s="74">
        <v>44317</v>
      </c>
      <c r="AU88" s="74">
        <v>44348</v>
      </c>
      <c r="AV88" s="74">
        <v>44378</v>
      </c>
      <c r="AW88" s="74">
        <v>44409</v>
      </c>
      <c r="AX88" s="74">
        <v>44440</v>
      </c>
      <c r="AY88" s="74">
        <v>44470</v>
      </c>
      <c r="AZ88" s="74">
        <v>44501</v>
      </c>
      <c r="BA88" s="74">
        <v>44531</v>
      </c>
      <c r="BB88" s="74">
        <v>44562</v>
      </c>
      <c r="BC88" s="74">
        <v>44593</v>
      </c>
      <c r="BD88" s="74">
        <v>44621</v>
      </c>
      <c r="BE88" s="74">
        <v>44652</v>
      </c>
      <c r="BF88" s="74">
        <v>44682</v>
      </c>
      <c r="BG88" s="74">
        <v>44713</v>
      </c>
      <c r="BH88" s="74">
        <v>44743</v>
      </c>
      <c r="BI88" s="74">
        <v>44774</v>
      </c>
      <c r="BJ88" s="74">
        <v>44805</v>
      </c>
      <c r="BK88" s="74">
        <v>44835</v>
      </c>
      <c r="BL88" s="74">
        <v>44866</v>
      </c>
      <c r="BM88" s="74">
        <v>44896</v>
      </c>
      <c r="BN88" s="74">
        <v>44927</v>
      </c>
      <c r="BO88" s="74">
        <v>44958</v>
      </c>
      <c r="BP88" s="74">
        <v>44986</v>
      </c>
      <c r="BQ88" s="74">
        <v>45017</v>
      </c>
      <c r="BR88" s="467">
        <v>45047</v>
      </c>
      <c r="BS88" s="74">
        <v>45078</v>
      </c>
      <c r="BT88" s="74">
        <v>45108</v>
      </c>
      <c r="BU88" s="74">
        <v>45139</v>
      </c>
      <c r="BV88" s="74">
        <v>45170</v>
      </c>
      <c r="BW88" s="74">
        <v>45200</v>
      </c>
      <c r="BX88" s="74">
        <v>45231</v>
      </c>
      <c r="BY88" s="74">
        <v>45261</v>
      </c>
      <c r="BZ88" s="74">
        <v>45292</v>
      </c>
      <c r="CA88" s="74">
        <v>45323</v>
      </c>
      <c r="CB88" s="74">
        <v>45352</v>
      </c>
      <c r="CC88" s="74">
        <v>45383</v>
      </c>
      <c r="CD88" s="74">
        <v>45413</v>
      </c>
      <c r="CE88" s="74">
        <v>45444</v>
      </c>
      <c r="CF88" s="74">
        <v>45474</v>
      </c>
      <c r="CG88" s="74">
        <v>45505</v>
      </c>
      <c r="CH88" s="74">
        <v>45536</v>
      </c>
      <c r="CI88" s="74">
        <v>45566</v>
      </c>
      <c r="CJ88" s="74">
        <v>45597</v>
      </c>
      <c r="CK88" s="74">
        <v>45627</v>
      </c>
      <c r="CL88" s="74">
        <v>45658</v>
      </c>
      <c r="CM88" s="74">
        <v>45689</v>
      </c>
      <c r="CN88" s="74">
        <v>45717</v>
      </c>
      <c r="CO88" s="74">
        <v>45748</v>
      </c>
      <c r="CP88" s="74">
        <v>45778</v>
      </c>
      <c r="CQ88" s="74">
        <v>45809</v>
      </c>
      <c r="CR88" s="74">
        <v>45839</v>
      </c>
      <c r="CS88" s="74">
        <v>45870</v>
      </c>
      <c r="CT88" s="74">
        <v>45901</v>
      </c>
      <c r="CU88" s="74">
        <v>45931</v>
      </c>
      <c r="CV88" s="74">
        <v>45962</v>
      </c>
      <c r="CW88" s="74">
        <v>45992</v>
      </c>
      <c r="CX88" s="74">
        <v>46023</v>
      </c>
      <c r="CY88" s="74">
        <v>46054</v>
      </c>
    </row>
    <row r="89" spans="2:103" x14ac:dyDescent="0.35">
      <c r="B89" t="s">
        <v>298</v>
      </c>
      <c r="D89" s="234">
        <f>606*1.2+52+39+11</f>
        <v>829.19999999999993</v>
      </c>
      <c r="E89" s="234">
        <f>(625-51-52-10-6)*1.2+51+52+10+6</f>
        <v>726.19999999999993</v>
      </c>
      <c r="F89" s="234">
        <f>629*1.2</f>
        <v>754.8</v>
      </c>
      <c r="G89" s="234">
        <f>593*1.2</f>
        <v>711.6</v>
      </c>
      <c r="H89" s="234">
        <f>613*1.2</f>
        <v>735.6</v>
      </c>
      <c r="I89" s="323">
        <f>697*1.2</f>
        <v>836.4</v>
      </c>
      <c r="J89" s="234">
        <f>584*1.2</f>
        <v>700.8</v>
      </c>
      <c r="K89" s="234">
        <f>642*1.2</f>
        <v>770.4</v>
      </c>
      <c r="L89" s="234">
        <f>759*1.2</f>
        <v>910.8</v>
      </c>
      <c r="M89" s="234">
        <f>648*1.2</f>
        <v>777.6</v>
      </c>
      <c r="N89" s="234">
        <f>740*1.2</f>
        <v>888</v>
      </c>
      <c r="O89" s="234">
        <f>785*1.2</f>
        <v>942</v>
      </c>
      <c r="P89" s="234">
        <f>688*1.2</f>
        <v>825.6</v>
      </c>
      <c r="Q89" s="234">
        <f>719*1.2</f>
        <v>862.8</v>
      </c>
      <c r="R89">
        <f>781*1.2</f>
        <v>937.19999999999993</v>
      </c>
      <c r="S89">
        <f>693*1.2</f>
        <v>831.6</v>
      </c>
      <c r="T89">
        <f>774*1.2</f>
        <v>928.8</v>
      </c>
      <c r="U89">
        <f>948*1.2</f>
        <v>1137.5999999999999</v>
      </c>
      <c r="V89">
        <f>(721)*1.2</f>
        <v>865.19999999999993</v>
      </c>
      <c r="W89">
        <f>(684)*1.2</f>
        <v>820.8</v>
      </c>
      <c r="X89">
        <f>808*1.2</f>
        <v>969.59999999999991</v>
      </c>
      <c r="Y89">
        <f>774*1.2</f>
        <v>928.8</v>
      </c>
      <c r="Z89">
        <f>915*1.2</f>
        <v>1098</v>
      </c>
      <c r="AA89">
        <f>1045*1.2</f>
        <v>1254</v>
      </c>
      <c r="AB89" s="324">
        <f>888*1.2</f>
        <v>1065.5999999999999</v>
      </c>
      <c r="AC89" s="324">
        <f>1117*1.2</f>
        <v>1340.3999999999999</v>
      </c>
      <c r="AD89" s="325">
        <f>1049*1.2</f>
        <v>1258.8</v>
      </c>
      <c r="AE89">
        <f>855*1.2</f>
        <v>1026</v>
      </c>
      <c r="AF89">
        <f>960*1.2</f>
        <v>1152</v>
      </c>
      <c r="AG89" s="243">
        <f>951*1.2</f>
        <v>1141.2</v>
      </c>
      <c r="AH89" s="243">
        <f>1149*1.2</f>
        <v>1378.8</v>
      </c>
      <c r="AI89" s="243">
        <f>1063*1.2</f>
        <v>1275.5999999999999</v>
      </c>
      <c r="AJ89" s="243">
        <f>877*1.2</f>
        <v>1052.3999999999999</v>
      </c>
      <c r="AK89">
        <f>970*1.2</f>
        <v>1164</v>
      </c>
      <c r="AL89">
        <f>1099*1.2</f>
        <v>1318.8</v>
      </c>
      <c r="AM89">
        <f>(1057)*1.2</f>
        <v>1268.3999999999999</v>
      </c>
      <c r="AN89">
        <f>(979)*1.2</f>
        <v>1174.8</v>
      </c>
      <c r="AO89">
        <f>827*1.2</f>
        <v>992.4</v>
      </c>
      <c r="AP89" s="78">
        <f>936*1.2</f>
        <v>1123.2</v>
      </c>
      <c r="AQ89">
        <f>909*1.2</f>
        <v>1090.8</v>
      </c>
      <c r="AR89">
        <f>926*1.2</f>
        <v>1111.2</v>
      </c>
      <c r="AS89">
        <f>977*1.2</f>
        <v>1172.3999999999999</v>
      </c>
      <c r="AT89">
        <f>995*1.2</f>
        <v>1194</v>
      </c>
      <c r="AU89" s="243">
        <f>1264*1.2</f>
        <v>1516.8</v>
      </c>
      <c r="AV89" s="243">
        <f>1219*1.2</f>
        <v>1462.8</v>
      </c>
      <c r="AW89" s="243">
        <f>1073*1.2</f>
        <v>1287.5999999999999</v>
      </c>
      <c r="AX89">
        <f>1151*1.2</f>
        <v>1381.2</v>
      </c>
      <c r="AY89">
        <f>1112*1.2</f>
        <v>1334.3999999999999</v>
      </c>
      <c r="AZ89">
        <f>1099*1.2</f>
        <v>1318.8</v>
      </c>
      <c r="BA89">
        <f>1113*1.2</f>
        <v>1335.6</v>
      </c>
      <c r="BB89">
        <f>1073*1.2</f>
        <v>1287.5999999999999</v>
      </c>
      <c r="BC89">
        <f>1035*1.2</f>
        <v>1242</v>
      </c>
      <c r="BD89">
        <v>1422</v>
      </c>
      <c r="BE89">
        <f>1185*1.2</f>
        <v>1422</v>
      </c>
      <c r="BF89">
        <f>1326*1.2</f>
        <v>1591.2</v>
      </c>
      <c r="BG89">
        <f>1148*1.2</f>
        <v>1377.6</v>
      </c>
      <c r="BH89">
        <f>1159*1.2</f>
        <v>1390.8</v>
      </c>
      <c r="BI89">
        <f>1288*1.2</f>
        <v>1545.6</v>
      </c>
      <c r="BJ89">
        <f>1408*1.2</f>
        <v>1689.6</v>
      </c>
      <c r="BK89">
        <f>1174*1.2</f>
        <v>1408.8</v>
      </c>
      <c r="BL89">
        <f>1458*1.2</f>
        <v>1749.6</v>
      </c>
      <c r="BM89">
        <f>1455*1.2</f>
        <v>1746</v>
      </c>
      <c r="BN89">
        <f>1124*1.2</f>
        <v>1348.8</v>
      </c>
      <c r="BO89">
        <f>1124*1.2</f>
        <v>1348.8</v>
      </c>
      <c r="BP89">
        <f>1361*1.2</f>
        <v>1633.2</v>
      </c>
      <c r="BQ89">
        <f>1163*1.2</f>
        <v>1395.6</v>
      </c>
      <c r="BR89">
        <f>1128*1.2</f>
        <v>1353.6</v>
      </c>
      <c r="BS89">
        <f>1325*1.2</f>
        <v>1590</v>
      </c>
      <c r="BT89">
        <f>1325*1.2</f>
        <v>1590</v>
      </c>
      <c r="BU89">
        <f>1287*1.2</f>
        <v>1544.3999999999999</v>
      </c>
      <c r="BV89">
        <f>1209*1.2</f>
        <v>1450.8</v>
      </c>
      <c r="BW89" s="527">
        <f>1336*1.2</f>
        <v>1603.2</v>
      </c>
      <c r="BX89" s="527">
        <f>1316*1.2</f>
        <v>1579.2</v>
      </c>
      <c r="BY89" s="527">
        <f>1341*1.2</f>
        <v>1609.2</v>
      </c>
      <c r="BZ89" s="527">
        <f>1206.481*1.2</f>
        <v>1447.7772</v>
      </c>
      <c r="CA89" s="527">
        <f>1274.296*1.2</f>
        <v>1529.1551999999999</v>
      </c>
      <c r="CB89" s="527">
        <f>1468.557*1.2</f>
        <v>1762.2683999999999</v>
      </c>
      <c r="CC89" s="521">
        <f>1245.35*1.2</f>
        <v>1494.4199999999998</v>
      </c>
      <c r="CD89" s="521">
        <f>1336.2*1.2</f>
        <v>1603.44</v>
      </c>
      <c r="CE89" s="521">
        <f>1353.5*1.2</f>
        <v>1624.2</v>
      </c>
      <c r="CF89" s="521">
        <f>1232.8*1.2</f>
        <v>1479.36</v>
      </c>
      <c r="CG89" s="521">
        <f>1318.436*1.2</f>
        <v>1582.1231999999998</v>
      </c>
      <c r="CH89" s="521">
        <f>1257.637*1.2</f>
        <v>1509.1643999999999</v>
      </c>
      <c r="CI89" s="423">
        <f>1312.138*1.2</f>
        <v>1574.5655999999999</v>
      </c>
      <c r="CJ89" s="423">
        <f>1313.164*1.2</f>
        <v>1575.7967999999998</v>
      </c>
      <c r="CK89" s="423">
        <f>1550.336*1.2</f>
        <v>1860.4032</v>
      </c>
      <c r="CL89" s="423">
        <f>1192.016*1.2</f>
        <v>1430.4192</v>
      </c>
      <c r="CM89" s="423">
        <f>1596.503*1.2</f>
        <v>1915.8035999999997</v>
      </c>
      <c r="CN89" s="423">
        <f>1142.724*1.2</f>
        <v>1371.2687999999998</v>
      </c>
      <c r="CO89" s="423">
        <f>1248.007*1.2</f>
        <v>1497.6084000000001</v>
      </c>
      <c r="CP89" s="423">
        <f>1827.773*1.2</f>
        <v>2193.3275999999996</v>
      </c>
      <c r="CQ89" s="423">
        <f>1379.976*1.2</f>
        <v>1655.9712000000002</v>
      </c>
      <c r="CR89" s="423">
        <f>1470.573*1.2</f>
        <v>1764.6876</v>
      </c>
      <c r="CS89" s="423">
        <f>1509.361*1.2</f>
        <v>1811.2332000000001</v>
      </c>
      <c r="CT89" s="423">
        <f>1730.029*1.2</f>
        <v>2076.0347999999999</v>
      </c>
      <c r="CU89" s="423">
        <f>1492.243*1.2</f>
        <v>1790.6915999999999</v>
      </c>
      <c r="CV89" s="423">
        <f>1639.805*1.2</f>
        <v>1967.7660000000001</v>
      </c>
      <c r="CW89" s="423">
        <f>1678.306*1.2</f>
        <v>2013.9672</v>
      </c>
      <c r="CX89" s="243">
        <f>1548.059*1.2</f>
        <v>1857.6707999999999</v>
      </c>
      <c r="CY89" s="782">
        <f>1302.669*1.2</f>
        <v>1563.2028</v>
      </c>
    </row>
    <row r="90" spans="2:103" x14ac:dyDescent="0.35">
      <c r="B90" t="s">
        <v>289</v>
      </c>
      <c r="D90" s="234">
        <v>0</v>
      </c>
      <c r="E90" s="234">
        <v>13</v>
      </c>
      <c r="F90" s="234">
        <v>0</v>
      </c>
      <c r="G90" s="234">
        <v>0</v>
      </c>
      <c r="H90" s="234">
        <v>11</v>
      </c>
      <c r="I90" s="323">
        <v>32</v>
      </c>
      <c r="J90" s="234">
        <v>23</v>
      </c>
      <c r="K90" s="234">
        <v>22</v>
      </c>
      <c r="L90" s="234">
        <v>111</v>
      </c>
      <c r="M90" s="234">
        <v>0</v>
      </c>
      <c r="N90" s="234">
        <v>0</v>
      </c>
      <c r="O90" s="234">
        <v>0</v>
      </c>
      <c r="P90" s="234">
        <v>0</v>
      </c>
      <c r="Q90" s="234">
        <v>0</v>
      </c>
      <c r="R90" s="234">
        <v>0</v>
      </c>
      <c r="AD90" s="78"/>
      <c r="AP90" s="78"/>
      <c r="CB90"/>
      <c r="CE90" s="421"/>
      <c r="CF90" s="421"/>
      <c r="CG90" s="421"/>
      <c r="CY90" s="384"/>
    </row>
    <row r="91" spans="2:103" x14ac:dyDescent="0.35">
      <c r="B91" t="s">
        <v>290</v>
      </c>
      <c r="D91" s="234">
        <v>9</v>
      </c>
      <c r="E91" s="234">
        <v>9</v>
      </c>
      <c r="F91" s="234">
        <v>14</v>
      </c>
      <c r="G91" s="234">
        <v>46</v>
      </c>
      <c r="H91" s="234">
        <v>41</v>
      </c>
      <c r="I91" s="323">
        <v>26</v>
      </c>
      <c r="J91" s="234">
        <v>29</v>
      </c>
      <c r="K91" s="234">
        <v>25</v>
      </c>
      <c r="L91" s="234">
        <v>89</v>
      </c>
      <c r="M91" s="234">
        <v>88</v>
      </c>
      <c r="N91" s="234">
        <v>111</v>
      </c>
      <c r="O91" s="234">
        <v>138</v>
      </c>
      <c r="P91" s="234">
        <v>79</v>
      </c>
      <c r="Q91" s="234">
        <v>86</v>
      </c>
      <c r="R91">
        <v>101</v>
      </c>
      <c r="S91" s="234">
        <v>89</v>
      </c>
      <c r="T91" s="234">
        <f>58+75</f>
        <v>133</v>
      </c>
      <c r="U91" s="234">
        <f>35+72</f>
        <v>107</v>
      </c>
      <c r="V91" s="234">
        <f>50+74</f>
        <v>124</v>
      </c>
      <c r="W91" s="234">
        <v>125</v>
      </c>
      <c r="X91" s="234">
        <v>132</v>
      </c>
      <c r="Y91">
        <v>157</v>
      </c>
      <c r="Z91">
        <v>180</v>
      </c>
      <c r="AA91">
        <v>143</v>
      </c>
      <c r="AB91">
        <v>157</v>
      </c>
      <c r="AC91">
        <v>190</v>
      </c>
      <c r="AD91" s="78">
        <v>167</v>
      </c>
      <c r="AE91">
        <v>114</v>
      </c>
      <c r="AF91">
        <v>131</v>
      </c>
      <c r="AG91">
        <f>151+17</f>
        <v>168</v>
      </c>
      <c r="AH91">
        <v>165</v>
      </c>
      <c r="AI91">
        <v>165</v>
      </c>
      <c r="AJ91">
        <v>175</v>
      </c>
      <c r="AK91">
        <v>171</v>
      </c>
      <c r="AL91">
        <f>172</f>
        <v>172</v>
      </c>
      <c r="AM91">
        <v>167</v>
      </c>
      <c r="AN91">
        <v>155</v>
      </c>
      <c r="AO91">
        <v>165</v>
      </c>
      <c r="AP91" s="78">
        <v>178</v>
      </c>
      <c r="AQ91">
        <v>178</v>
      </c>
      <c r="AR91">
        <v>175</v>
      </c>
      <c r="AS91">
        <v>178</v>
      </c>
      <c r="AT91">
        <v>182</v>
      </c>
      <c r="AU91">
        <v>198</v>
      </c>
      <c r="AV91">
        <v>201</v>
      </c>
      <c r="AW91">
        <v>203</v>
      </c>
      <c r="AX91">
        <v>203</v>
      </c>
      <c r="AY91">
        <v>199</v>
      </c>
      <c r="AZ91">
        <v>207</v>
      </c>
      <c r="BA91">
        <v>212</v>
      </c>
      <c r="BB91">
        <v>204</v>
      </c>
      <c r="BC91">
        <v>218</v>
      </c>
      <c r="BD91">
        <v>220</v>
      </c>
      <c r="BE91">
        <v>270</v>
      </c>
      <c r="BF91">
        <v>276</v>
      </c>
      <c r="BG91">
        <v>283</v>
      </c>
      <c r="BH91">
        <v>276</v>
      </c>
      <c r="BI91">
        <v>301</v>
      </c>
      <c r="BJ91">
        <v>332</v>
      </c>
      <c r="BK91">
        <v>336</v>
      </c>
      <c r="BL91">
        <v>326</v>
      </c>
      <c r="BM91">
        <v>359</v>
      </c>
      <c r="BN91">
        <v>324</v>
      </c>
      <c r="BO91">
        <v>341</v>
      </c>
      <c r="BP91">
        <v>339</v>
      </c>
      <c r="BQ91">
        <v>344</v>
      </c>
      <c r="BR91">
        <v>343</v>
      </c>
      <c r="BS91">
        <v>346</v>
      </c>
      <c r="BT91">
        <v>347</v>
      </c>
      <c r="BU91">
        <v>374</v>
      </c>
      <c r="BV91">
        <v>367</v>
      </c>
      <c r="BW91">
        <v>360</v>
      </c>
      <c r="BX91">
        <v>379</v>
      </c>
      <c r="BY91">
        <v>416</v>
      </c>
      <c r="BZ91">
        <v>387</v>
      </c>
      <c r="CA91">
        <v>382</v>
      </c>
      <c r="CB91">
        <v>396</v>
      </c>
      <c r="CC91" s="521">
        <v>406</v>
      </c>
      <c r="CD91" s="577">
        <v>398</v>
      </c>
      <c r="CE91" s="621">
        <v>376</v>
      </c>
      <c r="CF91" s="621">
        <v>366</v>
      </c>
      <c r="CG91" s="621">
        <v>368</v>
      </c>
      <c r="CH91">
        <v>345</v>
      </c>
      <c r="CI91">
        <v>345</v>
      </c>
      <c r="CJ91">
        <v>343</v>
      </c>
      <c r="CK91">
        <v>319</v>
      </c>
      <c r="CL91">
        <v>350</v>
      </c>
      <c r="CM91">
        <v>355</v>
      </c>
      <c r="CN91">
        <v>355</v>
      </c>
      <c r="CO91">
        <v>346</v>
      </c>
      <c r="CP91">
        <v>355</v>
      </c>
      <c r="CQ91">
        <v>362</v>
      </c>
      <c r="CR91">
        <v>358</v>
      </c>
      <c r="CS91">
        <v>365</v>
      </c>
      <c r="CT91">
        <v>380</v>
      </c>
      <c r="CU91">
        <v>377</v>
      </c>
      <c r="CV91">
        <v>394</v>
      </c>
      <c r="CW91">
        <v>384</v>
      </c>
      <c r="CX91">
        <v>380</v>
      </c>
      <c r="CY91" s="384">
        <v>388</v>
      </c>
    </row>
    <row r="92" spans="2:103" x14ac:dyDescent="0.35">
      <c r="B92" t="s">
        <v>299</v>
      </c>
      <c r="D92" s="234">
        <v>5</v>
      </c>
      <c r="E92" s="234">
        <v>6</v>
      </c>
      <c r="F92" s="234">
        <v>5</v>
      </c>
      <c r="G92" s="234">
        <v>5</v>
      </c>
      <c r="H92" s="234">
        <v>5</v>
      </c>
      <c r="I92" s="234">
        <v>5</v>
      </c>
      <c r="J92" s="234">
        <v>4</v>
      </c>
      <c r="K92" s="234">
        <v>6</v>
      </c>
      <c r="L92" s="323">
        <v>7</v>
      </c>
      <c r="M92" s="234">
        <v>16</v>
      </c>
      <c r="N92" s="234">
        <v>21</v>
      </c>
      <c r="O92" s="234">
        <v>9</v>
      </c>
      <c r="P92" s="234">
        <v>5</v>
      </c>
      <c r="Q92" s="234">
        <v>23</v>
      </c>
      <c r="R92">
        <v>9</v>
      </c>
      <c r="S92" s="234">
        <v>12</v>
      </c>
      <c r="T92" s="234">
        <v>11</v>
      </c>
      <c r="U92" s="234">
        <v>12</v>
      </c>
      <c r="V92" s="234">
        <v>13</v>
      </c>
      <c r="W92" s="234">
        <v>10</v>
      </c>
      <c r="X92" s="234">
        <v>13</v>
      </c>
      <c r="Y92" s="234">
        <v>12</v>
      </c>
      <c r="Z92" s="234">
        <v>12</v>
      </c>
      <c r="AA92" s="234">
        <v>13</v>
      </c>
      <c r="AB92" s="234">
        <v>13</v>
      </c>
      <c r="AC92" s="234">
        <v>9</v>
      </c>
      <c r="AD92" s="235">
        <v>30</v>
      </c>
      <c r="AE92">
        <v>23</v>
      </c>
      <c r="AF92">
        <v>13</v>
      </c>
      <c r="AG92">
        <v>14</v>
      </c>
      <c r="AH92">
        <v>14</v>
      </c>
      <c r="AI92">
        <v>13</v>
      </c>
      <c r="AJ92">
        <v>12</v>
      </c>
      <c r="AK92">
        <v>11</v>
      </c>
      <c r="AL92">
        <v>14</v>
      </c>
      <c r="AM92">
        <v>14</v>
      </c>
      <c r="AN92">
        <v>21</v>
      </c>
      <c r="AO92">
        <v>21</v>
      </c>
      <c r="AP92" s="78">
        <v>16</v>
      </c>
      <c r="AQ92">
        <v>18</v>
      </c>
      <c r="AR92">
        <v>17</v>
      </c>
      <c r="AS92">
        <v>26</v>
      </c>
      <c r="AT92">
        <v>38</v>
      </c>
      <c r="AU92">
        <v>33</v>
      </c>
      <c r="AV92">
        <v>43</v>
      </c>
      <c r="AW92">
        <v>48</v>
      </c>
      <c r="AX92">
        <v>27</v>
      </c>
      <c r="AY92">
        <v>39</v>
      </c>
      <c r="AZ92">
        <v>35</v>
      </c>
      <c r="BA92">
        <v>38</v>
      </c>
      <c r="BB92">
        <v>40</v>
      </c>
      <c r="BC92">
        <v>40</v>
      </c>
      <c r="BD92">
        <v>40</v>
      </c>
      <c r="BE92">
        <v>43</v>
      </c>
      <c r="BF92">
        <v>52</v>
      </c>
      <c r="BG92">
        <v>49</v>
      </c>
      <c r="BH92">
        <v>52</v>
      </c>
      <c r="BI92">
        <v>47</v>
      </c>
      <c r="BJ92">
        <v>46</v>
      </c>
      <c r="BK92">
        <v>73</v>
      </c>
      <c r="BL92">
        <v>23</v>
      </c>
      <c r="BM92">
        <v>49</v>
      </c>
      <c r="BN92">
        <v>49</v>
      </c>
      <c r="BO92">
        <v>47</v>
      </c>
      <c r="BP92">
        <v>46</v>
      </c>
      <c r="BQ92">
        <v>43</v>
      </c>
      <c r="BR92">
        <v>35</v>
      </c>
      <c r="BS92">
        <v>39</v>
      </c>
      <c r="BT92">
        <v>40</v>
      </c>
      <c r="BU92">
        <v>34</v>
      </c>
      <c r="BV92">
        <v>94</v>
      </c>
      <c r="BW92">
        <v>91</v>
      </c>
      <c r="BX92">
        <v>93</v>
      </c>
      <c r="BY92">
        <v>87</v>
      </c>
      <c r="BZ92">
        <v>86</v>
      </c>
      <c r="CA92">
        <v>85</v>
      </c>
      <c r="CB92">
        <v>85</v>
      </c>
      <c r="CC92" s="521">
        <v>26</v>
      </c>
      <c r="CD92" s="521">
        <v>26</v>
      </c>
      <c r="CE92" s="521">
        <v>86</v>
      </c>
      <c r="CF92" s="521">
        <v>89</v>
      </c>
      <c r="CG92" s="521">
        <v>90</v>
      </c>
      <c r="CH92">
        <v>85</v>
      </c>
      <c r="CI92">
        <v>26</v>
      </c>
      <c r="CJ92" s="234">
        <f>-36</f>
        <v>-36</v>
      </c>
      <c r="CK92" s="234">
        <v>25</v>
      </c>
      <c r="CL92" s="234">
        <v>25</v>
      </c>
      <c r="CM92" s="234">
        <v>25</v>
      </c>
      <c r="CN92" s="234">
        <v>25</v>
      </c>
      <c r="CO92" s="234">
        <v>23</v>
      </c>
      <c r="CP92" s="234">
        <v>24</v>
      </c>
      <c r="CQ92" s="234">
        <v>24</v>
      </c>
      <c r="CR92" s="234">
        <v>84</v>
      </c>
      <c r="CS92" s="234">
        <v>131</v>
      </c>
      <c r="CT92" s="234">
        <v>88</v>
      </c>
      <c r="CU92" s="234">
        <v>110</v>
      </c>
      <c r="CV92" s="234">
        <v>125</v>
      </c>
      <c r="CW92" s="234">
        <v>113</v>
      </c>
      <c r="CX92" s="234">
        <v>94</v>
      </c>
      <c r="CY92" s="783">
        <v>83</v>
      </c>
    </row>
    <row r="93" spans="2:103" x14ac:dyDescent="0.35">
      <c r="B93" t="s">
        <v>292</v>
      </c>
      <c r="D93" s="234"/>
      <c r="E93" s="234"/>
      <c r="F93" s="234"/>
      <c r="G93" s="234"/>
      <c r="H93" s="234"/>
      <c r="I93" s="234"/>
      <c r="J93" s="234"/>
      <c r="K93" s="234"/>
      <c r="L93" s="323"/>
      <c r="M93" s="234"/>
      <c r="N93" s="234"/>
      <c r="O93" s="234">
        <v>0</v>
      </c>
      <c r="P93" s="234">
        <v>0</v>
      </c>
      <c r="Q93" s="234">
        <f>213*1.15</f>
        <v>244.95</v>
      </c>
      <c r="R93">
        <v>5</v>
      </c>
      <c r="S93" s="234">
        <v>29</v>
      </c>
      <c r="T93" s="234">
        <v>28</v>
      </c>
      <c r="U93" s="234">
        <v>27</v>
      </c>
      <c r="V93" s="234">
        <v>5</v>
      </c>
      <c r="W93" s="234">
        <v>75</v>
      </c>
      <c r="X93" s="234">
        <v>29</v>
      </c>
      <c r="Y93" s="234">
        <v>32</v>
      </c>
      <c r="Z93" s="234">
        <v>28</v>
      </c>
      <c r="AA93" s="234">
        <v>29</v>
      </c>
      <c r="AB93" s="234">
        <v>29</v>
      </c>
      <c r="AC93" s="234">
        <v>28</v>
      </c>
      <c r="AD93" s="235">
        <v>31</v>
      </c>
      <c r="AE93">
        <v>28</v>
      </c>
      <c r="AF93">
        <v>32</v>
      </c>
      <c r="AG93">
        <v>28</v>
      </c>
      <c r="AH93">
        <v>29</v>
      </c>
      <c r="AI93">
        <v>31</v>
      </c>
      <c r="AJ93">
        <v>30</v>
      </c>
      <c r="AK93">
        <v>29</v>
      </c>
      <c r="AL93">
        <v>28</v>
      </c>
      <c r="AM93">
        <v>28</v>
      </c>
      <c r="AN93">
        <v>24</v>
      </c>
      <c r="AO93">
        <v>50</v>
      </c>
      <c r="AP93" s="78">
        <v>24</v>
      </c>
      <c r="AQ93">
        <v>25</v>
      </c>
      <c r="AR93">
        <v>24</v>
      </c>
      <c r="AS93">
        <v>26</v>
      </c>
      <c r="AT93">
        <v>26</v>
      </c>
      <c r="AU93">
        <v>25</v>
      </c>
      <c r="AV93">
        <v>26</v>
      </c>
      <c r="AW93">
        <v>25</v>
      </c>
      <c r="AX93">
        <v>24</v>
      </c>
      <c r="AY93">
        <v>24</v>
      </c>
      <c r="AZ93">
        <v>24</v>
      </c>
      <c r="BA93">
        <v>25</v>
      </c>
      <c r="BB93">
        <v>23</v>
      </c>
      <c r="BC93">
        <v>24</v>
      </c>
      <c r="BD93">
        <v>24</v>
      </c>
      <c r="BE93">
        <v>24</v>
      </c>
      <c r="BF93">
        <v>25</v>
      </c>
      <c r="BG93">
        <v>24</v>
      </c>
      <c r="BH93">
        <v>32</v>
      </c>
      <c r="BI93">
        <v>25</v>
      </c>
      <c r="BJ93">
        <v>24</v>
      </c>
      <c r="BK93">
        <v>24</v>
      </c>
      <c r="BL93">
        <v>22</v>
      </c>
      <c r="BM93">
        <v>22</v>
      </c>
      <c r="BN93">
        <v>24</v>
      </c>
      <c r="BO93">
        <v>22</v>
      </c>
      <c r="BP93">
        <v>22</v>
      </c>
      <c r="BQ93">
        <v>21</v>
      </c>
      <c r="BR93">
        <v>20</v>
      </c>
      <c r="BS93">
        <v>19</v>
      </c>
      <c r="BT93">
        <v>20</v>
      </c>
      <c r="BU93">
        <v>20</v>
      </c>
      <c r="BV93">
        <v>19</v>
      </c>
      <c r="BW93">
        <v>19</v>
      </c>
      <c r="BX93">
        <v>19</v>
      </c>
      <c r="BY93">
        <v>18</v>
      </c>
      <c r="BZ93">
        <v>20</v>
      </c>
      <c r="CA93">
        <v>21</v>
      </c>
      <c r="CB93">
        <v>22</v>
      </c>
      <c r="CC93" s="521">
        <v>22</v>
      </c>
      <c r="CD93" s="521">
        <v>24</v>
      </c>
      <c r="CE93" s="521">
        <v>23</v>
      </c>
      <c r="CF93" s="521">
        <v>20</v>
      </c>
      <c r="CG93" s="521">
        <v>20</v>
      </c>
      <c r="CH93">
        <v>18</v>
      </c>
      <c r="CI93">
        <v>14</v>
      </c>
      <c r="CJ93">
        <v>15</v>
      </c>
      <c r="CK93">
        <v>15</v>
      </c>
      <c r="CL93">
        <v>12</v>
      </c>
      <c r="CM93">
        <v>9</v>
      </c>
      <c r="CN93">
        <v>10</v>
      </c>
      <c r="CO93">
        <v>9</v>
      </c>
      <c r="CP93">
        <v>9</v>
      </c>
      <c r="CQ93">
        <v>9</v>
      </c>
      <c r="CR93">
        <v>9</v>
      </c>
      <c r="CS93">
        <v>9</v>
      </c>
      <c r="CT93">
        <v>10</v>
      </c>
      <c r="CU93">
        <v>9</v>
      </c>
      <c r="CV93">
        <v>10</v>
      </c>
      <c r="CW93">
        <v>9</v>
      </c>
      <c r="CX93">
        <v>6</v>
      </c>
      <c r="CY93" s="384">
        <v>8</v>
      </c>
    </row>
    <row r="94" spans="2:103" x14ac:dyDescent="0.35">
      <c r="B94" t="s">
        <v>293</v>
      </c>
      <c r="D94" s="234">
        <v>12</v>
      </c>
      <c r="E94" s="234">
        <v>17</v>
      </c>
      <c r="F94" s="234">
        <v>20</v>
      </c>
      <c r="G94" s="234">
        <v>8</v>
      </c>
      <c r="H94" s="234">
        <v>27</v>
      </c>
      <c r="I94" s="323">
        <v>19</v>
      </c>
      <c r="J94" s="234">
        <v>17</v>
      </c>
      <c r="K94" s="234">
        <v>9</v>
      </c>
      <c r="L94" s="234">
        <v>24</v>
      </c>
      <c r="M94" s="234">
        <v>12</v>
      </c>
      <c r="N94" s="234">
        <v>21</v>
      </c>
      <c r="O94" s="234">
        <v>24</v>
      </c>
      <c r="P94" s="234">
        <v>14</v>
      </c>
      <c r="Q94" s="234">
        <v>47</v>
      </c>
      <c r="R94">
        <v>14</v>
      </c>
      <c r="S94" s="234">
        <v>17</v>
      </c>
      <c r="T94" s="234">
        <v>16</v>
      </c>
      <c r="U94" s="234">
        <v>29</v>
      </c>
      <c r="V94" s="234">
        <v>25</v>
      </c>
      <c r="W94" s="234">
        <v>23</v>
      </c>
      <c r="X94" s="234">
        <v>23</v>
      </c>
      <c r="Y94" s="234">
        <v>23</v>
      </c>
      <c r="Z94" s="234">
        <v>23</v>
      </c>
      <c r="AA94" s="234">
        <v>18</v>
      </c>
      <c r="AB94" s="234">
        <v>23</v>
      </c>
      <c r="AC94" s="234">
        <v>23</v>
      </c>
      <c r="AD94" s="235">
        <v>26</v>
      </c>
      <c r="AE94">
        <v>32</v>
      </c>
      <c r="AF94">
        <v>24</v>
      </c>
      <c r="AG94">
        <v>27</v>
      </c>
      <c r="AH94">
        <v>30</v>
      </c>
      <c r="AI94">
        <v>28</v>
      </c>
      <c r="AJ94">
        <v>29</v>
      </c>
      <c r="AK94">
        <v>24</v>
      </c>
      <c r="AL94">
        <v>26</v>
      </c>
      <c r="AM94">
        <v>42</v>
      </c>
      <c r="AN94">
        <v>35</v>
      </c>
      <c r="AO94">
        <v>30</v>
      </c>
      <c r="AP94" s="78">
        <v>33</v>
      </c>
      <c r="AQ94">
        <v>40</v>
      </c>
      <c r="AR94">
        <v>42</v>
      </c>
      <c r="AS94">
        <v>112</v>
      </c>
      <c r="AT94">
        <v>90</v>
      </c>
      <c r="AU94">
        <v>113</v>
      </c>
      <c r="AV94">
        <v>103</v>
      </c>
      <c r="AW94">
        <v>200</v>
      </c>
      <c r="AX94">
        <v>194</v>
      </c>
      <c r="AY94">
        <v>194</v>
      </c>
      <c r="AZ94">
        <v>205</v>
      </c>
      <c r="BA94">
        <v>253</v>
      </c>
      <c r="BB94">
        <v>155</v>
      </c>
      <c r="BC94">
        <v>157</v>
      </c>
      <c r="BD94">
        <v>222</v>
      </c>
      <c r="BE94">
        <v>264</v>
      </c>
      <c r="BF94">
        <v>227</v>
      </c>
      <c r="BG94">
        <v>244</v>
      </c>
      <c r="BH94">
        <v>245</v>
      </c>
      <c r="BI94">
        <v>225</v>
      </c>
      <c r="BJ94">
        <v>381</v>
      </c>
      <c r="BK94">
        <v>240</v>
      </c>
      <c r="BL94">
        <v>337</v>
      </c>
      <c r="BM94">
        <v>320</v>
      </c>
      <c r="BN94">
        <v>315</v>
      </c>
      <c r="BO94">
        <v>319</v>
      </c>
      <c r="BP94">
        <v>365</v>
      </c>
      <c r="BQ94">
        <v>348</v>
      </c>
      <c r="BR94">
        <v>352</v>
      </c>
      <c r="BS94">
        <v>316</v>
      </c>
      <c r="BT94">
        <v>317</v>
      </c>
      <c r="BU94">
        <v>296</v>
      </c>
      <c r="BV94">
        <v>341</v>
      </c>
      <c r="BW94">
        <v>299</v>
      </c>
      <c r="BX94">
        <v>302</v>
      </c>
      <c r="BY94">
        <v>313</v>
      </c>
      <c r="BZ94">
        <v>280</v>
      </c>
      <c r="CA94">
        <v>355</v>
      </c>
      <c r="CB94">
        <v>385</v>
      </c>
      <c r="CC94" s="521">
        <v>315</v>
      </c>
      <c r="CD94" s="521">
        <v>310</v>
      </c>
      <c r="CE94" s="521">
        <v>356</v>
      </c>
      <c r="CF94" s="521">
        <v>321</v>
      </c>
      <c r="CG94" s="521">
        <v>331</v>
      </c>
      <c r="CH94">
        <v>302</v>
      </c>
      <c r="CI94">
        <v>384</v>
      </c>
      <c r="CJ94">
        <v>466</v>
      </c>
      <c r="CK94">
        <v>392</v>
      </c>
      <c r="CL94">
        <v>400</v>
      </c>
      <c r="CM94">
        <v>489</v>
      </c>
      <c r="CN94">
        <v>375</v>
      </c>
      <c r="CO94">
        <v>437</v>
      </c>
      <c r="CP94">
        <v>389</v>
      </c>
      <c r="CQ94">
        <v>426</v>
      </c>
      <c r="CR94">
        <v>445</v>
      </c>
      <c r="CS94">
        <v>394</v>
      </c>
      <c r="CT94">
        <v>394</v>
      </c>
      <c r="CU94">
        <v>441</v>
      </c>
      <c r="CV94">
        <v>408</v>
      </c>
      <c r="CW94">
        <v>479</v>
      </c>
      <c r="CX94">
        <v>430</v>
      </c>
      <c r="CY94" s="384">
        <v>365</v>
      </c>
    </row>
    <row r="95" spans="2:103" x14ac:dyDescent="0.35">
      <c r="B95" t="s">
        <v>294</v>
      </c>
      <c r="C95" s="243"/>
      <c r="D95" s="234">
        <f>44*1.2</f>
        <v>52.8</v>
      </c>
      <c r="E95" s="234">
        <v>46</v>
      </c>
      <c r="F95" s="234">
        <v>42</v>
      </c>
      <c r="G95" s="234">
        <v>38</v>
      </c>
      <c r="H95" s="234">
        <v>42</v>
      </c>
      <c r="I95" s="323">
        <v>33</v>
      </c>
      <c r="J95" s="234">
        <v>40</v>
      </c>
      <c r="K95" s="234">
        <v>40</v>
      </c>
      <c r="L95" s="234">
        <v>37</v>
      </c>
      <c r="M95" s="234">
        <v>1</v>
      </c>
      <c r="N95" s="234">
        <v>45</v>
      </c>
      <c r="O95" s="234">
        <v>27</v>
      </c>
      <c r="P95" s="234">
        <v>30</v>
      </c>
      <c r="Q95" s="234">
        <v>27</v>
      </c>
      <c r="R95">
        <v>29</v>
      </c>
      <c r="S95" s="234">
        <v>26</v>
      </c>
      <c r="T95" s="234">
        <v>27</v>
      </c>
      <c r="U95" s="234">
        <v>23</v>
      </c>
      <c r="V95" s="234">
        <v>23</v>
      </c>
      <c r="W95" s="234">
        <v>23</v>
      </c>
      <c r="X95" s="234">
        <v>25</v>
      </c>
      <c r="Y95" s="234">
        <v>25</v>
      </c>
      <c r="Z95" s="234">
        <v>25</v>
      </c>
      <c r="AA95" s="234">
        <v>23</v>
      </c>
      <c r="AB95" s="234">
        <v>24</v>
      </c>
      <c r="AC95" s="234">
        <v>23</v>
      </c>
      <c r="AD95" s="235">
        <v>23</v>
      </c>
      <c r="AE95">
        <v>24</v>
      </c>
      <c r="AF95">
        <v>24</v>
      </c>
      <c r="AG95">
        <v>23</v>
      </c>
      <c r="AH95">
        <v>23</v>
      </c>
      <c r="AI95">
        <v>23</v>
      </c>
      <c r="AJ95">
        <v>2</v>
      </c>
      <c r="AK95">
        <v>4</v>
      </c>
      <c r="AL95">
        <v>3</v>
      </c>
      <c r="AM95">
        <v>3</v>
      </c>
      <c r="AN95">
        <v>3</v>
      </c>
      <c r="AO95">
        <v>3</v>
      </c>
      <c r="AP95" s="78">
        <v>5</v>
      </c>
      <c r="AQ95">
        <v>4</v>
      </c>
      <c r="AR95">
        <v>4</v>
      </c>
      <c r="AS95">
        <v>4</v>
      </c>
      <c r="AT95">
        <v>4</v>
      </c>
      <c r="AU95">
        <v>4</v>
      </c>
      <c r="AV95">
        <v>4</v>
      </c>
      <c r="AW95">
        <v>3</v>
      </c>
      <c r="AX95">
        <v>4</v>
      </c>
      <c r="AY95">
        <v>4</v>
      </c>
      <c r="AZ95">
        <v>4</v>
      </c>
      <c r="BA95">
        <v>5</v>
      </c>
      <c r="BB95">
        <v>5</v>
      </c>
      <c r="BC95">
        <v>4</v>
      </c>
      <c r="BD95">
        <v>4</v>
      </c>
      <c r="BE95">
        <v>6</v>
      </c>
      <c r="BF95">
        <v>5</v>
      </c>
      <c r="BG95">
        <v>5</v>
      </c>
      <c r="BH95">
        <v>5</v>
      </c>
      <c r="BI95">
        <v>5</v>
      </c>
      <c r="BJ95">
        <v>6</v>
      </c>
      <c r="BK95">
        <v>5</v>
      </c>
      <c r="BL95">
        <v>5</v>
      </c>
      <c r="BM95">
        <v>5</v>
      </c>
      <c r="BN95">
        <v>5</v>
      </c>
      <c r="BO95">
        <v>5</v>
      </c>
      <c r="BP95">
        <v>5</v>
      </c>
      <c r="BQ95">
        <v>5</v>
      </c>
      <c r="BR95">
        <v>5</v>
      </c>
      <c r="BS95">
        <v>5</v>
      </c>
      <c r="BT95">
        <v>6</v>
      </c>
      <c r="BU95">
        <v>5</v>
      </c>
      <c r="BV95">
        <v>5</v>
      </c>
      <c r="BW95">
        <v>5</v>
      </c>
      <c r="BX95">
        <v>5</v>
      </c>
      <c r="BY95">
        <v>5</v>
      </c>
      <c r="BZ95">
        <v>4</v>
      </c>
      <c r="CA95">
        <v>15</v>
      </c>
      <c r="CB95">
        <v>7</v>
      </c>
      <c r="CC95" s="521">
        <v>4</v>
      </c>
      <c r="CD95" s="521">
        <v>3</v>
      </c>
      <c r="CE95" s="521">
        <v>4</v>
      </c>
      <c r="CF95" s="521">
        <v>3</v>
      </c>
      <c r="CG95" s="521">
        <v>2</v>
      </c>
      <c r="CH95">
        <v>4</v>
      </c>
      <c r="CI95">
        <v>1</v>
      </c>
      <c r="CJ95">
        <v>4</v>
      </c>
      <c r="CK95">
        <v>1</v>
      </c>
      <c r="CL95">
        <v>4</v>
      </c>
      <c r="CM95">
        <v>1</v>
      </c>
      <c r="CN95">
        <v>4</v>
      </c>
      <c r="CO95">
        <v>4</v>
      </c>
      <c r="CP95">
        <v>1</v>
      </c>
      <c r="CQ95">
        <v>1</v>
      </c>
      <c r="CR95">
        <v>1</v>
      </c>
      <c r="CS95">
        <v>4</v>
      </c>
      <c r="CT95">
        <v>8</v>
      </c>
      <c r="CU95">
        <v>1</v>
      </c>
      <c r="CV95">
        <v>3</v>
      </c>
      <c r="CW95">
        <v>1</v>
      </c>
      <c r="CX95">
        <v>1</v>
      </c>
      <c r="CY95" s="384">
        <v>1</v>
      </c>
    </row>
    <row r="96" spans="2:103" x14ac:dyDescent="0.35">
      <c r="B96" t="s">
        <v>300</v>
      </c>
      <c r="C96" s="36"/>
      <c r="D96" s="237">
        <v>0</v>
      </c>
      <c r="E96" s="237">
        <v>0</v>
      </c>
      <c r="F96" s="234">
        <v>0</v>
      </c>
      <c r="G96" s="234">
        <v>0</v>
      </c>
      <c r="H96" s="234">
        <v>0</v>
      </c>
      <c r="I96" s="323">
        <v>0</v>
      </c>
      <c r="J96" s="234">
        <v>0</v>
      </c>
      <c r="K96" s="234">
        <v>0</v>
      </c>
      <c r="L96" s="234">
        <v>0</v>
      </c>
      <c r="M96" s="234">
        <v>0</v>
      </c>
      <c r="N96" s="237">
        <v>0</v>
      </c>
      <c r="O96" s="237">
        <v>0</v>
      </c>
      <c r="P96" s="237">
        <v>0</v>
      </c>
      <c r="Q96" s="237">
        <v>0</v>
      </c>
      <c r="R96" s="237">
        <v>0</v>
      </c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87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87"/>
      <c r="AQ96" s="36"/>
      <c r="AR96" s="36"/>
      <c r="AS96" s="36"/>
      <c r="AT96" s="36"/>
      <c r="AU96" s="36"/>
      <c r="AV96" s="36"/>
      <c r="AW96" s="36"/>
      <c r="AX96" s="36"/>
      <c r="AY96" s="36"/>
      <c r="AZ96" s="36"/>
      <c r="CB96"/>
      <c r="CE96" s="421"/>
      <c r="CF96" s="421"/>
      <c r="CG96" s="421"/>
      <c r="CY96" s="384"/>
    </row>
    <row r="97" spans="2:103" s="10" customFormat="1" x14ac:dyDescent="0.35">
      <c r="B97" s="10" t="s">
        <v>198</v>
      </c>
      <c r="C97" s="245"/>
      <c r="D97" s="246">
        <f t="shared" ref="D97:AI97" si="101">SUM(D89:D96)</f>
        <v>907.99999999999989</v>
      </c>
      <c r="E97" s="246">
        <f t="shared" si="101"/>
        <v>817.19999999999993</v>
      </c>
      <c r="F97" s="247">
        <f t="shared" si="101"/>
        <v>835.8</v>
      </c>
      <c r="G97" s="247">
        <f t="shared" si="101"/>
        <v>808.6</v>
      </c>
      <c r="H97" s="247">
        <f t="shared" si="101"/>
        <v>861.6</v>
      </c>
      <c r="I97" s="247">
        <f t="shared" si="101"/>
        <v>951.4</v>
      </c>
      <c r="J97" s="247">
        <f t="shared" si="101"/>
        <v>813.8</v>
      </c>
      <c r="K97" s="247">
        <f t="shared" si="101"/>
        <v>872.4</v>
      </c>
      <c r="L97" s="247">
        <f t="shared" si="101"/>
        <v>1178.8</v>
      </c>
      <c r="M97" s="247">
        <f t="shared" si="101"/>
        <v>894.6</v>
      </c>
      <c r="N97" s="246">
        <f t="shared" si="101"/>
        <v>1086</v>
      </c>
      <c r="O97" s="246">
        <f t="shared" si="101"/>
        <v>1140</v>
      </c>
      <c r="P97" s="246">
        <f t="shared" si="101"/>
        <v>953.6</v>
      </c>
      <c r="Q97" s="246">
        <f t="shared" si="101"/>
        <v>1290.75</v>
      </c>
      <c r="R97" s="246">
        <f t="shared" si="101"/>
        <v>1095.1999999999998</v>
      </c>
      <c r="S97" s="246">
        <f t="shared" si="101"/>
        <v>1004.6</v>
      </c>
      <c r="T97" s="246">
        <f t="shared" si="101"/>
        <v>1143.8</v>
      </c>
      <c r="U97" s="246">
        <f t="shared" si="101"/>
        <v>1335.6</v>
      </c>
      <c r="V97" s="246">
        <f t="shared" si="101"/>
        <v>1055.1999999999998</v>
      </c>
      <c r="W97" s="246">
        <f t="shared" si="101"/>
        <v>1076.8</v>
      </c>
      <c r="X97" s="246">
        <f t="shared" si="101"/>
        <v>1191.5999999999999</v>
      </c>
      <c r="Y97" s="246">
        <f t="shared" si="101"/>
        <v>1177.8</v>
      </c>
      <c r="Z97" s="246">
        <f t="shared" si="101"/>
        <v>1366</v>
      </c>
      <c r="AA97" s="246">
        <f t="shared" si="101"/>
        <v>1480</v>
      </c>
      <c r="AB97" s="246">
        <f t="shared" si="101"/>
        <v>1311.6</v>
      </c>
      <c r="AC97" s="246">
        <f t="shared" si="101"/>
        <v>1613.3999999999999</v>
      </c>
      <c r="AD97" s="246">
        <f t="shared" si="101"/>
        <v>1535.8</v>
      </c>
      <c r="AE97" s="246">
        <f t="shared" si="101"/>
        <v>1247</v>
      </c>
      <c r="AF97" s="246">
        <f t="shared" si="101"/>
        <v>1376</v>
      </c>
      <c r="AG97" s="246">
        <f t="shared" si="101"/>
        <v>1401.2</v>
      </c>
      <c r="AH97" s="246">
        <f t="shared" si="101"/>
        <v>1639.8</v>
      </c>
      <c r="AI97" s="246">
        <f t="shared" si="101"/>
        <v>1535.6</v>
      </c>
      <c r="AJ97" s="246">
        <f t="shared" ref="AJ97:CI97" si="102">SUM(AJ89:AJ96)</f>
        <v>1300.3999999999999</v>
      </c>
      <c r="AK97" s="246">
        <f t="shared" si="102"/>
        <v>1403</v>
      </c>
      <c r="AL97" s="246">
        <f t="shared" si="102"/>
        <v>1561.8</v>
      </c>
      <c r="AM97" s="246">
        <f t="shared" si="102"/>
        <v>1522.3999999999999</v>
      </c>
      <c r="AN97" s="246">
        <f t="shared" si="102"/>
        <v>1412.8</v>
      </c>
      <c r="AO97" s="246">
        <f t="shared" si="102"/>
        <v>1261.4000000000001</v>
      </c>
      <c r="AP97" s="326">
        <f t="shared" si="102"/>
        <v>1379.2</v>
      </c>
      <c r="AQ97" s="246">
        <f t="shared" si="102"/>
        <v>1355.8</v>
      </c>
      <c r="AR97" s="246">
        <f t="shared" si="102"/>
        <v>1373.2</v>
      </c>
      <c r="AS97" s="246">
        <f t="shared" si="102"/>
        <v>1518.3999999999999</v>
      </c>
      <c r="AT97" s="246">
        <f t="shared" si="102"/>
        <v>1534</v>
      </c>
      <c r="AU97" s="246">
        <f t="shared" si="102"/>
        <v>1889.8</v>
      </c>
      <c r="AV97" s="246">
        <f t="shared" si="102"/>
        <v>1839.8</v>
      </c>
      <c r="AW97" s="246">
        <f t="shared" si="102"/>
        <v>1766.6</v>
      </c>
      <c r="AX97" s="246">
        <f t="shared" si="102"/>
        <v>1833.2</v>
      </c>
      <c r="AY97" s="246">
        <f t="shared" si="102"/>
        <v>1794.3999999999999</v>
      </c>
      <c r="AZ97" s="246">
        <f t="shared" si="102"/>
        <v>1793.8</v>
      </c>
      <c r="BA97" s="247">
        <f t="shared" si="102"/>
        <v>1868.6</v>
      </c>
      <c r="BB97" s="247">
        <f t="shared" si="102"/>
        <v>1714.6</v>
      </c>
      <c r="BC97" s="247">
        <f t="shared" si="102"/>
        <v>1685</v>
      </c>
      <c r="BD97" s="247">
        <f t="shared" si="102"/>
        <v>1932</v>
      </c>
      <c r="BE97" s="247">
        <f t="shared" si="102"/>
        <v>2029</v>
      </c>
      <c r="BF97" s="247">
        <f t="shared" si="102"/>
        <v>2176.1999999999998</v>
      </c>
      <c r="BG97" s="247">
        <f t="shared" si="102"/>
        <v>1982.6</v>
      </c>
      <c r="BH97" s="247">
        <f t="shared" si="102"/>
        <v>2000.8</v>
      </c>
      <c r="BI97" s="247">
        <f t="shared" si="102"/>
        <v>2148.6</v>
      </c>
      <c r="BJ97" s="247">
        <f t="shared" si="102"/>
        <v>2478.6</v>
      </c>
      <c r="BK97" s="247">
        <f t="shared" si="102"/>
        <v>2086.8000000000002</v>
      </c>
      <c r="BL97" s="247">
        <f t="shared" si="102"/>
        <v>2462.6</v>
      </c>
      <c r="BM97" s="247">
        <f t="shared" si="102"/>
        <v>2501</v>
      </c>
      <c r="BN97" s="247">
        <f t="shared" si="102"/>
        <v>2065.8000000000002</v>
      </c>
      <c r="BO97" s="247">
        <f t="shared" si="102"/>
        <v>2082.8000000000002</v>
      </c>
      <c r="BP97" s="247">
        <f t="shared" si="102"/>
        <v>2410.1999999999998</v>
      </c>
      <c r="BQ97" s="247">
        <f t="shared" si="102"/>
        <v>2156.6</v>
      </c>
      <c r="BR97" s="247">
        <f t="shared" si="102"/>
        <v>2108.6</v>
      </c>
      <c r="BS97" s="247">
        <f t="shared" si="102"/>
        <v>2315</v>
      </c>
      <c r="BT97" s="247">
        <f t="shared" si="102"/>
        <v>2320</v>
      </c>
      <c r="BU97" s="247">
        <f t="shared" si="102"/>
        <v>2273.3999999999996</v>
      </c>
      <c r="BV97" s="247">
        <f t="shared" si="102"/>
        <v>2276.8000000000002</v>
      </c>
      <c r="BW97" s="247">
        <f t="shared" si="102"/>
        <v>2377.1999999999998</v>
      </c>
      <c r="BX97" s="247">
        <f t="shared" si="102"/>
        <v>2377.1999999999998</v>
      </c>
      <c r="BY97" s="247">
        <f t="shared" si="102"/>
        <v>2448.1999999999998</v>
      </c>
      <c r="BZ97" s="247">
        <f t="shared" si="102"/>
        <v>2224.7772</v>
      </c>
      <c r="CA97" s="247">
        <f t="shared" si="102"/>
        <v>2387.1552000000001</v>
      </c>
      <c r="CB97" s="247">
        <f t="shared" si="102"/>
        <v>2657.2683999999999</v>
      </c>
      <c r="CC97" s="578">
        <f t="shared" si="102"/>
        <v>2267.42</v>
      </c>
      <c r="CD97" s="578">
        <f t="shared" si="102"/>
        <v>2364.44</v>
      </c>
      <c r="CE97" s="578">
        <f t="shared" si="102"/>
        <v>2469.1999999999998</v>
      </c>
      <c r="CF97" s="578">
        <f t="shared" si="102"/>
        <v>2278.3599999999997</v>
      </c>
      <c r="CG97" s="578">
        <f t="shared" si="102"/>
        <v>2393.1232</v>
      </c>
      <c r="CH97" s="578">
        <f t="shared" si="102"/>
        <v>2263.1643999999997</v>
      </c>
      <c r="CI97" s="622">
        <f t="shared" si="102"/>
        <v>2344.5655999999999</v>
      </c>
      <c r="CJ97" s="622">
        <f t="shared" ref="CJ97:CP97" si="103">SUM(CJ89:CJ96)</f>
        <v>2367.7968000000001</v>
      </c>
      <c r="CK97" s="622">
        <f t="shared" si="103"/>
        <v>2612.4031999999997</v>
      </c>
      <c r="CL97" s="622">
        <f t="shared" si="103"/>
        <v>2221.4192000000003</v>
      </c>
      <c r="CM97" s="622">
        <f t="shared" si="103"/>
        <v>2794.8035999999997</v>
      </c>
      <c r="CN97" s="622">
        <f t="shared" si="103"/>
        <v>2140.2687999999998</v>
      </c>
      <c r="CO97" s="622">
        <f t="shared" si="103"/>
        <v>2316.6084000000001</v>
      </c>
      <c r="CP97" s="622">
        <f t="shared" si="103"/>
        <v>2971.3275999999996</v>
      </c>
      <c r="CQ97" s="622">
        <f t="shared" ref="CQ97:CX97" si="104">SUM(CQ89:CQ96)</f>
        <v>2477.9712</v>
      </c>
      <c r="CR97" s="622">
        <f t="shared" si="104"/>
        <v>2661.6876000000002</v>
      </c>
      <c r="CS97" s="622">
        <f t="shared" si="104"/>
        <v>2714.2332000000001</v>
      </c>
      <c r="CT97" s="622">
        <f t="shared" si="104"/>
        <v>2956.0347999999999</v>
      </c>
      <c r="CU97" s="622">
        <f t="shared" si="104"/>
        <v>2728.6916000000001</v>
      </c>
      <c r="CV97" s="622">
        <f t="shared" si="104"/>
        <v>2907.7660000000001</v>
      </c>
      <c r="CW97" s="622">
        <f t="shared" si="104"/>
        <v>2999.9672</v>
      </c>
      <c r="CX97" s="622">
        <f t="shared" si="104"/>
        <v>2768.6707999999999</v>
      </c>
      <c r="CY97" s="784">
        <f t="shared" ref="CY97" si="105">SUM(CY89:CY96)</f>
        <v>2408.2028</v>
      </c>
    </row>
    <row r="99" spans="2:103" x14ac:dyDescent="0.35">
      <c r="O99" s="243"/>
    </row>
    <row r="101" spans="2:103" x14ac:dyDescent="0.35">
      <c r="N101" s="60"/>
      <c r="AI101">
        <v>1094</v>
      </c>
      <c r="AJ101">
        <v>1022</v>
      </c>
      <c r="AK101">
        <v>1363</v>
      </c>
    </row>
    <row r="102" spans="2:103" x14ac:dyDescent="0.35">
      <c r="AI102">
        <v>34</v>
      </c>
      <c r="AJ102">
        <v>581</v>
      </c>
      <c r="AK102">
        <v>429</v>
      </c>
    </row>
    <row r="103" spans="2:103" x14ac:dyDescent="0.35">
      <c r="AI103">
        <v>686</v>
      </c>
      <c r="AJ103">
        <v>19</v>
      </c>
      <c r="AK103">
        <v>274</v>
      </c>
    </row>
    <row r="104" spans="2:103" x14ac:dyDescent="0.35">
      <c r="AI104">
        <v>264</v>
      </c>
      <c r="AJ104">
        <v>301</v>
      </c>
      <c r="AK104">
        <v>149</v>
      </c>
    </row>
    <row r="105" spans="2:103" x14ac:dyDescent="0.35">
      <c r="AI105">
        <v>129</v>
      </c>
      <c r="AJ105">
        <v>342</v>
      </c>
      <c r="AK105">
        <v>190</v>
      </c>
    </row>
    <row r="107" spans="2:103" x14ac:dyDescent="0.35">
      <c r="AI107">
        <v>2052</v>
      </c>
      <c r="AJ107">
        <v>2073</v>
      </c>
      <c r="AK107">
        <v>2198</v>
      </c>
    </row>
    <row r="110" spans="2:103" x14ac:dyDescent="0.35">
      <c r="AA110" s="44"/>
    </row>
    <row r="137" spans="28:28" x14ac:dyDescent="0.35">
      <c r="AB137">
        <f>T78+T91-M101-M87</f>
        <v>598</v>
      </c>
    </row>
  </sheetData>
  <mergeCells count="9">
    <mergeCell ref="B59:B65"/>
    <mergeCell ref="B68:B74"/>
    <mergeCell ref="B77:B83"/>
    <mergeCell ref="B5:B11"/>
    <mergeCell ref="B14:B20"/>
    <mergeCell ref="B23:B29"/>
    <mergeCell ref="B32:B38"/>
    <mergeCell ref="B41:B47"/>
    <mergeCell ref="B50:B56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Header>&amp;A</oddHeader>
    <oddFooter xml:space="preserve">&amp;L&amp;F &amp;D&amp;C&amp;P of &amp;N&amp;REseye  Private and Confidential 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8A00-43A5-4CFF-9701-BF607F7F80FC}">
  <sheetPr>
    <pageSetUpPr fitToPage="1"/>
  </sheetPr>
  <dimension ref="A1:K252"/>
  <sheetViews>
    <sheetView topLeftCell="B2" zoomScaleNormal="100" workbookViewId="0">
      <selection activeCell="L36" sqref="L36"/>
    </sheetView>
  </sheetViews>
  <sheetFormatPr defaultRowHeight="15" customHeight="1" x14ac:dyDescent="0.35"/>
  <cols>
    <col min="1" max="1" width="0" hidden="1" customWidth="1"/>
    <col min="2" max="2" width="39" customWidth="1"/>
    <col min="3" max="3" width="9.54296875" style="44" bestFit="1" customWidth="1"/>
    <col min="4" max="7" width="8.453125" style="44" bestFit="1" customWidth="1"/>
    <col min="8" max="8" width="9.453125" style="44" bestFit="1" customWidth="1"/>
    <col min="9" max="9" width="10.453125" style="44" customWidth="1"/>
    <col min="10" max="11" width="9.453125" style="44" customWidth="1"/>
  </cols>
  <sheetData>
    <row r="1" spans="1:10" ht="14.5" hidden="1" x14ac:dyDescent="0.35">
      <c r="A1" t="s">
        <v>0</v>
      </c>
    </row>
    <row r="2" spans="1:10" ht="15.5" x14ac:dyDescent="0.35">
      <c r="B2" s="63" t="s">
        <v>301</v>
      </c>
    </row>
    <row r="4" spans="1:10" ht="14.5" x14ac:dyDescent="0.35">
      <c r="B4" s="73" t="s">
        <v>302</v>
      </c>
      <c r="C4" s="70" t="s">
        <v>281</v>
      </c>
      <c r="D4" s="70" t="s">
        <v>282</v>
      </c>
      <c r="E4" s="70" t="s">
        <v>283</v>
      </c>
      <c r="F4" s="70" t="s">
        <v>284</v>
      </c>
      <c r="G4" s="70" t="s">
        <v>285</v>
      </c>
      <c r="H4" s="69" t="s">
        <v>286</v>
      </c>
      <c r="I4" s="105">
        <v>46023</v>
      </c>
      <c r="J4" s="105">
        <v>45992</v>
      </c>
    </row>
    <row r="5" spans="1:10" ht="14.5" x14ac:dyDescent="0.35">
      <c r="B5" s="73"/>
      <c r="C5" s="75" t="s">
        <v>221</v>
      </c>
      <c r="D5" s="75" t="s">
        <v>221</v>
      </c>
      <c r="E5" s="75" t="s">
        <v>221</v>
      </c>
      <c r="F5" s="75" t="s">
        <v>221</v>
      </c>
      <c r="G5" s="75" t="s">
        <v>221</v>
      </c>
      <c r="H5" s="468" t="s">
        <v>221</v>
      </c>
      <c r="I5" s="75" t="s">
        <v>221</v>
      </c>
      <c r="J5" s="75" t="s">
        <v>221</v>
      </c>
    </row>
    <row r="6" spans="1:10" ht="14.5" x14ac:dyDescent="0.35">
      <c r="B6" s="758" t="s">
        <v>304</v>
      </c>
      <c r="C6" s="674">
        <f>168254.52/1000</f>
        <v>168.25451999999999</v>
      </c>
      <c r="D6" s="674">
        <v>0</v>
      </c>
      <c r="E6" s="674">
        <v>0</v>
      </c>
      <c r="F6" s="674">
        <v>0</v>
      </c>
      <c r="G6" s="674">
        <f>54.45/1000</f>
        <v>5.4450000000000005E-2</v>
      </c>
      <c r="H6" s="674">
        <v>0</v>
      </c>
      <c r="I6" s="675">
        <f t="shared" ref="I6:I25" si="0">SUM(C6:H6)</f>
        <v>168.30896999999999</v>
      </c>
      <c r="J6" s="676">
        <v>165.09332000000003</v>
      </c>
    </row>
    <row r="7" spans="1:10" ht="14.5" x14ac:dyDescent="0.35">
      <c r="B7" s="758" t="s">
        <v>305</v>
      </c>
      <c r="C7" s="674">
        <f>53074.33/1000</f>
        <v>53.074330000000003</v>
      </c>
      <c r="D7" s="674">
        <f>53001.42/1000</f>
        <v>53.001419999999996</v>
      </c>
      <c r="E7" s="674">
        <f>55023.84/1000</f>
        <v>55.02384</v>
      </c>
      <c r="F7" s="674">
        <v>0</v>
      </c>
      <c r="G7" s="674">
        <v>0</v>
      </c>
      <c r="H7" s="674">
        <v>0</v>
      </c>
      <c r="I7" s="675">
        <f t="shared" si="0"/>
        <v>161.09959000000001</v>
      </c>
      <c r="J7" s="676">
        <v>162.38452000000001</v>
      </c>
    </row>
    <row r="8" spans="1:10" ht="14.5" x14ac:dyDescent="0.35">
      <c r="B8" s="758" t="s">
        <v>306</v>
      </c>
      <c r="C8" s="674">
        <f>132984.62/1000</f>
        <v>132.98462000000001</v>
      </c>
      <c r="D8" s="674">
        <f>7911/1000</f>
        <v>7.9109999999999996</v>
      </c>
      <c r="E8" s="674">
        <f>7413/1000</f>
        <v>7.4130000000000003</v>
      </c>
      <c r="F8" s="674">
        <v>0</v>
      </c>
      <c r="G8" s="674">
        <f>-18/1000</f>
        <v>-1.7999999999999999E-2</v>
      </c>
      <c r="H8" s="674">
        <v>0</v>
      </c>
      <c r="I8" s="675">
        <f t="shared" si="0"/>
        <v>148.29062000000002</v>
      </c>
      <c r="J8" s="676">
        <v>140.16750999999999</v>
      </c>
    </row>
    <row r="9" spans="1:10" ht="14.5" x14ac:dyDescent="0.35">
      <c r="B9" s="758" t="s">
        <v>316</v>
      </c>
      <c r="C9" s="674">
        <f>85475.04/1000</f>
        <v>85.475039999999993</v>
      </c>
      <c r="D9" s="674">
        <f>42/1000</f>
        <v>4.2000000000000003E-2</v>
      </c>
      <c r="E9" s="674">
        <f>42749.6/1000</f>
        <v>42.749600000000001</v>
      </c>
      <c r="F9" s="674">
        <f>-109.8/1000</f>
        <v>-0.10979999999999999</v>
      </c>
      <c r="G9" s="674">
        <v>0</v>
      </c>
      <c r="H9" s="674">
        <v>0</v>
      </c>
      <c r="I9" s="675">
        <f t="shared" si="0"/>
        <v>128.15683999999999</v>
      </c>
      <c r="J9" s="676">
        <v>85.398419999999987</v>
      </c>
    </row>
    <row r="10" spans="1:10" ht="14.5" x14ac:dyDescent="0.35">
      <c r="B10" s="758" t="s">
        <v>912</v>
      </c>
      <c r="C10" s="674">
        <f>117733.86/1000</f>
        <v>117.73386000000001</v>
      </c>
      <c r="D10" s="674">
        <v>0</v>
      </c>
      <c r="E10" s="674">
        <v>0</v>
      </c>
      <c r="F10" s="674">
        <v>0</v>
      </c>
      <c r="G10" s="674">
        <v>0</v>
      </c>
      <c r="H10" s="674">
        <v>0</v>
      </c>
      <c r="I10" s="675">
        <f t="shared" si="0"/>
        <v>117.73386000000001</v>
      </c>
      <c r="J10" s="676">
        <v>0</v>
      </c>
    </row>
    <row r="11" spans="1:10" ht="14.5" x14ac:dyDescent="0.35">
      <c r="B11" s="758" t="s">
        <v>308</v>
      </c>
      <c r="C11" s="674">
        <f>52943.28/1000</f>
        <v>52.943280000000001</v>
      </c>
      <c r="D11" s="674">
        <f>48971.43/1000</f>
        <v>48.971429999999998</v>
      </c>
      <c r="E11" s="674">
        <f>-14876.75/1000</f>
        <v>-14.876749999999999</v>
      </c>
      <c r="F11" s="674">
        <v>0</v>
      </c>
      <c r="G11" s="674">
        <v>0</v>
      </c>
      <c r="H11" s="674">
        <v>0</v>
      </c>
      <c r="I11" s="675">
        <f t="shared" si="0"/>
        <v>87.037959999999998</v>
      </c>
      <c r="J11" s="676">
        <v>92.169420000000002</v>
      </c>
    </row>
    <row r="12" spans="1:10" ht="14.5" x14ac:dyDescent="0.35">
      <c r="B12" s="758" t="s">
        <v>307</v>
      </c>
      <c r="C12" s="674">
        <f>77567.74/1000</f>
        <v>77.567740000000001</v>
      </c>
      <c r="D12" s="674">
        <v>0</v>
      </c>
      <c r="E12" s="674">
        <v>0</v>
      </c>
      <c r="F12" s="674">
        <f>61.2/1000</f>
        <v>6.1200000000000004E-2</v>
      </c>
      <c r="G12" s="674">
        <f>122.22/1000</f>
        <v>0.12222</v>
      </c>
      <c r="H12" s="674">
        <f>-6274/1000</f>
        <v>-6.274</v>
      </c>
      <c r="I12" s="675">
        <f t="shared" si="0"/>
        <v>71.477159999999998</v>
      </c>
      <c r="J12" s="676">
        <v>31.539499999999997</v>
      </c>
    </row>
    <row r="13" spans="1:10" ht="14.5" x14ac:dyDescent="0.35">
      <c r="B13" s="758" t="s">
        <v>310</v>
      </c>
      <c r="C13" s="674">
        <f>64388.05/1000</f>
        <v>64.388050000000007</v>
      </c>
      <c r="D13" s="674">
        <f>14400/1000</f>
        <v>14.4</v>
      </c>
      <c r="E13" s="674">
        <f>-2972.36/1000</f>
        <v>-2.9723600000000001</v>
      </c>
      <c r="F13" s="674">
        <v>0</v>
      </c>
      <c r="G13" s="674">
        <v>0</v>
      </c>
      <c r="H13" s="692">
        <v>0</v>
      </c>
      <c r="I13" s="675">
        <f t="shared" si="0"/>
        <v>75.815690000000018</v>
      </c>
      <c r="J13" s="676">
        <v>80.80941</v>
      </c>
    </row>
    <row r="14" spans="1:10" ht="14.5" x14ac:dyDescent="0.35">
      <c r="B14" s="758" t="s">
        <v>314</v>
      </c>
      <c r="C14" s="674">
        <f>26897.82/1000</f>
        <v>26.897819999999999</v>
      </c>
      <c r="D14" s="674">
        <f>1046.36/1000</f>
        <v>1.04636</v>
      </c>
      <c r="E14" s="674">
        <f>14092.98/1000</f>
        <v>14.092979999999999</v>
      </c>
      <c r="F14" s="674">
        <f>29280.49/1000</f>
        <v>29.28049</v>
      </c>
      <c r="G14" s="674">
        <f>1046.36/1000</f>
        <v>1.04636</v>
      </c>
      <c r="H14" s="674">
        <v>0</v>
      </c>
      <c r="I14" s="675">
        <f t="shared" si="0"/>
        <v>72.364010000000007</v>
      </c>
      <c r="J14" s="676">
        <v>57.835909999999998</v>
      </c>
    </row>
    <row r="15" spans="1:10" ht="14.5" x14ac:dyDescent="0.35">
      <c r="B15" s="758" t="s">
        <v>309</v>
      </c>
      <c r="C15" s="674">
        <f>33355.72/1000</f>
        <v>33.355719999999998</v>
      </c>
      <c r="D15" s="674">
        <f>33950.74/1000</f>
        <v>33.950739999999996</v>
      </c>
      <c r="E15" s="674">
        <f>2106/1000</f>
        <v>2.1059999999999999</v>
      </c>
      <c r="F15" s="674">
        <v>0</v>
      </c>
      <c r="G15" s="674">
        <f>900/1000</f>
        <v>0.9</v>
      </c>
      <c r="H15" s="674">
        <v>0</v>
      </c>
      <c r="I15" s="675">
        <f t="shared" si="0"/>
        <v>70.312459999999987</v>
      </c>
      <c r="J15" s="676">
        <v>72.088970000000003</v>
      </c>
    </row>
    <row r="16" spans="1:10" ht="14.5" x14ac:dyDescent="0.35">
      <c r="B16" s="758" t="s">
        <v>898</v>
      </c>
      <c r="C16" s="674">
        <f>19260/1000</f>
        <v>19.260000000000002</v>
      </c>
      <c r="D16" s="674">
        <f>19260/1000</f>
        <v>19.260000000000002</v>
      </c>
      <c r="E16" s="674">
        <f>19260/1000</f>
        <v>19.260000000000002</v>
      </c>
      <c r="F16" s="674">
        <v>0</v>
      </c>
      <c r="G16" s="674">
        <v>0</v>
      </c>
      <c r="H16" s="674">
        <v>0</v>
      </c>
      <c r="I16" s="675">
        <f t="shared" si="0"/>
        <v>57.78</v>
      </c>
      <c r="J16" s="676">
        <v>38.520000000000003</v>
      </c>
    </row>
    <row r="17" spans="2:11" ht="14.5" x14ac:dyDescent="0.35">
      <c r="B17" s="758" t="s">
        <v>315</v>
      </c>
      <c r="C17" s="674">
        <f>49790.32/1000</f>
        <v>49.790320000000001</v>
      </c>
      <c r="D17" s="674">
        <f>4060.51/1000</f>
        <v>4.0605099999999998</v>
      </c>
      <c r="E17" s="674">
        <v>0</v>
      </c>
      <c r="F17" s="674">
        <v>0</v>
      </c>
      <c r="G17" s="674">
        <v>0</v>
      </c>
      <c r="H17" s="674">
        <v>0</v>
      </c>
      <c r="I17" s="675">
        <f t="shared" si="0"/>
        <v>53.850830000000002</v>
      </c>
      <c r="J17" s="676">
        <v>42.861260000000001</v>
      </c>
    </row>
    <row r="18" spans="2:11" ht="14.5" x14ac:dyDescent="0.35">
      <c r="B18" s="758" t="s">
        <v>311</v>
      </c>
      <c r="C18" s="674">
        <f>27884.79/1000</f>
        <v>27.884790000000002</v>
      </c>
      <c r="D18" s="674">
        <v>0</v>
      </c>
      <c r="E18" s="674">
        <f>13845.02/1000</f>
        <v>13.84502</v>
      </c>
      <c r="F18" s="674">
        <f>6855.24/1000</f>
        <v>6.8552400000000002</v>
      </c>
      <c r="G18" s="674">
        <v>0</v>
      </c>
      <c r="H18" s="674">
        <v>0</v>
      </c>
      <c r="I18" s="675">
        <f t="shared" si="0"/>
        <v>48.585050000000003</v>
      </c>
      <c r="J18" s="676">
        <v>53.941670000000002</v>
      </c>
    </row>
    <row r="19" spans="2:11" ht="14.5" x14ac:dyDescent="0.35">
      <c r="B19" s="758" t="s">
        <v>911</v>
      </c>
      <c r="C19" s="674">
        <f>22009.5/1000</f>
        <v>22.009499999999999</v>
      </c>
      <c r="D19" s="674">
        <f>22148.7/1000</f>
        <v>22.148700000000002</v>
      </c>
      <c r="E19" s="674">
        <v>0</v>
      </c>
      <c r="F19" s="674">
        <v>0</v>
      </c>
      <c r="G19" s="674">
        <v>0</v>
      </c>
      <c r="H19" s="674">
        <v>0</v>
      </c>
      <c r="I19" s="675">
        <f t="shared" si="0"/>
        <v>44.158200000000001</v>
      </c>
      <c r="J19" s="676">
        <v>22.148700000000002</v>
      </c>
    </row>
    <row r="20" spans="2:11" ht="14.5" x14ac:dyDescent="0.35">
      <c r="B20" s="758" t="s">
        <v>312</v>
      </c>
      <c r="C20" s="674">
        <f>6704.34/1000</f>
        <v>6.7043400000000002</v>
      </c>
      <c r="D20" s="674">
        <f>6705.3/1000</f>
        <v>6.7053000000000003</v>
      </c>
      <c r="E20" s="674">
        <f>6702.72/1000</f>
        <v>6.7027200000000002</v>
      </c>
      <c r="F20" s="674">
        <f>15852.97/1000</f>
        <v>15.852969999999999</v>
      </c>
      <c r="G20" s="674">
        <v>0</v>
      </c>
      <c r="H20" s="674">
        <v>0</v>
      </c>
      <c r="I20" s="675">
        <f t="shared" si="0"/>
        <v>35.965329999999994</v>
      </c>
      <c r="J20" s="676">
        <v>63.599779999999996</v>
      </c>
    </row>
    <row r="21" spans="2:11" ht="14.5" x14ac:dyDescent="0.35">
      <c r="B21" s="758" t="s">
        <v>913</v>
      </c>
      <c r="C21" s="674">
        <f>16711.57/1000</f>
        <v>16.711569999999998</v>
      </c>
      <c r="D21" s="674">
        <f>140.58/1000</f>
        <v>0.14058000000000001</v>
      </c>
      <c r="E21" s="674">
        <f>8574.71/1000</f>
        <v>8.5747099999999996</v>
      </c>
      <c r="F21" s="674">
        <v>0</v>
      </c>
      <c r="G21" s="674">
        <f>7953.73/1000</f>
        <v>7.9537299999999993</v>
      </c>
      <c r="H21" s="674">
        <v>0</v>
      </c>
      <c r="I21" s="675">
        <f t="shared" si="0"/>
        <v>33.380589999999998</v>
      </c>
      <c r="J21" s="676">
        <v>24.687989999999999</v>
      </c>
    </row>
    <row r="22" spans="2:11" ht="14.5" x14ac:dyDescent="0.35">
      <c r="B22" s="758" t="s">
        <v>899</v>
      </c>
      <c r="C22" s="674">
        <f>18393.3/1000</f>
        <v>18.3933</v>
      </c>
      <c r="D22" s="674">
        <f>9210.59/1000</f>
        <v>9.2105899999999998</v>
      </c>
      <c r="E22" s="674">
        <v>0</v>
      </c>
      <c r="F22" s="674">
        <f>287.85/1000</f>
        <v>0.28785000000000005</v>
      </c>
      <c r="G22" s="674">
        <f>2949.51/1000</f>
        <v>2.9495100000000001</v>
      </c>
      <c r="H22" s="674">
        <v>0</v>
      </c>
      <c r="I22" s="675">
        <f t="shared" si="0"/>
        <v>30.841249999999999</v>
      </c>
      <c r="J22" s="676">
        <v>30.547610000000002</v>
      </c>
    </row>
    <row r="23" spans="2:11" ht="14.5" x14ac:dyDescent="0.35">
      <c r="B23" s="758" t="s">
        <v>358</v>
      </c>
      <c r="C23" s="674">
        <f>28168.51/1000</f>
        <v>28.168509999999998</v>
      </c>
      <c r="D23" s="674">
        <v>0</v>
      </c>
      <c r="E23" s="674">
        <v>0</v>
      </c>
      <c r="F23" s="674">
        <v>0</v>
      </c>
      <c r="G23" s="674">
        <f>330.13/1000</f>
        <v>0.33012999999999998</v>
      </c>
      <c r="H23" s="674">
        <v>0</v>
      </c>
      <c r="I23" s="675">
        <f t="shared" si="0"/>
        <v>28.498639999999998</v>
      </c>
      <c r="J23" s="676">
        <v>25.034690000000001</v>
      </c>
    </row>
    <row r="24" spans="2:11" ht="14.5" x14ac:dyDescent="0.35">
      <c r="B24" s="758" t="s">
        <v>313</v>
      </c>
      <c r="C24" s="674">
        <f>26565.42/1000</f>
        <v>26.56542</v>
      </c>
      <c r="D24" s="674">
        <v>0</v>
      </c>
      <c r="E24" s="674">
        <v>0</v>
      </c>
      <c r="F24" s="674">
        <v>0</v>
      </c>
      <c r="G24" s="674">
        <v>0</v>
      </c>
      <c r="H24" s="674">
        <v>0</v>
      </c>
      <c r="I24" s="675">
        <f t="shared" si="0"/>
        <v>26.56542</v>
      </c>
      <c r="J24" s="676">
        <v>23.576029999999999</v>
      </c>
    </row>
    <row r="25" spans="2:11" ht="14.5" x14ac:dyDescent="0.35">
      <c r="B25" s="758" t="s">
        <v>303</v>
      </c>
      <c r="C25" s="674">
        <f>26056.24/1000</f>
        <v>26.056240000000003</v>
      </c>
      <c r="D25" s="674">
        <v>0</v>
      </c>
      <c r="E25" s="674">
        <v>0</v>
      </c>
      <c r="F25" s="674">
        <v>0</v>
      </c>
      <c r="G25" s="674">
        <v>0</v>
      </c>
      <c r="H25" s="674">
        <v>0</v>
      </c>
      <c r="I25" s="675">
        <f t="shared" si="0"/>
        <v>26.056240000000003</v>
      </c>
      <c r="J25" s="676">
        <v>25.297939999999997</v>
      </c>
    </row>
    <row r="26" spans="2:11" ht="14.5" x14ac:dyDescent="0.35">
      <c r="B26" t="s">
        <v>318</v>
      </c>
      <c r="C26" s="677">
        <f>C27-SUM(C6:C25)+2</f>
        <v>665.59686000000011</v>
      </c>
      <c r="D26" s="677">
        <f t="shared" ref="D26:G26" si="1">D27-SUM(D6:D25)</f>
        <v>-175.14241999999996</v>
      </c>
      <c r="E26" s="677">
        <f t="shared" si="1"/>
        <v>65.884779999999978</v>
      </c>
      <c r="F26" s="677">
        <f t="shared" si="1"/>
        <v>72.633260000000007</v>
      </c>
      <c r="G26" s="677">
        <f t="shared" si="1"/>
        <v>105.14617000000001</v>
      </c>
      <c r="H26" s="677">
        <f>H27-SUM(H6:H25)</f>
        <v>-102.001</v>
      </c>
      <c r="I26" s="675">
        <f>SUM(C26:H26)</f>
        <v>632.11765000000014</v>
      </c>
      <c r="J26" s="676">
        <v>1027.2944500000008</v>
      </c>
    </row>
    <row r="27" spans="2:11" s="10" customFormat="1" ht="14.5" x14ac:dyDescent="0.35">
      <c r="B27" s="574" t="s">
        <v>198</v>
      </c>
      <c r="C27" s="719">
        <f>1717815.83/1000</f>
        <v>1717.81583</v>
      </c>
      <c r="D27" s="719">
        <f>45706.21/1000</f>
        <v>45.706209999999999</v>
      </c>
      <c r="E27" s="719">
        <f>217803.54/1000</f>
        <v>217.80354</v>
      </c>
      <c r="F27" s="687">
        <f>124861.21/1000</f>
        <v>124.86121</v>
      </c>
      <c r="G27" s="687">
        <f>118484.57/1000</f>
        <v>118.48457000000001</v>
      </c>
      <c r="H27" s="687">
        <f>-108275/1000</f>
        <v>-108.27500000000001</v>
      </c>
      <c r="I27" s="687">
        <f>SUM(C27:H27)</f>
        <v>2116.3963600000002</v>
      </c>
      <c r="J27" s="725">
        <v>2264.9971000000005</v>
      </c>
      <c r="K27" s="433"/>
    </row>
    <row r="28" spans="2:11" ht="14.5" x14ac:dyDescent="0.35">
      <c r="B28" s="513"/>
      <c r="C28" s="521"/>
      <c r="D28" s="521"/>
      <c r="E28" s="521"/>
      <c r="F28" s="521"/>
      <c r="G28" s="521"/>
      <c r="H28" s="521"/>
      <c r="J28" s="93"/>
      <c r="K28" s="536"/>
    </row>
    <row r="29" spans="2:11" ht="15.5" x14ac:dyDescent="0.35">
      <c r="B29" s="63" t="s">
        <v>319</v>
      </c>
      <c r="C29" s="93"/>
      <c r="J29" s="93"/>
      <c r="K29" s="536"/>
    </row>
    <row r="30" spans="2:11" ht="14.5" x14ac:dyDescent="0.35">
      <c r="B30" s="10"/>
      <c r="C30" s="93"/>
      <c r="J30" s="93"/>
      <c r="K30" s="536"/>
    </row>
    <row r="31" spans="2:11" ht="14.5" x14ac:dyDescent="0.35">
      <c r="B31" s="73" t="s">
        <v>302</v>
      </c>
      <c r="C31" s="70" t="s">
        <v>281</v>
      </c>
      <c r="D31" s="70" t="s">
        <v>282</v>
      </c>
      <c r="E31" s="70" t="s">
        <v>283</v>
      </c>
      <c r="F31" s="70" t="s">
        <v>284</v>
      </c>
      <c r="G31" s="70" t="s">
        <v>285</v>
      </c>
      <c r="H31" s="69" t="s">
        <v>286</v>
      </c>
      <c r="I31" s="105">
        <v>46023</v>
      </c>
      <c r="J31" s="105">
        <v>45992</v>
      </c>
    </row>
    <row r="32" spans="2:11" ht="14.5" x14ac:dyDescent="0.35">
      <c r="B32" s="73"/>
      <c r="C32" s="75" t="s">
        <v>221</v>
      </c>
      <c r="D32" s="75" t="s">
        <v>221</v>
      </c>
      <c r="E32" s="75" t="s">
        <v>221</v>
      </c>
      <c r="F32" s="75" t="s">
        <v>221</v>
      </c>
      <c r="G32" s="75" t="s">
        <v>221</v>
      </c>
      <c r="H32" s="468" t="s">
        <v>221</v>
      </c>
      <c r="I32" s="75" t="s">
        <v>221</v>
      </c>
      <c r="J32" s="75" t="s">
        <v>221</v>
      </c>
    </row>
    <row r="33" spans="2:11" ht="14.5" x14ac:dyDescent="0.35">
      <c r="B33" s="759" t="s">
        <v>320</v>
      </c>
      <c r="C33" s="674">
        <f>278647.49/1000</f>
        <v>278.64749</v>
      </c>
      <c r="D33" s="674">
        <f>4154.3/1000</f>
        <v>4.1543000000000001</v>
      </c>
      <c r="E33" s="674">
        <f>98246.16/1000</f>
        <v>98.246160000000003</v>
      </c>
      <c r="F33" s="674">
        <v>0</v>
      </c>
      <c r="G33" s="674">
        <f>87.17/1000</f>
        <v>8.7169999999999997E-2</v>
      </c>
      <c r="H33" s="674">
        <v>0</v>
      </c>
      <c r="I33" s="675">
        <f>SUM(C33:H33)</f>
        <v>381.13512000000003</v>
      </c>
      <c r="J33" s="676">
        <v>268.54606999999999</v>
      </c>
    </row>
    <row r="34" spans="2:11" ht="14.5" x14ac:dyDescent="0.35">
      <c r="B34" s="759" t="s">
        <v>321</v>
      </c>
      <c r="C34" s="674">
        <f>111658.89/1000</f>
        <v>111.65889</v>
      </c>
      <c r="D34" s="674">
        <f>741.84/1000</f>
        <v>0.74184000000000005</v>
      </c>
      <c r="E34" s="674">
        <v>0</v>
      </c>
      <c r="F34" s="674">
        <v>0</v>
      </c>
      <c r="G34" s="674">
        <v>0</v>
      </c>
      <c r="H34" s="674">
        <v>0</v>
      </c>
      <c r="I34" s="675">
        <f>SUM(C34:H34)</f>
        <v>112.40073</v>
      </c>
      <c r="J34" s="676">
        <v>109.99127</v>
      </c>
    </row>
    <row r="35" spans="2:11" ht="14.5" x14ac:dyDescent="0.35">
      <c r="B35" s="759" t="s">
        <v>900</v>
      </c>
      <c r="C35" s="674">
        <f>77426.83/1000</f>
        <v>77.426829999999995</v>
      </c>
      <c r="D35" s="674">
        <v>0</v>
      </c>
      <c r="E35" s="674">
        <f>27021.45/1000</f>
        <v>27.021450000000002</v>
      </c>
      <c r="F35" s="674">
        <v>0</v>
      </c>
      <c r="G35" s="674">
        <v>0</v>
      </c>
      <c r="H35" s="674">
        <v>0</v>
      </c>
      <c r="I35" s="675">
        <f>SUM(C35:H35)</f>
        <v>104.44828</v>
      </c>
      <c r="J35" s="676">
        <v>64.925849999999997</v>
      </c>
    </row>
    <row r="36" spans="2:11" ht="14.5" x14ac:dyDescent="0.35">
      <c r="B36" s="759" t="s">
        <v>323</v>
      </c>
      <c r="C36" s="674">
        <f>84786.71/1000</f>
        <v>84.786709999999999</v>
      </c>
      <c r="D36" s="674">
        <f>2959.94/1000</f>
        <v>2.95994</v>
      </c>
      <c r="E36" s="674">
        <v>0</v>
      </c>
      <c r="F36" s="674">
        <v>0</v>
      </c>
      <c r="G36" s="674">
        <v>0</v>
      </c>
      <c r="H36" s="674">
        <v>0</v>
      </c>
      <c r="I36" s="675">
        <f>SUM(C36:H36)</f>
        <v>87.746650000000002</v>
      </c>
      <c r="J36" s="676">
        <v>104.70658</v>
      </c>
    </row>
    <row r="37" spans="2:11" ht="14.5" x14ac:dyDescent="0.35">
      <c r="B37" s="759" t="s">
        <v>910</v>
      </c>
      <c r="C37" s="674">
        <f>43002.09/1000</f>
        <v>43.002089999999995</v>
      </c>
      <c r="D37" s="674">
        <v>0</v>
      </c>
      <c r="E37" s="674">
        <v>0</v>
      </c>
      <c r="F37" s="674">
        <v>0</v>
      </c>
      <c r="G37" s="674">
        <v>0</v>
      </c>
      <c r="H37" s="674">
        <v>0</v>
      </c>
      <c r="I37" s="675">
        <f>SUM(C37:H37)</f>
        <v>43.002089999999995</v>
      </c>
      <c r="J37" s="676">
        <v>0</v>
      </c>
    </row>
    <row r="38" spans="2:11" ht="14.5" x14ac:dyDescent="0.35">
      <c r="B38" t="s">
        <v>318</v>
      </c>
      <c r="C38" s="674">
        <f t="shared" ref="C38:I38" si="2">C39-SUM(C33:C37)</f>
        <v>116.81730750000008</v>
      </c>
      <c r="D38" s="674">
        <f t="shared" si="2"/>
        <v>22.452280530000003</v>
      </c>
      <c r="E38" s="674">
        <f t="shared" si="2"/>
        <v>27.376284999999982</v>
      </c>
      <c r="F38" s="674">
        <f t="shared" si="2"/>
        <v>24.345689910000001</v>
      </c>
      <c r="G38" s="674">
        <f t="shared" si="2"/>
        <v>-0.58170264100000002</v>
      </c>
      <c r="H38" s="674">
        <f t="shared" si="2"/>
        <v>-7.0999999999999994E-2</v>
      </c>
      <c r="I38" s="675">
        <f t="shared" si="2"/>
        <v>190.33886029899986</v>
      </c>
      <c r="J38" s="678">
        <v>219.73931976099993</v>
      </c>
    </row>
    <row r="39" spans="2:11" s="10" customFormat="1" ht="14.5" x14ac:dyDescent="0.35">
      <c r="B39" s="575" t="s">
        <v>198</v>
      </c>
      <c r="C39" s="719">
        <f>712339.3175/1000</f>
        <v>712.33931749999999</v>
      </c>
      <c r="D39" s="719">
        <f>30308.36053/1000</f>
        <v>30.308360530000002</v>
      </c>
      <c r="E39" s="719">
        <f>152643.895/1000</f>
        <v>152.64389499999999</v>
      </c>
      <c r="F39" s="687">
        <f>24345.68991/1000</f>
        <v>24.345689910000001</v>
      </c>
      <c r="G39" s="687">
        <f>-494.532641/1000</f>
        <v>-0.494532641</v>
      </c>
      <c r="H39" s="687">
        <f>-71/1000</f>
        <v>-7.0999999999999994E-2</v>
      </c>
      <c r="I39" s="687">
        <f>SUM(C39:H39)</f>
        <v>919.07173029899991</v>
      </c>
      <c r="J39" s="679">
        <v>767.9090897609999</v>
      </c>
      <c r="K39" s="536"/>
    </row>
    <row r="40" spans="2:11" ht="14.5" x14ac:dyDescent="0.35">
      <c r="C40" s="93"/>
      <c r="D40" s="93"/>
      <c r="E40" s="93"/>
      <c r="F40" s="93"/>
      <c r="G40" s="93"/>
      <c r="H40" s="93"/>
      <c r="J40" s="93"/>
      <c r="K40" s="93"/>
    </row>
    <row r="41" spans="2:11" ht="14.5" x14ac:dyDescent="0.35">
      <c r="H41" s="688"/>
      <c r="I41" s="93"/>
      <c r="J41" s="93"/>
      <c r="K41" s="93"/>
    </row>
    <row r="42" spans="2:11" ht="14.5" x14ac:dyDescent="0.35">
      <c r="C42" s="93"/>
      <c r="J42" s="93"/>
      <c r="K42" s="93"/>
    </row>
    <row r="43" spans="2:11" ht="14.5" x14ac:dyDescent="0.35"/>
    <row r="44" spans="2:11" ht="14.5" x14ac:dyDescent="0.35">
      <c r="K44" s="93"/>
    </row>
    <row r="45" spans="2:11" ht="14.5" x14ac:dyDescent="0.35"/>
    <row r="46" spans="2:11" ht="14.5" x14ac:dyDescent="0.35"/>
    <row r="47" spans="2:11" ht="14.5" x14ac:dyDescent="0.35"/>
    <row r="48" spans="2:11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  <row r="54" ht="14.5" x14ac:dyDescent="0.35"/>
    <row r="55" ht="14.5" x14ac:dyDescent="0.35"/>
    <row r="56" ht="14.5" x14ac:dyDescent="0.35"/>
    <row r="57" ht="14.5" x14ac:dyDescent="0.35"/>
    <row r="58" ht="14.5" x14ac:dyDescent="0.35"/>
    <row r="59" ht="14.5" x14ac:dyDescent="0.35"/>
    <row r="60" ht="14.5" x14ac:dyDescent="0.35"/>
    <row r="61" ht="14.5" x14ac:dyDescent="0.35"/>
    <row r="62" ht="14.5" x14ac:dyDescent="0.35"/>
    <row r="63" ht="14.5" x14ac:dyDescent="0.35"/>
    <row r="64" ht="14.5" x14ac:dyDescent="0.35"/>
    <row r="65" ht="14.5" x14ac:dyDescent="0.35"/>
    <row r="66" ht="14.5" x14ac:dyDescent="0.35"/>
    <row r="67" ht="14.5" x14ac:dyDescent="0.35"/>
    <row r="68" ht="14.5" x14ac:dyDescent="0.35"/>
    <row r="69" ht="14.5" x14ac:dyDescent="0.35"/>
    <row r="70" ht="14.5" x14ac:dyDescent="0.35"/>
    <row r="71" ht="14.5" x14ac:dyDescent="0.35"/>
    <row r="72" ht="14.5" x14ac:dyDescent="0.35"/>
    <row r="73" ht="14.5" x14ac:dyDescent="0.35"/>
    <row r="74" ht="14.5" x14ac:dyDescent="0.35"/>
    <row r="75" ht="14.5" x14ac:dyDescent="0.35"/>
    <row r="76" ht="14.5" x14ac:dyDescent="0.35"/>
    <row r="77" ht="14.5" x14ac:dyDescent="0.35"/>
    <row r="78" ht="14.5" x14ac:dyDescent="0.35"/>
    <row r="79" ht="14.5" x14ac:dyDescent="0.35"/>
    <row r="80" ht="14.5" x14ac:dyDescent="0.35"/>
    <row r="81" ht="14.5" x14ac:dyDescent="0.35"/>
    <row r="82" ht="14.5" x14ac:dyDescent="0.35"/>
    <row r="83" ht="14.5" x14ac:dyDescent="0.35"/>
    <row r="84" ht="14.5" x14ac:dyDescent="0.35"/>
    <row r="85" ht="14.5" x14ac:dyDescent="0.35"/>
    <row r="86" ht="14.5" x14ac:dyDescent="0.35"/>
    <row r="87" ht="14.5" x14ac:dyDescent="0.35"/>
    <row r="88" ht="14.5" x14ac:dyDescent="0.35"/>
    <row r="89" ht="14.5" x14ac:dyDescent="0.35"/>
    <row r="90" ht="14.5" x14ac:dyDescent="0.35"/>
    <row r="91" ht="14.5" x14ac:dyDescent="0.35"/>
    <row r="92" ht="14.5" x14ac:dyDescent="0.35"/>
    <row r="93" ht="14.5" x14ac:dyDescent="0.35"/>
    <row r="94" ht="14.5" x14ac:dyDescent="0.35"/>
    <row r="95" ht="14.5" x14ac:dyDescent="0.35"/>
    <row r="96" ht="14.5" x14ac:dyDescent="0.35"/>
    <row r="97" ht="14.5" x14ac:dyDescent="0.35"/>
    <row r="98" ht="14.5" x14ac:dyDescent="0.35"/>
    <row r="99" ht="14.5" x14ac:dyDescent="0.35"/>
    <row r="100" ht="14.5" x14ac:dyDescent="0.35"/>
    <row r="101" ht="14.5" x14ac:dyDescent="0.35"/>
    <row r="102" ht="14.5" x14ac:dyDescent="0.35"/>
    <row r="103" ht="14.5" x14ac:dyDescent="0.35"/>
    <row r="104" ht="14.5" x14ac:dyDescent="0.35"/>
    <row r="105" ht="14.5" x14ac:dyDescent="0.35"/>
    <row r="106" ht="14.5" x14ac:dyDescent="0.35"/>
    <row r="107" ht="14.5" x14ac:dyDescent="0.35"/>
    <row r="108" ht="14.5" x14ac:dyDescent="0.35"/>
    <row r="109" ht="14.5" x14ac:dyDescent="0.35"/>
    <row r="110" ht="14.5" x14ac:dyDescent="0.35"/>
    <row r="111" ht="14.5" x14ac:dyDescent="0.35"/>
    <row r="112" ht="14.5" x14ac:dyDescent="0.35"/>
    <row r="113" ht="14.5" x14ac:dyDescent="0.35"/>
    <row r="114" ht="14.5" x14ac:dyDescent="0.35"/>
    <row r="115" ht="14.5" x14ac:dyDescent="0.35"/>
    <row r="116" ht="14.5" x14ac:dyDescent="0.35"/>
    <row r="117" ht="14.5" x14ac:dyDescent="0.35"/>
    <row r="118" ht="14.5" x14ac:dyDescent="0.35"/>
    <row r="119" ht="14.5" x14ac:dyDescent="0.35"/>
    <row r="120" ht="14.5" x14ac:dyDescent="0.35"/>
    <row r="121" ht="14.5" x14ac:dyDescent="0.35"/>
    <row r="122" ht="14.5" x14ac:dyDescent="0.35"/>
    <row r="123" ht="14.5" x14ac:dyDescent="0.35"/>
    <row r="124" ht="14.5" x14ac:dyDescent="0.35"/>
    <row r="125" ht="14.5" x14ac:dyDescent="0.35"/>
    <row r="126" ht="14.5" x14ac:dyDescent="0.35"/>
    <row r="127" ht="14.5" x14ac:dyDescent="0.35"/>
    <row r="128" ht="14.5" x14ac:dyDescent="0.35"/>
    <row r="129" ht="14.5" x14ac:dyDescent="0.35"/>
    <row r="130" ht="14.5" x14ac:dyDescent="0.35"/>
    <row r="131" ht="14.5" x14ac:dyDescent="0.35"/>
    <row r="132" ht="14.5" x14ac:dyDescent="0.35"/>
    <row r="133" ht="14.5" x14ac:dyDescent="0.35"/>
    <row r="134" ht="14.5" x14ac:dyDescent="0.35"/>
    <row r="135" ht="14.5" x14ac:dyDescent="0.35"/>
    <row r="136" ht="14.5" x14ac:dyDescent="0.35"/>
    <row r="137" ht="14.5" x14ac:dyDescent="0.35"/>
    <row r="138" ht="14.5" x14ac:dyDescent="0.35"/>
    <row r="139" ht="14.5" x14ac:dyDescent="0.35"/>
    <row r="140" ht="14.5" x14ac:dyDescent="0.35"/>
    <row r="141" ht="14.5" x14ac:dyDescent="0.35"/>
    <row r="142" ht="14.5" x14ac:dyDescent="0.35"/>
    <row r="143" ht="14.5" x14ac:dyDescent="0.35"/>
    <row r="144" ht="14.5" x14ac:dyDescent="0.35"/>
    <row r="145" ht="14.5" x14ac:dyDescent="0.35"/>
    <row r="146" ht="14.5" x14ac:dyDescent="0.35"/>
    <row r="147" ht="14.5" x14ac:dyDescent="0.35"/>
    <row r="148" ht="14.5" x14ac:dyDescent="0.35"/>
    <row r="149" ht="14.5" x14ac:dyDescent="0.35"/>
    <row r="150" ht="14.5" x14ac:dyDescent="0.35"/>
    <row r="151" ht="14.5" x14ac:dyDescent="0.35"/>
    <row r="152" ht="14.5" x14ac:dyDescent="0.35"/>
    <row r="153" ht="14.5" x14ac:dyDescent="0.35"/>
    <row r="154" ht="14.5" x14ac:dyDescent="0.35"/>
    <row r="155" ht="14.5" x14ac:dyDescent="0.35"/>
    <row r="156" ht="14.5" x14ac:dyDescent="0.35"/>
    <row r="157" ht="14.5" x14ac:dyDescent="0.35"/>
    <row r="158" ht="14.5" x14ac:dyDescent="0.35"/>
    <row r="159" ht="14.5" x14ac:dyDescent="0.35"/>
    <row r="160" ht="14.5" x14ac:dyDescent="0.35"/>
    <row r="161" ht="14.5" x14ac:dyDescent="0.35"/>
    <row r="162" ht="14.5" x14ac:dyDescent="0.35"/>
    <row r="163" ht="14.5" x14ac:dyDescent="0.35"/>
    <row r="164" ht="14.5" x14ac:dyDescent="0.35"/>
    <row r="165" ht="14.5" x14ac:dyDescent="0.35"/>
    <row r="166" ht="14.5" x14ac:dyDescent="0.35"/>
    <row r="167" ht="14.5" x14ac:dyDescent="0.35"/>
    <row r="168" ht="14.5" x14ac:dyDescent="0.35"/>
    <row r="169" ht="14.5" x14ac:dyDescent="0.35"/>
    <row r="170" ht="14.5" x14ac:dyDescent="0.35"/>
    <row r="171" ht="14.5" x14ac:dyDescent="0.35"/>
    <row r="172" ht="14.5" x14ac:dyDescent="0.35"/>
    <row r="173" ht="14.5" x14ac:dyDescent="0.35"/>
    <row r="174" ht="14.5" x14ac:dyDescent="0.35"/>
    <row r="175" ht="14.5" x14ac:dyDescent="0.35"/>
    <row r="176" ht="14.5" x14ac:dyDescent="0.35"/>
    <row r="177" ht="14.5" x14ac:dyDescent="0.35"/>
    <row r="178" ht="14.5" x14ac:dyDescent="0.35"/>
    <row r="179" ht="14.5" x14ac:dyDescent="0.35"/>
    <row r="180" ht="14.5" x14ac:dyDescent="0.35"/>
    <row r="181" ht="14.5" x14ac:dyDescent="0.35"/>
    <row r="182" ht="14.5" x14ac:dyDescent="0.35"/>
    <row r="183" ht="14.5" x14ac:dyDescent="0.35"/>
    <row r="184" ht="14.5" x14ac:dyDescent="0.35"/>
    <row r="185" ht="14.5" x14ac:dyDescent="0.35"/>
    <row r="186" ht="14.5" x14ac:dyDescent="0.35"/>
    <row r="187" ht="14.5" x14ac:dyDescent="0.35"/>
    <row r="188" ht="14.5" x14ac:dyDescent="0.35"/>
    <row r="189" ht="14.5" x14ac:dyDescent="0.35"/>
    <row r="190" ht="14.5" x14ac:dyDescent="0.35"/>
    <row r="191" ht="14.5" x14ac:dyDescent="0.35"/>
    <row r="192" ht="14.5" x14ac:dyDescent="0.35"/>
    <row r="193" ht="14.5" x14ac:dyDescent="0.35"/>
    <row r="194" ht="14.5" x14ac:dyDescent="0.35"/>
    <row r="195" ht="14.5" x14ac:dyDescent="0.35"/>
    <row r="196" ht="14.5" x14ac:dyDescent="0.35"/>
    <row r="197" ht="14.5" x14ac:dyDescent="0.35"/>
    <row r="198" ht="14.5" x14ac:dyDescent="0.35"/>
    <row r="199" ht="14.5" x14ac:dyDescent="0.35"/>
    <row r="200" ht="14.5" x14ac:dyDescent="0.35"/>
    <row r="201" ht="14.5" x14ac:dyDescent="0.35"/>
    <row r="202" ht="14.5" x14ac:dyDescent="0.35"/>
    <row r="203" ht="14.5" x14ac:dyDescent="0.35"/>
    <row r="204" ht="14.5" x14ac:dyDescent="0.35"/>
    <row r="205" ht="14.5" x14ac:dyDescent="0.35"/>
    <row r="206" ht="14.5" x14ac:dyDescent="0.35"/>
    <row r="207" ht="14.5" x14ac:dyDescent="0.35"/>
    <row r="208" ht="14.5" x14ac:dyDescent="0.35"/>
    <row r="209" ht="14.5" x14ac:dyDescent="0.35"/>
    <row r="210" ht="14.5" x14ac:dyDescent="0.35"/>
    <row r="211" ht="14.5" x14ac:dyDescent="0.35"/>
    <row r="212" ht="14.5" x14ac:dyDescent="0.35"/>
    <row r="213" ht="14.5" x14ac:dyDescent="0.35"/>
    <row r="214" ht="14.5" x14ac:dyDescent="0.35"/>
    <row r="215" ht="14.5" x14ac:dyDescent="0.35"/>
    <row r="216" ht="14.5" x14ac:dyDescent="0.35"/>
    <row r="217" ht="14.5" x14ac:dyDescent="0.35"/>
    <row r="218" ht="14.5" x14ac:dyDescent="0.35"/>
    <row r="219" ht="14.5" x14ac:dyDescent="0.35"/>
    <row r="220" ht="14.5" x14ac:dyDescent="0.35"/>
    <row r="221" ht="14.5" x14ac:dyDescent="0.35"/>
    <row r="222" ht="14.5" x14ac:dyDescent="0.35"/>
    <row r="223" ht="14.5" x14ac:dyDescent="0.35"/>
    <row r="225" ht="14.5" x14ac:dyDescent="0.35"/>
    <row r="226" ht="14.5" x14ac:dyDescent="0.35"/>
    <row r="227" ht="14.5" x14ac:dyDescent="0.35"/>
    <row r="228" ht="14.5" x14ac:dyDescent="0.35"/>
    <row r="229" ht="14.5" x14ac:dyDescent="0.35"/>
    <row r="230" ht="14.5" x14ac:dyDescent="0.35"/>
    <row r="238" ht="14.5" x14ac:dyDescent="0.35"/>
    <row r="239" ht="14.5" x14ac:dyDescent="0.35"/>
    <row r="240" ht="14.5" x14ac:dyDescent="0.35"/>
    <row r="241" ht="14.5" x14ac:dyDescent="0.35"/>
    <row r="242" ht="14.5" x14ac:dyDescent="0.35"/>
    <row r="248" ht="14.5" x14ac:dyDescent="0.35"/>
    <row r="249" ht="14.5" x14ac:dyDescent="0.35"/>
    <row r="252" ht="14.5" x14ac:dyDescent="0.35"/>
  </sheetData>
  <pageMargins left="0.70866141732283472" right="0.70866141732283472" top="0.74803149606299213" bottom="0.74803149606299213" header="0.31496062992125984" footer="0.31496062992125984"/>
  <pageSetup paperSize="9" scale="13" orientation="landscape" r:id="rId1"/>
  <headerFooter>
    <oddHeader>&amp;A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B0B4E-1F68-4D46-8CF4-2243CDA8D8E5}">
  <sheetPr>
    <pageSetUpPr fitToPage="1"/>
  </sheetPr>
  <dimension ref="A1:DL276"/>
  <sheetViews>
    <sheetView topLeftCell="B3" workbookViewId="0">
      <pane xSplit="45" ySplit="3" topLeftCell="AU240" activePane="bottomRight" state="frozen"/>
      <selection pane="topRight" activeCell="DB25" sqref="DB25"/>
      <selection pane="bottomLeft" activeCell="DB25" sqref="DB25"/>
      <selection pane="bottomRight" activeCell="DF10" sqref="DF10"/>
    </sheetView>
  </sheetViews>
  <sheetFormatPr defaultRowHeight="14.5" outlineLevelCol="1" x14ac:dyDescent="0.35"/>
  <cols>
    <col min="1" max="1" width="0" hidden="1" customWidth="1"/>
    <col min="2" max="2" width="38" customWidth="1"/>
    <col min="3" max="3" width="8.54296875" hidden="1" customWidth="1" outlineLevel="1"/>
    <col min="4" max="15" width="8.54296875" style="102" hidden="1" customWidth="1" outlineLevel="1"/>
    <col min="16" max="46" width="8.54296875" hidden="1" customWidth="1" outlineLevel="1"/>
    <col min="47" max="47" width="9" customWidth="1" collapsed="1"/>
    <col min="48" max="58" width="0" hidden="1" customWidth="1" outlineLevel="1"/>
    <col min="59" max="59" width="9" customWidth="1" collapsed="1"/>
    <col min="60" max="70" width="9" hidden="1" customWidth="1" outlineLevel="1"/>
    <col min="71" max="71" width="9" customWidth="1" collapsed="1"/>
    <col min="72" max="82" width="9" hidden="1" customWidth="1" outlineLevel="1"/>
    <col min="83" max="83" width="9" bestFit="1" customWidth="1" collapsed="1"/>
    <col min="84" max="94" width="9" hidden="1" customWidth="1" outlineLevel="1"/>
    <col min="95" max="95" width="9" bestFit="1" customWidth="1" collapsed="1"/>
    <col min="96" max="96" width="9" style="44" bestFit="1" customWidth="1"/>
  </cols>
  <sheetData>
    <row r="1" spans="1:109" hidden="1" x14ac:dyDescent="0.35">
      <c r="A1" t="s">
        <v>0</v>
      </c>
    </row>
    <row r="2" spans="1:109" s="477" customFormat="1" hidden="1" x14ac:dyDescent="0.35">
      <c r="B2" s="477">
        <v>1</v>
      </c>
      <c r="C2" s="477">
        <v>1</v>
      </c>
      <c r="D2" s="477">
        <v>2</v>
      </c>
      <c r="E2" s="477">
        <v>3</v>
      </c>
      <c r="F2" s="477">
        <v>5</v>
      </c>
      <c r="G2" s="477">
        <v>6</v>
      </c>
      <c r="H2" s="477">
        <v>7</v>
      </c>
      <c r="I2" s="477">
        <v>8</v>
      </c>
      <c r="J2" s="477">
        <v>9</v>
      </c>
      <c r="K2" s="477">
        <v>10</v>
      </c>
      <c r="L2" s="477">
        <v>11</v>
      </c>
      <c r="M2" s="477">
        <v>12</v>
      </c>
      <c r="N2" s="477">
        <v>13</v>
      </c>
      <c r="O2" s="477">
        <v>14</v>
      </c>
      <c r="P2" s="477">
        <v>15</v>
      </c>
      <c r="Q2" s="477">
        <v>16</v>
      </c>
      <c r="R2" s="477">
        <v>17</v>
      </c>
      <c r="S2" s="477">
        <v>18</v>
      </c>
      <c r="T2" s="477">
        <v>19</v>
      </c>
      <c r="U2" s="477">
        <v>20</v>
      </c>
      <c r="V2" s="477">
        <v>21</v>
      </c>
      <c r="W2" s="477">
        <v>22</v>
      </c>
      <c r="X2" s="477">
        <v>23</v>
      </c>
      <c r="Y2" s="477">
        <v>24</v>
      </c>
      <c r="Z2" s="477">
        <v>25</v>
      </c>
      <c r="AA2" s="477">
        <v>26</v>
      </c>
      <c r="AB2" s="477">
        <v>27</v>
      </c>
      <c r="AC2" s="477">
        <v>28</v>
      </c>
      <c r="AD2" s="477">
        <v>29</v>
      </c>
      <c r="AE2" s="477">
        <v>30</v>
      </c>
      <c r="AF2" s="477">
        <v>31</v>
      </c>
      <c r="AG2" s="477">
        <v>32</v>
      </c>
      <c r="AH2" s="477">
        <v>33</v>
      </c>
      <c r="AI2" s="477">
        <v>34</v>
      </c>
      <c r="AJ2" s="477">
        <v>35</v>
      </c>
      <c r="AK2" s="477">
        <v>36</v>
      </c>
      <c r="AL2" s="477">
        <v>37</v>
      </c>
      <c r="AM2" s="477">
        <v>38</v>
      </c>
      <c r="AN2" s="477">
        <v>39</v>
      </c>
      <c r="AO2" s="477">
        <v>40</v>
      </c>
      <c r="AP2" s="477">
        <v>41</v>
      </c>
      <c r="AQ2" s="477">
        <v>42</v>
      </c>
      <c r="AR2" s="477">
        <v>43</v>
      </c>
      <c r="AS2" s="477">
        <v>44</v>
      </c>
      <c r="AT2" s="477">
        <v>45</v>
      </c>
      <c r="AU2" s="477">
        <v>46</v>
      </c>
      <c r="AV2" s="477">
        <v>47</v>
      </c>
      <c r="AW2" s="477">
        <v>48</v>
      </c>
      <c r="AX2" s="477">
        <v>49</v>
      </c>
      <c r="AY2" s="477">
        <v>50</v>
      </c>
      <c r="AZ2" s="477">
        <v>51</v>
      </c>
      <c r="BA2" s="477">
        <v>52</v>
      </c>
      <c r="BB2" s="477">
        <v>53</v>
      </c>
      <c r="BC2" s="477">
        <v>54</v>
      </c>
      <c r="BD2" s="477">
        <v>55</v>
      </c>
      <c r="BE2" s="477">
        <v>56</v>
      </c>
      <c r="BF2" s="477">
        <v>57</v>
      </c>
      <c r="BG2" s="477">
        <v>58</v>
      </c>
      <c r="BH2" s="477">
        <v>59</v>
      </c>
      <c r="BI2" s="477">
        <v>60</v>
      </c>
      <c r="BJ2" s="477">
        <v>61</v>
      </c>
      <c r="BK2" s="477">
        <v>62</v>
      </c>
      <c r="BL2" s="477">
        <v>63</v>
      </c>
      <c r="BM2" s="477">
        <v>64</v>
      </c>
      <c r="BN2" s="477">
        <v>65</v>
      </c>
      <c r="CR2" s="661"/>
    </row>
    <row r="3" spans="1:109" s="10" customFormat="1" ht="15.5" x14ac:dyDescent="0.35">
      <c r="B3" s="63" t="s">
        <v>325</v>
      </c>
      <c r="C3" s="63"/>
      <c r="D3" s="478"/>
      <c r="E3" s="478"/>
      <c r="F3" s="478"/>
      <c r="G3" s="478"/>
      <c r="H3" s="478"/>
      <c r="I3" s="478"/>
      <c r="J3" s="478"/>
      <c r="K3" s="478"/>
      <c r="L3" s="478"/>
      <c r="M3" s="478"/>
      <c r="N3" s="478"/>
      <c r="O3" s="478"/>
      <c r="P3" s="479"/>
      <c r="Q3"/>
      <c r="R3"/>
      <c r="S3" s="479"/>
      <c r="T3" s="479"/>
      <c r="U3" s="479"/>
      <c r="V3"/>
      <c r="W3"/>
      <c r="X3"/>
      <c r="Y3"/>
      <c r="Z3"/>
      <c r="AA3" s="479"/>
      <c r="AW3" s="477"/>
      <c r="CR3" s="55"/>
    </row>
    <row r="4" spans="1:109" x14ac:dyDescent="0.35">
      <c r="B4" s="480" t="s">
        <v>302</v>
      </c>
      <c r="C4" s="480" t="s">
        <v>326</v>
      </c>
      <c r="D4" s="481">
        <v>40878</v>
      </c>
      <c r="E4" s="481">
        <v>41244</v>
      </c>
      <c r="F4" s="481">
        <v>41609</v>
      </c>
      <c r="G4" s="481">
        <v>41974</v>
      </c>
      <c r="H4" s="481">
        <v>42339</v>
      </c>
      <c r="I4" s="481">
        <v>42705</v>
      </c>
      <c r="J4" s="481">
        <v>43070</v>
      </c>
      <c r="K4" s="481"/>
      <c r="L4" s="481">
        <v>43101</v>
      </c>
      <c r="M4" s="481">
        <v>43132</v>
      </c>
      <c r="N4" s="481">
        <v>43160</v>
      </c>
      <c r="O4" s="481">
        <v>43191</v>
      </c>
      <c r="P4" s="481">
        <v>43221</v>
      </c>
      <c r="Q4" s="481">
        <v>43252</v>
      </c>
      <c r="R4" s="481">
        <v>43282</v>
      </c>
      <c r="S4" s="481">
        <v>43313</v>
      </c>
      <c r="T4" s="481">
        <v>43344</v>
      </c>
      <c r="U4" s="481">
        <v>43374</v>
      </c>
      <c r="V4" s="481">
        <v>43405</v>
      </c>
      <c r="W4" s="481">
        <v>43435</v>
      </c>
      <c r="X4" s="481">
        <v>43466</v>
      </c>
      <c r="Y4" s="481">
        <v>43497</v>
      </c>
      <c r="Z4" s="481">
        <v>43525</v>
      </c>
      <c r="AA4" s="481">
        <v>43556</v>
      </c>
      <c r="AB4" s="481">
        <v>43586</v>
      </c>
      <c r="AC4" s="481">
        <v>43617</v>
      </c>
      <c r="AD4" s="481">
        <v>43647</v>
      </c>
      <c r="AE4" s="481">
        <v>43678</v>
      </c>
      <c r="AF4" s="481">
        <v>43709</v>
      </c>
      <c r="AG4" s="481">
        <v>43739</v>
      </c>
      <c r="AH4" s="481">
        <v>43770</v>
      </c>
      <c r="AI4" s="482">
        <v>43800</v>
      </c>
      <c r="AJ4" s="482">
        <v>43831</v>
      </c>
      <c r="AK4" s="482">
        <v>43862</v>
      </c>
      <c r="AL4" s="482">
        <v>43891</v>
      </c>
      <c r="AM4" s="482">
        <v>43922</v>
      </c>
      <c r="AN4" s="482">
        <v>43952</v>
      </c>
      <c r="AO4" s="482">
        <v>43983</v>
      </c>
      <c r="AP4" s="482">
        <v>44013</v>
      </c>
      <c r="AQ4" s="482">
        <v>44044</v>
      </c>
      <c r="AR4" s="482">
        <v>44075</v>
      </c>
      <c r="AS4" s="482">
        <v>44105</v>
      </c>
      <c r="AT4" s="482">
        <v>44136</v>
      </c>
      <c r="AU4" s="482">
        <v>44166</v>
      </c>
      <c r="AV4" s="482">
        <v>44197</v>
      </c>
      <c r="AW4" s="482">
        <v>44228</v>
      </c>
      <c r="AX4" s="482">
        <v>44256</v>
      </c>
      <c r="AY4" s="482">
        <v>44287</v>
      </c>
      <c r="AZ4" s="482">
        <v>44317</v>
      </c>
      <c r="BA4" s="482">
        <v>44348</v>
      </c>
      <c r="BB4" s="482">
        <v>44378</v>
      </c>
      <c r="BC4" s="482">
        <v>44409</v>
      </c>
      <c r="BD4" s="482">
        <v>44440</v>
      </c>
      <c r="BE4" s="482">
        <v>44470</v>
      </c>
      <c r="BF4" s="482">
        <v>44501</v>
      </c>
      <c r="BG4" s="482">
        <v>44531</v>
      </c>
      <c r="BH4" s="482">
        <v>44562</v>
      </c>
      <c r="BI4" s="482">
        <v>44593</v>
      </c>
      <c r="BJ4" s="482">
        <v>44621</v>
      </c>
      <c r="BK4" s="482">
        <v>44652</v>
      </c>
      <c r="BL4" s="482">
        <v>44682</v>
      </c>
      <c r="BM4" s="482">
        <v>44713</v>
      </c>
      <c r="BN4" s="482">
        <v>44743</v>
      </c>
      <c r="BO4" s="482">
        <v>44774</v>
      </c>
      <c r="BP4" s="482">
        <v>44805</v>
      </c>
      <c r="BQ4" s="482">
        <v>44835</v>
      </c>
      <c r="BR4" s="482">
        <v>44866</v>
      </c>
      <c r="BS4" s="482">
        <v>44896</v>
      </c>
      <c r="BT4" s="482">
        <v>44927</v>
      </c>
      <c r="BU4" s="482">
        <v>44958</v>
      </c>
      <c r="BV4" s="482">
        <v>44986</v>
      </c>
      <c r="BW4" s="482">
        <v>45017</v>
      </c>
      <c r="BX4" s="482">
        <v>45047</v>
      </c>
      <c r="BY4" s="482">
        <v>45078</v>
      </c>
      <c r="BZ4" s="482">
        <v>45108</v>
      </c>
      <c r="CA4" s="482">
        <v>45139</v>
      </c>
      <c r="CB4" s="482">
        <v>45170</v>
      </c>
      <c r="CC4" s="482">
        <v>45200</v>
      </c>
      <c r="CD4" s="482">
        <v>45231</v>
      </c>
      <c r="CE4" s="482">
        <v>45261</v>
      </c>
      <c r="CF4" s="482">
        <v>45292</v>
      </c>
      <c r="CG4" s="482">
        <v>45323</v>
      </c>
      <c r="CH4" s="482">
        <v>45352</v>
      </c>
      <c r="CI4" s="482">
        <v>45383</v>
      </c>
      <c r="CJ4" s="482">
        <v>45413</v>
      </c>
      <c r="CK4" s="482">
        <v>45444</v>
      </c>
      <c r="CL4" s="482">
        <v>45474</v>
      </c>
      <c r="CM4" s="482">
        <v>45505</v>
      </c>
      <c r="CN4" s="482">
        <v>45536</v>
      </c>
      <c r="CO4" s="482">
        <v>45566</v>
      </c>
      <c r="CP4" s="482">
        <v>45597</v>
      </c>
      <c r="CQ4" s="482">
        <v>45627</v>
      </c>
      <c r="CR4" s="482">
        <v>45658</v>
      </c>
      <c r="CS4" s="482">
        <v>45689</v>
      </c>
      <c r="CT4" s="482">
        <v>45717</v>
      </c>
      <c r="CU4" s="482">
        <v>45748</v>
      </c>
      <c r="CV4" s="482">
        <v>45778</v>
      </c>
      <c r="CW4" s="482">
        <v>45809</v>
      </c>
      <c r="CX4" s="482">
        <v>45839</v>
      </c>
      <c r="CY4" s="482">
        <v>45870</v>
      </c>
      <c r="CZ4" s="482">
        <v>45901</v>
      </c>
      <c r="DA4" s="482">
        <v>45931</v>
      </c>
      <c r="DB4" s="482">
        <v>45962</v>
      </c>
      <c r="DC4" s="482">
        <v>45992</v>
      </c>
      <c r="DD4" s="482">
        <v>46023</v>
      </c>
      <c r="DE4" s="482">
        <v>46054</v>
      </c>
    </row>
    <row r="5" spans="1:109" x14ac:dyDescent="0.35">
      <c r="B5" s="480"/>
      <c r="C5" s="480"/>
      <c r="D5" s="481"/>
      <c r="E5" s="481"/>
      <c r="F5" s="481"/>
      <c r="G5" s="481"/>
      <c r="H5" s="481"/>
      <c r="I5" s="481"/>
      <c r="J5" s="481"/>
      <c r="K5" s="481"/>
      <c r="L5" s="481"/>
      <c r="M5" s="481"/>
      <c r="N5" s="481"/>
      <c r="O5" s="481"/>
      <c r="P5" s="481"/>
      <c r="Q5" s="481"/>
      <c r="R5" s="481"/>
      <c r="S5" s="481"/>
      <c r="T5" s="481"/>
      <c r="U5" s="481"/>
      <c r="V5" s="481"/>
      <c r="W5" s="481"/>
      <c r="X5" s="481"/>
      <c r="Y5" s="481"/>
      <c r="Z5" s="481"/>
      <c r="AA5" s="481"/>
      <c r="AB5" s="481"/>
      <c r="AC5" s="481"/>
      <c r="AD5" s="481"/>
      <c r="AE5" s="481"/>
      <c r="AF5" s="481"/>
      <c r="AG5" s="481"/>
      <c r="AH5" s="481"/>
      <c r="AI5" s="482"/>
      <c r="AJ5" s="482"/>
      <c r="AK5" s="482"/>
      <c r="AL5" s="482"/>
      <c r="AM5" s="482"/>
      <c r="AN5" s="482"/>
      <c r="AO5" s="482"/>
      <c r="AP5" s="482"/>
      <c r="AQ5" s="482"/>
      <c r="AR5" s="482"/>
      <c r="AS5" s="482"/>
      <c r="AT5" s="482"/>
      <c r="AU5" s="482"/>
      <c r="AV5" s="482"/>
      <c r="AW5" s="482"/>
      <c r="AX5" s="482"/>
      <c r="AY5" s="482"/>
      <c r="AZ5" s="482"/>
      <c r="BA5" s="482"/>
      <c r="BB5" s="482"/>
      <c r="BC5" s="482"/>
      <c r="BD5" s="482"/>
      <c r="BE5" s="482"/>
      <c r="BF5" s="482"/>
      <c r="BG5" s="482"/>
      <c r="BH5" s="482"/>
      <c r="BI5" s="482"/>
      <c r="BJ5" s="482"/>
      <c r="BK5" s="482"/>
      <c r="BL5" s="482"/>
      <c r="BM5" s="482"/>
      <c r="BN5" s="482"/>
      <c r="BO5" s="482"/>
      <c r="BP5" s="482"/>
      <c r="BQ5" s="482"/>
      <c r="BR5" s="482"/>
      <c r="BS5" s="482"/>
      <c r="BT5" s="482"/>
      <c r="BU5" s="482"/>
      <c r="BV5" s="482"/>
      <c r="BW5" s="482"/>
      <c r="BX5" s="482"/>
      <c r="BY5" s="482"/>
      <c r="BZ5" s="482"/>
      <c r="CA5" s="482"/>
      <c r="CB5" s="482"/>
      <c r="CC5" s="482"/>
      <c r="CD5" s="482"/>
      <c r="CE5" s="482"/>
      <c r="CF5" s="482"/>
      <c r="CG5" s="482"/>
      <c r="CH5" s="482"/>
      <c r="CI5" s="482"/>
      <c r="CJ5" s="482"/>
      <c r="CK5" s="482"/>
      <c r="CL5" s="482"/>
      <c r="CM5" s="482"/>
      <c r="CN5" s="482"/>
      <c r="CO5" s="482"/>
      <c r="CP5" s="482"/>
      <c r="CQ5" s="482"/>
      <c r="CR5" s="482"/>
      <c r="CS5" s="482"/>
      <c r="CT5" s="482"/>
      <c r="CU5" s="482"/>
      <c r="CV5" s="482"/>
      <c r="CW5" s="482"/>
      <c r="CX5" s="482"/>
      <c r="CY5" s="482"/>
      <c r="CZ5" s="482"/>
      <c r="DA5" s="482"/>
      <c r="DB5" s="482"/>
      <c r="DC5" s="482"/>
      <c r="DD5" s="482"/>
      <c r="DE5" s="482"/>
    </row>
    <row r="6" spans="1:109" s="483" customFormat="1" x14ac:dyDescent="0.35">
      <c r="B6" s="720" t="s">
        <v>327</v>
      </c>
      <c r="AU6" s="486"/>
      <c r="AV6" s="486"/>
      <c r="AW6" s="486"/>
      <c r="AX6" s="486"/>
      <c r="AY6" s="486"/>
      <c r="AZ6" s="486"/>
      <c r="BA6" s="486"/>
      <c r="BB6" s="486"/>
      <c r="BC6" s="486"/>
      <c r="BD6" s="486"/>
      <c r="BE6" s="486"/>
      <c r="BF6" s="486"/>
      <c r="BG6" s="486"/>
      <c r="BH6" s="486"/>
      <c r="BI6" s="486"/>
      <c r="BJ6" s="486"/>
      <c r="BK6" s="486"/>
      <c r="BL6" s="486"/>
      <c r="BM6" s="486"/>
      <c r="BN6" s="486"/>
      <c r="BO6" s="486"/>
      <c r="BP6" s="486"/>
      <c r="BQ6" s="486"/>
      <c r="BR6" s="486"/>
      <c r="BS6" s="486"/>
      <c r="BT6" s="486"/>
      <c r="BU6" s="486"/>
      <c r="BV6" s="486"/>
      <c r="BW6" s="486"/>
      <c r="BX6" s="486"/>
      <c r="BY6" s="486"/>
      <c r="BZ6" s="486"/>
      <c r="CA6" s="486"/>
      <c r="CB6" s="486"/>
      <c r="CC6" s="486"/>
      <c r="CD6" s="486"/>
      <c r="CE6" s="486"/>
      <c r="CF6" s="486"/>
      <c r="CG6" s="486"/>
      <c r="CH6" s="486"/>
      <c r="CI6" s="486"/>
      <c r="CJ6" s="486"/>
      <c r="CK6" s="486"/>
      <c r="CL6" s="486"/>
      <c r="CM6" s="486"/>
      <c r="CN6" s="486"/>
      <c r="CO6" s="486"/>
      <c r="CP6" s="486"/>
      <c r="CQ6" s="486"/>
      <c r="CR6" s="486"/>
      <c r="CS6" s="486"/>
      <c r="CT6" s="486"/>
      <c r="CU6" s="486"/>
      <c r="CV6" s="486"/>
      <c r="CW6" s="486"/>
      <c r="CX6" s="486">
        <v>2101785</v>
      </c>
      <c r="CY6" s="486">
        <v>2117396</v>
      </c>
      <c r="CZ6" s="486">
        <v>2120442</v>
      </c>
      <c r="DA6" s="486">
        <v>2124058</v>
      </c>
      <c r="DB6" s="486">
        <v>2124177</v>
      </c>
      <c r="DC6" s="486">
        <v>2129573</v>
      </c>
      <c r="DD6" s="486">
        <v>2131881</v>
      </c>
      <c r="DE6" s="728">
        <v>2121688</v>
      </c>
    </row>
    <row r="7" spans="1:109" s="483" customFormat="1" x14ac:dyDescent="0.35">
      <c r="B7" s="484" t="s">
        <v>209</v>
      </c>
      <c r="C7" s="485" t="s">
        <v>328</v>
      </c>
      <c r="D7" s="486">
        <v>347</v>
      </c>
      <c r="E7" s="486">
        <v>3245</v>
      </c>
      <c r="F7" s="486">
        <v>46789</v>
      </c>
      <c r="G7" s="486">
        <v>144841</v>
      </c>
      <c r="H7" s="486">
        <v>283710</v>
      </c>
      <c r="I7" s="486">
        <v>412814</v>
      </c>
      <c r="J7" s="486">
        <v>450864</v>
      </c>
      <c r="K7" s="486"/>
      <c r="L7" s="486">
        <v>442174</v>
      </c>
      <c r="M7" s="486">
        <v>442257</v>
      </c>
      <c r="N7" s="486">
        <v>455778</v>
      </c>
      <c r="O7" s="486">
        <v>344605</v>
      </c>
      <c r="P7" s="486">
        <v>344605</v>
      </c>
      <c r="Q7" s="486">
        <v>344605</v>
      </c>
      <c r="R7" s="486">
        <v>344821</v>
      </c>
      <c r="S7" s="486">
        <v>344821</v>
      </c>
      <c r="T7" s="486">
        <v>344821</v>
      </c>
      <c r="U7" s="486">
        <v>355575</v>
      </c>
      <c r="V7" s="486">
        <v>355575</v>
      </c>
      <c r="W7" s="486">
        <v>355575</v>
      </c>
      <c r="X7" s="486">
        <v>359328</v>
      </c>
      <c r="Y7" s="486">
        <v>348622</v>
      </c>
      <c r="Z7" s="486">
        <v>329591</v>
      </c>
      <c r="AA7" s="486">
        <v>358819</v>
      </c>
      <c r="AB7" s="486">
        <v>338136</v>
      </c>
      <c r="AC7" s="486">
        <v>357970</v>
      </c>
      <c r="AD7" s="486">
        <v>365798</v>
      </c>
      <c r="AE7" s="486">
        <v>348697</v>
      </c>
      <c r="AF7" s="486">
        <v>357796</v>
      </c>
      <c r="AG7" s="486">
        <v>357986</v>
      </c>
      <c r="AH7" s="486">
        <v>351773</v>
      </c>
      <c r="AI7" s="486">
        <v>376529</v>
      </c>
      <c r="AJ7" s="486">
        <v>355158</v>
      </c>
      <c r="AK7" s="486">
        <v>375672</v>
      </c>
      <c r="AL7" s="486">
        <v>357123</v>
      </c>
      <c r="AM7" s="486">
        <v>354154</v>
      </c>
      <c r="AN7" s="486">
        <v>382298</v>
      </c>
      <c r="AO7" s="486">
        <v>393560</v>
      </c>
      <c r="AP7" s="486">
        <v>393748</v>
      </c>
      <c r="AQ7" s="486">
        <v>392364</v>
      </c>
      <c r="AR7" s="486">
        <v>402286</v>
      </c>
      <c r="AS7" s="486">
        <v>371982</v>
      </c>
      <c r="AT7" s="486">
        <v>371514</v>
      </c>
      <c r="AU7" s="486">
        <v>360855</v>
      </c>
      <c r="AV7" s="486">
        <v>362157</v>
      </c>
      <c r="AW7" s="486">
        <v>353479</v>
      </c>
      <c r="AX7" s="486">
        <v>353479</v>
      </c>
      <c r="AY7" s="486">
        <v>359100</v>
      </c>
      <c r="AZ7" s="486">
        <v>358045</v>
      </c>
      <c r="BA7" s="486">
        <v>358046</v>
      </c>
      <c r="BB7" s="486">
        <v>340019</v>
      </c>
      <c r="BC7" s="486">
        <v>335105</v>
      </c>
      <c r="BD7" s="486">
        <v>330352</v>
      </c>
      <c r="BE7" s="486">
        <v>326653</v>
      </c>
      <c r="BF7" s="486">
        <v>322851</v>
      </c>
      <c r="BG7" s="486">
        <v>316649</v>
      </c>
      <c r="BH7" s="486">
        <v>317289</v>
      </c>
      <c r="BI7" s="486">
        <v>314413</v>
      </c>
      <c r="BJ7" s="486">
        <v>305535</v>
      </c>
      <c r="BK7" s="486">
        <v>305456</v>
      </c>
      <c r="BL7" s="486">
        <v>299670</v>
      </c>
      <c r="BM7" s="486">
        <v>294650</v>
      </c>
      <c r="BN7" s="486">
        <v>300628</v>
      </c>
      <c r="BO7" s="486">
        <v>291480</v>
      </c>
      <c r="BP7" s="486">
        <v>289307</v>
      </c>
      <c r="BQ7" s="486">
        <v>280573</v>
      </c>
      <c r="BR7" s="486">
        <v>281415</v>
      </c>
      <c r="BS7" s="486">
        <v>274712</v>
      </c>
      <c r="BT7" s="486">
        <v>273307</v>
      </c>
      <c r="BU7" s="486">
        <v>271658</v>
      </c>
      <c r="BV7" s="486">
        <v>271805</v>
      </c>
      <c r="BW7" s="486">
        <v>269224</v>
      </c>
      <c r="BX7" s="486">
        <v>259519</v>
      </c>
      <c r="BY7" s="486">
        <v>241059</v>
      </c>
      <c r="BZ7" s="486">
        <v>240050</v>
      </c>
      <c r="CA7" s="486">
        <v>228641</v>
      </c>
      <c r="CB7" s="486">
        <v>227701</v>
      </c>
      <c r="CC7" s="486">
        <v>228142</v>
      </c>
      <c r="CD7" s="486">
        <v>228684</v>
      </c>
      <c r="CE7" s="486">
        <v>229818</v>
      </c>
      <c r="CF7" s="486">
        <v>229351</v>
      </c>
      <c r="CG7" s="486">
        <v>227192</v>
      </c>
      <c r="CH7" s="486">
        <v>213505</v>
      </c>
      <c r="CI7" s="486">
        <v>213505</v>
      </c>
      <c r="CJ7" s="486">
        <v>213352</v>
      </c>
      <c r="CK7" s="486">
        <v>211531</v>
      </c>
      <c r="CL7" s="486">
        <v>211578</v>
      </c>
      <c r="CM7" s="486">
        <v>210976</v>
      </c>
      <c r="CN7" s="486">
        <v>175480</v>
      </c>
      <c r="CO7" s="486">
        <v>166107</v>
      </c>
      <c r="CP7" s="486">
        <v>157765</v>
      </c>
      <c r="CQ7" s="486">
        <v>127983</v>
      </c>
      <c r="CR7" s="486">
        <v>125062</v>
      </c>
      <c r="CS7" s="486">
        <v>121357</v>
      </c>
      <c r="CT7" s="486">
        <v>105448</v>
      </c>
      <c r="CU7" s="486">
        <v>93482</v>
      </c>
      <c r="CV7" s="486">
        <v>92539</v>
      </c>
      <c r="CW7" s="486">
        <v>90922</v>
      </c>
      <c r="CX7" s="486">
        <v>91608</v>
      </c>
      <c r="CY7" s="486">
        <v>94860</v>
      </c>
      <c r="CZ7" s="486">
        <v>95239</v>
      </c>
      <c r="DA7" s="486">
        <v>95530</v>
      </c>
      <c r="DB7" s="486">
        <v>95445</v>
      </c>
      <c r="DC7" s="486">
        <v>71536</v>
      </c>
      <c r="DD7" s="486">
        <v>72759</v>
      </c>
      <c r="DE7" s="728">
        <v>72321</v>
      </c>
    </row>
    <row r="8" spans="1:109" s="483" customFormat="1" x14ac:dyDescent="0.35">
      <c r="B8" s="485" t="s">
        <v>320</v>
      </c>
      <c r="C8" s="484" t="s">
        <v>329</v>
      </c>
      <c r="D8" s="486"/>
      <c r="E8" s="486"/>
      <c r="F8" s="486"/>
      <c r="G8" s="486"/>
      <c r="H8" s="486"/>
      <c r="I8" s="486"/>
      <c r="J8" s="486"/>
      <c r="K8" s="486"/>
      <c r="L8" s="486"/>
      <c r="M8" s="486"/>
      <c r="N8" s="486"/>
      <c r="O8" s="486"/>
      <c r="P8" s="486"/>
      <c r="Q8" s="486"/>
      <c r="R8" s="486"/>
      <c r="S8" s="486"/>
      <c r="T8" s="486"/>
      <c r="U8" s="486"/>
      <c r="V8" s="486"/>
      <c r="W8" s="486"/>
      <c r="X8" s="486"/>
      <c r="Y8" s="486"/>
      <c r="Z8" s="486"/>
      <c r="AA8" s="486"/>
      <c r="AB8" s="486"/>
      <c r="AC8" s="486"/>
      <c r="AD8" s="486"/>
      <c r="AE8" s="486"/>
      <c r="AF8" s="486"/>
      <c r="AG8" s="486"/>
      <c r="AH8" s="486"/>
      <c r="AI8" s="486"/>
      <c r="AJ8" s="486"/>
      <c r="AK8" s="486"/>
      <c r="AL8" s="486"/>
      <c r="AM8" s="486"/>
      <c r="AN8" s="486"/>
      <c r="AS8" s="486"/>
      <c r="AW8" s="486">
        <v>5071</v>
      </c>
      <c r="AX8" s="486">
        <v>5071</v>
      </c>
      <c r="AY8" s="486">
        <v>49576</v>
      </c>
      <c r="AZ8" s="486">
        <v>50071</v>
      </c>
      <c r="BA8" s="486">
        <v>68071</v>
      </c>
      <c r="BB8" s="486">
        <v>68081</v>
      </c>
      <c r="BC8" s="486">
        <v>68081</v>
      </c>
      <c r="BD8" s="486">
        <v>68181</v>
      </c>
      <c r="BE8" s="486">
        <v>68181</v>
      </c>
      <c r="BF8" s="486">
        <v>68181</v>
      </c>
      <c r="BG8" s="486">
        <v>70181</v>
      </c>
      <c r="BH8" s="486">
        <v>79175</v>
      </c>
      <c r="BI8" s="486">
        <v>87175</v>
      </c>
      <c r="BJ8" s="486">
        <v>96185</v>
      </c>
      <c r="BK8" s="486">
        <v>105184</v>
      </c>
      <c r="BL8" s="486">
        <v>113184</v>
      </c>
      <c r="BM8" s="486">
        <v>113184</v>
      </c>
      <c r="BN8" s="486">
        <v>131184</v>
      </c>
      <c r="BO8" s="486">
        <v>131184</v>
      </c>
      <c r="BP8" s="486">
        <v>141184</v>
      </c>
      <c r="BQ8" s="486">
        <v>141183</v>
      </c>
      <c r="BR8" s="486">
        <v>142183</v>
      </c>
      <c r="BS8" s="486">
        <v>157174</v>
      </c>
      <c r="BT8" s="486">
        <v>157174</v>
      </c>
      <c r="BU8" s="486">
        <v>157294</v>
      </c>
      <c r="BV8" s="486">
        <v>157294</v>
      </c>
      <c r="BW8" s="486">
        <v>157294</v>
      </c>
      <c r="BX8" s="486">
        <v>157294</v>
      </c>
      <c r="BY8" s="486">
        <v>157295</v>
      </c>
      <c r="BZ8" s="486">
        <v>157295</v>
      </c>
      <c r="CA8" s="486">
        <v>157295</v>
      </c>
      <c r="CB8" s="486">
        <v>160324</v>
      </c>
      <c r="CC8" s="486">
        <v>169474</v>
      </c>
      <c r="CD8" s="486">
        <v>175832</v>
      </c>
      <c r="CE8" s="486">
        <v>175832</v>
      </c>
      <c r="CF8" s="486">
        <v>175837</v>
      </c>
      <c r="CG8" s="486">
        <v>185840</v>
      </c>
      <c r="CH8" s="486">
        <v>204840</v>
      </c>
      <c r="CI8" s="486">
        <v>205339</v>
      </c>
      <c r="CJ8" s="486">
        <v>209837</v>
      </c>
      <c r="CK8" s="486">
        <v>216339</v>
      </c>
      <c r="CL8" s="486">
        <v>216339</v>
      </c>
      <c r="CM8" s="486">
        <v>216339</v>
      </c>
      <c r="CN8" s="486">
        <v>216341</v>
      </c>
      <c r="CO8" s="486">
        <v>228341</v>
      </c>
      <c r="CP8" s="486">
        <v>240349</v>
      </c>
      <c r="CQ8" s="486">
        <v>240349</v>
      </c>
      <c r="CR8" s="486">
        <v>247351</v>
      </c>
      <c r="CS8" s="486">
        <v>250028</v>
      </c>
      <c r="CT8" s="486">
        <v>276393</v>
      </c>
      <c r="CU8" s="486">
        <v>276363</v>
      </c>
      <c r="CV8" s="486">
        <v>272826</v>
      </c>
      <c r="CW8" s="486">
        <v>281739</v>
      </c>
      <c r="CX8" s="486">
        <v>281860</v>
      </c>
      <c r="CY8" s="486">
        <v>281860</v>
      </c>
      <c r="CZ8" s="486">
        <v>293450</v>
      </c>
      <c r="DA8" s="486">
        <v>293447</v>
      </c>
      <c r="DB8" s="486">
        <v>293447</v>
      </c>
      <c r="DC8" s="486">
        <v>318488</v>
      </c>
      <c r="DD8" s="486">
        <v>318543</v>
      </c>
      <c r="DE8" s="728">
        <v>318543</v>
      </c>
    </row>
    <row r="9" spans="1:109" s="483" customFormat="1" x14ac:dyDescent="0.35">
      <c r="B9" s="484" t="s">
        <v>330</v>
      </c>
      <c r="C9" s="484" t="s">
        <v>331</v>
      </c>
      <c r="D9" s="486"/>
      <c r="E9" s="486"/>
      <c r="F9" s="486"/>
      <c r="G9" s="486"/>
      <c r="H9" s="486"/>
      <c r="I9" s="486"/>
      <c r="J9" s="486"/>
      <c r="K9" s="486"/>
      <c r="L9" s="486"/>
      <c r="M9" s="486"/>
      <c r="N9" s="486"/>
      <c r="O9" s="486"/>
      <c r="P9" s="486"/>
      <c r="Q9" s="486"/>
      <c r="R9" s="486"/>
      <c r="S9" s="486"/>
      <c r="T9" s="486"/>
      <c r="U9" s="486"/>
      <c r="V9" s="486"/>
      <c r="W9" s="486"/>
      <c r="X9" s="486"/>
      <c r="Y9" s="486"/>
      <c r="Z9" s="486"/>
      <c r="AA9" s="486"/>
      <c r="AB9" s="486"/>
      <c r="AC9" s="486"/>
      <c r="AD9" s="486"/>
      <c r="AE9" s="486"/>
      <c r="AF9" s="486"/>
      <c r="AG9" s="486"/>
      <c r="AH9" s="486"/>
      <c r="AI9" s="486"/>
      <c r="AJ9" s="486"/>
      <c r="AK9" s="486"/>
      <c r="AL9" s="486"/>
      <c r="AM9" s="486"/>
      <c r="AN9" s="486"/>
      <c r="AS9" s="486"/>
      <c r="AW9" s="487"/>
      <c r="AX9" s="486">
        <v>15100</v>
      </c>
      <c r="AY9" s="486">
        <v>20309</v>
      </c>
      <c r="AZ9" s="486">
        <v>34610</v>
      </c>
      <c r="BA9" s="486">
        <v>57613</v>
      </c>
      <c r="BB9" s="486">
        <v>72718</v>
      </c>
      <c r="BC9" s="486">
        <v>85127</v>
      </c>
      <c r="BD9" s="486">
        <v>116986</v>
      </c>
      <c r="BE9" s="486">
        <v>133206</v>
      </c>
      <c r="BF9" s="486">
        <v>158802</v>
      </c>
      <c r="BG9" s="486">
        <v>159806</v>
      </c>
      <c r="BH9" s="486">
        <v>159826</v>
      </c>
      <c r="BI9" s="486">
        <v>159826</v>
      </c>
      <c r="BJ9" s="486">
        <v>159826</v>
      </c>
      <c r="BK9" s="486">
        <v>159826</v>
      </c>
      <c r="BL9" s="486">
        <v>159886</v>
      </c>
      <c r="BM9" s="486">
        <v>169886</v>
      </c>
      <c r="BN9" s="486">
        <v>170086</v>
      </c>
      <c r="BO9" s="486">
        <v>159672</v>
      </c>
      <c r="BP9" s="486">
        <v>159672</v>
      </c>
      <c r="BQ9" s="486">
        <v>159704</v>
      </c>
      <c r="BR9" s="486">
        <v>159703</v>
      </c>
      <c r="BS9" s="486">
        <v>188029</v>
      </c>
      <c r="BT9" s="486">
        <v>188036</v>
      </c>
      <c r="BU9" s="486">
        <v>188835</v>
      </c>
      <c r="BV9" s="486">
        <v>188834</v>
      </c>
      <c r="BW9" s="486">
        <v>188854</v>
      </c>
      <c r="BX9" s="486">
        <v>205649</v>
      </c>
      <c r="BY9" s="486">
        <v>205644</v>
      </c>
      <c r="BZ9" s="486">
        <v>205644</v>
      </c>
      <c r="CA9" s="486">
        <v>205646</v>
      </c>
      <c r="CB9" s="486">
        <v>205646</v>
      </c>
      <c r="CC9" s="486">
        <v>205647</v>
      </c>
      <c r="CD9" s="486">
        <v>205647</v>
      </c>
      <c r="CE9" s="486">
        <v>205646</v>
      </c>
      <c r="CF9" s="486">
        <v>205444</v>
      </c>
      <c r="CG9" s="486">
        <v>205322</v>
      </c>
      <c r="CH9" s="486">
        <v>205253</v>
      </c>
      <c r="CI9" s="486">
        <v>204097</v>
      </c>
      <c r="CJ9" s="486">
        <v>204008</v>
      </c>
      <c r="CK9" s="486">
        <v>180272</v>
      </c>
      <c r="CL9" s="486">
        <v>164201</v>
      </c>
      <c r="CM9" s="486">
        <v>163758</v>
      </c>
      <c r="CN9" s="486">
        <v>162868</v>
      </c>
      <c r="CO9" s="486">
        <v>161959</v>
      </c>
      <c r="CP9" s="486">
        <v>161464</v>
      </c>
      <c r="CQ9" s="486">
        <v>161258</v>
      </c>
      <c r="CR9" s="486">
        <v>160897</v>
      </c>
      <c r="CS9" s="486">
        <v>158593</v>
      </c>
      <c r="CT9" s="486">
        <v>158461</v>
      </c>
      <c r="CU9" s="486">
        <v>157583</v>
      </c>
      <c r="CV9" s="486">
        <v>157330</v>
      </c>
      <c r="CW9" s="486">
        <v>151562</v>
      </c>
      <c r="CX9" s="486">
        <v>150167</v>
      </c>
      <c r="CY9" s="486">
        <v>135158</v>
      </c>
      <c r="CZ9" s="486">
        <v>132954</v>
      </c>
      <c r="DA9" s="486">
        <v>129717</v>
      </c>
      <c r="DB9" s="486">
        <v>129684</v>
      </c>
      <c r="DC9" s="486">
        <v>129181</v>
      </c>
      <c r="DD9" s="486">
        <v>124381</v>
      </c>
      <c r="DE9" s="728">
        <v>123208</v>
      </c>
    </row>
    <row r="10" spans="1:109" s="483" customFormat="1" x14ac:dyDescent="0.35">
      <c r="B10" s="484" t="s">
        <v>332</v>
      </c>
      <c r="C10" s="485" t="s">
        <v>333</v>
      </c>
      <c r="D10" s="486">
        <v>0</v>
      </c>
      <c r="E10" s="486">
        <v>0</v>
      </c>
      <c r="F10" s="486">
        <v>0</v>
      </c>
      <c r="G10" s="486">
        <v>139</v>
      </c>
      <c r="H10" s="486">
        <v>14228</v>
      </c>
      <c r="I10" s="486">
        <v>33744</v>
      </c>
      <c r="J10" s="486">
        <v>44674</v>
      </c>
      <c r="K10" s="486"/>
      <c r="L10" s="486">
        <v>45768</v>
      </c>
      <c r="M10" s="486">
        <v>48279</v>
      </c>
      <c r="N10" s="486">
        <v>50132</v>
      </c>
      <c r="O10" s="486">
        <v>50042</v>
      </c>
      <c r="P10" s="486">
        <v>49998</v>
      </c>
      <c r="Q10" s="486">
        <v>50231</v>
      </c>
      <c r="R10" s="486">
        <v>50988</v>
      </c>
      <c r="S10" s="486">
        <v>50856</v>
      </c>
      <c r="T10" s="486">
        <v>50769</v>
      </c>
      <c r="U10" s="486">
        <v>50706</v>
      </c>
      <c r="V10" s="486">
        <v>48957</v>
      </c>
      <c r="W10" s="486">
        <v>48271</v>
      </c>
      <c r="X10" s="486">
        <v>48930</v>
      </c>
      <c r="Y10" s="486">
        <v>51637</v>
      </c>
      <c r="Z10" s="486">
        <v>57925</v>
      </c>
      <c r="AA10" s="486">
        <v>59141</v>
      </c>
      <c r="AB10" s="486">
        <v>60263</v>
      </c>
      <c r="AC10" s="486">
        <v>60666</v>
      </c>
      <c r="AD10" s="486">
        <v>60450</v>
      </c>
      <c r="AE10" s="486">
        <v>60337</v>
      </c>
      <c r="AF10" s="486">
        <v>60939</v>
      </c>
      <c r="AG10" s="486">
        <v>61175</v>
      </c>
      <c r="AH10" s="486">
        <v>60917</v>
      </c>
      <c r="AI10" s="486">
        <v>61128</v>
      </c>
      <c r="AJ10" s="486">
        <v>61968</v>
      </c>
      <c r="AK10" s="486">
        <v>63767</v>
      </c>
      <c r="AL10" s="486">
        <v>65952</v>
      </c>
      <c r="AM10" s="486">
        <v>67911</v>
      </c>
      <c r="AN10" s="486">
        <v>72950</v>
      </c>
      <c r="AO10" s="486">
        <v>77702</v>
      </c>
      <c r="AP10" s="486">
        <v>80207</v>
      </c>
      <c r="AQ10" s="486">
        <v>80167</v>
      </c>
      <c r="AR10" s="486">
        <v>80720</v>
      </c>
      <c r="AS10" s="486">
        <v>83989</v>
      </c>
      <c r="AT10" s="486">
        <v>84600</v>
      </c>
      <c r="AU10" s="486">
        <v>80444</v>
      </c>
      <c r="AV10" s="486">
        <v>81904</v>
      </c>
      <c r="AW10" s="486">
        <v>87214</v>
      </c>
      <c r="AX10" s="486">
        <v>90484</v>
      </c>
      <c r="AY10" s="486">
        <v>94366</v>
      </c>
      <c r="AZ10" s="486">
        <v>99550</v>
      </c>
      <c r="BA10" s="486">
        <v>101286</v>
      </c>
      <c r="BB10" s="486">
        <v>102028</v>
      </c>
      <c r="BC10" s="486">
        <v>105281</v>
      </c>
      <c r="BD10" s="486">
        <v>106512</v>
      </c>
      <c r="BE10" s="486">
        <v>107378</v>
      </c>
      <c r="BF10" s="486">
        <v>107350</v>
      </c>
      <c r="BG10" s="486">
        <v>107961</v>
      </c>
      <c r="BH10" s="486">
        <v>111291</v>
      </c>
      <c r="BI10" s="486">
        <v>114193</v>
      </c>
      <c r="BJ10" s="486">
        <v>118698</v>
      </c>
      <c r="BK10" s="486">
        <v>120790</v>
      </c>
      <c r="BL10" s="486">
        <v>125316</v>
      </c>
      <c r="BM10" s="486">
        <v>128110</v>
      </c>
      <c r="BN10" s="486">
        <v>133237</v>
      </c>
      <c r="BO10" s="486">
        <v>133752</v>
      </c>
      <c r="BP10" s="486">
        <v>133740</v>
      </c>
      <c r="BQ10" s="486">
        <v>132250</v>
      </c>
      <c r="BR10" s="486">
        <v>132243</v>
      </c>
      <c r="BS10" s="486">
        <v>132789</v>
      </c>
      <c r="BT10" s="486">
        <v>134841</v>
      </c>
      <c r="BU10" s="486">
        <v>134858</v>
      </c>
      <c r="BV10" s="486">
        <v>136061</v>
      </c>
      <c r="BW10" s="486">
        <v>137839</v>
      </c>
      <c r="BX10" s="486">
        <v>141300</v>
      </c>
      <c r="BY10" s="486">
        <v>143342</v>
      </c>
      <c r="BZ10" s="486">
        <v>143884</v>
      </c>
      <c r="CA10" s="486">
        <v>144185</v>
      </c>
      <c r="CB10" s="486">
        <v>144521</v>
      </c>
      <c r="CC10" s="486">
        <v>145056</v>
      </c>
      <c r="CD10" s="486">
        <v>145201</v>
      </c>
      <c r="CE10" s="486">
        <v>145598</v>
      </c>
      <c r="CF10" s="486">
        <v>145811</v>
      </c>
      <c r="CG10" s="486">
        <v>146874</v>
      </c>
      <c r="CH10" s="486">
        <v>147077</v>
      </c>
      <c r="CI10" s="486">
        <v>147165</v>
      </c>
      <c r="CJ10" s="486">
        <v>148164</v>
      </c>
      <c r="CK10" s="486">
        <v>148443</v>
      </c>
      <c r="CL10" s="486">
        <v>148565</v>
      </c>
      <c r="CM10" s="486">
        <v>149143</v>
      </c>
      <c r="CN10" s="486">
        <v>149665</v>
      </c>
      <c r="CO10" s="486">
        <v>150369</v>
      </c>
      <c r="CP10" s="486">
        <v>151706</v>
      </c>
      <c r="CQ10" s="486">
        <v>151699</v>
      </c>
      <c r="CR10" s="486">
        <v>151688</v>
      </c>
      <c r="CS10" s="486">
        <v>151612</v>
      </c>
      <c r="CT10" s="486">
        <v>151575</v>
      </c>
      <c r="CU10" s="486">
        <v>151498</v>
      </c>
      <c r="CV10" s="486">
        <v>150996</v>
      </c>
      <c r="CW10" s="486">
        <v>151363</v>
      </c>
      <c r="CX10" s="486">
        <v>148770</v>
      </c>
      <c r="CY10" s="486">
        <v>119630</v>
      </c>
      <c r="CZ10" s="486">
        <v>119676</v>
      </c>
      <c r="DA10" s="486">
        <v>119620</v>
      </c>
      <c r="DB10" s="486">
        <v>119627</v>
      </c>
      <c r="DC10" s="486">
        <v>119568</v>
      </c>
      <c r="DD10" s="486">
        <v>119531</v>
      </c>
      <c r="DE10" s="728">
        <v>119410</v>
      </c>
    </row>
    <row r="11" spans="1:109" s="483" customFormat="1" x14ac:dyDescent="0.35">
      <c r="B11" s="484" t="s">
        <v>323</v>
      </c>
      <c r="C11" s="485" t="s">
        <v>334</v>
      </c>
      <c r="D11" s="486"/>
      <c r="E11" s="486"/>
      <c r="F11" s="486"/>
      <c r="G11" s="486"/>
      <c r="H11" s="486"/>
      <c r="I11" s="486"/>
      <c r="J11" s="486"/>
      <c r="K11" s="486"/>
      <c r="L11" s="486"/>
      <c r="M11" s="486"/>
      <c r="N11" s="486"/>
      <c r="O11" s="486"/>
      <c r="P11" s="486"/>
      <c r="Q11" s="486"/>
      <c r="R11" s="486"/>
      <c r="S11" s="486"/>
      <c r="T11" s="486"/>
      <c r="U11" s="486"/>
      <c r="V11" s="486"/>
      <c r="W11" s="486"/>
      <c r="X11" s="486"/>
      <c r="Y11" s="486"/>
      <c r="Z11" s="486"/>
      <c r="AA11" s="486"/>
      <c r="AB11" s="486"/>
      <c r="AC11" s="486"/>
      <c r="AD11" s="486"/>
      <c r="AE11" s="486"/>
      <c r="AF11" s="486"/>
      <c r="AG11" s="486"/>
      <c r="AH11" s="486"/>
      <c r="AI11" s="486"/>
      <c r="AJ11" s="486"/>
      <c r="AK11" s="486"/>
      <c r="AL11" s="486"/>
      <c r="AM11" s="486"/>
      <c r="AN11" s="486"/>
      <c r="AO11" s="486"/>
      <c r="AP11" s="486"/>
      <c r="AQ11" s="486"/>
      <c r="AR11" s="486"/>
      <c r="AS11" s="486"/>
      <c r="AT11" s="486"/>
      <c r="AU11" s="486"/>
      <c r="AV11" s="486"/>
      <c r="AW11" s="486"/>
      <c r="AX11" s="486"/>
      <c r="AY11" s="486"/>
      <c r="AZ11" s="486"/>
      <c r="BA11" s="486"/>
      <c r="BB11" s="486"/>
      <c r="BC11" s="486"/>
      <c r="BD11" s="486"/>
      <c r="BE11" s="486"/>
      <c r="BF11" s="486"/>
      <c r="BG11" s="486"/>
      <c r="BH11" s="486"/>
      <c r="BI11" s="486"/>
      <c r="BJ11" s="486"/>
      <c r="BK11" s="486"/>
      <c r="BL11" s="486"/>
      <c r="BM11" s="486"/>
      <c r="BN11" s="486"/>
      <c r="BO11" s="486"/>
      <c r="BP11" s="486"/>
      <c r="BQ11" s="486"/>
      <c r="BR11" s="486"/>
      <c r="BS11" s="486"/>
      <c r="BT11" s="486"/>
      <c r="BU11" s="486"/>
      <c r="BV11" s="486"/>
      <c r="BW11" s="486"/>
      <c r="BX11" s="486"/>
      <c r="BY11" s="486"/>
      <c r="BZ11" s="486"/>
      <c r="CA11" s="486"/>
      <c r="CB11" s="486"/>
      <c r="CC11" s="486"/>
      <c r="CD11" s="486"/>
      <c r="CE11" s="486"/>
      <c r="CF11" s="486"/>
      <c r="CG11" s="486"/>
      <c r="CH11" s="486"/>
      <c r="CI11" s="486"/>
      <c r="CJ11" s="486"/>
      <c r="CK11" s="486"/>
      <c r="CL11" s="486"/>
      <c r="CM11" s="486"/>
      <c r="CN11" s="486"/>
      <c r="CO11" s="486">
        <v>1540</v>
      </c>
      <c r="CP11" s="486">
        <v>47710</v>
      </c>
      <c r="CQ11" s="486">
        <v>72762</v>
      </c>
      <c r="CR11" s="486">
        <v>78470</v>
      </c>
      <c r="CS11" s="486">
        <v>81172</v>
      </c>
      <c r="CT11" s="486">
        <v>87473</v>
      </c>
      <c r="CU11" s="486">
        <v>93183</v>
      </c>
      <c r="CV11" s="486">
        <v>102826</v>
      </c>
      <c r="CW11" s="486">
        <v>119018</v>
      </c>
      <c r="CX11" s="486">
        <v>139220</v>
      </c>
      <c r="CY11" s="486">
        <v>149497</v>
      </c>
      <c r="CZ11" s="486">
        <v>164785</v>
      </c>
      <c r="DA11" s="486">
        <v>176797</v>
      </c>
      <c r="DB11" s="486">
        <v>200848</v>
      </c>
      <c r="DC11" s="486">
        <v>245373</v>
      </c>
      <c r="DD11" s="486">
        <v>254563</v>
      </c>
      <c r="DE11" s="728">
        <v>304863</v>
      </c>
    </row>
    <row r="12" spans="1:109" s="483" customFormat="1" x14ac:dyDescent="0.35">
      <c r="B12" s="484" t="s">
        <v>315</v>
      </c>
      <c r="C12" s="485" t="s">
        <v>335</v>
      </c>
      <c r="D12" s="486">
        <v>0</v>
      </c>
      <c r="E12" s="486">
        <v>0</v>
      </c>
      <c r="F12" s="486">
        <v>0</v>
      </c>
      <c r="G12" s="486">
        <v>8</v>
      </c>
      <c r="H12" s="486">
        <v>4556</v>
      </c>
      <c r="I12" s="486">
        <v>12556</v>
      </c>
      <c r="J12" s="486">
        <v>13105</v>
      </c>
      <c r="K12" s="486"/>
      <c r="L12" s="486">
        <v>13110</v>
      </c>
      <c r="M12" s="486">
        <v>13137</v>
      </c>
      <c r="N12" s="486">
        <v>13137</v>
      </c>
      <c r="O12" s="486">
        <v>13176</v>
      </c>
      <c r="P12" s="486">
        <v>13194</v>
      </c>
      <c r="Q12" s="486">
        <v>13344</v>
      </c>
      <c r="R12" s="486">
        <v>13344</v>
      </c>
      <c r="S12" s="486">
        <v>13345</v>
      </c>
      <c r="T12" s="486">
        <v>13357</v>
      </c>
      <c r="U12" s="486">
        <v>13359</v>
      </c>
      <c r="V12" s="486">
        <v>13384</v>
      </c>
      <c r="W12" s="486">
        <v>13434</v>
      </c>
      <c r="X12" s="486">
        <v>13439</v>
      </c>
      <c r="Y12" s="486">
        <v>13443</v>
      </c>
      <c r="Z12" s="486">
        <v>13538</v>
      </c>
      <c r="AA12" s="486">
        <v>13619</v>
      </c>
      <c r="AB12" s="486">
        <v>13619</v>
      </c>
      <c r="AC12" s="486">
        <v>13631</v>
      </c>
      <c r="AD12" s="486">
        <v>13639</v>
      </c>
      <c r="AE12" s="486">
        <v>13644</v>
      </c>
      <c r="AF12" s="486">
        <v>13660</v>
      </c>
      <c r="AG12" s="486">
        <v>13665</v>
      </c>
      <c r="AH12" s="486">
        <v>13867</v>
      </c>
      <c r="AI12" s="486">
        <v>13868</v>
      </c>
      <c r="AJ12" s="486">
        <v>13968</v>
      </c>
      <c r="AK12" s="486">
        <v>14018</v>
      </c>
      <c r="AL12" s="486">
        <v>14019</v>
      </c>
      <c r="AM12" s="486">
        <v>14019</v>
      </c>
      <c r="AN12" s="486">
        <v>14019</v>
      </c>
      <c r="AO12" s="486">
        <v>14069</v>
      </c>
      <c r="AP12" s="486">
        <v>14069</v>
      </c>
      <c r="AQ12" s="486">
        <v>14069</v>
      </c>
      <c r="AR12" s="486">
        <v>14069</v>
      </c>
      <c r="AS12" s="486">
        <v>14119</v>
      </c>
      <c r="AT12" s="486">
        <v>14119</v>
      </c>
      <c r="AU12" s="486">
        <v>14119</v>
      </c>
      <c r="AV12" s="486">
        <v>14220</v>
      </c>
      <c r="AW12" s="486">
        <v>14239</v>
      </c>
      <c r="AX12" s="486">
        <v>14846</v>
      </c>
      <c r="AY12" s="486">
        <v>16343</v>
      </c>
      <c r="AZ12" s="486">
        <v>17269</v>
      </c>
      <c r="BA12" s="486">
        <v>20267</v>
      </c>
      <c r="BB12" s="486">
        <v>20766</v>
      </c>
      <c r="BC12" s="486">
        <v>20768</v>
      </c>
      <c r="BD12" s="486">
        <v>21369</v>
      </c>
      <c r="BE12" s="486">
        <v>21369</v>
      </c>
      <c r="BF12" s="486">
        <v>21444</v>
      </c>
      <c r="BG12" s="486">
        <v>21447</v>
      </c>
      <c r="BH12" s="486">
        <v>28274</v>
      </c>
      <c r="BI12" s="486">
        <v>31771</v>
      </c>
      <c r="BJ12" s="486">
        <v>32428</v>
      </c>
      <c r="BK12" s="486">
        <v>34938</v>
      </c>
      <c r="BL12" s="486">
        <v>41066</v>
      </c>
      <c r="BM12" s="486">
        <v>38263</v>
      </c>
      <c r="BN12" s="486">
        <v>39537</v>
      </c>
      <c r="BO12" s="486">
        <v>41514</v>
      </c>
      <c r="BP12" s="486">
        <v>41514</v>
      </c>
      <c r="BQ12" s="486">
        <v>43779</v>
      </c>
      <c r="BR12" s="486">
        <v>68720</v>
      </c>
      <c r="BS12" s="486">
        <v>69749</v>
      </c>
      <c r="BT12" s="486">
        <v>69757</v>
      </c>
      <c r="BU12" s="486">
        <v>69787</v>
      </c>
      <c r="BV12" s="486">
        <v>70925</v>
      </c>
      <c r="BW12" s="486">
        <v>77494</v>
      </c>
      <c r="BX12" s="486">
        <v>77429</v>
      </c>
      <c r="BY12" s="486">
        <v>88446</v>
      </c>
      <c r="BZ12" s="486">
        <v>96481</v>
      </c>
      <c r="CA12" s="486">
        <v>99418</v>
      </c>
      <c r="CB12" s="486">
        <v>109467</v>
      </c>
      <c r="CC12" s="486">
        <v>109543</v>
      </c>
      <c r="CD12" s="486">
        <v>109562</v>
      </c>
      <c r="CE12" s="486">
        <v>114609</v>
      </c>
      <c r="CF12" s="486">
        <v>119624</v>
      </c>
      <c r="CG12" s="486">
        <v>126249</v>
      </c>
      <c r="CH12" s="486">
        <v>126338</v>
      </c>
      <c r="CI12" s="486">
        <v>126474</v>
      </c>
      <c r="CJ12" s="486">
        <v>126532</v>
      </c>
      <c r="CK12" s="486">
        <v>126586</v>
      </c>
      <c r="CL12" s="486">
        <v>126624</v>
      </c>
      <c r="CM12" s="486">
        <v>126731</v>
      </c>
      <c r="CN12" s="486">
        <v>126790</v>
      </c>
      <c r="CO12" s="486">
        <v>126837</v>
      </c>
      <c r="CP12" s="486">
        <v>126875</v>
      </c>
      <c r="CQ12" s="486">
        <v>126900</v>
      </c>
      <c r="CR12" s="486">
        <v>126904</v>
      </c>
      <c r="CS12" s="486">
        <v>126879</v>
      </c>
      <c r="CT12" s="486">
        <v>126885</v>
      </c>
      <c r="CU12" s="486">
        <v>126850</v>
      </c>
      <c r="CV12" s="486">
        <v>126650</v>
      </c>
      <c r="CW12" s="486">
        <v>118501</v>
      </c>
      <c r="CX12" s="486">
        <v>101993</v>
      </c>
      <c r="CY12" s="486">
        <v>94456</v>
      </c>
      <c r="CZ12" s="486">
        <v>90017</v>
      </c>
      <c r="DA12" s="486">
        <v>79112</v>
      </c>
      <c r="DB12" s="486">
        <v>75340</v>
      </c>
      <c r="DC12" s="486">
        <v>72652</v>
      </c>
      <c r="DD12" s="486">
        <v>71016</v>
      </c>
      <c r="DE12" s="728">
        <v>70450</v>
      </c>
    </row>
    <row r="13" spans="1:109" s="483" customFormat="1" x14ac:dyDescent="0.35">
      <c r="B13" s="720" t="s">
        <v>336</v>
      </c>
      <c r="C13" s="485" t="s">
        <v>337</v>
      </c>
      <c r="CQ13" s="486"/>
      <c r="CR13" s="486"/>
      <c r="CS13" s="486"/>
      <c r="CT13" s="486"/>
      <c r="CU13" s="486"/>
      <c r="CV13" s="486"/>
      <c r="CW13" s="486">
        <v>8267</v>
      </c>
      <c r="CX13" s="486">
        <v>24809</v>
      </c>
      <c r="CY13" s="486">
        <v>32352</v>
      </c>
      <c r="CZ13" s="486">
        <v>36764</v>
      </c>
      <c r="DA13" s="486">
        <v>47655</v>
      </c>
      <c r="DB13" s="486">
        <v>51438</v>
      </c>
      <c r="DC13" s="486">
        <v>54119</v>
      </c>
      <c r="DD13" s="486">
        <v>55741</v>
      </c>
      <c r="DE13" s="728">
        <v>55908</v>
      </c>
    </row>
    <row r="14" spans="1:109" s="483" customFormat="1" x14ac:dyDescent="0.35">
      <c r="B14" s="484" t="s">
        <v>338</v>
      </c>
      <c r="C14" s="485" t="s">
        <v>339</v>
      </c>
      <c r="D14" s="486"/>
      <c r="E14" s="486"/>
      <c r="F14" s="486"/>
      <c r="G14" s="486"/>
      <c r="H14" s="486"/>
      <c r="I14" s="486"/>
      <c r="J14" s="486"/>
      <c r="K14" s="486"/>
      <c r="L14" s="486"/>
      <c r="M14" s="486"/>
      <c r="N14" s="486"/>
      <c r="O14" s="486"/>
      <c r="P14" s="486"/>
      <c r="Q14" s="486"/>
      <c r="R14" s="486"/>
      <c r="S14" s="486"/>
      <c r="T14" s="486"/>
      <c r="U14" s="486"/>
      <c r="V14" s="486"/>
      <c r="W14" s="486"/>
      <c r="X14" s="486"/>
      <c r="Y14" s="486"/>
      <c r="Z14" s="486"/>
      <c r="AA14" s="486"/>
      <c r="AB14" s="486"/>
      <c r="AC14" s="486"/>
      <c r="AD14" s="486"/>
      <c r="AE14" s="486"/>
      <c r="AF14" s="486"/>
      <c r="AG14" s="486"/>
      <c r="AH14" s="486"/>
      <c r="AI14" s="486"/>
      <c r="AJ14" s="486"/>
      <c r="AK14" s="486"/>
      <c r="AL14" s="486"/>
      <c r="AM14" s="486"/>
      <c r="AN14" s="486"/>
      <c r="AS14" s="486"/>
      <c r="AW14" s="486">
        <v>2050</v>
      </c>
      <c r="AX14" s="486">
        <v>2068</v>
      </c>
      <c r="AY14" s="486">
        <v>4575</v>
      </c>
      <c r="AZ14" s="486">
        <v>7585</v>
      </c>
      <c r="BA14" s="486">
        <v>7582</v>
      </c>
      <c r="BB14" s="486">
        <v>15588</v>
      </c>
      <c r="BC14" s="486">
        <v>16349</v>
      </c>
      <c r="BD14" s="486">
        <v>20709</v>
      </c>
      <c r="BE14" s="486">
        <v>26002</v>
      </c>
      <c r="BF14" s="486">
        <v>29122</v>
      </c>
      <c r="BG14" s="486">
        <v>32749</v>
      </c>
      <c r="BH14" s="486">
        <v>38447</v>
      </c>
      <c r="BI14" s="486">
        <v>43591</v>
      </c>
      <c r="BJ14" s="486">
        <v>44921</v>
      </c>
      <c r="BK14" s="486">
        <v>51007</v>
      </c>
      <c r="BL14" s="486">
        <v>57141</v>
      </c>
      <c r="BM14" s="486">
        <v>67130</v>
      </c>
      <c r="BN14" s="486">
        <v>75028</v>
      </c>
      <c r="BO14" s="486">
        <v>82493</v>
      </c>
      <c r="BP14" s="486">
        <v>88332</v>
      </c>
      <c r="BQ14" s="486">
        <v>93995</v>
      </c>
      <c r="BR14" s="486">
        <v>103401</v>
      </c>
      <c r="BS14" s="486">
        <v>106279</v>
      </c>
      <c r="BT14" s="486">
        <v>92363</v>
      </c>
      <c r="BU14" s="486">
        <v>84521</v>
      </c>
      <c r="BV14" s="486">
        <v>91597</v>
      </c>
      <c r="BW14" s="486">
        <v>95847</v>
      </c>
      <c r="BX14" s="486">
        <v>101649</v>
      </c>
      <c r="BY14" s="486">
        <v>107756</v>
      </c>
      <c r="BZ14" s="486">
        <v>111884</v>
      </c>
      <c r="CA14" s="486">
        <v>117036</v>
      </c>
      <c r="CB14" s="486">
        <v>121193</v>
      </c>
      <c r="CC14" s="486">
        <v>125078</v>
      </c>
      <c r="CD14" s="486">
        <v>129910</v>
      </c>
      <c r="CE14" s="486">
        <v>134226</v>
      </c>
      <c r="CF14" s="486">
        <v>132241</v>
      </c>
      <c r="CG14" s="486">
        <v>133228</v>
      </c>
      <c r="CH14" s="486">
        <v>134804</v>
      </c>
      <c r="CI14" s="486">
        <v>136404</v>
      </c>
      <c r="CJ14" s="486">
        <v>137921</v>
      </c>
      <c r="CK14" s="486">
        <v>132011</v>
      </c>
      <c r="CL14" s="486">
        <v>111097</v>
      </c>
      <c r="CM14" s="486">
        <v>111536</v>
      </c>
      <c r="CN14" s="486">
        <v>123428</v>
      </c>
      <c r="CO14" s="486">
        <v>112950</v>
      </c>
      <c r="CP14" s="486">
        <v>123155</v>
      </c>
      <c r="CQ14" s="486">
        <v>121005</v>
      </c>
      <c r="CR14" s="486">
        <v>110862</v>
      </c>
      <c r="CS14" s="486">
        <v>109900</v>
      </c>
      <c r="CT14" s="486">
        <v>110003</v>
      </c>
      <c r="CU14" s="486">
        <v>110567</v>
      </c>
      <c r="CV14" s="486">
        <v>110218</v>
      </c>
      <c r="CW14" s="486">
        <v>111079</v>
      </c>
      <c r="CX14" s="486">
        <v>109763</v>
      </c>
      <c r="CY14" s="486">
        <v>116810</v>
      </c>
      <c r="CZ14" s="486">
        <v>107752</v>
      </c>
      <c r="DA14" s="486">
        <v>103103</v>
      </c>
      <c r="DB14" s="486">
        <v>104303</v>
      </c>
      <c r="DC14" s="486">
        <v>102432</v>
      </c>
      <c r="DD14" s="486">
        <v>101902</v>
      </c>
      <c r="DE14" s="728">
        <v>90293</v>
      </c>
    </row>
    <row r="15" spans="1:109" s="483" customFormat="1" x14ac:dyDescent="0.35">
      <c r="B15" s="484" t="s">
        <v>324</v>
      </c>
      <c r="C15" s="484" t="s">
        <v>340</v>
      </c>
      <c r="D15" s="486"/>
      <c r="E15" s="486"/>
      <c r="F15" s="486"/>
      <c r="G15" s="486"/>
      <c r="H15" s="486"/>
      <c r="I15" s="486"/>
      <c r="J15" s="486"/>
      <c r="K15" s="486"/>
      <c r="L15" s="486"/>
      <c r="M15" s="486"/>
      <c r="N15" s="486"/>
      <c r="O15" s="486"/>
      <c r="P15" s="486"/>
      <c r="Q15" s="486"/>
      <c r="R15" s="486"/>
      <c r="S15" s="486"/>
      <c r="T15" s="486"/>
      <c r="U15" s="486"/>
      <c r="V15" s="486"/>
      <c r="W15" s="486"/>
      <c r="X15" s="486"/>
      <c r="Y15" s="486"/>
      <c r="Z15" s="486"/>
      <c r="AA15" s="486"/>
      <c r="AB15" s="486"/>
      <c r="AC15" s="486"/>
      <c r="AD15" s="486"/>
      <c r="AE15" s="486"/>
      <c r="AF15" s="486"/>
      <c r="AG15" s="486"/>
      <c r="AH15" s="486"/>
      <c r="AI15" s="486"/>
      <c r="AJ15" s="486"/>
      <c r="AK15" s="486"/>
      <c r="AL15" s="486"/>
      <c r="AM15" s="486"/>
      <c r="AN15" s="486"/>
      <c r="AO15" s="486"/>
      <c r="AP15" s="486"/>
      <c r="AQ15" s="486"/>
      <c r="AR15" s="486"/>
      <c r="AS15" s="486"/>
      <c r="AT15" s="486"/>
      <c r="AU15" s="486"/>
      <c r="AV15" s="486"/>
      <c r="AW15"/>
      <c r="AX15"/>
      <c r="AY15"/>
      <c r="AZ15" s="486"/>
      <c r="BA15" s="486"/>
      <c r="BB15" s="486"/>
      <c r="BC15" s="486"/>
      <c r="BD15" s="486"/>
      <c r="BG15" s="486"/>
      <c r="BH15" s="486"/>
      <c r="BI15" s="486"/>
      <c r="BJ15" s="486"/>
      <c r="BK15" s="486"/>
      <c r="BL15" s="486"/>
      <c r="BM15" s="486"/>
      <c r="BN15" s="486">
        <v>4618</v>
      </c>
      <c r="BO15" s="486">
        <v>6691</v>
      </c>
      <c r="BP15" s="486">
        <v>18201</v>
      </c>
      <c r="BQ15" s="486">
        <v>16562</v>
      </c>
      <c r="BR15" s="486">
        <v>17312</v>
      </c>
      <c r="BS15" s="486">
        <v>17317</v>
      </c>
      <c r="BT15" s="486">
        <v>17317</v>
      </c>
      <c r="BU15" s="486">
        <v>17317</v>
      </c>
      <c r="BV15" s="486">
        <v>17322</v>
      </c>
      <c r="BW15" s="486">
        <v>17422</v>
      </c>
      <c r="BX15" s="486">
        <v>17435</v>
      </c>
      <c r="BY15" s="486">
        <v>17523</v>
      </c>
      <c r="BZ15" s="486">
        <v>16524</v>
      </c>
      <c r="CA15" s="486">
        <v>16557</v>
      </c>
      <c r="CB15" s="486">
        <v>16557</v>
      </c>
      <c r="CC15" s="486">
        <v>16557</v>
      </c>
      <c r="CD15" s="486">
        <v>16557</v>
      </c>
      <c r="CE15" s="486">
        <v>16561</v>
      </c>
      <c r="CF15" s="486">
        <v>16593</v>
      </c>
      <c r="CG15" s="486">
        <v>16593</v>
      </c>
      <c r="CH15" s="486">
        <v>16598</v>
      </c>
      <c r="CI15" s="486">
        <v>16628</v>
      </c>
      <c r="CJ15" s="486">
        <v>16637</v>
      </c>
      <c r="CK15" s="486">
        <v>16638</v>
      </c>
      <c r="CL15" s="486">
        <v>16638</v>
      </c>
      <c r="CM15" s="486">
        <v>16979</v>
      </c>
      <c r="CN15" s="486">
        <v>11643</v>
      </c>
      <c r="CO15" s="486">
        <v>7138</v>
      </c>
      <c r="CP15" s="486">
        <v>7358</v>
      </c>
      <c r="CQ15" s="486">
        <v>7086</v>
      </c>
      <c r="CR15" s="486">
        <v>7116</v>
      </c>
      <c r="CS15" s="486">
        <v>7116</v>
      </c>
      <c r="CT15" s="486">
        <v>7116</v>
      </c>
      <c r="CU15" s="486">
        <v>7116</v>
      </c>
      <c r="CV15" s="486">
        <v>7116</v>
      </c>
      <c r="CW15" s="486">
        <v>5338</v>
      </c>
      <c r="CX15" s="486">
        <v>5339</v>
      </c>
      <c r="CY15" s="486">
        <v>5341</v>
      </c>
      <c r="CZ15" s="486">
        <v>5362</v>
      </c>
      <c r="DA15" s="486">
        <v>5363</v>
      </c>
      <c r="DB15" s="486">
        <v>5364</v>
      </c>
      <c r="DC15" s="486">
        <v>5365</v>
      </c>
      <c r="DD15" s="486">
        <v>5365</v>
      </c>
      <c r="DE15" s="728">
        <v>5363</v>
      </c>
    </row>
    <row r="16" spans="1:109" s="483" customFormat="1" x14ac:dyDescent="0.35">
      <c r="B16" s="484" t="s">
        <v>341</v>
      </c>
      <c r="C16" s="484" t="s">
        <v>342</v>
      </c>
      <c r="D16" s="486"/>
      <c r="E16" s="486"/>
      <c r="F16" s="486"/>
      <c r="G16" s="486"/>
      <c r="H16" s="486"/>
      <c r="I16" s="486"/>
      <c r="J16" s="486"/>
      <c r="K16" s="486"/>
      <c r="L16" s="486"/>
      <c r="M16" s="486"/>
      <c r="N16" s="486"/>
      <c r="O16" s="486"/>
      <c r="P16" s="486"/>
      <c r="Q16" s="486"/>
      <c r="R16" s="486"/>
      <c r="S16" s="486"/>
      <c r="T16" s="486"/>
      <c r="U16" s="486"/>
      <c r="V16" s="486"/>
      <c r="W16" s="486"/>
      <c r="X16" s="486"/>
      <c r="Y16" s="486"/>
      <c r="Z16" s="486"/>
      <c r="AA16" s="486"/>
      <c r="AB16" s="486"/>
      <c r="AC16" s="486"/>
      <c r="AD16" s="486"/>
      <c r="AE16" s="486"/>
      <c r="AF16" s="486"/>
      <c r="AG16" s="486"/>
      <c r="AH16" s="486"/>
      <c r="AI16" s="486"/>
      <c r="AJ16" s="486"/>
      <c r="AK16" s="486"/>
      <c r="AL16" s="486"/>
      <c r="AM16" s="486"/>
      <c r="AN16" s="486"/>
      <c r="AO16" s="486"/>
      <c r="AP16" s="486"/>
      <c r="AQ16" s="486"/>
      <c r="AR16" s="486"/>
      <c r="AS16" s="486"/>
      <c r="AT16" s="486"/>
      <c r="AU16" s="486"/>
      <c r="AV16" s="486"/>
      <c r="AW16"/>
      <c r="AX16"/>
      <c r="AY16"/>
      <c r="AZ16" s="486"/>
      <c r="BA16" s="486"/>
      <c r="BB16" s="486"/>
      <c r="BC16" s="486"/>
      <c r="BD16" s="486"/>
      <c r="BG16" s="486"/>
      <c r="BH16" s="486"/>
      <c r="BI16" s="486"/>
      <c r="BJ16" s="486"/>
      <c r="BK16" s="486"/>
      <c r="BL16" s="486"/>
      <c r="BM16" s="486"/>
      <c r="BN16" s="486"/>
      <c r="BO16" s="486"/>
      <c r="BP16" s="486"/>
      <c r="BQ16" s="486"/>
      <c r="BR16" s="486"/>
      <c r="BS16" s="486"/>
      <c r="BT16" s="486"/>
      <c r="BU16" s="486"/>
      <c r="BV16" s="486"/>
      <c r="BW16" s="486"/>
      <c r="BX16" s="486"/>
      <c r="BY16" s="486"/>
      <c r="BZ16" s="486"/>
      <c r="CA16" s="486"/>
      <c r="CB16" s="486"/>
      <c r="CC16" s="486"/>
      <c r="CD16" s="486"/>
      <c r="CE16" s="486"/>
      <c r="CF16" s="486"/>
      <c r="CG16" s="486"/>
      <c r="CH16" s="486"/>
      <c r="CI16" s="486"/>
      <c r="CJ16" s="486"/>
      <c r="CK16" s="486"/>
      <c r="CL16" s="486"/>
      <c r="CM16" s="486"/>
      <c r="CN16" s="486">
        <v>5425</v>
      </c>
      <c r="CO16" s="486">
        <v>10011</v>
      </c>
      <c r="CP16" s="486">
        <v>10007</v>
      </c>
      <c r="CQ16" s="486">
        <v>10169</v>
      </c>
      <c r="CR16" s="486">
        <v>10169</v>
      </c>
      <c r="CS16" s="486">
        <v>10169</v>
      </c>
      <c r="CT16" s="486">
        <v>10169</v>
      </c>
      <c r="CU16" s="486">
        <v>10169</v>
      </c>
      <c r="CV16" s="486">
        <v>10169</v>
      </c>
      <c r="CW16" s="486">
        <v>12789</v>
      </c>
      <c r="CX16" s="486">
        <v>12790</v>
      </c>
      <c r="CY16" s="486">
        <v>12790</v>
      </c>
      <c r="CZ16" s="486">
        <v>12790</v>
      </c>
      <c r="DA16" s="486">
        <v>12790</v>
      </c>
      <c r="DB16" s="486">
        <v>12790</v>
      </c>
      <c r="DC16" s="486">
        <v>12790</v>
      </c>
      <c r="DD16" s="486">
        <v>12790</v>
      </c>
      <c r="DE16" s="728">
        <v>12790</v>
      </c>
    </row>
    <row r="17" spans="2:110" s="483" customFormat="1" x14ac:dyDescent="0.35">
      <c r="B17" s="484" t="s">
        <v>343</v>
      </c>
      <c r="C17" s="484" t="s">
        <v>344</v>
      </c>
      <c r="D17" s="486"/>
      <c r="E17" s="486"/>
      <c r="F17" s="486"/>
      <c r="G17" s="486"/>
      <c r="H17" s="486"/>
      <c r="I17" s="486"/>
      <c r="J17" s="486"/>
      <c r="K17" s="486"/>
      <c r="L17" s="486"/>
      <c r="M17" s="486"/>
      <c r="N17" s="486"/>
      <c r="O17" s="486"/>
      <c r="P17" s="486"/>
      <c r="Q17" s="486"/>
      <c r="R17" s="486"/>
      <c r="S17" s="486"/>
      <c r="T17" s="486"/>
      <c r="U17" s="486"/>
      <c r="V17" s="486"/>
      <c r="W17" s="486"/>
      <c r="X17" s="486"/>
      <c r="Y17" s="486"/>
      <c r="Z17" s="486"/>
      <c r="AA17" s="486"/>
      <c r="AB17" s="486"/>
      <c r="AC17" s="486"/>
      <c r="AD17" s="486"/>
      <c r="AE17" s="486"/>
      <c r="AF17" s="486"/>
      <c r="AG17" s="486"/>
      <c r="AH17" s="486"/>
      <c r="AI17" s="486"/>
      <c r="AJ17" s="486"/>
      <c r="AK17" s="486"/>
      <c r="AL17" s="486"/>
      <c r="AM17" s="486"/>
      <c r="AN17" s="486"/>
      <c r="AO17" s="486"/>
      <c r="AP17" s="486"/>
      <c r="AQ17" s="486"/>
      <c r="AR17" s="486"/>
      <c r="AS17" s="486"/>
      <c r="AT17" s="486"/>
      <c r="AU17" s="486"/>
      <c r="AV17" s="486"/>
      <c r="AW17"/>
      <c r="AX17"/>
      <c r="AY17"/>
      <c r="AZ17" s="486"/>
      <c r="BA17" s="486"/>
      <c r="BB17" s="486"/>
      <c r="BC17" s="486"/>
      <c r="BD17" s="486"/>
      <c r="BG17" s="486"/>
      <c r="BH17" s="486"/>
      <c r="BI17" s="486"/>
      <c r="BJ17" s="486"/>
      <c r="BK17" s="486"/>
      <c r="BL17" s="486"/>
      <c r="BM17" s="486"/>
      <c r="BN17" s="486">
        <v>3593</v>
      </c>
      <c r="BO17" s="486">
        <v>17513</v>
      </c>
      <c r="BP17" s="486">
        <v>22853</v>
      </c>
      <c r="BQ17" s="486">
        <v>28571</v>
      </c>
      <c r="BR17" s="486">
        <v>34124</v>
      </c>
      <c r="BS17" s="486">
        <v>35427</v>
      </c>
      <c r="BT17" s="486">
        <v>44846</v>
      </c>
      <c r="BU17" s="486">
        <v>46319</v>
      </c>
      <c r="BV17" s="486">
        <v>54729</v>
      </c>
      <c r="BW17" s="486">
        <v>58327</v>
      </c>
      <c r="BX17" s="486">
        <v>64059</v>
      </c>
      <c r="BY17" s="486">
        <v>68168</v>
      </c>
      <c r="BZ17" s="486">
        <v>64436</v>
      </c>
      <c r="CA17" s="486">
        <v>64496</v>
      </c>
      <c r="CB17" s="486">
        <v>64499</v>
      </c>
      <c r="CC17" s="486">
        <v>64970</v>
      </c>
      <c r="CD17" s="486">
        <v>73138</v>
      </c>
      <c r="CE17" s="486">
        <v>74229</v>
      </c>
      <c r="CF17" s="486">
        <v>75696</v>
      </c>
      <c r="CG17" s="486">
        <v>77095</v>
      </c>
      <c r="CH17" s="486">
        <v>78732</v>
      </c>
      <c r="CI17" s="486">
        <v>80157</v>
      </c>
      <c r="CJ17" s="486">
        <v>81674</v>
      </c>
      <c r="CK17" s="486">
        <v>83884</v>
      </c>
      <c r="CL17" s="486">
        <v>83853</v>
      </c>
      <c r="CM17" s="486">
        <v>86653</v>
      </c>
      <c r="CN17" s="486">
        <v>88095</v>
      </c>
      <c r="CO17" s="486">
        <v>88501</v>
      </c>
      <c r="CP17" s="486">
        <v>90021</v>
      </c>
      <c r="CQ17" s="486">
        <v>91527</v>
      </c>
      <c r="CR17" s="486">
        <v>90961</v>
      </c>
      <c r="CS17" s="486">
        <v>89069</v>
      </c>
      <c r="CT17" s="486">
        <v>89044</v>
      </c>
      <c r="CU17" s="486">
        <v>88866</v>
      </c>
      <c r="CV17" s="486">
        <v>88868</v>
      </c>
      <c r="CW17" s="486">
        <v>88581</v>
      </c>
      <c r="CX17" s="486">
        <v>88108</v>
      </c>
      <c r="CY17" s="486">
        <v>88010</v>
      </c>
      <c r="CZ17" s="486">
        <v>87919</v>
      </c>
      <c r="DA17" s="486">
        <v>87565</v>
      </c>
      <c r="DB17" s="486">
        <v>87135</v>
      </c>
      <c r="DC17" s="486">
        <v>86767</v>
      </c>
      <c r="DD17" s="486">
        <v>86383</v>
      </c>
      <c r="DE17" s="728">
        <v>86174</v>
      </c>
    </row>
    <row r="18" spans="2:110" s="483" customFormat="1" x14ac:dyDescent="0.35">
      <c r="B18" s="484" t="s">
        <v>309</v>
      </c>
      <c r="C18" s="484" t="s">
        <v>345</v>
      </c>
      <c r="D18" s="486"/>
      <c r="E18" s="486"/>
      <c r="F18" s="486"/>
      <c r="G18" s="486"/>
      <c r="H18" s="486"/>
      <c r="I18" s="486"/>
      <c r="J18" s="486"/>
      <c r="K18" s="486"/>
      <c r="L18" s="486"/>
      <c r="M18" s="486"/>
      <c r="N18" s="486"/>
      <c r="O18" s="486"/>
      <c r="P18" s="486"/>
      <c r="Q18" s="486"/>
      <c r="R18" s="486"/>
      <c r="S18" s="486"/>
      <c r="T18" s="486"/>
      <c r="U18" s="486"/>
      <c r="V18" s="486"/>
      <c r="W18" s="486"/>
      <c r="X18" s="486"/>
      <c r="Y18" s="486"/>
      <c r="Z18" s="486"/>
      <c r="AA18" s="486"/>
      <c r="AB18" s="486"/>
      <c r="AC18" s="486"/>
      <c r="AD18" s="486"/>
      <c r="AE18" s="486"/>
      <c r="AF18" s="486"/>
      <c r="AG18" s="486"/>
      <c r="AH18" s="486"/>
      <c r="AI18" s="486"/>
      <c r="AJ18" s="486"/>
      <c r="AK18" s="486"/>
      <c r="AL18" s="486"/>
      <c r="AM18" s="486"/>
      <c r="AN18" s="486"/>
      <c r="AO18" s="486"/>
      <c r="AP18" s="486"/>
      <c r="AQ18" s="486"/>
      <c r="AR18" s="486"/>
      <c r="AS18" s="486"/>
      <c r="AT18" s="486"/>
      <c r="AU18" s="486"/>
      <c r="AV18" s="486"/>
      <c r="AW18"/>
      <c r="AX18"/>
      <c r="AY18"/>
      <c r="AZ18" s="486"/>
      <c r="BA18" s="486"/>
      <c r="BB18" s="486"/>
      <c r="BC18" s="486"/>
      <c r="BD18" s="486"/>
      <c r="BG18" s="486">
        <v>1394</v>
      </c>
      <c r="BH18" s="486">
        <v>3394</v>
      </c>
      <c r="BI18" s="486">
        <v>5201</v>
      </c>
      <c r="BJ18" s="486">
        <v>6207</v>
      </c>
      <c r="BK18" s="486">
        <v>6207</v>
      </c>
      <c r="BL18" s="486">
        <v>7213</v>
      </c>
      <c r="BM18" s="486">
        <v>8413</v>
      </c>
      <c r="BN18" s="486">
        <v>8413</v>
      </c>
      <c r="BO18" s="486">
        <v>11823</v>
      </c>
      <c r="BP18" s="486">
        <v>13624</v>
      </c>
      <c r="BQ18" s="486">
        <v>16425</v>
      </c>
      <c r="BR18" s="486">
        <v>24025</v>
      </c>
      <c r="BS18" s="486">
        <v>25025</v>
      </c>
      <c r="BT18" s="486">
        <v>25025</v>
      </c>
      <c r="BU18" s="486">
        <v>27875</v>
      </c>
      <c r="BV18" s="486">
        <v>36474</v>
      </c>
      <c r="BW18" s="486">
        <v>38275</v>
      </c>
      <c r="BX18" s="486">
        <v>39946</v>
      </c>
      <c r="BY18" s="486">
        <v>47069</v>
      </c>
      <c r="BZ18" s="486">
        <v>51425</v>
      </c>
      <c r="CA18" s="486">
        <v>54425</v>
      </c>
      <c r="CB18" s="486">
        <v>58858</v>
      </c>
      <c r="CC18" s="486">
        <v>63083</v>
      </c>
      <c r="CD18" s="486">
        <v>67281</v>
      </c>
      <c r="CE18" s="486">
        <v>68282</v>
      </c>
      <c r="CF18" s="486">
        <v>68287</v>
      </c>
      <c r="CG18" s="486">
        <v>69703</v>
      </c>
      <c r="CH18" s="486">
        <v>70706</v>
      </c>
      <c r="CI18" s="486">
        <v>71703</v>
      </c>
      <c r="CJ18" s="486">
        <v>73945</v>
      </c>
      <c r="CK18" s="486">
        <v>74957</v>
      </c>
      <c r="CL18" s="486">
        <v>75968</v>
      </c>
      <c r="CM18" s="486">
        <v>75773</v>
      </c>
      <c r="CN18" s="486">
        <v>78789</v>
      </c>
      <c r="CO18" s="486">
        <v>79806</v>
      </c>
      <c r="CP18" s="486">
        <v>80816</v>
      </c>
      <c r="CQ18" s="486">
        <v>80817</v>
      </c>
      <c r="CR18" s="486">
        <v>82833</v>
      </c>
      <c r="CS18" s="486">
        <v>82838</v>
      </c>
      <c r="CT18" s="486">
        <v>82876</v>
      </c>
      <c r="CU18" s="486">
        <v>83678</v>
      </c>
      <c r="CV18" s="486">
        <v>84756</v>
      </c>
      <c r="CW18" s="486">
        <v>84781</v>
      </c>
      <c r="CX18" s="486">
        <v>84783</v>
      </c>
      <c r="CY18" s="486">
        <v>85386</v>
      </c>
      <c r="CZ18" s="486">
        <v>82743</v>
      </c>
      <c r="DA18" s="486">
        <v>82944</v>
      </c>
      <c r="DB18" s="486">
        <v>83944</v>
      </c>
      <c r="DC18" s="486">
        <v>86744</v>
      </c>
      <c r="DD18" s="486">
        <v>86745</v>
      </c>
      <c r="DE18" s="728">
        <v>86245</v>
      </c>
    </row>
    <row r="19" spans="2:110" s="483" customFormat="1" x14ac:dyDescent="0.35">
      <c r="B19" s="484" t="s">
        <v>346</v>
      </c>
      <c r="C19" s="485" t="s">
        <v>347</v>
      </c>
      <c r="D19" s="486">
        <v>0</v>
      </c>
      <c r="E19" s="486">
        <v>0</v>
      </c>
      <c r="F19" s="486">
        <v>30077</v>
      </c>
      <c r="G19" s="486">
        <v>103600</v>
      </c>
      <c r="H19" s="486">
        <v>103601</v>
      </c>
      <c r="I19" s="486">
        <v>103600</v>
      </c>
      <c r="J19" s="486">
        <v>103332</v>
      </c>
      <c r="K19" s="486"/>
      <c r="L19" s="486">
        <v>103332</v>
      </c>
      <c r="M19" s="486">
        <v>103328</v>
      </c>
      <c r="N19" s="486">
        <v>103328</v>
      </c>
      <c r="O19" s="486">
        <v>103321</v>
      </c>
      <c r="P19" s="486">
        <v>103290</v>
      </c>
      <c r="Q19" s="486">
        <v>103290</v>
      </c>
      <c r="R19" s="486">
        <v>103290</v>
      </c>
      <c r="S19" s="486">
        <v>103284</v>
      </c>
      <c r="T19" s="486">
        <v>103284</v>
      </c>
      <c r="U19" s="486">
        <v>103284</v>
      </c>
      <c r="V19" s="486">
        <v>103284</v>
      </c>
      <c r="W19" s="486">
        <v>103284</v>
      </c>
      <c r="X19" s="486">
        <v>103284</v>
      </c>
      <c r="Y19" s="486">
        <v>103284</v>
      </c>
      <c r="Z19" s="486">
        <v>103284</v>
      </c>
      <c r="AA19" s="486">
        <v>103132</v>
      </c>
      <c r="AB19" s="486">
        <v>103134</v>
      </c>
      <c r="AC19" s="486">
        <v>103134</v>
      </c>
      <c r="AD19" s="486">
        <v>103134</v>
      </c>
      <c r="AE19" s="486">
        <v>103134</v>
      </c>
      <c r="AF19" s="486">
        <v>103134</v>
      </c>
      <c r="AG19" s="486">
        <v>103134</v>
      </c>
      <c r="AH19" s="486">
        <v>103134</v>
      </c>
      <c r="AI19" s="486">
        <v>103134</v>
      </c>
      <c r="AJ19" s="486">
        <v>103134</v>
      </c>
      <c r="AK19" s="486">
        <v>103134</v>
      </c>
      <c r="AL19" s="486">
        <v>102955</v>
      </c>
      <c r="AM19" s="486">
        <v>102955</v>
      </c>
      <c r="AN19" s="486">
        <v>102955</v>
      </c>
      <c r="AO19" s="486">
        <v>102954</v>
      </c>
      <c r="AP19" s="486">
        <v>102954</v>
      </c>
      <c r="AQ19" s="486">
        <v>102954</v>
      </c>
      <c r="AR19" s="486">
        <v>102954</v>
      </c>
      <c r="AS19" s="486">
        <v>102954</v>
      </c>
      <c r="AT19" s="486">
        <v>102954</v>
      </c>
      <c r="AU19" s="486">
        <v>102950</v>
      </c>
      <c r="AV19" s="486">
        <v>102950</v>
      </c>
      <c r="AW19" s="486">
        <v>102950</v>
      </c>
      <c r="AX19" s="486">
        <v>102950</v>
      </c>
      <c r="AY19" s="486">
        <v>102721</v>
      </c>
      <c r="AZ19" s="486">
        <v>102721</v>
      </c>
      <c r="BA19" s="486">
        <v>102721</v>
      </c>
      <c r="BB19" s="486">
        <v>102720</v>
      </c>
      <c r="BC19" s="486">
        <v>102704</v>
      </c>
      <c r="BD19" s="486">
        <v>102665</v>
      </c>
      <c r="BE19" s="486">
        <v>102665</v>
      </c>
      <c r="BF19" s="486">
        <v>102665</v>
      </c>
      <c r="BG19" s="486">
        <v>102665</v>
      </c>
      <c r="BH19" s="486">
        <v>102665</v>
      </c>
      <c r="BI19" s="486">
        <v>102665</v>
      </c>
      <c r="BJ19" s="486">
        <v>102665</v>
      </c>
      <c r="BK19" s="486">
        <v>102665</v>
      </c>
      <c r="BL19" s="486">
        <v>102416</v>
      </c>
      <c r="BM19" s="486">
        <v>102403</v>
      </c>
      <c r="BN19" s="486">
        <v>102403</v>
      </c>
      <c r="BO19" s="486">
        <v>102403</v>
      </c>
      <c r="BP19" s="486">
        <v>102190</v>
      </c>
      <c r="BQ19" s="486">
        <v>102186</v>
      </c>
      <c r="BR19" s="486">
        <v>102186</v>
      </c>
      <c r="BS19" s="486">
        <v>102186</v>
      </c>
      <c r="BT19" s="486">
        <v>102186</v>
      </c>
      <c r="BU19" s="486">
        <v>101753</v>
      </c>
      <c r="BV19" s="486">
        <v>101161</v>
      </c>
      <c r="BW19" s="486">
        <v>100617</v>
      </c>
      <c r="BX19" s="486">
        <v>100300</v>
      </c>
      <c r="BY19" s="486">
        <v>94642</v>
      </c>
      <c r="BZ19" s="486">
        <v>94436</v>
      </c>
      <c r="CA19" s="486">
        <v>94360</v>
      </c>
      <c r="CB19" s="486">
        <v>94271</v>
      </c>
      <c r="CC19" s="486">
        <v>94254</v>
      </c>
      <c r="CD19" s="486">
        <v>94254</v>
      </c>
      <c r="CE19" s="486">
        <v>94254</v>
      </c>
      <c r="CF19" s="486">
        <v>93999</v>
      </c>
      <c r="CG19" s="486">
        <v>93840</v>
      </c>
      <c r="CH19" s="486">
        <v>93840</v>
      </c>
      <c r="CI19" s="486">
        <v>93840</v>
      </c>
      <c r="CJ19" s="486">
        <v>93840</v>
      </c>
      <c r="CK19" s="486">
        <v>93409</v>
      </c>
      <c r="CL19" s="486">
        <v>93304</v>
      </c>
      <c r="CM19" s="486">
        <v>93000</v>
      </c>
      <c r="CN19" s="486">
        <v>91374</v>
      </c>
      <c r="CO19" s="486">
        <v>91374</v>
      </c>
      <c r="CP19" s="486">
        <v>85643</v>
      </c>
      <c r="CQ19" s="486">
        <v>83828</v>
      </c>
      <c r="CR19" s="486">
        <v>83820</v>
      </c>
      <c r="CS19" s="486">
        <v>83409</v>
      </c>
      <c r="CT19" s="486">
        <v>83405</v>
      </c>
      <c r="CU19" s="486">
        <v>83405</v>
      </c>
      <c r="CV19" s="486">
        <v>82924</v>
      </c>
      <c r="CW19" s="486">
        <v>82923</v>
      </c>
      <c r="CX19" s="486">
        <v>82872</v>
      </c>
      <c r="CY19" s="486">
        <v>82329</v>
      </c>
      <c r="CZ19" s="486">
        <v>82298</v>
      </c>
      <c r="DA19" s="486">
        <v>80897</v>
      </c>
      <c r="DB19" s="486">
        <v>80890</v>
      </c>
      <c r="DC19" s="486">
        <v>79812</v>
      </c>
      <c r="DD19" s="486">
        <v>78533</v>
      </c>
      <c r="DE19" s="728">
        <v>78485</v>
      </c>
    </row>
    <row r="20" spans="2:110" s="483" customFormat="1" x14ac:dyDescent="0.35">
      <c r="B20" s="484" t="s">
        <v>348</v>
      </c>
      <c r="C20" s="485" t="s">
        <v>349</v>
      </c>
      <c r="D20" s="488"/>
      <c r="E20" s="488"/>
      <c r="F20" s="486"/>
      <c r="G20" s="486"/>
      <c r="H20" s="486">
        <v>400</v>
      </c>
      <c r="I20" s="486">
        <v>3094</v>
      </c>
      <c r="J20" s="486">
        <v>7227</v>
      </c>
      <c r="K20" s="486"/>
      <c r="L20" s="486">
        <v>8015</v>
      </c>
      <c r="M20" s="486">
        <v>8918</v>
      </c>
      <c r="N20" s="486">
        <v>10548</v>
      </c>
      <c r="O20" s="486">
        <v>11680</v>
      </c>
      <c r="P20" s="486">
        <v>13547</v>
      </c>
      <c r="Q20" s="486">
        <v>15865</v>
      </c>
      <c r="R20" s="486">
        <v>16291</v>
      </c>
      <c r="S20" s="486">
        <v>17008</v>
      </c>
      <c r="T20" s="486">
        <v>17511</v>
      </c>
      <c r="U20" s="486">
        <v>19314</v>
      </c>
      <c r="V20" s="486">
        <v>20251</v>
      </c>
      <c r="W20" s="486">
        <v>20383</v>
      </c>
      <c r="X20" s="486">
        <v>21430</v>
      </c>
      <c r="Y20" s="486">
        <v>22748</v>
      </c>
      <c r="Z20" s="486">
        <v>24182</v>
      </c>
      <c r="AA20" s="486">
        <v>25725</v>
      </c>
      <c r="AB20" s="486">
        <v>27102</v>
      </c>
      <c r="AC20" s="486">
        <v>28327</v>
      </c>
      <c r="AD20" s="486">
        <v>30132</v>
      </c>
      <c r="AE20" s="486">
        <v>30613</v>
      </c>
      <c r="AF20" s="486">
        <v>32235</v>
      </c>
      <c r="AG20" s="486">
        <v>33573</v>
      </c>
      <c r="AH20" s="486">
        <v>34681</v>
      </c>
      <c r="AI20" s="486">
        <v>35228</v>
      </c>
      <c r="AJ20" s="486">
        <v>36403</v>
      </c>
      <c r="AK20" s="486">
        <v>36976</v>
      </c>
      <c r="AL20" s="486">
        <v>37487</v>
      </c>
      <c r="AM20" s="486">
        <v>38083</v>
      </c>
      <c r="AN20" s="486">
        <v>38229</v>
      </c>
      <c r="AO20" s="486">
        <v>38501</v>
      </c>
      <c r="AP20" s="486">
        <v>39432</v>
      </c>
      <c r="AQ20" s="486">
        <v>39526</v>
      </c>
      <c r="AR20" s="486">
        <v>40050</v>
      </c>
      <c r="AS20" s="486">
        <v>40999</v>
      </c>
      <c r="AT20" s="486">
        <v>42197</v>
      </c>
      <c r="AU20" s="486">
        <v>43144</v>
      </c>
      <c r="AV20" s="486">
        <v>44809</v>
      </c>
      <c r="AW20" s="486">
        <v>46300</v>
      </c>
      <c r="AX20" s="486">
        <v>47100</v>
      </c>
      <c r="AY20" s="486">
        <v>47643</v>
      </c>
      <c r="AZ20" s="486">
        <v>48102</v>
      </c>
      <c r="BA20" s="486">
        <v>49939</v>
      </c>
      <c r="BB20" s="486">
        <v>51771</v>
      </c>
      <c r="BC20" s="486">
        <v>52233</v>
      </c>
      <c r="BD20" s="486">
        <v>56295</v>
      </c>
      <c r="BE20" s="486">
        <v>58026</v>
      </c>
      <c r="BF20" s="486">
        <v>59735</v>
      </c>
      <c r="BG20" s="486">
        <v>60690</v>
      </c>
      <c r="BH20" s="486">
        <v>62217</v>
      </c>
      <c r="BI20" s="486">
        <v>62614</v>
      </c>
      <c r="BJ20" s="486">
        <v>64907</v>
      </c>
      <c r="BK20" s="486">
        <v>66487</v>
      </c>
      <c r="BL20" s="486">
        <v>66971</v>
      </c>
      <c r="BM20" s="486">
        <v>67752</v>
      </c>
      <c r="BN20" s="486">
        <v>71245</v>
      </c>
      <c r="BO20" s="486">
        <v>73264</v>
      </c>
      <c r="BP20" s="486">
        <v>74673</v>
      </c>
      <c r="BQ20" s="486">
        <v>76055</v>
      </c>
      <c r="BR20" s="486">
        <v>77303</v>
      </c>
      <c r="BS20" s="486">
        <v>77397</v>
      </c>
      <c r="BT20" s="486">
        <v>77413</v>
      </c>
      <c r="BU20" s="486">
        <v>77418</v>
      </c>
      <c r="BV20" s="486">
        <v>77613</v>
      </c>
      <c r="BW20" s="486">
        <v>79337</v>
      </c>
      <c r="BX20" s="486">
        <v>79034</v>
      </c>
      <c r="BY20" s="486">
        <v>79004</v>
      </c>
      <c r="BZ20" s="486">
        <v>78992</v>
      </c>
      <c r="CA20" s="486">
        <v>79273</v>
      </c>
      <c r="CB20" s="486">
        <v>80281</v>
      </c>
      <c r="CC20" s="486">
        <v>80826</v>
      </c>
      <c r="CD20" s="486">
        <v>80152</v>
      </c>
      <c r="CE20" s="486">
        <v>80376</v>
      </c>
      <c r="CF20" s="486">
        <v>83263</v>
      </c>
      <c r="CG20" s="486">
        <v>84733</v>
      </c>
      <c r="CH20" s="486">
        <v>89678</v>
      </c>
      <c r="CI20" s="486">
        <v>90507</v>
      </c>
      <c r="CJ20" s="486">
        <v>90818</v>
      </c>
      <c r="CK20" s="486">
        <v>90624</v>
      </c>
      <c r="CL20" s="486">
        <v>87068</v>
      </c>
      <c r="CM20" s="486">
        <v>87642</v>
      </c>
      <c r="CN20" s="486">
        <v>88216</v>
      </c>
      <c r="CO20" s="486">
        <v>86447</v>
      </c>
      <c r="CP20" s="486">
        <v>86832</v>
      </c>
      <c r="CQ20" s="486">
        <v>87455</v>
      </c>
      <c r="CR20" s="486">
        <v>87649</v>
      </c>
      <c r="CS20" s="486">
        <v>87689</v>
      </c>
      <c r="CT20" s="486">
        <v>81568</v>
      </c>
      <c r="CU20" s="486">
        <v>76011</v>
      </c>
      <c r="CV20" s="486">
        <v>76845</v>
      </c>
      <c r="CW20" s="486">
        <v>78257</v>
      </c>
      <c r="CX20" s="486">
        <v>79357</v>
      </c>
      <c r="CY20" s="486">
        <v>80544</v>
      </c>
      <c r="CZ20" s="486">
        <v>81829</v>
      </c>
      <c r="DA20" s="486">
        <v>83123</v>
      </c>
      <c r="DB20" s="486">
        <v>90496</v>
      </c>
      <c r="DC20" s="486">
        <v>90071</v>
      </c>
      <c r="DD20" s="486">
        <v>90244</v>
      </c>
      <c r="DE20" s="728">
        <v>97394</v>
      </c>
    </row>
    <row r="21" spans="2:110" s="483" customFormat="1" x14ac:dyDescent="0.35">
      <c r="B21" s="484" t="s">
        <v>350</v>
      </c>
      <c r="C21" s="485" t="s">
        <v>351</v>
      </c>
      <c r="D21" s="486"/>
      <c r="E21" s="486"/>
      <c r="F21" s="486"/>
      <c r="G21" s="486"/>
      <c r="H21" s="486"/>
      <c r="I21" s="486"/>
      <c r="J21" s="486"/>
      <c r="K21" s="486"/>
      <c r="L21" s="486"/>
      <c r="M21" s="486"/>
      <c r="N21" s="486"/>
      <c r="O21" s="486"/>
      <c r="P21" s="486"/>
      <c r="Q21" s="486"/>
      <c r="R21" s="486"/>
      <c r="S21" s="486"/>
      <c r="T21" s="486"/>
      <c r="U21" s="486"/>
      <c r="V21" s="486"/>
      <c r="W21" s="486"/>
      <c r="X21" s="486"/>
      <c r="Y21" s="486"/>
      <c r="Z21" s="486"/>
      <c r="AA21" s="486"/>
      <c r="AB21" s="486"/>
      <c r="AC21" s="486"/>
      <c r="AD21" s="486"/>
      <c r="AE21" s="486"/>
      <c r="AF21" s="486"/>
      <c r="AG21" s="486"/>
      <c r="AH21" s="486">
        <v>3443</v>
      </c>
      <c r="AI21" s="486">
        <v>5029</v>
      </c>
      <c r="AJ21" s="486">
        <v>8154</v>
      </c>
      <c r="AK21" s="486">
        <v>11038</v>
      </c>
      <c r="AL21" s="486">
        <v>15762</v>
      </c>
      <c r="AM21" s="486">
        <v>15762</v>
      </c>
      <c r="AN21" s="486">
        <v>16614</v>
      </c>
      <c r="AO21" s="486">
        <v>16614</v>
      </c>
      <c r="AP21" s="486">
        <v>16614</v>
      </c>
      <c r="AQ21" s="486">
        <v>16614</v>
      </c>
      <c r="AR21" s="486">
        <v>16614</v>
      </c>
      <c r="AS21" s="486">
        <v>16614</v>
      </c>
      <c r="AT21" s="486">
        <v>16666</v>
      </c>
      <c r="AU21" s="486">
        <v>16817</v>
      </c>
      <c r="AV21" s="486">
        <v>17121</v>
      </c>
      <c r="AW21" s="486">
        <v>17386</v>
      </c>
      <c r="AX21" s="486">
        <v>17577</v>
      </c>
      <c r="AY21" s="486">
        <v>18012</v>
      </c>
      <c r="AZ21" s="486">
        <v>18770</v>
      </c>
      <c r="BA21" s="486">
        <v>19114</v>
      </c>
      <c r="BB21" s="486">
        <v>20270</v>
      </c>
      <c r="BC21" s="486">
        <v>21579</v>
      </c>
      <c r="BD21" s="486">
        <v>22289</v>
      </c>
      <c r="BE21" s="486">
        <v>22873</v>
      </c>
      <c r="BF21" s="486">
        <v>23511</v>
      </c>
      <c r="BG21" s="486">
        <v>24882</v>
      </c>
      <c r="BH21" s="486">
        <v>26358</v>
      </c>
      <c r="BI21" s="486">
        <v>27207</v>
      </c>
      <c r="BJ21" s="486">
        <v>27840</v>
      </c>
      <c r="BK21" s="486">
        <v>28271</v>
      </c>
      <c r="BL21" s="486">
        <v>29244</v>
      </c>
      <c r="BM21" s="486">
        <v>30775</v>
      </c>
      <c r="BN21" s="486">
        <v>31254</v>
      </c>
      <c r="BO21" s="486">
        <v>32070</v>
      </c>
      <c r="BP21" s="486">
        <v>32633</v>
      </c>
      <c r="BQ21" s="486">
        <v>33254</v>
      </c>
      <c r="BR21" s="486">
        <v>34150</v>
      </c>
      <c r="BS21" s="486">
        <v>35210</v>
      </c>
      <c r="BT21" s="486">
        <v>36295</v>
      </c>
      <c r="BU21" s="486">
        <v>37382</v>
      </c>
      <c r="BV21" s="486">
        <v>38678</v>
      </c>
      <c r="BW21" s="486">
        <v>40502</v>
      </c>
      <c r="BX21" s="486">
        <v>41353</v>
      </c>
      <c r="BY21" s="486">
        <v>41956</v>
      </c>
      <c r="BZ21" s="486">
        <v>42074</v>
      </c>
      <c r="CA21" s="486">
        <v>42931</v>
      </c>
      <c r="CB21" s="486">
        <v>43342</v>
      </c>
      <c r="CC21" s="486">
        <v>43629</v>
      </c>
      <c r="CD21" s="486">
        <v>43853</v>
      </c>
      <c r="CE21" s="486">
        <v>44158</v>
      </c>
      <c r="CF21" s="486">
        <v>44379</v>
      </c>
      <c r="CG21" s="486">
        <v>45527</v>
      </c>
      <c r="CH21" s="486">
        <v>46158</v>
      </c>
      <c r="CI21" s="486">
        <v>46592</v>
      </c>
      <c r="CJ21" s="486">
        <v>47208</v>
      </c>
      <c r="CK21" s="486">
        <v>48107</v>
      </c>
      <c r="CL21" s="486">
        <v>48525</v>
      </c>
      <c r="CM21" s="486">
        <v>49368</v>
      </c>
      <c r="CN21" s="486">
        <v>50354</v>
      </c>
      <c r="CO21" s="486">
        <v>51257</v>
      </c>
      <c r="CP21" s="486">
        <v>51826</v>
      </c>
      <c r="CQ21" s="486">
        <v>52304</v>
      </c>
      <c r="CR21" s="486">
        <v>49053</v>
      </c>
      <c r="CS21" s="486">
        <v>49171</v>
      </c>
      <c r="CT21" s="486">
        <v>49549</v>
      </c>
      <c r="CU21" s="486">
        <v>49894</v>
      </c>
      <c r="CV21" s="486">
        <v>50454</v>
      </c>
      <c r="CW21" s="486">
        <v>50847</v>
      </c>
      <c r="CX21" s="486">
        <v>51396</v>
      </c>
      <c r="CY21" s="486">
        <v>51886</v>
      </c>
      <c r="CZ21" s="486">
        <v>52406</v>
      </c>
      <c r="DA21" s="486">
        <v>53019</v>
      </c>
      <c r="DB21" s="486">
        <v>53485</v>
      </c>
      <c r="DC21" s="486">
        <v>53220</v>
      </c>
      <c r="DD21" s="486">
        <v>53695</v>
      </c>
      <c r="DE21" s="728">
        <v>54105</v>
      </c>
    </row>
    <row r="22" spans="2:110" s="483" customFormat="1" x14ac:dyDescent="0.35">
      <c r="B22" s="484" t="s">
        <v>352</v>
      </c>
      <c r="C22" s="485" t="s">
        <v>353</v>
      </c>
      <c r="D22" s="488"/>
      <c r="E22" s="488"/>
      <c r="F22" s="486"/>
      <c r="G22" s="486"/>
      <c r="H22" s="486">
        <v>1143</v>
      </c>
      <c r="I22" s="486">
        <v>1374</v>
      </c>
      <c r="J22" s="486">
        <v>1996</v>
      </c>
      <c r="K22" s="486"/>
      <c r="L22" s="486">
        <v>2096</v>
      </c>
      <c r="M22" s="486">
        <v>2103</v>
      </c>
      <c r="N22" s="486">
        <v>2135</v>
      </c>
      <c r="O22" s="486">
        <v>2184</v>
      </c>
      <c r="P22" s="486">
        <v>2269</v>
      </c>
      <c r="Q22" s="486">
        <v>2339</v>
      </c>
      <c r="R22" s="486">
        <v>2345</v>
      </c>
      <c r="S22" s="486">
        <v>2445</v>
      </c>
      <c r="T22" s="486">
        <v>2474</v>
      </c>
      <c r="U22" s="486">
        <v>2557</v>
      </c>
      <c r="V22" s="486">
        <v>2568</v>
      </c>
      <c r="W22" s="486">
        <v>2605</v>
      </c>
      <c r="X22" s="486">
        <v>2639</v>
      </c>
      <c r="Y22" s="486">
        <v>2840</v>
      </c>
      <c r="Z22" s="486">
        <v>2846</v>
      </c>
      <c r="AA22" s="486">
        <v>2915</v>
      </c>
      <c r="AB22" s="486">
        <v>2945</v>
      </c>
      <c r="AC22" s="486">
        <v>2961</v>
      </c>
      <c r="AD22" s="486">
        <v>3036</v>
      </c>
      <c r="AE22" s="486">
        <v>3035</v>
      </c>
      <c r="AF22" s="486">
        <v>3036</v>
      </c>
      <c r="AG22" s="486">
        <v>3064</v>
      </c>
      <c r="AH22" s="486">
        <v>3064</v>
      </c>
      <c r="AI22" s="486">
        <v>3064</v>
      </c>
      <c r="AJ22" s="486">
        <v>3065</v>
      </c>
      <c r="AK22" s="486">
        <v>3092</v>
      </c>
      <c r="AL22" s="486">
        <v>3121</v>
      </c>
      <c r="AM22" s="486">
        <v>3124</v>
      </c>
      <c r="AN22" s="486">
        <v>3191</v>
      </c>
      <c r="AO22" s="486">
        <v>3268</v>
      </c>
      <c r="AP22" s="486">
        <v>3271</v>
      </c>
      <c r="AQ22" s="486">
        <v>3276</v>
      </c>
      <c r="AR22" s="486">
        <v>3302</v>
      </c>
      <c r="AS22" s="486">
        <v>3302</v>
      </c>
      <c r="AT22" s="486">
        <v>3302</v>
      </c>
      <c r="AU22" s="486">
        <v>3328</v>
      </c>
      <c r="AV22" s="486">
        <v>3326</v>
      </c>
      <c r="AW22" s="486">
        <v>3326</v>
      </c>
      <c r="AX22" s="486">
        <v>3326</v>
      </c>
      <c r="AY22" s="486">
        <v>3336</v>
      </c>
      <c r="AZ22" s="486">
        <v>3336</v>
      </c>
      <c r="BA22" s="486">
        <v>3337</v>
      </c>
      <c r="BB22" s="486">
        <v>3357</v>
      </c>
      <c r="BC22" s="486">
        <v>3411</v>
      </c>
      <c r="BD22" s="486">
        <v>3394</v>
      </c>
      <c r="BE22" s="486">
        <v>3399</v>
      </c>
      <c r="BF22" s="486">
        <v>3405</v>
      </c>
      <c r="BG22" s="486">
        <v>3442</v>
      </c>
      <c r="BH22" s="486">
        <v>3443</v>
      </c>
      <c r="BI22" s="486">
        <v>3447</v>
      </c>
      <c r="BJ22" s="486">
        <v>3441</v>
      </c>
      <c r="BK22" s="486">
        <v>3444</v>
      </c>
      <c r="BL22" s="486">
        <v>3314</v>
      </c>
      <c r="BM22" s="486">
        <v>3317</v>
      </c>
      <c r="BN22" s="486">
        <v>3260</v>
      </c>
      <c r="BO22" s="486">
        <v>3286</v>
      </c>
      <c r="BP22" s="486">
        <v>3288</v>
      </c>
      <c r="BQ22" s="486">
        <v>3293</v>
      </c>
      <c r="BR22" s="486">
        <v>3295</v>
      </c>
      <c r="BS22" s="486">
        <v>3352</v>
      </c>
      <c r="BT22" s="486">
        <v>3355</v>
      </c>
      <c r="BU22" s="486">
        <v>3655</v>
      </c>
      <c r="BV22" s="486">
        <v>3657</v>
      </c>
      <c r="BW22" s="486">
        <v>3883</v>
      </c>
      <c r="BX22" s="486">
        <v>3996</v>
      </c>
      <c r="BY22" s="486">
        <v>4099</v>
      </c>
      <c r="BZ22" s="486">
        <v>4097</v>
      </c>
      <c r="CA22" s="486">
        <v>4196</v>
      </c>
      <c r="CB22" s="486">
        <v>4302</v>
      </c>
      <c r="CC22" s="486">
        <v>4307</v>
      </c>
      <c r="CD22" s="486">
        <v>4416</v>
      </c>
      <c r="CE22" s="486">
        <v>4421</v>
      </c>
      <c r="CF22" s="486">
        <v>4617</v>
      </c>
      <c r="CG22" s="486">
        <v>4655</v>
      </c>
      <c r="CH22" s="486">
        <v>4657</v>
      </c>
      <c r="CI22" s="486">
        <v>4711</v>
      </c>
      <c r="CJ22" s="486">
        <v>4715</v>
      </c>
      <c r="CK22" s="486">
        <v>5100</v>
      </c>
      <c r="CL22" s="486">
        <v>5103</v>
      </c>
      <c r="CM22" s="486">
        <v>5068</v>
      </c>
      <c r="CN22" s="486">
        <v>5071</v>
      </c>
      <c r="CO22" s="486">
        <v>5510</v>
      </c>
      <c r="CP22" s="486">
        <v>5512</v>
      </c>
      <c r="CQ22" s="486">
        <v>5262</v>
      </c>
      <c r="CR22" s="486">
        <v>5462</v>
      </c>
      <c r="CS22" s="486">
        <v>5518</v>
      </c>
      <c r="CT22" s="486">
        <v>5527</v>
      </c>
      <c r="CU22" s="486">
        <v>5528</v>
      </c>
      <c r="CV22" s="486">
        <v>5536</v>
      </c>
      <c r="CW22" s="486">
        <v>4777</v>
      </c>
      <c r="CX22" s="486">
        <v>4821</v>
      </c>
      <c r="CY22" s="486">
        <v>4801</v>
      </c>
      <c r="CZ22" s="486">
        <v>4819</v>
      </c>
      <c r="DA22" s="486">
        <v>4771</v>
      </c>
      <c r="DB22" s="486">
        <v>4736</v>
      </c>
      <c r="DC22" s="486">
        <v>4713</v>
      </c>
      <c r="DD22" s="486">
        <v>4060</v>
      </c>
      <c r="DE22" s="728">
        <v>4053</v>
      </c>
    </row>
    <row r="23" spans="2:110" s="483" customFormat="1" x14ac:dyDescent="0.35">
      <c r="B23" s="484" t="s">
        <v>354</v>
      </c>
      <c r="C23" s="485" t="s">
        <v>355</v>
      </c>
      <c r="D23" s="486"/>
      <c r="E23" s="486"/>
      <c r="F23" s="486"/>
      <c r="G23" s="486"/>
      <c r="H23" s="486"/>
      <c r="I23" s="486"/>
      <c r="J23" s="486"/>
      <c r="K23" s="486"/>
      <c r="L23" s="486"/>
      <c r="M23" s="486"/>
      <c r="N23" s="486"/>
      <c r="O23" s="486"/>
      <c r="P23" s="486"/>
      <c r="Q23" s="486"/>
      <c r="R23" s="486"/>
      <c r="S23" s="486"/>
      <c r="T23" s="486"/>
      <c r="U23" s="486"/>
      <c r="V23" s="486"/>
      <c r="W23" s="486"/>
      <c r="X23" s="486"/>
      <c r="Y23" s="486"/>
      <c r="Z23" s="486"/>
      <c r="AA23" s="486"/>
      <c r="AB23" s="486"/>
      <c r="AC23" s="486"/>
      <c r="AD23" s="486"/>
      <c r="AE23" s="486"/>
      <c r="AF23" s="486"/>
      <c r="AG23" s="486"/>
      <c r="AH23" s="486"/>
      <c r="AI23" s="486"/>
      <c r="AJ23" s="486"/>
      <c r="AK23" s="486"/>
      <c r="AL23" s="486"/>
      <c r="AM23" s="486"/>
      <c r="AN23" s="486"/>
      <c r="AS23" s="486"/>
      <c r="AW23" s="486"/>
      <c r="AX23" s="486">
        <v>1046</v>
      </c>
      <c r="AY23" s="486">
        <v>1063</v>
      </c>
      <c r="AZ23" s="486">
        <v>1063</v>
      </c>
      <c r="BA23" s="486">
        <v>1063</v>
      </c>
      <c r="BB23" s="486">
        <v>1086</v>
      </c>
      <c r="BC23" s="486">
        <v>1132</v>
      </c>
      <c r="BD23" s="486">
        <v>1143</v>
      </c>
      <c r="BE23" s="486">
        <v>1168</v>
      </c>
      <c r="BF23" s="486">
        <v>1200</v>
      </c>
      <c r="BG23" s="486">
        <v>1229</v>
      </c>
      <c r="BH23" s="486">
        <v>1246</v>
      </c>
      <c r="BI23" s="486">
        <v>1267</v>
      </c>
      <c r="BJ23" s="486">
        <v>1319</v>
      </c>
      <c r="BK23" s="486">
        <v>1345</v>
      </c>
      <c r="BL23" s="486">
        <v>1363</v>
      </c>
      <c r="BM23" s="486">
        <v>1372</v>
      </c>
      <c r="BN23" s="486">
        <v>1389</v>
      </c>
      <c r="BO23" s="486">
        <v>1402</v>
      </c>
      <c r="BP23" s="486">
        <v>1411</v>
      </c>
      <c r="BQ23" s="486">
        <v>1417</v>
      </c>
      <c r="BR23" s="486">
        <v>1430</v>
      </c>
      <c r="BS23" s="486">
        <v>1430</v>
      </c>
      <c r="BT23" s="486">
        <v>1435</v>
      </c>
      <c r="BU23" s="486">
        <v>1435</v>
      </c>
      <c r="BV23" s="486">
        <v>1435</v>
      </c>
      <c r="BW23" s="486">
        <v>1430</v>
      </c>
      <c r="BX23" s="486">
        <v>1430</v>
      </c>
      <c r="BY23" s="486">
        <v>1430</v>
      </c>
      <c r="BZ23" s="486">
        <v>1430</v>
      </c>
      <c r="CA23" s="486">
        <v>1433</v>
      </c>
      <c r="CB23" s="486">
        <v>1361</v>
      </c>
      <c r="CC23" s="486">
        <v>1357</v>
      </c>
      <c r="CD23" s="486">
        <v>1358</v>
      </c>
      <c r="CE23" s="486">
        <v>1362</v>
      </c>
      <c r="CF23" s="486">
        <v>494</v>
      </c>
      <c r="CG23" s="486">
        <v>494</v>
      </c>
      <c r="CH23" s="486">
        <v>481</v>
      </c>
      <c r="CI23" s="486">
        <v>476</v>
      </c>
      <c r="CJ23" s="486">
        <v>476</v>
      </c>
      <c r="CK23" s="486">
        <v>454</v>
      </c>
      <c r="CL23" s="486">
        <v>60</v>
      </c>
      <c r="CM23" s="486">
        <v>61</v>
      </c>
      <c r="CN23" s="486">
        <v>61</v>
      </c>
      <c r="CO23" s="486">
        <v>63</v>
      </c>
      <c r="CP23" s="486">
        <v>46</v>
      </c>
      <c r="CQ23" s="486">
        <v>46</v>
      </c>
      <c r="CR23" s="486">
        <v>46</v>
      </c>
      <c r="CS23" s="486">
        <v>0</v>
      </c>
      <c r="CT23" s="486">
        <v>0</v>
      </c>
      <c r="CU23" s="486">
        <v>0</v>
      </c>
      <c r="CV23" s="486">
        <v>0</v>
      </c>
      <c r="CW23" s="486">
        <v>0</v>
      </c>
      <c r="CX23" s="486">
        <v>0</v>
      </c>
      <c r="CY23" s="486">
        <v>0</v>
      </c>
      <c r="CZ23" s="486">
        <v>0</v>
      </c>
      <c r="DA23" s="486">
        <v>0</v>
      </c>
      <c r="DB23" s="486">
        <v>0</v>
      </c>
      <c r="DC23" s="486">
        <v>0</v>
      </c>
      <c r="DD23" s="486">
        <v>0</v>
      </c>
      <c r="DE23" s="728">
        <v>0</v>
      </c>
    </row>
    <row r="24" spans="2:110" s="483" customFormat="1" x14ac:dyDescent="0.35">
      <c r="B24" s="484" t="s">
        <v>356</v>
      </c>
      <c r="C24" s="484" t="s">
        <v>357</v>
      </c>
      <c r="D24" s="486"/>
      <c r="E24" s="486"/>
      <c r="F24" s="486"/>
      <c r="G24" s="486"/>
      <c r="H24" s="486"/>
      <c r="I24" s="486"/>
      <c r="J24" s="486"/>
      <c r="K24" s="486"/>
      <c r="L24" s="486"/>
      <c r="M24" s="486"/>
      <c r="N24" s="486"/>
      <c r="O24" s="486"/>
      <c r="P24" s="486"/>
      <c r="Q24" s="486"/>
      <c r="R24" s="486"/>
      <c r="S24" s="486"/>
      <c r="T24" s="486"/>
      <c r="U24" s="486"/>
      <c r="V24" s="486"/>
      <c r="W24" s="486"/>
      <c r="X24" s="486"/>
      <c r="Y24" s="486"/>
      <c r="Z24" s="486"/>
      <c r="AA24" s="486"/>
      <c r="AB24" s="486"/>
      <c r="AC24" s="486"/>
      <c r="AD24" s="486"/>
      <c r="AE24" s="486"/>
      <c r="AF24" s="486"/>
      <c r="AG24" s="486"/>
      <c r="AH24" s="486"/>
      <c r="AI24" s="486"/>
      <c r="AJ24" s="486"/>
      <c r="AK24" s="486"/>
      <c r="AL24" s="486"/>
      <c r="AM24" s="486"/>
      <c r="AN24" s="486"/>
      <c r="AS24" s="486"/>
      <c r="AT24" s="486"/>
      <c r="AU24" s="486"/>
      <c r="AV24" s="486"/>
      <c r="AW24"/>
      <c r="AX24"/>
      <c r="AY24"/>
      <c r="AZ24" s="486"/>
      <c r="BA24" s="486"/>
      <c r="BB24" s="486"/>
      <c r="BC24" s="486">
        <v>1081</v>
      </c>
      <c r="BD24" s="486">
        <v>1105</v>
      </c>
      <c r="BE24" s="486">
        <v>1129</v>
      </c>
      <c r="BF24" s="486">
        <v>1135</v>
      </c>
      <c r="BG24" s="486">
        <v>1135</v>
      </c>
      <c r="BH24" s="486">
        <v>1149</v>
      </c>
      <c r="BI24" s="486">
        <v>1154</v>
      </c>
      <c r="BJ24" s="486">
        <v>1155</v>
      </c>
      <c r="BK24" s="486">
        <v>1256</v>
      </c>
      <c r="BL24" s="486">
        <v>1262</v>
      </c>
      <c r="BM24" s="486">
        <v>1267</v>
      </c>
      <c r="BN24" s="486">
        <v>1354</v>
      </c>
      <c r="BO24" s="486">
        <v>1394</v>
      </c>
      <c r="BP24" s="486">
        <v>1401</v>
      </c>
      <c r="BQ24" s="486">
        <v>1407</v>
      </c>
      <c r="BR24" s="486">
        <v>1434</v>
      </c>
      <c r="BS24" s="486">
        <v>1435</v>
      </c>
      <c r="BT24" s="486">
        <v>1459</v>
      </c>
      <c r="BU24" s="486">
        <v>1468</v>
      </c>
      <c r="BV24" s="486">
        <v>1487</v>
      </c>
      <c r="BW24" s="486">
        <v>1521</v>
      </c>
      <c r="BX24" s="486">
        <v>1588</v>
      </c>
      <c r="BY24" s="486">
        <v>1598</v>
      </c>
      <c r="BZ24" s="486">
        <v>1602</v>
      </c>
      <c r="CA24" s="486">
        <v>1646</v>
      </c>
      <c r="CB24" s="486">
        <v>1669</v>
      </c>
      <c r="CC24" s="486">
        <v>1671</v>
      </c>
      <c r="CD24" s="486">
        <v>1679</v>
      </c>
      <c r="CE24" s="486">
        <v>1680</v>
      </c>
      <c r="CF24" s="486">
        <v>1714</v>
      </c>
      <c r="CG24" s="486">
        <v>1724</v>
      </c>
      <c r="CH24" s="486">
        <v>1725</v>
      </c>
      <c r="CI24" s="486">
        <v>1755</v>
      </c>
      <c r="CJ24" s="486">
        <v>1824</v>
      </c>
      <c r="CK24" s="486">
        <v>1827</v>
      </c>
      <c r="CL24" s="486">
        <v>1852</v>
      </c>
      <c r="CM24" s="486">
        <v>1865</v>
      </c>
      <c r="CN24" s="486">
        <v>1922</v>
      </c>
      <c r="CO24" s="486">
        <v>1926</v>
      </c>
      <c r="CP24" s="486">
        <v>1926</v>
      </c>
      <c r="CQ24" s="486">
        <v>1992</v>
      </c>
      <c r="CR24" s="486">
        <v>1995</v>
      </c>
      <c r="CS24" s="486">
        <v>2011</v>
      </c>
      <c r="CT24" s="486">
        <v>2011</v>
      </c>
      <c r="CU24" s="486">
        <v>2011</v>
      </c>
      <c r="CV24" s="486">
        <v>2011</v>
      </c>
      <c r="CW24" s="486">
        <v>2011</v>
      </c>
      <c r="CX24" s="486">
        <v>2013</v>
      </c>
      <c r="CY24" s="486">
        <v>2098</v>
      </c>
      <c r="CZ24" s="486">
        <v>2208</v>
      </c>
      <c r="DA24" s="486">
        <v>2246</v>
      </c>
      <c r="DB24" s="486">
        <v>2250</v>
      </c>
      <c r="DC24" s="486">
        <v>2265</v>
      </c>
      <c r="DD24" s="486">
        <v>2409</v>
      </c>
      <c r="DE24" s="728">
        <v>2481</v>
      </c>
    </row>
    <row r="25" spans="2:110" s="483" customFormat="1" x14ac:dyDescent="0.35">
      <c r="B25" s="484" t="s">
        <v>358</v>
      </c>
      <c r="C25" s="485" t="s">
        <v>359</v>
      </c>
      <c r="D25" s="486"/>
      <c r="E25" s="486"/>
      <c r="F25" s="486"/>
      <c r="G25" s="486"/>
      <c r="H25" s="486"/>
      <c r="I25" s="486"/>
      <c r="J25" s="486"/>
      <c r="K25" s="486"/>
      <c r="L25" s="486"/>
      <c r="M25" s="486"/>
      <c r="N25" s="486"/>
      <c r="O25" s="486"/>
      <c r="P25" s="486"/>
      <c r="Q25" s="486"/>
      <c r="R25" s="486"/>
      <c r="S25" s="486"/>
      <c r="T25" s="486"/>
      <c r="U25" s="486"/>
      <c r="V25" s="486"/>
      <c r="W25" s="486"/>
      <c r="X25" s="486"/>
      <c r="Y25" s="486"/>
      <c r="Z25" s="486"/>
      <c r="AA25" s="486"/>
      <c r="AB25" s="486"/>
      <c r="AC25" s="486"/>
      <c r="AD25" s="486"/>
      <c r="AE25" s="486"/>
      <c r="AF25" s="486"/>
      <c r="AG25" s="486"/>
      <c r="AH25" s="486"/>
      <c r="AI25" s="486"/>
      <c r="AJ25" s="486"/>
      <c r="AK25" s="486"/>
      <c r="AL25" s="486"/>
      <c r="AM25" s="486"/>
      <c r="AN25" s="486"/>
      <c r="AO25" s="486"/>
      <c r="AP25" s="486"/>
      <c r="AQ25" s="486"/>
      <c r="AR25" s="486"/>
      <c r="AS25" s="486"/>
      <c r="AT25" s="486"/>
      <c r="AU25" s="486"/>
      <c r="AV25" s="486"/>
      <c r="AW25"/>
      <c r="AX25"/>
      <c r="AY25"/>
      <c r="AZ25" s="486"/>
      <c r="BA25" s="486"/>
      <c r="BB25" s="486"/>
      <c r="BC25" s="486"/>
      <c r="BD25" s="486"/>
      <c r="BG25" s="486">
        <v>1081</v>
      </c>
      <c r="BH25" s="486">
        <v>1087</v>
      </c>
      <c r="BI25" s="486">
        <v>1088</v>
      </c>
      <c r="BJ25" s="486">
        <v>1092</v>
      </c>
      <c r="BK25" s="486">
        <v>1097</v>
      </c>
      <c r="BL25" s="486">
        <v>1098</v>
      </c>
      <c r="BM25" s="486">
        <v>1097</v>
      </c>
      <c r="BN25" s="486">
        <v>1076</v>
      </c>
      <c r="BO25" s="486">
        <v>4</v>
      </c>
      <c r="BP25" s="486"/>
      <c r="BQ25" s="486"/>
      <c r="BR25" s="486"/>
      <c r="BS25" s="486">
        <v>902</v>
      </c>
      <c r="BT25" s="486"/>
      <c r="BU25" s="486">
        <v>907</v>
      </c>
      <c r="BV25" s="486">
        <v>914</v>
      </c>
      <c r="BW25" s="486">
        <v>917</v>
      </c>
      <c r="BX25" s="486">
        <v>915</v>
      </c>
      <c r="BY25" s="486">
        <v>923</v>
      </c>
      <c r="BZ25" s="486">
        <v>936</v>
      </c>
      <c r="CA25" s="486">
        <v>937</v>
      </c>
      <c r="CB25" s="486">
        <v>937</v>
      </c>
      <c r="CC25" s="486">
        <v>1006</v>
      </c>
      <c r="CD25" s="486">
        <v>1006</v>
      </c>
      <c r="CE25" s="486">
        <v>1006</v>
      </c>
      <c r="CF25" s="486">
        <v>1012</v>
      </c>
      <c r="CG25" s="486">
        <v>1027</v>
      </c>
      <c r="CH25" s="486">
        <v>1031</v>
      </c>
      <c r="CI25" s="486">
        <v>1097</v>
      </c>
      <c r="CJ25" s="486">
        <v>1097</v>
      </c>
      <c r="CK25" s="486">
        <v>1263</v>
      </c>
      <c r="CL25" s="486">
        <v>1269</v>
      </c>
      <c r="CM25" s="486">
        <v>1296</v>
      </c>
      <c r="CN25" s="486">
        <v>1297</v>
      </c>
      <c r="CO25" s="486">
        <v>1448</v>
      </c>
      <c r="CP25" s="486">
        <v>1450</v>
      </c>
      <c r="CQ25" s="486">
        <v>1568</v>
      </c>
      <c r="CR25" s="486">
        <v>1569</v>
      </c>
      <c r="CS25" s="486">
        <v>1563</v>
      </c>
      <c r="CT25" s="486">
        <v>1560</v>
      </c>
      <c r="CU25" s="486">
        <v>1566</v>
      </c>
      <c r="CV25" s="486">
        <v>1567</v>
      </c>
      <c r="CW25" s="486">
        <v>1569</v>
      </c>
      <c r="CX25" s="486">
        <v>1554</v>
      </c>
      <c r="CY25" s="486">
        <v>1555</v>
      </c>
      <c r="CZ25" s="486">
        <v>1558</v>
      </c>
      <c r="DA25" s="486">
        <v>1564</v>
      </c>
      <c r="DB25" s="486">
        <v>1565</v>
      </c>
      <c r="DC25" s="486">
        <v>1556</v>
      </c>
      <c r="DD25" s="486">
        <v>1554</v>
      </c>
      <c r="DE25" s="728">
        <v>1557</v>
      </c>
    </row>
    <row r="26" spans="2:110" s="483" customFormat="1" x14ac:dyDescent="0.35">
      <c r="B26" s="484" t="s">
        <v>360</v>
      </c>
      <c r="C26" s="484" t="s">
        <v>361</v>
      </c>
      <c r="D26" s="486"/>
      <c r="E26" s="486"/>
      <c r="F26" s="486"/>
      <c r="G26" s="486"/>
      <c r="H26" s="486"/>
      <c r="I26" s="486"/>
      <c r="J26" s="486"/>
      <c r="K26" s="486"/>
      <c r="L26" s="486"/>
      <c r="M26" s="486"/>
      <c r="N26" s="486"/>
      <c r="O26" s="486"/>
      <c r="P26" s="486"/>
      <c r="Q26" s="486"/>
      <c r="R26" s="486"/>
      <c r="S26" s="486"/>
      <c r="T26" s="486"/>
      <c r="U26" s="486"/>
      <c r="V26" s="486"/>
      <c r="W26" s="486"/>
      <c r="X26" s="486"/>
      <c r="Y26" s="486"/>
      <c r="Z26" s="486"/>
      <c r="AA26" s="486"/>
      <c r="AB26" s="486"/>
      <c r="AC26" s="486"/>
      <c r="AD26" s="486"/>
      <c r="AE26" s="486"/>
      <c r="AF26" s="486"/>
      <c r="AG26" s="486"/>
      <c r="AH26" s="486"/>
      <c r="AI26" s="486"/>
      <c r="AJ26" s="486"/>
      <c r="AK26" s="486"/>
      <c r="AL26" s="486"/>
      <c r="AM26" s="486"/>
      <c r="AN26" s="486"/>
      <c r="AO26" s="486"/>
      <c r="AP26" s="486"/>
      <c r="AQ26" s="486"/>
      <c r="AR26" s="486"/>
      <c r="AS26" s="486"/>
      <c r="AT26" s="486"/>
      <c r="AU26" s="486"/>
      <c r="AV26" s="486"/>
      <c r="AW26"/>
      <c r="AX26"/>
      <c r="AY26"/>
      <c r="AZ26" s="486"/>
      <c r="BA26" s="486"/>
      <c r="BB26" s="486"/>
      <c r="BC26" s="486"/>
      <c r="BD26" s="486"/>
      <c r="BG26" s="486"/>
      <c r="BH26" s="486"/>
      <c r="BI26" s="486"/>
      <c r="BJ26" s="486"/>
      <c r="BK26" s="486"/>
      <c r="BL26" s="486"/>
      <c r="BM26" s="486"/>
      <c r="BN26" s="486"/>
      <c r="BO26" s="486"/>
      <c r="BP26" s="486"/>
      <c r="BQ26" s="486"/>
      <c r="BR26" s="486">
        <v>1023</v>
      </c>
      <c r="BS26" s="486">
        <v>1024</v>
      </c>
      <c r="BT26" s="486">
        <v>1024</v>
      </c>
      <c r="BU26" s="486">
        <v>1024</v>
      </c>
      <c r="BV26" s="486">
        <v>1024</v>
      </c>
      <c r="BW26" s="486">
        <v>1024</v>
      </c>
      <c r="BX26" s="486">
        <v>1024</v>
      </c>
      <c r="BY26" s="486">
        <v>1024</v>
      </c>
      <c r="BZ26" s="486">
        <v>1024</v>
      </c>
      <c r="CA26" s="486">
        <v>7024</v>
      </c>
      <c r="CB26" s="486">
        <v>13024</v>
      </c>
      <c r="CC26" s="486">
        <v>16024</v>
      </c>
      <c r="CD26" s="486">
        <v>16024</v>
      </c>
      <c r="CE26" s="486">
        <v>16024</v>
      </c>
      <c r="CF26" s="486">
        <v>16024</v>
      </c>
      <c r="CG26" s="486">
        <v>16024</v>
      </c>
      <c r="CH26" s="486">
        <v>19024</v>
      </c>
      <c r="CI26" s="486">
        <v>25024</v>
      </c>
      <c r="CJ26" s="486">
        <v>37022</v>
      </c>
      <c r="CK26" s="486">
        <v>37023</v>
      </c>
      <c r="CL26" s="486">
        <v>46034</v>
      </c>
      <c r="CM26" s="486">
        <v>52033</v>
      </c>
      <c r="CN26" s="486">
        <v>51611</v>
      </c>
      <c r="CO26" s="486">
        <v>54201</v>
      </c>
      <c r="CP26" s="486">
        <v>53911</v>
      </c>
      <c r="CQ26" s="486">
        <v>56904</v>
      </c>
      <c r="CR26" s="486">
        <v>56026</v>
      </c>
      <c r="CS26" s="486">
        <v>55651</v>
      </c>
      <c r="CT26" s="486">
        <v>55217</v>
      </c>
      <c r="CU26" s="486">
        <v>55297</v>
      </c>
      <c r="CV26" s="486">
        <v>55198</v>
      </c>
      <c r="CW26" s="486">
        <v>54673</v>
      </c>
      <c r="CX26" s="486">
        <v>57474</v>
      </c>
      <c r="CY26" s="486">
        <v>57313</v>
      </c>
      <c r="CZ26" s="486">
        <v>60171</v>
      </c>
      <c r="DA26" s="486">
        <v>59987</v>
      </c>
      <c r="DB26" s="486">
        <v>59729</v>
      </c>
      <c r="DC26" s="486">
        <v>59586</v>
      </c>
      <c r="DD26" s="486">
        <v>59460</v>
      </c>
      <c r="DE26" s="728">
        <v>59367</v>
      </c>
    </row>
    <row r="27" spans="2:110" x14ac:dyDescent="0.35">
      <c r="B27" s="484" t="s">
        <v>362</v>
      </c>
      <c r="C27" s="485" t="s">
        <v>363</v>
      </c>
      <c r="D27" s="488"/>
      <c r="E27" s="488"/>
      <c r="F27" s="486"/>
      <c r="G27" s="486"/>
      <c r="H27" s="486">
        <v>918</v>
      </c>
      <c r="I27" s="486">
        <v>5286</v>
      </c>
      <c r="J27" s="486">
        <v>16013</v>
      </c>
      <c r="K27" s="486"/>
      <c r="L27" s="486">
        <v>16615</v>
      </c>
      <c r="M27" s="486">
        <v>16933</v>
      </c>
      <c r="N27" s="486">
        <v>17621</v>
      </c>
      <c r="O27" s="486">
        <v>18355</v>
      </c>
      <c r="P27" s="486">
        <v>20083</v>
      </c>
      <c r="Q27" s="486">
        <v>21837</v>
      </c>
      <c r="R27" s="486">
        <v>23265</v>
      </c>
      <c r="S27" s="486">
        <v>24379</v>
      </c>
      <c r="T27" s="486">
        <v>25044</v>
      </c>
      <c r="U27" s="486">
        <v>26061</v>
      </c>
      <c r="V27" s="486">
        <v>26339</v>
      </c>
      <c r="W27" s="486">
        <v>26616</v>
      </c>
      <c r="X27" s="486">
        <v>27233</v>
      </c>
      <c r="Y27" s="486">
        <v>28039</v>
      </c>
      <c r="Z27" s="486">
        <v>29107</v>
      </c>
      <c r="AA27" s="486">
        <v>29739</v>
      </c>
      <c r="AB27" s="486">
        <v>29739</v>
      </c>
      <c r="AC27" s="486">
        <v>31188</v>
      </c>
      <c r="AD27" s="486">
        <v>32621</v>
      </c>
      <c r="AE27" s="486">
        <v>33217</v>
      </c>
      <c r="AF27" s="486">
        <v>33634</v>
      </c>
      <c r="AG27" s="486">
        <v>33876</v>
      </c>
      <c r="AH27" s="486">
        <v>34411</v>
      </c>
      <c r="AI27" s="486">
        <v>34917</v>
      </c>
      <c r="AJ27" s="486">
        <v>35553</v>
      </c>
      <c r="AK27" s="486">
        <v>36493</v>
      </c>
      <c r="AL27" s="486">
        <v>36848</v>
      </c>
      <c r="AM27" s="486">
        <v>36932</v>
      </c>
      <c r="AN27" s="486">
        <v>37061</v>
      </c>
      <c r="AO27" s="486">
        <v>37651</v>
      </c>
      <c r="AP27" s="486">
        <v>38105</v>
      </c>
      <c r="AQ27" s="486">
        <v>38763</v>
      </c>
      <c r="AR27" s="486">
        <v>39123</v>
      </c>
      <c r="AS27" s="486">
        <v>39279</v>
      </c>
      <c r="AT27" s="486">
        <v>39936</v>
      </c>
      <c r="AU27" s="486">
        <v>40063</v>
      </c>
      <c r="AV27" s="486">
        <v>40669</v>
      </c>
      <c r="AW27" s="486">
        <v>41063</v>
      </c>
      <c r="AX27" s="486">
        <v>41336</v>
      </c>
      <c r="AY27" s="486">
        <v>41561</v>
      </c>
      <c r="AZ27" s="486">
        <v>41799</v>
      </c>
      <c r="BA27" s="486">
        <v>42136</v>
      </c>
      <c r="BB27" s="486">
        <v>42352</v>
      </c>
      <c r="BC27" s="486">
        <v>42387</v>
      </c>
      <c r="BD27" s="486">
        <v>42560</v>
      </c>
      <c r="BE27" s="486">
        <v>42585</v>
      </c>
      <c r="BF27" s="486">
        <v>42704</v>
      </c>
      <c r="BG27" s="486">
        <v>42777</v>
      </c>
      <c r="BH27" s="486">
        <v>42823</v>
      </c>
      <c r="BI27" s="486">
        <v>43009</v>
      </c>
      <c r="BJ27" s="486">
        <v>43080</v>
      </c>
      <c r="BK27" s="486">
        <v>43200</v>
      </c>
      <c r="BL27" s="486">
        <v>43202</v>
      </c>
      <c r="BM27" s="486">
        <v>43232</v>
      </c>
      <c r="BN27" s="486">
        <v>43147</v>
      </c>
      <c r="BO27" s="486">
        <v>43149</v>
      </c>
      <c r="BP27" s="486">
        <v>43147</v>
      </c>
      <c r="BQ27" s="486">
        <v>43349</v>
      </c>
      <c r="BR27" s="486">
        <v>43349</v>
      </c>
      <c r="BS27" s="486">
        <v>43346</v>
      </c>
      <c r="BT27" s="486">
        <v>43347</v>
      </c>
      <c r="BU27" s="486">
        <v>43347</v>
      </c>
      <c r="BV27" s="486">
        <v>43347</v>
      </c>
      <c r="BW27" s="486">
        <v>43347</v>
      </c>
      <c r="BX27" s="486">
        <v>43347</v>
      </c>
      <c r="BY27" s="486">
        <v>43347</v>
      </c>
      <c r="BZ27" s="486">
        <v>43348</v>
      </c>
      <c r="CA27" s="486">
        <v>43350</v>
      </c>
      <c r="CB27" s="486">
        <v>43376</v>
      </c>
      <c r="CC27" s="486">
        <v>43376</v>
      </c>
      <c r="CD27" s="486">
        <v>43376</v>
      </c>
      <c r="CE27" s="486">
        <v>43379</v>
      </c>
      <c r="CF27" s="486">
        <v>43377</v>
      </c>
      <c r="CG27" s="486">
        <v>43377</v>
      </c>
      <c r="CH27" s="486">
        <v>43374</v>
      </c>
      <c r="CI27" s="486">
        <v>43379</v>
      </c>
      <c r="CJ27" s="486">
        <v>43379</v>
      </c>
      <c r="CK27" s="486">
        <v>43379</v>
      </c>
      <c r="CL27" s="486">
        <v>43379</v>
      </c>
      <c r="CM27" s="486">
        <v>43379</v>
      </c>
      <c r="CN27" s="486">
        <v>43379</v>
      </c>
      <c r="CO27" s="486">
        <v>43379</v>
      </c>
      <c r="CP27" s="486">
        <v>43379</v>
      </c>
      <c r="CQ27" s="486">
        <v>43379</v>
      </c>
      <c r="CR27" s="486">
        <v>43379</v>
      </c>
      <c r="CS27" s="486">
        <v>43379</v>
      </c>
      <c r="CT27" s="486">
        <v>43379</v>
      </c>
      <c r="CU27" s="486">
        <v>43379</v>
      </c>
      <c r="CV27" s="486">
        <v>43379</v>
      </c>
      <c r="CW27" s="486">
        <v>43379</v>
      </c>
      <c r="CX27" s="486">
        <v>43379</v>
      </c>
      <c r="CY27" s="486">
        <v>43379</v>
      </c>
      <c r="CZ27" s="486">
        <v>43379</v>
      </c>
      <c r="DA27" s="486">
        <v>43379</v>
      </c>
      <c r="DB27" s="486">
        <v>43379</v>
      </c>
      <c r="DC27" s="486">
        <v>43379</v>
      </c>
      <c r="DD27" s="486">
        <v>43379</v>
      </c>
      <c r="DE27" s="728">
        <v>43379</v>
      </c>
      <c r="DF27" s="483"/>
    </row>
    <row r="28" spans="2:110" x14ac:dyDescent="0.35">
      <c r="B28" s="484" t="s">
        <v>364</v>
      </c>
      <c r="C28" s="485" t="s">
        <v>365</v>
      </c>
      <c r="D28" s="486"/>
      <c r="E28" s="486"/>
      <c r="F28" s="486"/>
      <c r="G28" s="486"/>
      <c r="H28" s="486"/>
      <c r="I28" s="486"/>
      <c r="J28" s="486"/>
      <c r="K28" s="486"/>
      <c r="L28" s="486"/>
      <c r="M28" s="486"/>
      <c r="N28" s="486"/>
      <c r="O28" s="486"/>
      <c r="P28" s="486"/>
      <c r="Q28" s="486"/>
      <c r="R28" s="486"/>
      <c r="S28" s="486"/>
      <c r="T28" s="486"/>
      <c r="U28" s="486"/>
      <c r="V28" s="486"/>
      <c r="W28" s="486"/>
      <c r="X28" s="486"/>
      <c r="Y28" s="486"/>
      <c r="Z28" s="486"/>
      <c r="AA28" s="486"/>
      <c r="AB28" s="486"/>
      <c r="AC28" s="486"/>
      <c r="AD28" s="486"/>
      <c r="AE28" s="486"/>
      <c r="AF28" s="486"/>
      <c r="AG28" s="486"/>
      <c r="AH28" s="486"/>
      <c r="AI28" s="486"/>
      <c r="AJ28" s="486"/>
      <c r="AK28" s="486">
        <v>7586</v>
      </c>
      <c r="AL28" s="486">
        <v>7586</v>
      </c>
      <c r="AM28" s="486">
        <v>7586</v>
      </c>
      <c r="AN28" s="486">
        <v>7586</v>
      </c>
      <c r="AO28" s="486">
        <v>7586</v>
      </c>
      <c r="AP28" s="486">
        <v>7586</v>
      </c>
      <c r="AQ28" s="486">
        <v>7586</v>
      </c>
      <c r="AR28" s="486">
        <v>7586</v>
      </c>
      <c r="AS28" s="486">
        <v>7586</v>
      </c>
      <c r="AT28" s="486">
        <v>7586</v>
      </c>
      <c r="AU28" s="486">
        <v>7586</v>
      </c>
      <c r="AV28" s="486">
        <v>7586</v>
      </c>
      <c r="AW28" s="486">
        <v>7586</v>
      </c>
      <c r="AX28" s="486">
        <v>7586</v>
      </c>
      <c r="AY28" s="486">
        <v>7586</v>
      </c>
      <c r="AZ28" s="486">
        <v>7586</v>
      </c>
      <c r="BA28" s="486">
        <v>7586</v>
      </c>
      <c r="BB28" s="486">
        <v>7586</v>
      </c>
      <c r="BC28" s="486">
        <v>7586</v>
      </c>
      <c r="BD28" s="486">
        <v>7586</v>
      </c>
      <c r="BE28" s="486">
        <v>7586</v>
      </c>
      <c r="BF28" s="486">
        <v>7586</v>
      </c>
      <c r="BG28" s="486">
        <v>7586</v>
      </c>
      <c r="BH28" s="486">
        <v>7586</v>
      </c>
      <c r="BI28" s="486">
        <v>7596</v>
      </c>
      <c r="BJ28" s="486">
        <v>7596</v>
      </c>
      <c r="BK28" s="486">
        <v>7596</v>
      </c>
      <c r="BL28" s="486">
        <v>7586</v>
      </c>
      <c r="BM28" s="486">
        <v>7586</v>
      </c>
      <c r="BN28" s="486">
        <v>7581</v>
      </c>
      <c r="BO28" s="486">
        <v>7581</v>
      </c>
      <c r="BP28" s="486">
        <v>7581</v>
      </c>
      <c r="BQ28" s="486">
        <v>7581</v>
      </c>
      <c r="BR28" s="486">
        <v>7581</v>
      </c>
      <c r="BS28" s="486">
        <v>7581</v>
      </c>
      <c r="BT28" s="486">
        <v>7581</v>
      </c>
      <c r="BU28" s="486">
        <v>7581</v>
      </c>
      <c r="BV28" s="486">
        <v>7581</v>
      </c>
      <c r="BW28" s="486">
        <v>7581</v>
      </c>
      <c r="BX28" s="486">
        <v>7581</v>
      </c>
      <c r="BY28" s="486">
        <v>7581</v>
      </c>
      <c r="BZ28" s="486">
        <v>7581</v>
      </c>
      <c r="CA28" s="486">
        <v>7581</v>
      </c>
      <c r="CB28" s="486">
        <v>7581</v>
      </c>
      <c r="CC28" s="486">
        <v>7581</v>
      </c>
      <c r="CD28" s="486">
        <v>7581</v>
      </c>
      <c r="CE28" s="486">
        <v>7581</v>
      </c>
      <c r="CF28" s="486">
        <v>7581</v>
      </c>
      <c r="CG28" s="486">
        <v>7632</v>
      </c>
      <c r="CH28" s="486">
        <v>7631</v>
      </c>
      <c r="CI28" s="486">
        <v>7632</v>
      </c>
      <c r="CJ28" s="486">
        <v>7632</v>
      </c>
      <c r="CK28" s="486">
        <v>7632</v>
      </c>
      <c r="CL28" s="486">
        <v>7632</v>
      </c>
      <c r="CM28" s="486">
        <v>7632</v>
      </c>
      <c r="CN28" s="486">
        <v>7632</v>
      </c>
      <c r="CO28" s="486">
        <v>7632</v>
      </c>
      <c r="CP28" s="486">
        <v>7632</v>
      </c>
      <c r="CQ28" s="486">
        <v>7629</v>
      </c>
      <c r="CR28" s="486">
        <v>7629</v>
      </c>
      <c r="CS28" s="486">
        <v>7629</v>
      </c>
      <c r="CT28" s="486">
        <v>7629</v>
      </c>
      <c r="CU28" s="486">
        <v>7629</v>
      </c>
      <c r="CV28" s="486">
        <v>7629</v>
      </c>
      <c r="CW28" s="486">
        <v>7629</v>
      </c>
      <c r="CX28" s="486">
        <v>7629</v>
      </c>
      <c r="CY28" s="486">
        <v>7629</v>
      </c>
      <c r="CZ28" s="486">
        <v>7629</v>
      </c>
      <c r="DA28" s="486">
        <v>7629</v>
      </c>
      <c r="DB28" s="486">
        <v>7629</v>
      </c>
      <c r="DC28" s="486">
        <v>7629</v>
      </c>
      <c r="DD28" s="486">
        <v>7629</v>
      </c>
      <c r="DE28" s="728">
        <v>7629</v>
      </c>
      <c r="DF28" s="483"/>
    </row>
    <row r="29" spans="2:110" x14ac:dyDescent="0.35">
      <c r="B29" s="484" t="s">
        <v>366</v>
      </c>
      <c r="C29" s="485" t="s">
        <v>367</v>
      </c>
      <c r="D29" s="486"/>
      <c r="E29" s="486"/>
      <c r="F29" s="486"/>
      <c r="G29" s="486"/>
      <c r="H29" s="486">
        <v>908</v>
      </c>
      <c r="I29" s="486">
        <v>1535</v>
      </c>
      <c r="J29" s="486">
        <v>1834</v>
      </c>
      <c r="K29" s="486"/>
      <c r="L29" s="486">
        <v>3033</v>
      </c>
      <c r="M29" s="486">
        <v>3084</v>
      </c>
      <c r="N29" s="486">
        <v>3084</v>
      </c>
      <c r="O29" s="486">
        <v>3384</v>
      </c>
      <c r="P29" s="486">
        <v>3384</v>
      </c>
      <c r="Q29" s="486">
        <v>3384</v>
      </c>
      <c r="R29" s="486">
        <v>3384</v>
      </c>
      <c r="S29" s="486">
        <v>3384</v>
      </c>
      <c r="T29" s="486">
        <v>3384</v>
      </c>
      <c r="U29" s="486">
        <v>3384</v>
      </c>
      <c r="V29" s="486">
        <v>3384</v>
      </c>
      <c r="W29" s="486">
        <v>3434</v>
      </c>
      <c r="X29" s="486">
        <v>3534</v>
      </c>
      <c r="Y29" s="486">
        <v>3534</v>
      </c>
      <c r="Z29" s="486">
        <v>3684</v>
      </c>
      <c r="AA29" s="486">
        <v>3683</v>
      </c>
      <c r="AB29" s="486">
        <v>3683</v>
      </c>
      <c r="AC29" s="486">
        <v>3683</v>
      </c>
      <c r="AD29" s="486">
        <v>3683</v>
      </c>
      <c r="AE29" s="486">
        <v>3783</v>
      </c>
      <c r="AF29" s="486">
        <v>3783</v>
      </c>
      <c r="AG29" s="486">
        <v>3883</v>
      </c>
      <c r="AH29" s="486">
        <v>3883</v>
      </c>
      <c r="AI29" s="486">
        <v>3883</v>
      </c>
      <c r="AJ29" s="486">
        <v>3883</v>
      </c>
      <c r="AK29" s="486">
        <v>4033</v>
      </c>
      <c r="AL29" s="486">
        <v>4033</v>
      </c>
      <c r="AM29" s="486">
        <v>4033</v>
      </c>
      <c r="AN29" s="486">
        <v>4083</v>
      </c>
      <c r="AO29" s="486">
        <v>4083</v>
      </c>
      <c r="AP29" s="486">
        <v>4083</v>
      </c>
      <c r="AQ29" s="486">
        <v>4083</v>
      </c>
      <c r="AR29" s="486">
        <v>4083</v>
      </c>
      <c r="AS29" s="486">
        <v>3394</v>
      </c>
      <c r="AT29" s="486">
        <v>3394</v>
      </c>
      <c r="AU29" s="486">
        <v>3394</v>
      </c>
      <c r="AV29" s="486">
        <v>3394</v>
      </c>
      <c r="AW29" s="486">
        <v>3394</v>
      </c>
      <c r="AX29" s="486">
        <v>3397</v>
      </c>
      <c r="AY29" s="486">
        <v>3447</v>
      </c>
      <c r="AZ29" s="486">
        <v>3447</v>
      </c>
      <c r="BA29" s="486">
        <v>3447</v>
      </c>
      <c r="BB29" s="486">
        <v>3449</v>
      </c>
      <c r="BC29" s="486">
        <v>3447</v>
      </c>
      <c r="BD29" s="486">
        <v>3497</v>
      </c>
      <c r="BE29" s="486">
        <v>3495</v>
      </c>
      <c r="BF29" s="486">
        <v>3496</v>
      </c>
      <c r="BG29" s="486">
        <v>3495</v>
      </c>
      <c r="BH29" s="486">
        <v>3495</v>
      </c>
      <c r="BI29" s="486">
        <v>3495</v>
      </c>
      <c r="BJ29" s="486">
        <v>3495</v>
      </c>
      <c r="BK29" s="486">
        <v>3495</v>
      </c>
      <c r="BL29" s="486">
        <v>3480</v>
      </c>
      <c r="BM29" s="486">
        <v>3362</v>
      </c>
      <c r="BN29" s="486">
        <v>3355</v>
      </c>
      <c r="BO29" s="486">
        <v>3355</v>
      </c>
      <c r="BP29" s="486">
        <v>3355</v>
      </c>
      <c r="BQ29" s="486">
        <v>3355</v>
      </c>
      <c r="BR29" s="486">
        <v>3405</v>
      </c>
      <c r="BS29" s="486">
        <v>3405</v>
      </c>
      <c r="BT29" s="486">
        <v>3405</v>
      </c>
      <c r="BU29" s="486">
        <v>3405</v>
      </c>
      <c r="BV29" s="486">
        <v>3405</v>
      </c>
      <c r="BW29" s="486">
        <v>3405</v>
      </c>
      <c r="BX29" s="486">
        <v>3405</v>
      </c>
      <c r="BY29" s="486">
        <v>3303</v>
      </c>
      <c r="BZ29" s="486">
        <v>3303</v>
      </c>
      <c r="CA29" s="486">
        <v>3353</v>
      </c>
      <c r="CB29" s="486">
        <v>3353</v>
      </c>
      <c r="CC29" s="486">
        <v>3353</v>
      </c>
      <c r="CD29" s="486">
        <v>3353</v>
      </c>
      <c r="CE29" s="486">
        <v>3353</v>
      </c>
      <c r="CF29" s="486">
        <v>3353</v>
      </c>
      <c r="CG29" s="486">
        <v>3353</v>
      </c>
      <c r="CH29" s="486">
        <v>3353</v>
      </c>
      <c r="CI29" s="486">
        <v>3353</v>
      </c>
      <c r="CJ29" s="486">
        <v>3247</v>
      </c>
      <c r="CK29" s="486">
        <v>3247</v>
      </c>
      <c r="CL29" s="486">
        <v>3247</v>
      </c>
      <c r="CM29" s="486">
        <v>3247</v>
      </c>
      <c r="CN29" s="486">
        <v>3247</v>
      </c>
      <c r="CO29" s="486">
        <v>3247</v>
      </c>
      <c r="CP29" s="486">
        <v>3247</v>
      </c>
      <c r="CQ29" s="486">
        <v>3247</v>
      </c>
      <c r="CR29" s="486">
        <v>3247</v>
      </c>
      <c r="CS29" s="486">
        <v>3247</v>
      </c>
      <c r="CT29" s="486">
        <v>3247</v>
      </c>
      <c r="CU29" s="486">
        <v>3247</v>
      </c>
      <c r="CV29" s="486">
        <v>3247</v>
      </c>
      <c r="CW29" s="486">
        <v>3247</v>
      </c>
      <c r="CX29" s="486">
        <v>3247</v>
      </c>
      <c r="CY29" s="486">
        <v>3247</v>
      </c>
      <c r="CZ29" s="486">
        <v>3247</v>
      </c>
      <c r="DA29" s="486">
        <v>3247</v>
      </c>
      <c r="DB29" s="486">
        <v>3247</v>
      </c>
      <c r="DC29" s="486">
        <v>3247</v>
      </c>
      <c r="DD29" s="486">
        <v>3247</v>
      </c>
      <c r="DE29" s="728">
        <v>3247</v>
      </c>
      <c r="DF29" s="483"/>
    </row>
    <row r="30" spans="2:110" x14ac:dyDescent="0.35">
      <c r="B30" s="484" t="s">
        <v>368</v>
      </c>
      <c r="C30" s="485" t="s">
        <v>369</v>
      </c>
      <c r="D30" s="486"/>
      <c r="E30" s="486"/>
      <c r="F30" s="486"/>
      <c r="G30" s="486"/>
      <c r="H30" s="486"/>
      <c r="I30" s="486"/>
      <c r="J30" s="486"/>
      <c r="K30" s="486"/>
      <c r="L30" s="486"/>
      <c r="M30" s="486"/>
      <c r="N30" s="486"/>
      <c r="O30" s="486"/>
      <c r="P30" s="486"/>
      <c r="Q30" s="486"/>
      <c r="R30" s="486"/>
      <c r="S30" s="486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  <c r="AD30" s="486"/>
      <c r="AE30" s="486"/>
      <c r="AF30" s="486"/>
      <c r="AG30" s="486"/>
      <c r="AH30" s="486"/>
      <c r="AI30" s="486"/>
      <c r="AJ30" s="486"/>
      <c r="AK30" s="486"/>
      <c r="AL30" s="486"/>
      <c r="AM30" s="486"/>
      <c r="AN30" s="486"/>
      <c r="AO30" s="483"/>
      <c r="AP30" s="483"/>
      <c r="AQ30" s="483"/>
      <c r="AR30" s="483"/>
      <c r="AS30" s="486"/>
      <c r="AT30" s="483"/>
      <c r="AU30" s="486">
        <v>1262</v>
      </c>
      <c r="AV30" s="486">
        <v>6966</v>
      </c>
      <c r="AW30" s="486">
        <v>7615</v>
      </c>
      <c r="AX30" s="486">
        <v>10035</v>
      </c>
      <c r="AY30" s="486">
        <v>14087</v>
      </c>
      <c r="AZ30" s="486">
        <v>15798</v>
      </c>
      <c r="BA30" s="486">
        <v>16353</v>
      </c>
      <c r="BB30" s="486">
        <v>20083</v>
      </c>
      <c r="BC30" s="486">
        <v>22596</v>
      </c>
      <c r="BD30" s="486">
        <v>25412</v>
      </c>
      <c r="BE30" s="486">
        <v>28348</v>
      </c>
      <c r="BF30" s="486">
        <v>32759</v>
      </c>
      <c r="BG30" s="486">
        <v>38417</v>
      </c>
      <c r="BH30" s="486">
        <v>37412</v>
      </c>
      <c r="BI30" s="486">
        <v>36883</v>
      </c>
      <c r="BJ30" s="486">
        <v>40540</v>
      </c>
      <c r="BK30" s="486">
        <v>41124</v>
      </c>
      <c r="BL30" s="486">
        <v>40354</v>
      </c>
      <c r="BM30" s="486">
        <v>41708</v>
      </c>
      <c r="BN30" s="486">
        <v>41087</v>
      </c>
      <c r="BO30" s="486">
        <v>39018</v>
      </c>
      <c r="BP30" s="486">
        <v>39873</v>
      </c>
      <c r="BQ30" s="486">
        <v>38896</v>
      </c>
      <c r="BR30" s="486">
        <v>38230</v>
      </c>
      <c r="BS30" s="486">
        <v>37892</v>
      </c>
      <c r="BT30" s="486">
        <v>36889</v>
      </c>
      <c r="BU30" s="486">
        <v>36270</v>
      </c>
      <c r="BV30" s="486">
        <v>35208</v>
      </c>
      <c r="BW30" s="486">
        <v>33801</v>
      </c>
      <c r="BX30" s="486">
        <v>33311</v>
      </c>
      <c r="BY30" s="486">
        <v>32843</v>
      </c>
      <c r="BZ30" s="486">
        <v>32435</v>
      </c>
      <c r="CA30" s="486">
        <v>32127</v>
      </c>
      <c r="CB30" s="486">
        <v>31625</v>
      </c>
      <c r="CC30" s="486">
        <v>31312</v>
      </c>
      <c r="CD30" s="486">
        <v>31048</v>
      </c>
      <c r="CE30" s="486">
        <v>31049</v>
      </c>
      <c r="CF30" s="486">
        <v>30612</v>
      </c>
      <c r="CG30" s="486">
        <v>30477</v>
      </c>
      <c r="CH30" s="486">
        <v>26901</v>
      </c>
      <c r="CI30" s="486">
        <v>26589</v>
      </c>
      <c r="CJ30" s="486">
        <v>26084</v>
      </c>
      <c r="CK30" s="486">
        <v>26084</v>
      </c>
      <c r="CL30" s="486">
        <v>25709</v>
      </c>
      <c r="CM30" s="486">
        <v>25574</v>
      </c>
      <c r="CN30" s="486">
        <v>25474</v>
      </c>
      <c r="CO30" s="486">
        <v>25413</v>
      </c>
      <c r="CP30" s="486">
        <v>25349</v>
      </c>
      <c r="CQ30" s="486">
        <v>25704</v>
      </c>
      <c r="CR30" s="486">
        <v>25574</v>
      </c>
      <c r="CS30" s="486">
        <v>25494</v>
      </c>
      <c r="CT30" s="486">
        <v>26646</v>
      </c>
      <c r="CU30" s="486">
        <v>26607</v>
      </c>
      <c r="CV30" s="486">
        <v>26525</v>
      </c>
      <c r="CW30" s="486">
        <v>26463</v>
      </c>
      <c r="CX30" s="486">
        <v>26425</v>
      </c>
      <c r="CY30" s="486">
        <v>26395</v>
      </c>
      <c r="CZ30" s="486">
        <v>26337</v>
      </c>
      <c r="DA30" s="486">
        <v>26717</v>
      </c>
      <c r="DB30" s="486">
        <v>26674</v>
      </c>
      <c r="DC30" s="486">
        <v>26656</v>
      </c>
      <c r="DD30" s="486">
        <v>26611</v>
      </c>
      <c r="DE30" s="728">
        <v>26573</v>
      </c>
      <c r="DF30" s="483"/>
    </row>
    <row r="31" spans="2:110" x14ac:dyDescent="0.35">
      <c r="B31" s="484" t="s">
        <v>370</v>
      </c>
      <c r="C31" s="484" t="s">
        <v>371</v>
      </c>
      <c r="D31" s="486"/>
      <c r="E31" s="486"/>
      <c r="F31" s="486"/>
      <c r="G31" s="486"/>
      <c r="H31" s="486"/>
      <c r="I31" s="486"/>
      <c r="J31" s="486"/>
      <c r="K31" s="486"/>
      <c r="L31" s="486"/>
      <c r="M31" s="486"/>
      <c r="N31" s="486"/>
      <c r="O31" s="486"/>
      <c r="P31" s="486"/>
      <c r="Q31" s="486"/>
      <c r="R31" s="486"/>
      <c r="S31" s="486"/>
      <c r="T31" s="486"/>
      <c r="U31" s="486"/>
      <c r="V31" s="486"/>
      <c r="W31" s="486"/>
      <c r="X31" s="486"/>
      <c r="Y31" s="486"/>
      <c r="Z31" s="486"/>
      <c r="AA31" s="486"/>
      <c r="AB31" s="486"/>
      <c r="AC31" s="486"/>
      <c r="AD31" s="486"/>
      <c r="AE31" s="486"/>
      <c r="AF31" s="486"/>
      <c r="AG31" s="486"/>
      <c r="AH31" s="486"/>
      <c r="AI31" s="486"/>
      <c r="AJ31" s="486"/>
      <c r="AK31" s="486"/>
      <c r="AL31" s="486"/>
      <c r="AM31" s="486"/>
      <c r="AN31" s="486"/>
      <c r="AO31" s="483"/>
      <c r="AP31" s="483"/>
      <c r="AQ31" s="483"/>
      <c r="AR31" s="483"/>
      <c r="AS31" s="486"/>
      <c r="AT31" s="486"/>
      <c r="AU31" s="486"/>
      <c r="AV31" s="486"/>
      <c r="AZ31" s="486"/>
      <c r="BA31" s="486"/>
      <c r="BB31" s="486"/>
      <c r="BC31" s="486"/>
      <c r="BD31" s="486">
        <v>1063</v>
      </c>
      <c r="BE31" s="486">
        <v>1209</v>
      </c>
      <c r="BF31" s="486">
        <v>1401</v>
      </c>
      <c r="BG31" s="486">
        <v>1467</v>
      </c>
      <c r="BH31" s="486">
        <v>1764</v>
      </c>
      <c r="BI31" s="486">
        <v>1897</v>
      </c>
      <c r="BJ31" s="486">
        <v>1988</v>
      </c>
      <c r="BK31" s="486">
        <v>2091</v>
      </c>
      <c r="BL31" s="486">
        <v>2120</v>
      </c>
      <c r="BM31" s="486">
        <v>2172</v>
      </c>
      <c r="BN31" s="486">
        <v>2229</v>
      </c>
      <c r="BO31" s="486">
        <v>2340</v>
      </c>
      <c r="BP31" s="486">
        <v>2369</v>
      </c>
      <c r="BQ31" s="486">
        <v>2445</v>
      </c>
      <c r="BR31" s="486">
        <v>2575</v>
      </c>
      <c r="BS31" s="486">
        <v>2597</v>
      </c>
      <c r="BT31" s="486">
        <v>2601</v>
      </c>
      <c r="BU31" s="486">
        <v>2615</v>
      </c>
      <c r="BV31" s="486">
        <v>2622</v>
      </c>
      <c r="BW31" s="486">
        <v>2629</v>
      </c>
      <c r="BX31" s="486">
        <v>2639</v>
      </c>
      <c r="BY31" s="486">
        <v>2647</v>
      </c>
      <c r="BZ31" s="486">
        <v>2661</v>
      </c>
      <c r="CA31" s="486">
        <v>2669</v>
      </c>
      <c r="CB31" s="486">
        <v>2699</v>
      </c>
      <c r="CC31" s="486">
        <v>2708</v>
      </c>
      <c r="CD31" s="486">
        <v>2719</v>
      </c>
      <c r="CE31" s="486">
        <v>2719</v>
      </c>
      <c r="CF31" s="486">
        <v>2727</v>
      </c>
      <c r="CG31" s="486">
        <v>2732</v>
      </c>
      <c r="CH31" s="486">
        <v>2744</v>
      </c>
      <c r="CI31" s="486">
        <v>2753</v>
      </c>
      <c r="CJ31" s="486">
        <v>2775</v>
      </c>
      <c r="CK31" s="486">
        <v>2775</v>
      </c>
      <c r="CL31" s="486">
        <v>2827</v>
      </c>
      <c r="CM31" s="486">
        <v>2842</v>
      </c>
      <c r="CN31" s="486">
        <v>2872</v>
      </c>
      <c r="CO31" s="486">
        <v>2891</v>
      </c>
      <c r="CP31" s="486">
        <v>2903</v>
      </c>
      <c r="CQ31" s="486">
        <v>2906</v>
      </c>
      <c r="CR31" s="486">
        <v>2912</v>
      </c>
      <c r="CS31" s="486">
        <v>2920</v>
      </c>
      <c r="CT31" s="486">
        <v>2949</v>
      </c>
      <c r="CU31" s="486">
        <v>2955</v>
      </c>
      <c r="CV31" s="486">
        <v>2965</v>
      </c>
      <c r="CW31" s="486">
        <v>2984</v>
      </c>
      <c r="CX31" s="486">
        <v>2989</v>
      </c>
      <c r="CY31" s="486">
        <v>3002</v>
      </c>
      <c r="CZ31" s="486">
        <v>3014</v>
      </c>
      <c r="DA31" s="486">
        <v>3015</v>
      </c>
      <c r="DB31" s="486">
        <v>3023</v>
      </c>
      <c r="DC31" s="486">
        <v>3028</v>
      </c>
      <c r="DD31" s="486">
        <v>3042</v>
      </c>
      <c r="DE31" s="728">
        <v>3045</v>
      </c>
      <c r="DF31" s="483"/>
    </row>
    <row r="32" spans="2:110" x14ac:dyDescent="0.35">
      <c r="B32" s="484" t="s">
        <v>372</v>
      </c>
      <c r="C32" s="484" t="s">
        <v>373</v>
      </c>
      <c r="D32" s="486"/>
      <c r="E32" s="486"/>
      <c r="F32" s="486"/>
      <c r="G32" s="486"/>
      <c r="H32" s="486"/>
      <c r="I32" s="486"/>
      <c r="J32" s="486"/>
      <c r="K32" s="486"/>
      <c r="L32" s="486"/>
      <c r="M32" s="486"/>
      <c r="N32" s="486"/>
      <c r="O32" s="486"/>
      <c r="P32" s="486"/>
      <c r="Q32" s="486"/>
      <c r="R32" s="486"/>
      <c r="S32" s="486"/>
      <c r="T32" s="486"/>
      <c r="U32" s="486"/>
      <c r="V32" s="486"/>
      <c r="W32" s="486"/>
      <c r="X32" s="486"/>
      <c r="Y32" s="486"/>
      <c r="Z32" s="486"/>
      <c r="AA32" s="486"/>
      <c r="AB32" s="486"/>
      <c r="AC32" s="486"/>
      <c r="AD32" s="486"/>
      <c r="AE32" s="486"/>
      <c r="AF32" s="486"/>
      <c r="AG32" s="486"/>
      <c r="AH32" s="486"/>
      <c r="AI32" s="486"/>
      <c r="AJ32" s="486"/>
      <c r="AK32" s="486"/>
      <c r="AL32" s="486"/>
      <c r="AM32" s="486"/>
      <c r="AN32" s="486"/>
      <c r="AO32" s="483"/>
      <c r="AP32" s="483"/>
      <c r="AQ32" s="483"/>
      <c r="AR32" s="483"/>
      <c r="AS32" s="486"/>
      <c r="AT32" s="486"/>
      <c r="AU32" s="486"/>
      <c r="AV32" s="486"/>
      <c r="AZ32" s="486"/>
      <c r="BA32" s="486"/>
      <c r="BB32" s="486"/>
      <c r="BC32" s="486"/>
      <c r="BD32" s="486">
        <v>1013</v>
      </c>
      <c r="BE32" s="486">
        <v>1210</v>
      </c>
      <c r="BF32" s="486">
        <v>1412</v>
      </c>
      <c r="BG32" s="486">
        <v>1466</v>
      </c>
      <c r="BH32" s="486">
        <v>1545</v>
      </c>
      <c r="BI32" s="486">
        <v>1555</v>
      </c>
      <c r="BJ32" s="486">
        <v>1585</v>
      </c>
      <c r="BK32" s="486">
        <v>1658</v>
      </c>
      <c r="BL32" s="486">
        <v>1669</v>
      </c>
      <c r="BM32" s="486">
        <v>1685</v>
      </c>
      <c r="BN32" s="486">
        <v>1730</v>
      </c>
      <c r="BO32" s="486">
        <v>1752</v>
      </c>
      <c r="BP32" s="486">
        <v>1774</v>
      </c>
      <c r="BQ32" s="486">
        <v>1782</v>
      </c>
      <c r="BR32" s="486">
        <v>1813</v>
      </c>
      <c r="BS32" s="486">
        <v>1880</v>
      </c>
      <c r="BT32" s="486">
        <v>1883</v>
      </c>
      <c r="BU32" s="486">
        <v>1885</v>
      </c>
      <c r="BV32" s="486">
        <v>1890</v>
      </c>
      <c r="BW32" s="486">
        <v>1932</v>
      </c>
      <c r="BX32" s="486">
        <v>1961</v>
      </c>
      <c r="BY32" s="486">
        <v>1977</v>
      </c>
      <c r="BZ32" s="486">
        <v>2023</v>
      </c>
      <c r="CA32" s="486">
        <v>2023</v>
      </c>
      <c r="CB32" s="486">
        <v>2036</v>
      </c>
      <c r="CC32" s="486">
        <v>2040</v>
      </c>
      <c r="CD32" s="486">
        <v>2041</v>
      </c>
      <c r="CE32" s="486">
        <v>2041</v>
      </c>
      <c r="CF32" s="486">
        <v>2042</v>
      </c>
      <c r="CG32" s="486">
        <v>2042</v>
      </c>
      <c r="CH32" s="486">
        <v>2042</v>
      </c>
      <c r="CI32" s="486">
        <v>2042</v>
      </c>
      <c r="CJ32" s="486">
        <v>2043</v>
      </c>
      <c r="CK32" s="486">
        <v>2043</v>
      </c>
      <c r="CL32" s="486">
        <v>2043</v>
      </c>
      <c r="CM32" s="486">
        <v>2044</v>
      </c>
      <c r="CN32" s="486">
        <v>2044</v>
      </c>
      <c r="CO32" s="486">
        <v>2044</v>
      </c>
      <c r="CP32" s="486">
        <v>2044</v>
      </c>
      <c r="CQ32" s="486">
        <v>2044</v>
      </c>
      <c r="CR32" s="486">
        <v>2045</v>
      </c>
      <c r="CS32" s="486">
        <v>2045</v>
      </c>
      <c r="CT32" s="486">
        <v>2045</v>
      </c>
      <c r="CU32" s="486">
        <v>2045</v>
      </c>
      <c r="CV32" s="486">
        <v>2060</v>
      </c>
      <c r="CW32" s="486">
        <v>2062</v>
      </c>
      <c r="CX32" s="486">
        <v>2063</v>
      </c>
      <c r="CY32" s="486">
        <v>2063</v>
      </c>
      <c r="CZ32" s="486">
        <v>2063</v>
      </c>
      <c r="DA32" s="486">
        <v>2063</v>
      </c>
      <c r="DB32" s="486">
        <v>2063</v>
      </c>
      <c r="DC32" s="486">
        <v>2063</v>
      </c>
      <c r="DD32" s="486">
        <v>2064</v>
      </c>
      <c r="DE32" s="728">
        <v>2065</v>
      </c>
      <c r="DF32" s="483"/>
    </row>
    <row r="33" spans="2:110" x14ac:dyDescent="0.35">
      <c r="B33" s="484" t="s">
        <v>374</v>
      </c>
      <c r="C33" s="484" t="s">
        <v>375</v>
      </c>
      <c r="D33" s="486"/>
      <c r="E33" s="486"/>
      <c r="F33" s="486"/>
      <c r="G33" s="486"/>
      <c r="H33" s="486"/>
      <c r="I33" s="486"/>
      <c r="J33" s="486"/>
      <c r="K33" s="486"/>
      <c r="L33" s="486"/>
      <c r="M33" s="486"/>
      <c r="N33" s="486"/>
      <c r="O33" s="486"/>
      <c r="P33" s="486"/>
      <c r="Q33" s="486"/>
      <c r="R33" s="486"/>
      <c r="S33" s="486"/>
      <c r="T33" s="486"/>
      <c r="U33" s="486"/>
      <c r="V33" s="486"/>
      <c r="W33" s="486"/>
      <c r="X33" s="486"/>
      <c r="Y33" s="486"/>
      <c r="Z33" s="486"/>
      <c r="AA33" s="486"/>
      <c r="AB33" s="486"/>
      <c r="AC33" s="486"/>
      <c r="AD33" s="486"/>
      <c r="AE33" s="486"/>
      <c r="AF33" s="486"/>
      <c r="AG33" s="486"/>
      <c r="AH33" s="486"/>
      <c r="AI33" s="486"/>
      <c r="AJ33" s="486"/>
      <c r="AK33" s="486"/>
      <c r="AL33" s="486"/>
      <c r="AM33" s="486"/>
      <c r="AN33" s="486"/>
      <c r="AO33" s="486"/>
      <c r="AP33" s="486"/>
      <c r="AQ33" s="486"/>
      <c r="AR33" s="486"/>
      <c r="AS33" s="486"/>
      <c r="AT33" s="486"/>
      <c r="AU33" s="486"/>
      <c r="AV33" s="486"/>
      <c r="AZ33" s="486"/>
      <c r="BA33" s="486"/>
      <c r="BB33" s="486"/>
      <c r="BC33" s="486"/>
      <c r="BD33" s="486"/>
      <c r="BE33" s="483"/>
      <c r="BF33" s="483"/>
      <c r="BG33" s="486"/>
      <c r="BH33" s="486"/>
      <c r="BI33" s="486"/>
      <c r="BJ33" s="486"/>
      <c r="BK33" s="486"/>
      <c r="BL33" s="486"/>
      <c r="BM33" s="486"/>
      <c r="BN33" s="486">
        <v>1043</v>
      </c>
      <c r="BO33" s="486">
        <v>1153</v>
      </c>
      <c r="BP33" s="486">
        <v>1245</v>
      </c>
      <c r="BQ33" s="486">
        <v>1420</v>
      </c>
      <c r="BR33" s="486">
        <v>1494</v>
      </c>
      <c r="BS33" s="486">
        <v>1641</v>
      </c>
      <c r="BT33" s="486">
        <v>1673</v>
      </c>
      <c r="BU33" s="486">
        <v>1700</v>
      </c>
      <c r="BV33" s="486">
        <v>1779</v>
      </c>
      <c r="BW33" s="486">
        <v>1854</v>
      </c>
      <c r="BX33" s="486">
        <v>1910</v>
      </c>
      <c r="BY33" s="486">
        <v>1964</v>
      </c>
      <c r="BZ33" s="486">
        <v>2013</v>
      </c>
      <c r="CA33" s="486">
        <v>2045</v>
      </c>
      <c r="CB33" s="486">
        <v>2101</v>
      </c>
      <c r="CC33" s="486">
        <v>2101</v>
      </c>
      <c r="CD33" s="486">
        <v>2101</v>
      </c>
      <c r="CE33" s="486">
        <v>2101</v>
      </c>
      <c r="CF33" s="486">
        <v>2101</v>
      </c>
      <c r="CG33" s="486">
        <v>2101</v>
      </c>
      <c r="CH33" s="486">
        <v>2101</v>
      </c>
      <c r="CI33" s="486">
        <v>2179</v>
      </c>
      <c r="CJ33" s="486">
        <v>2448</v>
      </c>
      <c r="CK33" s="486">
        <v>2448</v>
      </c>
      <c r="CL33" s="486">
        <v>2568</v>
      </c>
      <c r="CM33" s="486">
        <v>2626</v>
      </c>
      <c r="CN33" s="486">
        <v>2658</v>
      </c>
      <c r="CO33" s="486">
        <v>2668</v>
      </c>
      <c r="CP33" s="486">
        <v>2673</v>
      </c>
      <c r="CQ33" s="486">
        <v>2677</v>
      </c>
      <c r="CR33" s="486">
        <v>2685</v>
      </c>
      <c r="CS33" s="486">
        <v>2688</v>
      </c>
      <c r="CT33" s="486">
        <v>2692</v>
      </c>
      <c r="CU33" s="486">
        <v>2694</v>
      </c>
      <c r="CV33" s="486">
        <v>2699</v>
      </c>
      <c r="CW33" s="486">
        <v>2702</v>
      </c>
      <c r="CX33" s="486">
        <v>2705</v>
      </c>
      <c r="CY33" s="486">
        <v>2707</v>
      </c>
      <c r="CZ33" s="486">
        <v>2709</v>
      </c>
      <c r="DA33" s="486">
        <v>2710</v>
      </c>
      <c r="DB33" s="486">
        <v>2713</v>
      </c>
      <c r="DC33" s="486">
        <v>2716</v>
      </c>
      <c r="DD33" s="486">
        <v>2722</v>
      </c>
      <c r="DE33" s="728">
        <v>2725</v>
      </c>
      <c r="DF33" s="483"/>
    </row>
    <row r="34" spans="2:110" x14ac:dyDescent="0.35">
      <c r="B34" s="484" t="s">
        <v>376</v>
      </c>
      <c r="C34" s="484" t="s">
        <v>377</v>
      </c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  <c r="O34" s="486"/>
      <c r="P34" s="486"/>
      <c r="Q34" s="486"/>
      <c r="R34" s="486"/>
      <c r="S34" s="486"/>
      <c r="T34" s="486"/>
      <c r="U34" s="486"/>
      <c r="V34" s="486"/>
      <c r="W34" s="486"/>
      <c r="X34" s="486"/>
      <c r="Y34" s="486"/>
      <c r="Z34" s="486"/>
      <c r="AA34" s="486"/>
      <c r="AB34" s="486"/>
      <c r="AC34" s="486"/>
      <c r="AD34" s="486"/>
      <c r="AE34" s="486"/>
      <c r="AF34" s="486"/>
      <c r="AG34" s="486"/>
      <c r="AH34" s="486"/>
      <c r="AI34" s="486"/>
      <c r="AJ34" s="486"/>
      <c r="AK34" s="486"/>
      <c r="AL34" s="486"/>
      <c r="AM34" s="486"/>
      <c r="AN34" s="486"/>
      <c r="AO34" s="486"/>
      <c r="AP34" s="486"/>
      <c r="AQ34" s="486"/>
      <c r="AR34" s="486"/>
      <c r="AS34" s="486"/>
      <c r="AT34" s="486"/>
      <c r="AU34" s="486"/>
      <c r="AV34" s="486"/>
      <c r="AZ34" s="486"/>
      <c r="BA34" s="486"/>
      <c r="BB34" s="486"/>
      <c r="BC34" s="486"/>
      <c r="BD34" s="486"/>
      <c r="BE34" s="483"/>
      <c r="BF34" s="483"/>
      <c r="BG34" s="486"/>
      <c r="BH34" s="486"/>
      <c r="BI34" s="486"/>
      <c r="BJ34" s="486"/>
      <c r="BK34" s="486"/>
      <c r="BL34" s="486"/>
      <c r="BM34" s="486">
        <v>1002</v>
      </c>
      <c r="BN34" s="486">
        <v>1094</v>
      </c>
      <c r="BO34" s="486">
        <v>1139</v>
      </c>
      <c r="BP34" s="486">
        <v>1241</v>
      </c>
      <c r="BQ34" s="486">
        <v>1341</v>
      </c>
      <c r="BR34" s="486">
        <v>1491</v>
      </c>
      <c r="BS34" s="486">
        <v>1690</v>
      </c>
      <c r="BT34" s="486">
        <v>1713</v>
      </c>
      <c r="BU34" s="486">
        <v>1753</v>
      </c>
      <c r="BV34" s="486">
        <v>1806</v>
      </c>
      <c r="BW34" s="486">
        <v>1845</v>
      </c>
      <c r="BX34" s="486">
        <v>1921</v>
      </c>
      <c r="BY34" s="486">
        <v>1994</v>
      </c>
      <c r="BZ34" s="486">
        <v>2072</v>
      </c>
      <c r="CA34" s="486">
        <v>2100</v>
      </c>
      <c r="CB34" s="486">
        <v>2207</v>
      </c>
      <c r="CC34" s="486">
        <v>2233</v>
      </c>
      <c r="CD34" s="486">
        <v>2298</v>
      </c>
      <c r="CE34" s="486">
        <v>2298</v>
      </c>
      <c r="CF34" s="486">
        <v>2567</v>
      </c>
      <c r="CG34" s="486">
        <v>2632</v>
      </c>
      <c r="CH34" s="486">
        <v>2728</v>
      </c>
      <c r="CI34" s="486">
        <v>2769</v>
      </c>
      <c r="CJ34" s="486">
        <v>2794</v>
      </c>
      <c r="CK34" s="486">
        <v>2794</v>
      </c>
      <c r="CL34" s="486">
        <v>2852</v>
      </c>
      <c r="CM34" s="486">
        <v>2874</v>
      </c>
      <c r="CN34" s="486">
        <v>2876</v>
      </c>
      <c r="CO34" s="486">
        <v>2883</v>
      </c>
      <c r="CP34" s="486">
        <v>2889</v>
      </c>
      <c r="CQ34" s="486">
        <v>2908</v>
      </c>
      <c r="CR34" s="486">
        <v>2959</v>
      </c>
      <c r="CS34" s="486">
        <v>3014</v>
      </c>
      <c r="CT34" s="486">
        <v>3019</v>
      </c>
      <c r="CU34" s="486">
        <v>3026</v>
      </c>
      <c r="CV34" s="486">
        <v>3039</v>
      </c>
      <c r="CW34" s="486">
        <v>3040</v>
      </c>
      <c r="CX34" s="486">
        <v>3045</v>
      </c>
      <c r="CY34" s="486">
        <v>3048</v>
      </c>
      <c r="CZ34" s="486">
        <v>3055</v>
      </c>
      <c r="DA34" s="486">
        <v>3056</v>
      </c>
      <c r="DB34" s="486">
        <v>3056</v>
      </c>
      <c r="DC34" s="486">
        <v>3056</v>
      </c>
      <c r="DD34" s="486">
        <v>3060</v>
      </c>
      <c r="DE34" s="728">
        <v>3060</v>
      </c>
      <c r="DF34" s="483"/>
    </row>
    <row r="35" spans="2:110" x14ac:dyDescent="0.35">
      <c r="B35" s="484" t="s">
        <v>378</v>
      </c>
      <c r="C35" s="485" t="s">
        <v>379</v>
      </c>
      <c r="D35" s="486"/>
      <c r="E35" s="486"/>
      <c r="F35" s="486"/>
      <c r="G35" s="486"/>
      <c r="H35" s="486"/>
      <c r="I35" s="486"/>
      <c r="J35" s="486"/>
      <c r="K35" s="486"/>
      <c r="L35" s="486"/>
      <c r="M35" s="486"/>
      <c r="N35" s="486"/>
      <c r="O35" s="486"/>
      <c r="P35" s="486"/>
      <c r="Q35" s="486"/>
      <c r="R35" s="486"/>
      <c r="S35" s="486"/>
      <c r="T35" s="486"/>
      <c r="U35" s="486"/>
      <c r="V35" s="486"/>
      <c r="W35" s="486"/>
      <c r="X35" s="486"/>
      <c r="Y35" s="486"/>
      <c r="Z35" s="486"/>
      <c r="AA35" s="486"/>
      <c r="AB35" s="486"/>
      <c r="AC35" s="486"/>
      <c r="AD35" s="486"/>
      <c r="AE35" s="486"/>
      <c r="AF35" s="486"/>
      <c r="AG35" s="486"/>
      <c r="AH35" s="486"/>
      <c r="AI35" s="486"/>
      <c r="AJ35" s="486"/>
      <c r="AK35" s="486"/>
      <c r="AL35" s="486"/>
      <c r="AM35" s="486"/>
      <c r="AN35" s="486"/>
      <c r="AO35" s="483"/>
      <c r="AP35" s="483"/>
      <c r="AQ35" s="483"/>
      <c r="AR35" s="483"/>
      <c r="AS35" s="486"/>
      <c r="AT35" s="486"/>
      <c r="AU35" s="486"/>
      <c r="AV35" s="486"/>
      <c r="AW35" s="487"/>
      <c r="AX35" s="486"/>
      <c r="AY35" s="486"/>
      <c r="AZ35" s="486"/>
      <c r="BA35" s="486"/>
      <c r="BB35" s="486"/>
      <c r="BC35" s="486"/>
      <c r="BD35" s="486"/>
      <c r="BE35" s="486"/>
      <c r="BF35" s="486"/>
      <c r="BG35" s="486"/>
      <c r="BH35" s="486"/>
      <c r="BI35" s="486"/>
      <c r="BJ35" s="486">
        <v>1151</v>
      </c>
      <c r="BK35" s="486">
        <v>1516</v>
      </c>
      <c r="BL35" s="486">
        <v>1700</v>
      </c>
      <c r="BM35" s="486">
        <v>1927</v>
      </c>
      <c r="BN35" s="486">
        <v>2178</v>
      </c>
      <c r="BO35" s="486">
        <v>2305</v>
      </c>
      <c r="BP35" s="486">
        <v>2434</v>
      </c>
      <c r="BQ35" s="486">
        <v>2793</v>
      </c>
      <c r="BR35" s="486">
        <v>2939</v>
      </c>
      <c r="BS35" s="486">
        <v>3414</v>
      </c>
      <c r="BT35" s="486">
        <v>3521</v>
      </c>
      <c r="BU35" s="486">
        <v>3669</v>
      </c>
      <c r="BV35" s="486">
        <v>3959</v>
      </c>
      <c r="BW35" s="486">
        <v>4149</v>
      </c>
      <c r="BX35" s="486">
        <v>4437</v>
      </c>
      <c r="BY35" s="486">
        <v>4703</v>
      </c>
      <c r="BZ35" s="486">
        <v>4888</v>
      </c>
      <c r="CA35" s="486">
        <v>5027</v>
      </c>
      <c r="CB35" s="486">
        <v>5180</v>
      </c>
      <c r="CC35" s="486">
        <v>5410</v>
      </c>
      <c r="CD35" s="486">
        <v>5548</v>
      </c>
      <c r="CE35" s="486">
        <v>5548</v>
      </c>
      <c r="CF35" s="486">
        <v>5683</v>
      </c>
      <c r="CG35" s="486">
        <v>5718</v>
      </c>
      <c r="CH35" s="486">
        <v>5737</v>
      </c>
      <c r="CI35" s="486">
        <v>5838</v>
      </c>
      <c r="CJ35" s="486">
        <v>5981</v>
      </c>
      <c r="CK35" s="486">
        <v>5981</v>
      </c>
      <c r="CL35" s="486">
        <v>6076</v>
      </c>
      <c r="CM35" s="486">
        <v>6099</v>
      </c>
      <c r="CN35" s="486">
        <v>6113</v>
      </c>
      <c r="CO35" s="486">
        <v>6115</v>
      </c>
      <c r="CP35" s="486">
        <v>6118</v>
      </c>
      <c r="CQ35" s="486">
        <v>6131</v>
      </c>
      <c r="CR35" s="486">
        <v>6168</v>
      </c>
      <c r="CS35" s="486">
        <v>6172</v>
      </c>
      <c r="CT35" s="486">
        <v>6173</v>
      </c>
      <c r="CU35" s="486">
        <v>6177</v>
      </c>
      <c r="CV35" s="486">
        <v>6200</v>
      </c>
      <c r="CW35" s="486">
        <v>6216</v>
      </c>
      <c r="CX35" s="486">
        <v>6231</v>
      </c>
      <c r="CY35" s="486">
        <v>6237</v>
      </c>
      <c r="CZ35" s="486">
        <v>6257</v>
      </c>
      <c r="DA35" s="486">
        <v>6265</v>
      </c>
      <c r="DB35" s="486">
        <v>6288</v>
      </c>
      <c r="DC35" s="486">
        <v>6288</v>
      </c>
      <c r="DD35" s="486">
        <v>6299</v>
      </c>
      <c r="DE35" s="728">
        <v>6315</v>
      </c>
      <c r="DF35" s="483"/>
    </row>
    <row r="36" spans="2:110" x14ac:dyDescent="0.35">
      <c r="B36" s="484" t="s">
        <v>380</v>
      </c>
      <c r="C36" s="485" t="s">
        <v>381</v>
      </c>
      <c r="D36" s="486"/>
      <c r="E36" s="486"/>
      <c r="F36" s="486"/>
      <c r="G36" s="486"/>
      <c r="H36" s="486"/>
      <c r="I36" s="486"/>
      <c r="J36" s="486"/>
      <c r="K36" s="486"/>
      <c r="L36" s="486"/>
      <c r="M36" s="486"/>
      <c r="N36" s="486"/>
      <c r="O36" s="486"/>
      <c r="P36" s="486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6"/>
      <c r="AB36" s="486"/>
      <c r="AC36" s="486"/>
      <c r="AD36" s="486"/>
      <c r="AE36" s="486"/>
      <c r="AF36" s="486"/>
      <c r="AG36" s="486"/>
      <c r="AH36" s="486"/>
      <c r="AI36" s="486"/>
      <c r="AJ36" s="486"/>
      <c r="AK36" s="486"/>
      <c r="AL36" s="486"/>
      <c r="AM36" s="486"/>
      <c r="AN36" s="486"/>
      <c r="AO36" s="483"/>
      <c r="AP36" s="483"/>
      <c r="AQ36" s="483"/>
      <c r="AR36" s="483"/>
      <c r="AS36" s="486"/>
      <c r="AT36" s="486"/>
      <c r="AU36" s="486"/>
      <c r="AV36" s="486"/>
      <c r="AW36" s="487"/>
      <c r="AX36" s="486"/>
      <c r="AY36" s="486"/>
      <c r="AZ36" s="486"/>
      <c r="BA36" s="486"/>
      <c r="BB36" s="486"/>
      <c r="BC36" s="486"/>
      <c r="BD36" s="486"/>
      <c r="BE36" s="486"/>
      <c r="BF36" s="486"/>
      <c r="BG36" s="486"/>
      <c r="BH36" s="486"/>
      <c r="BI36" s="486"/>
      <c r="BJ36" s="486">
        <v>1049</v>
      </c>
      <c r="BK36" s="486">
        <v>1206</v>
      </c>
      <c r="BL36" s="486">
        <v>1370</v>
      </c>
      <c r="BM36" s="486">
        <v>1585</v>
      </c>
      <c r="BN36" s="486">
        <v>1814</v>
      </c>
      <c r="BO36" s="486">
        <v>1911</v>
      </c>
      <c r="BP36" s="486">
        <v>2029</v>
      </c>
      <c r="BQ36" s="486">
        <v>2283</v>
      </c>
      <c r="BR36" s="486">
        <v>2400</v>
      </c>
      <c r="BS36" s="486">
        <v>2604</v>
      </c>
      <c r="BT36" s="486">
        <v>2661</v>
      </c>
      <c r="BU36" s="486">
        <v>2742</v>
      </c>
      <c r="BV36" s="486">
        <v>2994</v>
      </c>
      <c r="BW36" s="486">
        <v>3088</v>
      </c>
      <c r="BX36" s="486">
        <v>3120</v>
      </c>
      <c r="BY36" s="486">
        <v>3172</v>
      </c>
      <c r="BZ36" s="486">
        <v>3213</v>
      </c>
      <c r="CA36" s="486">
        <v>3289</v>
      </c>
      <c r="CB36" s="486">
        <v>3410</v>
      </c>
      <c r="CC36" s="486">
        <v>3445</v>
      </c>
      <c r="CD36" s="486">
        <v>3485</v>
      </c>
      <c r="CE36" s="486">
        <v>3485</v>
      </c>
      <c r="CF36" s="486">
        <v>3517</v>
      </c>
      <c r="CG36" s="486">
        <v>3548</v>
      </c>
      <c r="CH36" s="486">
        <v>3598</v>
      </c>
      <c r="CI36" s="486">
        <v>3657</v>
      </c>
      <c r="CJ36" s="486">
        <v>3700</v>
      </c>
      <c r="CK36" s="486">
        <v>3700</v>
      </c>
      <c r="CL36" s="486">
        <v>3749</v>
      </c>
      <c r="CM36" s="486">
        <v>3762</v>
      </c>
      <c r="CN36" s="486">
        <v>3782</v>
      </c>
      <c r="CO36" s="486">
        <v>3802</v>
      </c>
      <c r="CP36" s="486">
        <v>3837</v>
      </c>
      <c r="CQ36" s="486">
        <v>3844</v>
      </c>
      <c r="CR36" s="486">
        <v>3871</v>
      </c>
      <c r="CS36" s="486">
        <v>3879</v>
      </c>
      <c r="CT36" s="486">
        <v>3886</v>
      </c>
      <c r="CU36" s="486">
        <v>3899</v>
      </c>
      <c r="CV36" s="486">
        <v>3912</v>
      </c>
      <c r="CW36" s="486">
        <v>3931</v>
      </c>
      <c r="CX36" s="486">
        <v>3939</v>
      </c>
      <c r="CY36" s="486">
        <v>3944</v>
      </c>
      <c r="CZ36" s="486">
        <v>3957</v>
      </c>
      <c r="DA36" s="486">
        <v>3963</v>
      </c>
      <c r="DB36" s="486">
        <v>3971</v>
      </c>
      <c r="DC36" s="486">
        <v>3981</v>
      </c>
      <c r="DD36" s="486">
        <v>3986</v>
      </c>
      <c r="DE36" s="728">
        <v>3999</v>
      </c>
      <c r="DF36" s="483"/>
    </row>
    <row r="37" spans="2:110" x14ac:dyDescent="0.35">
      <c r="B37" s="484" t="s">
        <v>382</v>
      </c>
      <c r="C37" s="485" t="s">
        <v>383</v>
      </c>
      <c r="D37" s="488"/>
      <c r="E37" s="488"/>
      <c r="F37" s="486"/>
      <c r="G37" s="486"/>
      <c r="H37" s="486">
        <v>1187</v>
      </c>
      <c r="I37" s="486">
        <v>9688</v>
      </c>
      <c r="J37" s="486">
        <v>12073</v>
      </c>
      <c r="K37" s="486"/>
      <c r="L37" s="486">
        <v>12079</v>
      </c>
      <c r="M37" s="486">
        <v>12055</v>
      </c>
      <c r="N37" s="486">
        <v>12105</v>
      </c>
      <c r="O37" s="486">
        <v>12256</v>
      </c>
      <c r="P37" s="486">
        <v>12343</v>
      </c>
      <c r="Q37" s="486">
        <v>12442</v>
      </c>
      <c r="R37" s="486">
        <v>12442</v>
      </c>
      <c r="S37" s="486">
        <v>12942</v>
      </c>
      <c r="T37" s="486">
        <v>12973</v>
      </c>
      <c r="U37" s="486">
        <v>12981</v>
      </c>
      <c r="V37" s="486">
        <v>13063</v>
      </c>
      <c r="W37" s="486">
        <v>13563</v>
      </c>
      <c r="X37" s="486">
        <v>14063</v>
      </c>
      <c r="Y37" s="486">
        <v>14063</v>
      </c>
      <c r="Z37" s="486">
        <v>14462</v>
      </c>
      <c r="AA37" s="486">
        <v>15502</v>
      </c>
      <c r="AB37" s="486">
        <v>15465</v>
      </c>
      <c r="AC37" s="486">
        <v>15453</v>
      </c>
      <c r="AD37" s="486">
        <v>15412</v>
      </c>
      <c r="AE37" s="486">
        <v>15739</v>
      </c>
      <c r="AF37" s="486">
        <v>16250</v>
      </c>
      <c r="AG37" s="486">
        <v>16269</v>
      </c>
      <c r="AH37" s="486">
        <v>17221</v>
      </c>
      <c r="AI37" s="486">
        <v>17219</v>
      </c>
      <c r="AJ37" s="486">
        <v>18064</v>
      </c>
      <c r="AK37" s="486">
        <v>18066</v>
      </c>
      <c r="AL37" s="486">
        <v>18066</v>
      </c>
      <c r="AM37" s="486">
        <v>18565</v>
      </c>
      <c r="AN37" s="486">
        <v>20064</v>
      </c>
      <c r="AO37" s="486">
        <v>21062</v>
      </c>
      <c r="AP37" s="486">
        <v>21061</v>
      </c>
      <c r="AQ37" s="486">
        <v>21061</v>
      </c>
      <c r="AR37" s="486">
        <v>21091</v>
      </c>
      <c r="AS37" s="486">
        <v>21091</v>
      </c>
      <c r="AT37" s="486">
        <v>21091</v>
      </c>
      <c r="AU37" s="486">
        <v>20835</v>
      </c>
      <c r="AV37" s="486">
        <v>21335</v>
      </c>
      <c r="AW37" s="486">
        <v>21334</v>
      </c>
      <c r="AX37" s="486">
        <v>21067</v>
      </c>
      <c r="AY37" s="486">
        <v>21067</v>
      </c>
      <c r="AZ37" s="486">
        <v>21067</v>
      </c>
      <c r="BA37" s="486">
        <v>21971</v>
      </c>
      <c r="BB37" s="486">
        <v>22502</v>
      </c>
      <c r="BC37" s="486">
        <v>22502</v>
      </c>
      <c r="BD37" s="486">
        <v>22502</v>
      </c>
      <c r="BE37" s="486">
        <v>22500</v>
      </c>
      <c r="BF37" s="486">
        <v>23000</v>
      </c>
      <c r="BG37" s="486">
        <v>22998</v>
      </c>
      <c r="BH37" s="486">
        <v>22999</v>
      </c>
      <c r="BI37" s="486">
        <v>23000</v>
      </c>
      <c r="BJ37" s="486">
        <v>22998</v>
      </c>
      <c r="BK37" s="486">
        <v>25247</v>
      </c>
      <c r="BL37" s="486">
        <v>25747</v>
      </c>
      <c r="BM37" s="486">
        <v>25747</v>
      </c>
      <c r="BN37" s="486">
        <v>26241</v>
      </c>
      <c r="BO37" s="486">
        <v>26741</v>
      </c>
      <c r="BP37" s="486">
        <v>26739</v>
      </c>
      <c r="BQ37" s="486">
        <v>27864</v>
      </c>
      <c r="BR37" s="486">
        <v>27864</v>
      </c>
      <c r="BS37" s="486">
        <v>28237</v>
      </c>
      <c r="BT37" s="486">
        <v>28737</v>
      </c>
      <c r="BU37" s="486">
        <v>28737</v>
      </c>
      <c r="BV37" s="486">
        <v>29735</v>
      </c>
      <c r="BW37" s="486">
        <v>29734</v>
      </c>
      <c r="BX37" s="486">
        <v>29734</v>
      </c>
      <c r="BY37" s="486">
        <v>30235</v>
      </c>
      <c r="BZ37" s="486">
        <v>33238</v>
      </c>
      <c r="CA37" s="486">
        <v>33238</v>
      </c>
      <c r="CB37" s="486">
        <v>33238</v>
      </c>
      <c r="CC37" s="486">
        <v>33238</v>
      </c>
      <c r="CD37" s="486">
        <v>33737</v>
      </c>
      <c r="CE37" s="486">
        <v>33737</v>
      </c>
      <c r="CF37" s="486">
        <v>33737</v>
      </c>
      <c r="CG37" s="486">
        <v>33752</v>
      </c>
      <c r="CH37" s="486">
        <v>33751</v>
      </c>
      <c r="CI37" s="486">
        <v>33752</v>
      </c>
      <c r="CJ37" s="486">
        <v>33752</v>
      </c>
      <c r="CK37" s="486">
        <v>33752</v>
      </c>
      <c r="CL37" s="486">
        <v>33754</v>
      </c>
      <c r="CM37" s="486">
        <v>35751</v>
      </c>
      <c r="CN37" s="486">
        <v>35751</v>
      </c>
      <c r="CO37" s="486">
        <v>36752</v>
      </c>
      <c r="CP37" s="486">
        <v>36752</v>
      </c>
      <c r="CQ37" s="486">
        <v>36783</v>
      </c>
      <c r="CR37" s="486">
        <v>37784</v>
      </c>
      <c r="CS37" s="486">
        <v>37783</v>
      </c>
      <c r="CT37" s="486">
        <v>37494</v>
      </c>
      <c r="CU37" s="486">
        <v>37494</v>
      </c>
      <c r="CV37" s="486">
        <v>37494</v>
      </c>
      <c r="CW37" s="486">
        <v>37495</v>
      </c>
      <c r="CX37" s="486">
        <v>37570</v>
      </c>
      <c r="CY37" s="486">
        <v>37912</v>
      </c>
      <c r="CZ37" s="486">
        <v>37950</v>
      </c>
      <c r="DA37" s="486">
        <v>37841</v>
      </c>
      <c r="DB37" s="486">
        <v>37871</v>
      </c>
      <c r="DC37" s="486">
        <v>37871</v>
      </c>
      <c r="DD37" s="486">
        <v>39102</v>
      </c>
      <c r="DE37" s="728">
        <v>40302</v>
      </c>
      <c r="DF37" s="483"/>
    </row>
    <row r="38" spans="2:110" x14ac:dyDescent="0.35">
      <c r="B38" s="484" t="s">
        <v>384</v>
      </c>
      <c r="C38" s="485" t="s">
        <v>385</v>
      </c>
      <c r="D38" s="486"/>
      <c r="E38" s="486"/>
      <c r="F38" s="486"/>
      <c r="G38" s="486"/>
      <c r="H38" s="486">
        <v>28</v>
      </c>
      <c r="I38" s="486">
        <v>1280</v>
      </c>
      <c r="J38" s="486">
        <v>6165</v>
      </c>
      <c r="K38" s="486"/>
      <c r="L38" s="486">
        <v>6629</v>
      </c>
      <c r="M38" s="486">
        <v>7030</v>
      </c>
      <c r="N38" s="486">
        <v>7509</v>
      </c>
      <c r="O38" s="486">
        <v>8007</v>
      </c>
      <c r="P38" s="486">
        <v>8702</v>
      </c>
      <c r="Q38" s="486">
        <v>9279</v>
      </c>
      <c r="R38" s="486">
        <v>9727</v>
      </c>
      <c r="S38" s="486">
        <v>10182</v>
      </c>
      <c r="T38" s="486">
        <v>10632</v>
      </c>
      <c r="U38" s="486">
        <v>11397</v>
      </c>
      <c r="V38" s="486">
        <v>11960</v>
      </c>
      <c r="W38" s="486">
        <v>12387</v>
      </c>
      <c r="X38" s="486">
        <v>12869</v>
      </c>
      <c r="Y38" s="486">
        <v>13454</v>
      </c>
      <c r="Z38" s="486">
        <v>14069</v>
      </c>
      <c r="AA38" s="486">
        <v>14725</v>
      </c>
      <c r="AB38" s="486">
        <v>15421</v>
      </c>
      <c r="AC38" s="486">
        <v>16017</v>
      </c>
      <c r="AD38" s="486">
        <v>16463</v>
      </c>
      <c r="AE38" s="486">
        <v>16652</v>
      </c>
      <c r="AF38" s="486">
        <v>16883</v>
      </c>
      <c r="AG38" s="486">
        <v>17179</v>
      </c>
      <c r="AH38" s="486">
        <v>17595</v>
      </c>
      <c r="AI38" s="486">
        <v>17810</v>
      </c>
      <c r="AJ38" s="486">
        <v>18136</v>
      </c>
      <c r="AK38" s="486">
        <v>18396</v>
      </c>
      <c r="AL38" s="486">
        <v>18511</v>
      </c>
      <c r="AM38" s="486">
        <v>18575</v>
      </c>
      <c r="AN38" s="486">
        <v>18651</v>
      </c>
      <c r="AO38" s="486">
        <v>18900</v>
      </c>
      <c r="AP38" s="486">
        <v>19292</v>
      </c>
      <c r="AQ38" s="486">
        <v>19825</v>
      </c>
      <c r="AR38" s="486">
        <v>20533</v>
      </c>
      <c r="AS38" s="486">
        <v>21003</v>
      </c>
      <c r="AT38" s="486">
        <v>21372</v>
      </c>
      <c r="AU38" s="486">
        <v>21657</v>
      </c>
      <c r="AV38" s="486">
        <v>21892</v>
      </c>
      <c r="AW38" s="486">
        <v>22200</v>
      </c>
      <c r="AX38" s="486">
        <v>22632</v>
      </c>
      <c r="AY38" s="486">
        <v>23311</v>
      </c>
      <c r="AZ38" s="486">
        <v>23807</v>
      </c>
      <c r="BA38" s="486">
        <v>24656</v>
      </c>
      <c r="BB38" s="486">
        <v>25243</v>
      </c>
      <c r="BC38" s="486">
        <v>25894</v>
      </c>
      <c r="BD38" s="486">
        <v>26424</v>
      </c>
      <c r="BE38" s="486">
        <v>27307</v>
      </c>
      <c r="BF38" s="486">
        <v>27868</v>
      </c>
      <c r="BG38" s="486">
        <v>28468</v>
      </c>
      <c r="BH38" s="486">
        <v>29131</v>
      </c>
      <c r="BI38" s="486">
        <v>30179</v>
      </c>
      <c r="BJ38" s="486">
        <v>32308</v>
      </c>
      <c r="BK38" s="486">
        <v>32996</v>
      </c>
      <c r="BL38" s="486">
        <v>34331</v>
      </c>
      <c r="BM38" s="486">
        <v>35675</v>
      </c>
      <c r="BN38" s="486">
        <v>36484</v>
      </c>
      <c r="BO38" s="486">
        <v>37038</v>
      </c>
      <c r="BP38" s="486">
        <v>38076</v>
      </c>
      <c r="BQ38" s="486">
        <v>39110</v>
      </c>
      <c r="BR38" s="486">
        <v>40044</v>
      </c>
      <c r="BS38" s="486">
        <v>40698</v>
      </c>
      <c r="BT38" s="486">
        <v>41347</v>
      </c>
      <c r="BU38" s="486">
        <v>42239</v>
      </c>
      <c r="BV38" s="486">
        <v>42836</v>
      </c>
      <c r="BW38" s="486">
        <v>43764</v>
      </c>
      <c r="BX38" s="486">
        <v>44604</v>
      </c>
      <c r="BY38" s="486">
        <v>45473</v>
      </c>
      <c r="BZ38" s="486">
        <v>46426</v>
      </c>
      <c r="CA38" s="486">
        <v>47489</v>
      </c>
      <c r="CB38" s="486">
        <v>48434</v>
      </c>
      <c r="CC38" s="486">
        <v>49138</v>
      </c>
      <c r="CD38" s="486">
        <v>49908</v>
      </c>
      <c r="CE38" s="486">
        <v>50374</v>
      </c>
      <c r="CF38" s="486">
        <v>49126</v>
      </c>
      <c r="CG38" s="486">
        <v>48172</v>
      </c>
      <c r="CH38" s="486">
        <v>46847</v>
      </c>
      <c r="CI38" s="486">
        <v>47473</v>
      </c>
      <c r="CJ38" s="486">
        <v>48246</v>
      </c>
      <c r="CK38" s="486">
        <v>43817</v>
      </c>
      <c r="CL38" s="486">
        <v>39099</v>
      </c>
      <c r="CM38" s="486">
        <v>37763</v>
      </c>
      <c r="CN38" s="486">
        <v>38491</v>
      </c>
      <c r="CO38" s="486">
        <v>39332</v>
      </c>
      <c r="CP38" s="486">
        <v>39976</v>
      </c>
      <c r="CQ38" s="486">
        <v>40408</v>
      </c>
      <c r="CR38" s="486">
        <v>38286</v>
      </c>
      <c r="CS38" s="486">
        <v>37934</v>
      </c>
      <c r="CT38" s="486">
        <v>38349</v>
      </c>
      <c r="CU38" s="486">
        <v>34749</v>
      </c>
      <c r="CV38" s="486">
        <v>35691</v>
      </c>
      <c r="CW38" s="486">
        <v>34351</v>
      </c>
      <c r="CX38" s="486">
        <v>35188</v>
      </c>
      <c r="CY38" s="486">
        <v>35732</v>
      </c>
      <c r="CZ38" s="486">
        <v>36595</v>
      </c>
      <c r="DA38" s="486">
        <v>36743</v>
      </c>
      <c r="DB38" s="486">
        <v>36831</v>
      </c>
      <c r="DC38" s="486">
        <v>37277</v>
      </c>
      <c r="DD38" s="486">
        <v>37323</v>
      </c>
      <c r="DE38" s="728">
        <v>23591</v>
      </c>
      <c r="DF38" s="483"/>
    </row>
    <row r="39" spans="2:110" x14ac:dyDescent="0.35">
      <c r="B39" s="484" t="s">
        <v>386</v>
      </c>
      <c r="C39" s="485" t="s">
        <v>387</v>
      </c>
      <c r="D39" s="486"/>
      <c r="E39" s="486"/>
      <c r="F39" s="486"/>
      <c r="G39" s="486"/>
      <c r="H39" s="486"/>
      <c r="I39" s="486"/>
      <c r="J39" s="486"/>
      <c r="K39" s="486"/>
      <c r="L39" s="486">
        <v>815</v>
      </c>
      <c r="M39" s="486">
        <v>1071</v>
      </c>
      <c r="N39" s="486">
        <v>2049</v>
      </c>
      <c r="O39" s="486">
        <v>2965</v>
      </c>
      <c r="P39" s="486">
        <v>3421</v>
      </c>
      <c r="Q39" s="486">
        <v>3642</v>
      </c>
      <c r="R39" s="486">
        <v>3232</v>
      </c>
      <c r="S39" s="486">
        <v>4603</v>
      </c>
      <c r="T39" s="486">
        <v>4352</v>
      </c>
      <c r="U39" s="486">
        <v>5160</v>
      </c>
      <c r="V39" s="486">
        <v>5453</v>
      </c>
      <c r="W39" s="486">
        <v>4939</v>
      </c>
      <c r="X39" s="486">
        <v>4446</v>
      </c>
      <c r="Y39" s="486">
        <v>5168</v>
      </c>
      <c r="Z39" s="486">
        <v>5667</v>
      </c>
      <c r="AA39" s="486">
        <v>5860</v>
      </c>
      <c r="AB39" s="486">
        <v>6410</v>
      </c>
      <c r="AC39" s="486">
        <v>5914</v>
      </c>
      <c r="AD39" s="486">
        <v>7499</v>
      </c>
      <c r="AE39" s="486">
        <v>7751</v>
      </c>
      <c r="AF39" s="486">
        <v>10032</v>
      </c>
      <c r="AG39" s="486">
        <v>10834</v>
      </c>
      <c r="AH39" s="486">
        <v>11942</v>
      </c>
      <c r="AI39" s="486">
        <v>8098</v>
      </c>
      <c r="AJ39" s="486">
        <v>7162</v>
      </c>
      <c r="AK39" s="486">
        <v>6290</v>
      </c>
      <c r="AL39" s="486">
        <v>6159</v>
      </c>
      <c r="AM39" s="486">
        <v>4215</v>
      </c>
      <c r="AN39" s="486">
        <v>5409</v>
      </c>
      <c r="AO39" s="486">
        <v>9115</v>
      </c>
      <c r="AP39" s="486">
        <v>11291</v>
      </c>
      <c r="AQ39" s="486">
        <v>14412</v>
      </c>
      <c r="AR39" s="486">
        <v>15224</v>
      </c>
      <c r="AS39" s="486">
        <v>15471</v>
      </c>
      <c r="AT39" s="486">
        <v>16367</v>
      </c>
      <c r="AU39" s="486">
        <v>15709</v>
      </c>
      <c r="AV39" s="486">
        <v>16240</v>
      </c>
      <c r="AW39" s="486">
        <v>16962</v>
      </c>
      <c r="AX39" s="486">
        <v>15957</v>
      </c>
      <c r="AY39" s="486">
        <v>14758</v>
      </c>
      <c r="AZ39" s="486">
        <v>14683</v>
      </c>
      <c r="BA39" s="486">
        <v>15690</v>
      </c>
      <c r="BB39" s="486">
        <v>15324</v>
      </c>
      <c r="BC39" s="486">
        <v>12085</v>
      </c>
      <c r="BD39" s="486">
        <v>13624</v>
      </c>
      <c r="BE39" s="486">
        <v>14471</v>
      </c>
      <c r="BF39" s="486">
        <v>15438</v>
      </c>
      <c r="BG39" s="486">
        <v>15023</v>
      </c>
      <c r="BH39" s="486">
        <v>14600</v>
      </c>
      <c r="BI39" s="486">
        <v>14902</v>
      </c>
      <c r="BJ39" s="486">
        <v>15836</v>
      </c>
      <c r="BK39" s="486">
        <v>14394</v>
      </c>
      <c r="BL39" s="486">
        <v>14049</v>
      </c>
      <c r="BM39" s="486">
        <v>18641</v>
      </c>
      <c r="BN39" s="486">
        <v>21328</v>
      </c>
      <c r="BO39" s="486">
        <v>25182</v>
      </c>
      <c r="BP39" s="486">
        <v>25559</v>
      </c>
      <c r="BQ39" s="486">
        <v>28453</v>
      </c>
      <c r="BR39" s="486">
        <v>32018</v>
      </c>
      <c r="BS39" s="486">
        <v>26058</v>
      </c>
      <c r="BT39" s="486">
        <v>24417</v>
      </c>
      <c r="BU39" s="486">
        <v>20433</v>
      </c>
      <c r="BV39" s="486">
        <v>19837</v>
      </c>
      <c r="BW39" s="486">
        <v>19845</v>
      </c>
      <c r="BX39" s="486">
        <v>19636</v>
      </c>
      <c r="BY39" s="486">
        <v>20073</v>
      </c>
      <c r="BZ39" s="486">
        <v>19176</v>
      </c>
      <c r="CA39" s="102">
        <v>21775</v>
      </c>
      <c r="CB39" s="486">
        <v>23448</v>
      </c>
      <c r="CC39" s="486">
        <v>26620</v>
      </c>
      <c r="CD39" s="486">
        <v>29086</v>
      </c>
      <c r="CE39" s="486">
        <v>32112</v>
      </c>
      <c r="CF39" s="486">
        <v>32205</v>
      </c>
      <c r="CG39" s="486">
        <v>32587</v>
      </c>
      <c r="CH39" s="486">
        <v>33953</v>
      </c>
      <c r="CI39" s="486">
        <v>35585</v>
      </c>
      <c r="CJ39" s="486">
        <v>34340</v>
      </c>
      <c r="CK39" s="486">
        <v>29426</v>
      </c>
      <c r="CL39" s="486">
        <v>28223</v>
      </c>
      <c r="CM39" s="486">
        <v>26577</v>
      </c>
      <c r="CN39" s="486">
        <v>26281</v>
      </c>
      <c r="CO39" s="486">
        <v>29450</v>
      </c>
      <c r="CP39" s="486">
        <v>32639</v>
      </c>
      <c r="CQ39" s="486">
        <v>36748</v>
      </c>
      <c r="CR39" s="486">
        <v>39698</v>
      </c>
      <c r="CS39" s="486">
        <v>38694</v>
      </c>
      <c r="CT39" s="486">
        <v>37051</v>
      </c>
      <c r="CU39" s="486">
        <v>35026</v>
      </c>
      <c r="CV39" s="486">
        <v>31730</v>
      </c>
      <c r="CW39" s="486">
        <v>32341</v>
      </c>
      <c r="CX39" s="486">
        <v>34584</v>
      </c>
      <c r="CY39" s="486">
        <v>38942</v>
      </c>
      <c r="CZ39" s="486">
        <v>41630</v>
      </c>
      <c r="DA39" s="486">
        <v>44652</v>
      </c>
      <c r="DB39" s="486">
        <v>46325</v>
      </c>
      <c r="DC39" s="486">
        <v>47797</v>
      </c>
      <c r="DD39" s="486">
        <v>47795</v>
      </c>
      <c r="DE39" s="728">
        <v>47806</v>
      </c>
      <c r="DF39" s="483"/>
    </row>
    <row r="40" spans="2:110" x14ac:dyDescent="0.35">
      <c r="B40" s="484" t="s">
        <v>388</v>
      </c>
      <c r="C40" s="485" t="s">
        <v>389</v>
      </c>
      <c r="D40" s="486"/>
      <c r="E40" s="486"/>
      <c r="F40" s="486"/>
      <c r="G40" s="486"/>
      <c r="H40" s="486"/>
      <c r="I40" s="486"/>
      <c r="J40" s="486"/>
      <c r="K40" s="486"/>
      <c r="L40" s="486"/>
      <c r="M40" s="486"/>
      <c r="N40" s="486"/>
      <c r="O40" s="486"/>
      <c r="P40" s="486"/>
      <c r="Q40" s="486"/>
      <c r="R40" s="486">
        <v>1307</v>
      </c>
      <c r="S40" s="486">
        <v>1877</v>
      </c>
      <c r="T40" s="486">
        <v>2065</v>
      </c>
      <c r="U40" s="486">
        <v>1999</v>
      </c>
      <c r="V40" s="486">
        <v>2085</v>
      </c>
      <c r="W40" s="486">
        <v>2354</v>
      </c>
      <c r="X40" s="486">
        <v>2254</v>
      </c>
      <c r="Y40" s="486">
        <v>2546</v>
      </c>
      <c r="Z40" s="486">
        <v>2937</v>
      </c>
      <c r="AA40" s="486">
        <v>3178</v>
      </c>
      <c r="AB40" s="486">
        <v>3555</v>
      </c>
      <c r="AC40" s="486">
        <v>4797</v>
      </c>
      <c r="AD40" s="486">
        <v>5205</v>
      </c>
      <c r="AE40" s="486">
        <v>6147</v>
      </c>
      <c r="AF40" s="486">
        <v>6916</v>
      </c>
      <c r="AG40" s="486">
        <v>7730</v>
      </c>
      <c r="AH40" s="486">
        <v>7914</v>
      </c>
      <c r="AI40" s="486">
        <v>7898</v>
      </c>
      <c r="AJ40" s="486">
        <v>7407</v>
      </c>
      <c r="AK40" s="486">
        <v>7903</v>
      </c>
      <c r="AL40" s="486">
        <v>7625</v>
      </c>
      <c r="AM40" s="486">
        <v>8341</v>
      </c>
      <c r="AN40" s="486">
        <v>9082</v>
      </c>
      <c r="AO40" s="486">
        <v>9298</v>
      </c>
      <c r="AP40" s="486">
        <v>10126</v>
      </c>
      <c r="AQ40" s="486">
        <v>10906</v>
      </c>
      <c r="AR40" s="486">
        <v>10808</v>
      </c>
      <c r="AS40" s="486">
        <v>10814</v>
      </c>
      <c r="AT40" s="486">
        <v>10708</v>
      </c>
      <c r="AU40" s="486">
        <v>9194</v>
      </c>
      <c r="AV40" s="486">
        <v>7927</v>
      </c>
      <c r="AW40" s="486">
        <v>7394</v>
      </c>
      <c r="AX40" s="486">
        <v>6839</v>
      </c>
      <c r="AY40" s="486">
        <v>6907</v>
      </c>
      <c r="AZ40" s="486">
        <v>6674</v>
      </c>
      <c r="BA40" s="486">
        <v>7049</v>
      </c>
      <c r="BB40" s="486">
        <v>7989</v>
      </c>
      <c r="BC40" s="486">
        <v>7912</v>
      </c>
      <c r="BD40" s="486">
        <v>7445</v>
      </c>
      <c r="BE40" s="486">
        <v>7392</v>
      </c>
      <c r="BF40" s="486">
        <v>7637</v>
      </c>
      <c r="BG40" s="486">
        <v>7216</v>
      </c>
      <c r="BH40" s="486">
        <v>7276</v>
      </c>
      <c r="BI40" s="486">
        <v>7318</v>
      </c>
      <c r="BJ40" s="486">
        <v>8164</v>
      </c>
      <c r="BK40" s="486">
        <v>8690</v>
      </c>
      <c r="BL40" s="486">
        <v>8989</v>
      </c>
      <c r="BM40" s="486">
        <v>10029</v>
      </c>
      <c r="BN40" s="486">
        <v>10239</v>
      </c>
      <c r="BO40" s="486">
        <v>9461</v>
      </c>
      <c r="BP40" s="486">
        <v>9778</v>
      </c>
      <c r="BQ40" s="486">
        <v>10767</v>
      </c>
      <c r="BR40" s="486">
        <v>11212</v>
      </c>
      <c r="BS40" s="486">
        <v>12137</v>
      </c>
      <c r="BT40" s="486">
        <v>12976</v>
      </c>
      <c r="BU40" s="486">
        <v>13369</v>
      </c>
      <c r="BV40" s="486">
        <v>14725</v>
      </c>
      <c r="BW40" s="486">
        <v>13755</v>
      </c>
      <c r="BX40" s="486">
        <v>11662</v>
      </c>
      <c r="BY40" s="486">
        <v>11247</v>
      </c>
      <c r="BZ40" s="486">
        <v>13047</v>
      </c>
      <c r="CA40" s="486">
        <v>14462</v>
      </c>
      <c r="CB40" s="486">
        <v>17538</v>
      </c>
      <c r="CC40" s="486">
        <v>21140</v>
      </c>
      <c r="CD40" s="486">
        <v>23403</v>
      </c>
      <c r="CE40" s="486">
        <v>20533</v>
      </c>
      <c r="CF40" s="486">
        <v>18894</v>
      </c>
      <c r="CG40" s="486">
        <v>20597</v>
      </c>
      <c r="CH40" s="486">
        <v>22028</v>
      </c>
      <c r="CI40" s="486">
        <v>22781</v>
      </c>
      <c r="CJ40" s="486">
        <v>22749</v>
      </c>
      <c r="CK40" s="486">
        <v>23896</v>
      </c>
      <c r="CL40" s="486">
        <v>25221</v>
      </c>
      <c r="CM40" s="486">
        <v>27352</v>
      </c>
      <c r="CN40" s="486">
        <v>32193</v>
      </c>
      <c r="CO40" s="486">
        <v>34317</v>
      </c>
      <c r="CP40" s="486">
        <v>35284</v>
      </c>
      <c r="CQ40" s="486">
        <v>35254</v>
      </c>
      <c r="CR40" s="486">
        <v>35200</v>
      </c>
      <c r="CS40" s="486">
        <v>35730</v>
      </c>
      <c r="CT40" s="486">
        <v>36296</v>
      </c>
      <c r="CU40" s="486">
        <v>36892</v>
      </c>
      <c r="CV40" s="486">
        <v>37866</v>
      </c>
      <c r="CW40" s="486">
        <v>37735</v>
      </c>
      <c r="CX40" s="486">
        <v>27196</v>
      </c>
      <c r="CY40" s="486">
        <v>29567</v>
      </c>
      <c r="CZ40" s="486">
        <v>29705</v>
      </c>
      <c r="DA40" s="486">
        <v>30839</v>
      </c>
      <c r="DB40" s="486">
        <v>29318</v>
      </c>
      <c r="DC40" s="486">
        <v>27799</v>
      </c>
      <c r="DD40" s="486">
        <v>26122</v>
      </c>
      <c r="DE40" s="728">
        <v>27560</v>
      </c>
      <c r="DF40" s="483"/>
    </row>
    <row r="41" spans="2:110" x14ac:dyDescent="0.35">
      <c r="B41" s="484" t="s">
        <v>390</v>
      </c>
      <c r="C41" s="484" t="s">
        <v>391</v>
      </c>
      <c r="D41" s="486"/>
      <c r="E41" s="486"/>
      <c r="F41" s="486"/>
      <c r="G41" s="486"/>
      <c r="H41" s="486"/>
      <c r="I41" s="486"/>
      <c r="J41" s="486"/>
      <c r="K41" s="486"/>
      <c r="L41" s="486"/>
      <c r="M41" s="486"/>
      <c r="N41" s="486"/>
      <c r="O41" s="486"/>
      <c r="P41" s="486"/>
      <c r="Q41" s="486"/>
      <c r="R41" s="486"/>
      <c r="S41" s="486"/>
      <c r="T41" s="486"/>
      <c r="U41" s="486"/>
      <c r="V41" s="486"/>
      <c r="W41" s="486"/>
      <c r="X41" s="486"/>
      <c r="Y41" s="486"/>
      <c r="Z41" s="486"/>
      <c r="AA41" s="486"/>
      <c r="AB41" s="486"/>
      <c r="AC41" s="486"/>
      <c r="AD41" s="486"/>
      <c r="AE41" s="486"/>
      <c r="AF41" s="486"/>
      <c r="AG41" s="486"/>
      <c r="AH41" s="486"/>
      <c r="AI41" s="486"/>
      <c r="AJ41" s="486"/>
      <c r="AK41" s="486"/>
      <c r="AL41" s="486"/>
      <c r="AM41" s="486"/>
      <c r="AN41" s="486"/>
      <c r="AO41" s="483"/>
      <c r="AP41" s="483"/>
      <c r="AQ41" s="483"/>
      <c r="AR41" s="483"/>
      <c r="AS41" s="486"/>
      <c r="AT41" s="486"/>
      <c r="AU41" s="486"/>
      <c r="AV41" s="486"/>
      <c r="AZ41" s="486"/>
      <c r="BA41" s="486"/>
      <c r="BB41" s="486"/>
      <c r="BC41" s="486">
        <v>4005</v>
      </c>
      <c r="BD41" s="486">
        <v>4005</v>
      </c>
      <c r="BE41" s="486">
        <v>4005</v>
      </c>
      <c r="BF41" s="486">
        <v>4005</v>
      </c>
      <c r="BG41" s="486">
        <v>4505</v>
      </c>
      <c r="BH41" s="486">
        <v>4505</v>
      </c>
      <c r="BI41" s="486">
        <v>4505</v>
      </c>
      <c r="BJ41" s="486">
        <v>4505</v>
      </c>
      <c r="BK41" s="486">
        <v>4505</v>
      </c>
      <c r="BL41" s="486">
        <v>5005</v>
      </c>
      <c r="BM41" s="486">
        <v>5005</v>
      </c>
      <c r="BN41" s="486">
        <v>7505</v>
      </c>
      <c r="BO41" s="486">
        <v>7505</v>
      </c>
      <c r="BP41" s="486">
        <v>7505</v>
      </c>
      <c r="BQ41" s="486">
        <v>7505</v>
      </c>
      <c r="BR41" s="486">
        <v>7505</v>
      </c>
      <c r="BS41" s="486">
        <v>8505</v>
      </c>
      <c r="BT41" s="486">
        <v>8505</v>
      </c>
      <c r="BU41" s="486">
        <v>8505</v>
      </c>
      <c r="BV41" s="486">
        <v>8775</v>
      </c>
      <c r="BW41" s="486">
        <v>10544</v>
      </c>
      <c r="BX41" s="486">
        <v>11172</v>
      </c>
      <c r="BY41" s="486">
        <v>11184</v>
      </c>
      <c r="BZ41" s="486">
        <v>15505</v>
      </c>
      <c r="CA41" s="486">
        <v>15505</v>
      </c>
      <c r="CB41" s="486">
        <v>15505</v>
      </c>
      <c r="CC41" s="486">
        <v>15505</v>
      </c>
      <c r="CD41" s="486">
        <v>15505</v>
      </c>
      <c r="CE41" s="486">
        <v>15505</v>
      </c>
      <c r="CF41" s="486">
        <v>17366</v>
      </c>
      <c r="CG41" s="486">
        <v>17464</v>
      </c>
      <c r="CH41" s="486">
        <v>19964</v>
      </c>
      <c r="CI41" s="486">
        <v>21005</v>
      </c>
      <c r="CJ41" s="486">
        <v>21255</v>
      </c>
      <c r="CK41" s="486">
        <v>21300</v>
      </c>
      <c r="CL41" s="486">
        <v>21948</v>
      </c>
      <c r="CM41" s="486">
        <v>21948</v>
      </c>
      <c r="CN41" s="486">
        <v>22505</v>
      </c>
      <c r="CO41" s="486">
        <v>23105</v>
      </c>
      <c r="CP41" s="486">
        <v>23306</v>
      </c>
      <c r="CQ41" s="486">
        <v>23416</v>
      </c>
      <c r="CR41" s="486">
        <v>25305</v>
      </c>
      <c r="CS41" s="486">
        <v>25305</v>
      </c>
      <c r="CT41" s="486">
        <v>25305</v>
      </c>
      <c r="CU41" s="486">
        <v>25305</v>
      </c>
      <c r="CV41" s="486">
        <v>25505</v>
      </c>
      <c r="CW41" s="486">
        <v>25505</v>
      </c>
      <c r="CX41" s="486">
        <v>25505</v>
      </c>
      <c r="CY41" s="486">
        <v>25505</v>
      </c>
      <c r="CZ41" s="486">
        <v>25505</v>
      </c>
      <c r="DA41" s="486">
        <v>25505</v>
      </c>
      <c r="DB41" s="486">
        <v>23588</v>
      </c>
      <c r="DC41" s="486">
        <v>23588</v>
      </c>
      <c r="DD41" s="486">
        <v>23588</v>
      </c>
      <c r="DE41" s="728">
        <v>23356</v>
      </c>
      <c r="DF41" s="483"/>
    </row>
    <row r="42" spans="2:110" x14ac:dyDescent="0.35">
      <c r="B42" s="484" t="s">
        <v>322</v>
      </c>
      <c r="C42" s="484" t="s">
        <v>392</v>
      </c>
      <c r="D42" s="486"/>
      <c r="E42" s="486"/>
      <c r="F42" s="486"/>
      <c r="G42" s="486"/>
      <c r="H42" s="486"/>
      <c r="I42" s="486"/>
      <c r="J42" s="486"/>
      <c r="K42" s="486"/>
      <c r="L42" s="486"/>
      <c r="M42" s="486"/>
      <c r="N42" s="486"/>
      <c r="O42" s="486"/>
      <c r="P42" s="486"/>
      <c r="Q42" s="486"/>
      <c r="R42" s="486"/>
      <c r="S42" s="486"/>
      <c r="T42" s="486"/>
      <c r="U42" s="486"/>
      <c r="V42" s="486"/>
      <c r="W42" s="486"/>
      <c r="X42" s="486"/>
      <c r="Y42" s="486"/>
      <c r="Z42" s="486"/>
      <c r="AA42" s="486"/>
      <c r="AB42" s="486"/>
      <c r="AC42" s="486"/>
      <c r="AD42" s="486"/>
      <c r="AE42" s="486"/>
      <c r="AF42" s="486"/>
      <c r="AG42" s="486"/>
      <c r="AH42" s="486"/>
      <c r="AI42" s="486"/>
      <c r="AJ42" s="486"/>
      <c r="AK42" s="486"/>
      <c r="AL42" s="486"/>
      <c r="AM42" s="486"/>
      <c r="AN42" s="486"/>
      <c r="AO42" s="486"/>
      <c r="AP42" s="486"/>
      <c r="AQ42" s="486"/>
      <c r="AR42" s="486"/>
      <c r="AS42" s="486"/>
      <c r="AT42" s="486"/>
      <c r="AU42" s="486"/>
      <c r="AV42" s="486"/>
      <c r="AZ42" s="486"/>
      <c r="BA42" s="486"/>
      <c r="BB42" s="486"/>
      <c r="BC42" s="486"/>
      <c r="BD42" s="486"/>
      <c r="BE42" s="483"/>
      <c r="BF42" s="483"/>
      <c r="BG42" s="486"/>
      <c r="BH42" s="486"/>
      <c r="BI42" s="486"/>
      <c r="BJ42" s="486"/>
      <c r="BK42" s="486"/>
      <c r="BL42" s="486"/>
      <c r="BM42" s="486"/>
      <c r="BN42" s="486"/>
      <c r="BO42" s="486"/>
      <c r="BP42" s="486"/>
      <c r="BQ42" s="486"/>
      <c r="BR42" s="486"/>
      <c r="BS42" s="486">
        <v>1004</v>
      </c>
      <c r="BT42" s="486">
        <v>1014</v>
      </c>
      <c r="BU42" s="486">
        <v>1014</v>
      </c>
      <c r="BV42" s="486">
        <v>1015</v>
      </c>
      <c r="BW42" s="486">
        <v>1025</v>
      </c>
      <c r="BX42" s="486">
        <v>1026</v>
      </c>
      <c r="BY42" s="486">
        <v>1027</v>
      </c>
      <c r="BZ42" s="486">
        <v>1026</v>
      </c>
      <c r="CA42" s="486">
        <v>1047</v>
      </c>
      <c r="CB42" s="486">
        <v>1066</v>
      </c>
      <c r="CC42" s="486">
        <v>1073</v>
      </c>
      <c r="CD42" s="486">
        <v>1074</v>
      </c>
      <c r="CE42" s="486">
        <v>1306</v>
      </c>
      <c r="CF42" s="486">
        <v>1592</v>
      </c>
      <c r="CG42" s="486">
        <v>1899</v>
      </c>
      <c r="CH42" s="486">
        <v>2419</v>
      </c>
      <c r="CI42" s="486">
        <v>3579</v>
      </c>
      <c r="CJ42" s="486">
        <v>4582</v>
      </c>
      <c r="CK42" s="486">
        <v>5352</v>
      </c>
      <c r="CL42" s="486">
        <v>6623</v>
      </c>
      <c r="CM42" s="486">
        <v>8045</v>
      </c>
      <c r="CN42" s="486">
        <v>9444</v>
      </c>
      <c r="CO42" s="486">
        <v>10431</v>
      </c>
      <c r="CP42" s="486">
        <v>11018</v>
      </c>
      <c r="CQ42" s="486">
        <v>11957</v>
      </c>
      <c r="CR42" s="486">
        <v>13917</v>
      </c>
      <c r="CS42" s="486">
        <v>16485</v>
      </c>
      <c r="CT42" s="486">
        <v>19006</v>
      </c>
      <c r="CU42" s="486">
        <v>21092</v>
      </c>
      <c r="CV42" s="486">
        <v>22726</v>
      </c>
      <c r="CW42" s="486">
        <v>23782</v>
      </c>
      <c r="CX42" s="486">
        <v>24700</v>
      </c>
      <c r="CY42" s="486">
        <v>25927</v>
      </c>
      <c r="CZ42" s="486">
        <v>27930</v>
      </c>
      <c r="DA42" s="486">
        <v>31306</v>
      </c>
      <c r="DB42" s="486">
        <v>31936</v>
      </c>
      <c r="DC42" s="486">
        <v>33330</v>
      </c>
      <c r="DD42" s="486">
        <v>34026</v>
      </c>
      <c r="DE42" s="728">
        <v>35227</v>
      </c>
      <c r="DF42" s="483"/>
    </row>
    <row r="43" spans="2:110" x14ac:dyDescent="0.35">
      <c r="B43" s="484" t="s">
        <v>313</v>
      </c>
      <c r="C43" s="485" t="s">
        <v>393</v>
      </c>
      <c r="D43" s="486"/>
      <c r="E43" s="486"/>
      <c r="F43" s="486"/>
      <c r="G43" s="486"/>
      <c r="H43" s="486">
        <v>332</v>
      </c>
      <c r="I43" s="486">
        <v>1260</v>
      </c>
      <c r="J43" s="486">
        <v>3548</v>
      </c>
      <c r="K43" s="486"/>
      <c r="L43" s="486">
        <v>3744</v>
      </c>
      <c r="M43" s="486">
        <v>3870</v>
      </c>
      <c r="N43" s="486">
        <v>4095</v>
      </c>
      <c r="O43" s="486">
        <v>4368</v>
      </c>
      <c r="P43" s="486">
        <v>4560</v>
      </c>
      <c r="Q43" s="486">
        <v>4758</v>
      </c>
      <c r="R43" s="486">
        <v>5020</v>
      </c>
      <c r="S43" s="486">
        <v>5291</v>
      </c>
      <c r="T43" s="486">
        <v>5465</v>
      </c>
      <c r="U43" s="486">
        <v>6124</v>
      </c>
      <c r="V43" s="486">
        <v>6350</v>
      </c>
      <c r="W43" s="486">
        <v>6557</v>
      </c>
      <c r="X43" s="486">
        <v>6832</v>
      </c>
      <c r="Y43" s="486">
        <v>7203</v>
      </c>
      <c r="Z43" s="486">
        <v>7479</v>
      </c>
      <c r="AA43" s="486">
        <v>7787</v>
      </c>
      <c r="AB43" s="486">
        <v>8148</v>
      </c>
      <c r="AC43" s="486">
        <v>8444</v>
      </c>
      <c r="AD43" s="486">
        <v>8622</v>
      </c>
      <c r="AE43" s="486">
        <v>8917</v>
      </c>
      <c r="AF43" s="486">
        <v>9266</v>
      </c>
      <c r="AG43" s="486">
        <v>9405</v>
      </c>
      <c r="AH43" s="486">
        <v>9616</v>
      </c>
      <c r="AI43" s="486">
        <v>9442</v>
      </c>
      <c r="AJ43" s="486">
        <v>9706</v>
      </c>
      <c r="AK43" s="486">
        <v>10017</v>
      </c>
      <c r="AL43" s="486">
        <v>10271</v>
      </c>
      <c r="AM43" s="486">
        <v>10175</v>
      </c>
      <c r="AN43" s="486">
        <v>10278</v>
      </c>
      <c r="AO43" s="486">
        <v>10464</v>
      </c>
      <c r="AP43" s="486">
        <v>10605</v>
      </c>
      <c r="AQ43" s="486">
        <v>10884</v>
      </c>
      <c r="AR43" s="486">
        <v>11125</v>
      </c>
      <c r="AS43" s="486">
        <v>11349</v>
      </c>
      <c r="AT43" s="486">
        <v>11707</v>
      </c>
      <c r="AU43" s="486">
        <v>11946</v>
      </c>
      <c r="AV43" s="486">
        <v>12035</v>
      </c>
      <c r="AW43" s="486">
        <v>12276</v>
      </c>
      <c r="AX43" s="486">
        <v>12576</v>
      </c>
      <c r="AY43" s="486">
        <v>12683</v>
      </c>
      <c r="AZ43" s="486">
        <v>12865</v>
      </c>
      <c r="BA43" s="486">
        <v>13057</v>
      </c>
      <c r="BB43" s="486">
        <v>13229</v>
      </c>
      <c r="BC43" s="486">
        <v>13262</v>
      </c>
      <c r="BD43" s="486">
        <v>13369</v>
      </c>
      <c r="BE43" s="486">
        <v>13550</v>
      </c>
      <c r="BF43" s="486">
        <v>13718</v>
      </c>
      <c r="BG43" s="486">
        <v>12796</v>
      </c>
      <c r="BH43" s="486">
        <v>12972</v>
      </c>
      <c r="BI43" s="486">
        <v>13259</v>
      </c>
      <c r="BJ43" s="486">
        <v>13516</v>
      </c>
      <c r="BK43" s="486">
        <v>13714</v>
      </c>
      <c r="BL43" s="486">
        <v>13933</v>
      </c>
      <c r="BM43" s="486">
        <v>14236</v>
      </c>
      <c r="BN43" s="486">
        <v>14446</v>
      </c>
      <c r="BO43" s="486">
        <v>14719</v>
      </c>
      <c r="BP43" s="486">
        <v>14984</v>
      </c>
      <c r="BQ43" s="486">
        <v>15302</v>
      </c>
      <c r="BR43" s="486">
        <v>15542</v>
      </c>
      <c r="BS43" s="486">
        <v>15928</v>
      </c>
      <c r="BT43" s="486">
        <v>16265</v>
      </c>
      <c r="BU43" s="486">
        <v>16609</v>
      </c>
      <c r="BV43" s="486">
        <v>17116</v>
      </c>
      <c r="BW43" s="486">
        <v>17173</v>
      </c>
      <c r="BX43" s="486">
        <v>17471</v>
      </c>
      <c r="BY43" s="486">
        <v>17774</v>
      </c>
      <c r="BZ43" s="486">
        <v>18239</v>
      </c>
      <c r="CA43" s="486">
        <v>18462</v>
      </c>
      <c r="CB43" s="486">
        <v>15985</v>
      </c>
      <c r="CC43" s="486">
        <v>17162</v>
      </c>
      <c r="CD43" s="486">
        <v>17322</v>
      </c>
      <c r="CE43" s="486">
        <v>17549</v>
      </c>
      <c r="CF43" s="486">
        <v>18054</v>
      </c>
      <c r="CG43" s="486">
        <v>18253</v>
      </c>
      <c r="CH43" s="486">
        <v>18482</v>
      </c>
      <c r="CI43" s="486">
        <v>19097</v>
      </c>
      <c r="CJ43" s="486">
        <v>19381</v>
      </c>
      <c r="CK43" s="486">
        <v>19978</v>
      </c>
      <c r="CL43" s="486">
        <v>20341</v>
      </c>
      <c r="CM43" s="486">
        <v>20542</v>
      </c>
      <c r="CN43" s="486">
        <v>20769</v>
      </c>
      <c r="CO43" s="486">
        <v>21138</v>
      </c>
      <c r="CP43" s="486">
        <v>21318</v>
      </c>
      <c r="CQ43" s="486">
        <v>21601</v>
      </c>
      <c r="CR43" s="486">
        <v>21965</v>
      </c>
      <c r="CS43" s="486">
        <v>22223</v>
      </c>
      <c r="CT43" s="486">
        <v>22605</v>
      </c>
      <c r="CU43" s="486">
        <v>22917</v>
      </c>
      <c r="CV43" s="486">
        <v>22940</v>
      </c>
      <c r="CW43" s="486">
        <v>23063</v>
      </c>
      <c r="CX43" s="486">
        <v>23230</v>
      </c>
      <c r="CY43" s="486">
        <v>23273</v>
      </c>
      <c r="CZ43" s="486">
        <v>23271</v>
      </c>
      <c r="DA43" s="486">
        <v>23333</v>
      </c>
      <c r="DB43" s="486">
        <v>23393</v>
      </c>
      <c r="DC43" s="486">
        <v>23522</v>
      </c>
      <c r="DD43" s="486">
        <v>23588</v>
      </c>
      <c r="DE43" s="728">
        <v>23693</v>
      </c>
      <c r="DF43" s="483"/>
    </row>
    <row r="44" spans="2:110" x14ac:dyDescent="0.35">
      <c r="B44" s="484" t="s">
        <v>394</v>
      </c>
      <c r="C44" s="485" t="s">
        <v>395</v>
      </c>
      <c r="D44" s="486"/>
      <c r="E44" s="486"/>
      <c r="F44" s="486"/>
      <c r="G44" s="486"/>
      <c r="H44" s="486">
        <v>3</v>
      </c>
      <c r="I44" s="486">
        <v>623</v>
      </c>
      <c r="J44" s="486">
        <v>6611</v>
      </c>
      <c r="K44" s="486"/>
      <c r="L44" s="486">
        <v>7140</v>
      </c>
      <c r="M44" s="486">
        <v>7570</v>
      </c>
      <c r="N44" s="486">
        <v>8014</v>
      </c>
      <c r="O44" s="486">
        <v>8903</v>
      </c>
      <c r="P44" s="486">
        <v>9430</v>
      </c>
      <c r="Q44" s="486">
        <v>9706</v>
      </c>
      <c r="R44" s="486">
        <v>10078</v>
      </c>
      <c r="S44" s="486">
        <v>10436</v>
      </c>
      <c r="T44" s="486">
        <v>10725</v>
      </c>
      <c r="U44" s="486">
        <v>10835</v>
      </c>
      <c r="V44" s="486">
        <v>10915</v>
      </c>
      <c r="W44" s="486">
        <v>11875</v>
      </c>
      <c r="X44" s="486">
        <v>12031</v>
      </c>
      <c r="Y44" s="486">
        <v>12266</v>
      </c>
      <c r="Z44" s="486">
        <v>12518</v>
      </c>
      <c r="AA44" s="486">
        <v>12623</v>
      </c>
      <c r="AB44" s="486">
        <v>12405</v>
      </c>
      <c r="AC44" s="486">
        <v>12630</v>
      </c>
      <c r="AD44" s="486">
        <v>12785</v>
      </c>
      <c r="AE44" s="486">
        <v>12917</v>
      </c>
      <c r="AF44" s="486">
        <v>12936</v>
      </c>
      <c r="AG44" s="486">
        <v>13008</v>
      </c>
      <c r="AH44" s="486">
        <v>13326</v>
      </c>
      <c r="AI44" s="486">
        <v>13926</v>
      </c>
      <c r="AJ44" s="486">
        <v>15067</v>
      </c>
      <c r="AK44" s="486">
        <v>16683</v>
      </c>
      <c r="AL44" s="486">
        <v>17047</v>
      </c>
      <c r="AM44" s="486">
        <v>17286</v>
      </c>
      <c r="AN44" s="486">
        <v>17512</v>
      </c>
      <c r="AO44" s="486">
        <v>17601</v>
      </c>
      <c r="AP44" s="486">
        <v>17674</v>
      </c>
      <c r="AQ44" s="486">
        <v>17694</v>
      </c>
      <c r="AR44" s="486">
        <v>17809</v>
      </c>
      <c r="AS44" s="486">
        <v>17894</v>
      </c>
      <c r="AT44" s="486">
        <v>17975</v>
      </c>
      <c r="AU44" s="486">
        <v>17987</v>
      </c>
      <c r="AV44" s="486">
        <v>17807</v>
      </c>
      <c r="AW44" s="486">
        <v>17589</v>
      </c>
      <c r="AX44" s="486">
        <v>17590</v>
      </c>
      <c r="AY44" s="486">
        <v>17748</v>
      </c>
      <c r="AZ44" s="486">
        <v>17966</v>
      </c>
      <c r="BA44" s="486">
        <v>18213</v>
      </c>
      <c r="BB44" s="486">
        <v>18487</v>
      </c>
      <c r="BC44" s="486">
        <v>18692</v>
      </c>
      <c r="BD44" s="486">
        <v>18886</v>
      </c>
      <c r="BE44" s="486">
        <v>19062</v>
      </c>
      <c r="BF44" s="486">
        <v>19360</v>
      </c>
      <c r="BG44" s="486">
        <v>19749</v>
      </c>
      <c r="BH44" s="486">
        <v>19915</v>
      </c>
      <c r="BI44" s="486">
        <v>19832</v>
      </c>
      <c r="BJ44" s="486">
        <v>19897</v>
      </c>
      <c r="BK44" s="486">
        <v>18490</v>
      </c>
      <c r="BL44" s="486">
        <v>18569</v>
      </c>
      <c r="BM44" s="486">
        <v>18881</v>
      </c>
      <c r="BN44" s="486">
        <v>19040</v>
      </c>
      <c r="BO44" s="486">
        <v>19155</v>
      </c>
      <c r="BP44" s="486">
        <v>19354</v>
      </c>
      <c r="BQ44" s="486">
        <v>19584</v>
      </c>
      <c r="BR44" s="486">
        <v>19517</v>
      </c>
      <c r="BS44" s="486">
        <v>19891</v>
      </c>
      <c r="BT44" s="486">
        <v>20057</v>
      </c>
      <c r="BU44" s="486">
        <v>20226</v>
      </c>
      <c r="BV44" s="486">
        <v>20473</v>
      </c>
      <c r="BW44" s="486">
        <v>20747</v>
      </c>
      <c r="BX44" s="486">
        <v>20904</v>
      </c>
      <c r="BY44" s="486">
        <v>21034</v>
      </c>
      <c r="BZ44" s="486">
        <v>21252</v>
      </c>
      <c r="CA44" s="486">
        <v>21207</v>
      </c>
      <c r="CB44" s="486">
        <v>21356</v>
      </c>
      <c r="CC44" s="486">
        <v>21522</v>
      </c>
      <c r="CD44" s="486">
        <v>21617</v>
      </c>
      <c r="CE44" s="486">
        <v>21776</v>
      </c>
      <c r="CF44" s="486">
        <v>21824</v>
      </c>
      <c r="CG44" s="486">
        <v>21850</v>
      </c>
      <c r="CH44" s="486">
        <v>21939</v>
      </c>
      <c r="CI44" s="486">
        <v>22060</v>
      </c>
      <c r="CJ44" s="486">
        <v>22099</v>
      </c>
      <c r="CK44" s="486">
        <v>22152</v>
      </c>
      <c r="CL44" s="486">
        <v>22222</v>
      </c>
      <c r="CM44" s="486">
        <v>22245</v>
      </c>
      <c r="CN44" s="486">
        <v>22238</v>
      </c>
      <c r="CO44" s="486">
        <v>22299</v>
      </c>
      <c r="CP44" s="486">
        <v>22358</v>
      </c>
      <c r="CQ44" s="486">
        <v>22455</v>
      </c>
      <c r="CR44" s="486">
        <v>22491</v>
      </c>
      <c r="CS44" s="486">
        <v>22482</v>
      </c>
      <c r="CT44" s="486">
        <v>22517</v>
      </c>
      <c r="CU44" s="486">
        <v>22530</v>
      </c>
      <c r="CV44" s="486">
        <v>22560</v>
      </c>
      <c r="CW44" s="486">
        <v>22542</v>
      </c>
      <c r="CX44" s="486">
        <v>22514</v>
      </c>
      <c r="CY44" s="486">
        <v>22466</v>
      </c>
      <c r="CZ44" s="486">
        <v>22480</v>
      </c>
      <c r="DA44" s="486">
        <v>22509</v>
      </c>
      <c r="DB44" s="486">
        <v>22519</v>
      </c>
      <c r="DC44" s="486">
        <v>22538</v>
      </c>
      <c r="DD44" s="486">
        <v>22480</v>
      </c>
      <c r="DE44" s="728">
        <v>22424</v>
      </c>
      <c r="DF44" s="483"/>
    </row>
    <row r="45" spans="2:110" x14ac:dyDescent="0.35">
      <c r="B45" s="484" t="s">
        <v>396</v>
      </c>
      <c r="C45" s="485" t="s">
        <v>397</v>
      </c>
      <c r="D45" s="488"/>
      <c r="E45" s="488"/>
      <c r="F45" s="486"/>
      <c r="G45" s="486"/>
      <c r="H45" s="486"/>
      <c r="I45" s="486">
        <v>496</v>
      </c>
      <c r="J45" s="486">
        <v>2494</v>
      </c>
      <c r="K45" s="486"/>
      <c r="L45" s="486">
        <v>2778</v>
      </c>
      <c r="M45" s="486">
        <v>3629</v>
      </c>
      <c r="N45" s="486">
        <v>4106</v>
      </c>
      <c r="O45" s="486">
        <v>4484</v>
      </c>
      <c r="P45" s="486">
        <v>4830</v>
      </c>
      <c r="Q45" s="486">
        <v>4929</v>
      </c>
      <c r="R45" s="486">
        <v>5146</v>
      </c>
      <c r="S45" s="486">
        <v>6116</v>
      </c>
      <c r="T45" s="486">
        <v>6177</v>
      </c>
      <c r="U45" s="486">
        <v>5417</v>
      </c>
      <c r="V45" s="486">
        <v>5457</v>
      </c>
      <c r="W45" s="486">
        <v>5071</v>
      </c>
      <c r="X45" s="486">
        <v>5080</v>
      </c>
      <c r="Y45" s="486">
        <v>6260</v>
      </c>
      <c r="Z45" s="486">
        <v>5750</v>
      </c>
      <c r="AA45" s="486">
        <v>5865</v>
      </c>
      <c r="AB45" s="486">
        <v>6807</v>
      </c>
      <c r="AC45" s="486">
        <v>7142</v>
      </c>
      <c r="AD45" s="486">
        <v>7185</v>
      </c>
      <c r="AE45" s="486">
        <v>7232</v>
      </c>
      <c r="AF45" s="486">
        <v>7156</v>
      </c>
      <c r="AG45" s="486">
        <v>7013</v>
      </c>
      <c r="AH45" s="486">
        <v>7631</v>
      </c>
      <c r="AI45" s="486">
        <v>7470</v>
      </c>
      <c r="AJ45" s="486">
        <v>7235</v>
      </c>
      <c r="AK45" s="486">
        <v>7244</v>
      </c>
      <c r="AL45" s="486">
        <v>7290</v>
      </c>
      <c r="AM45" s="486">
        <v>6753</v>
      </c>
      <c r="AN45" s="486">
        <v>6836</v>
      </c>
      <c r="AO45" s="486">
        <v>6856</v>
      </c>
      <c r="AP45" s="486">
        <v>6019</v>
      </c>
      <c r="AQ45" s="486">
        <v>6091</v>
      </c>
      <c r="AR45" s="486">
        <v>6124</v>
      </c>
      <c r="AS45" s="486">
        <v>6190</v>
      </c>
      <c r="AT45" s="486">
        <v>6131</v>
      </c>
      <c r="AU45" s="486">
        <v>5206</v>
      </c>
      <c r="AV45" s="486">
        <v>5132</v>
      </c>
      <c r="AW45" s="486">
        <v>5120</v>
      </c>
      <c r="AX45" s="486">
        <v>5135</v>
      </c>
      <c r="AY45" s="486">
        <v>5435</v>
      </c>
      <c r="AZ45" s="486">
        <v>5772</v>
      </c>
      <c r="BA45" s="486">
        <v>5931</v>
      </c>
      <c r="BB45" s="486">
        <v>5948</v>
      </c>
      <c r="BC45" s="486">
        <v>5964</v>
      </c>
      <c r="BD45" s="486">
        <v>6021</v>
      </c>
      <c r="BE45" s="486">
        <v>6015</v>
      </c>
      <c r="BF45" s="486">
        <v>5903</v>
      </c>
      <c r="BG45" s="486">
        <v>5867</v>
      </c>
      <c r="BH45" s="486">
        <v>5926</v>
      </c>
      <c r="BI45" s="486">
        <v>6014</v>
      </c>
      <c r="BJ45" s="486">
        <v>5940</v>
      </c>
      <c r="BK45" s="486">
        <v>6440</v>
      </c>
      <c r="BL45" s="486">
        <v>6655</v>
      </c>
      <c r="BM45" s="486">
        <v>6671</v>
      </c>
      <c r="BN45" s="486">
        <v>6579</v>
      </c>
      <c r="BO45" s="486">
        <v>6572</v>
      </c>
      <c r="BP45" s="486">
        <v>6576</v>
      </c>
      <c r="BQ45" s="486">
        <v>4915</v>
      </c>
      <c r="BR45" s="486">
        <v>4169</v>
      </c>
      <c r="BS45" s="486">
        <v>3815</v>
      </c>
      <c r="BT45" s="486">
        <v>4030</v>
      </c>
      <c r="BU45" s="486">
        <v>3921</v>
      </c>
      <c r="BV45" s="486">
        <v>3819</v>
      </c>
      <c r="BW45" s="486">
        <v>3870</v>
      </c>
      <c r="BX45" s="486">
        <v>3053</v>
      </c>
      <c r="BY45" s="486">
        <v>3109</v>
      </c>
      <c r="BZ45" s="486">
        <v>3107</v>
      </c>
      <c r="CA45" s="486">
        <v>3111</v>
      </c>
      <c r="CB45" s="486">
        <v>3112</v>
      </c>
      <c r="CC45" s="486">
        <v>3146</v>
      </c>
      <c r="CD45" s="486">
        <v>2603</v>
      </c>
      <c r="CE45" s="486">
        <v>2646</v>
      </c>
      <c r="CF45" s="486">
        <v>2680</v>
      </c>
      <c r="CG45" s="486">
        <v>2699</v>
      </c>
      <c r="CH45" s="486">
        <v>3417</v>
      </c>
      <c r="CI45" s="486">
        <v>2972</v>
      </c>
      <c r="CJ45" s="486">
        <v>2978</v>
      </c>
      <c r="CK45" s="486">
        <v>2632</v>
      </c>
      <c r="CL45" s="486">
        <v>2637</v>
      </c>
      <c r="CM45" s="486">
        <v>2643</v>
      </c>
      <c r="CN45" s="486">
        <v>2649</v>
      </c>
      <c r="CO45" s="486">
        <v>2662</v>
      </c>
      <c r="CP45" s="486">
        <v>2683</v>
      </c>
      <c r="CQ45" s="486">
        <v>2691</v>
      </c>
      <c r="CR45" s="486">
        <v>2567</v>
      </c>
      <c r="CS45" s="486">
        <v>2335</v>
      </c>
      <c r="CT45" s="486">
        <v>2367</v>
      </c>
      <c r="CU45" s="486">
        <v>2374</v>
      </c>
      <c r="CV45" s="486">
        <v>2372</v>
      </c>
      <c r="CW45" s="486">
        <v>2330</v>
      </c>
      <c r="CX45" s="486">
        <v>2336</v>
      </c>
      <c r="CY45" s="486">
        <v>2302</v>
      </c>
      <c r="CZ45" s="486">
        <v>2058</v>
      </c>
      <c r="DA45" s="486">
        <v>2067</v>
      </c>
      <c r="DB45" s="486">
        <v>2083</v>
      </c>
      <c r="DC45" s="486">
        <v>2083</v>
      </c>
      <c r="DD45" s="486">
        <v>2087</v>
      </c>
      <c r="DE45" s="728">
        <v>1965</v>
      </c>
      <c r="DF45" s="483"/>
    </row>
    <row r="46" spans="2:110" x14ac:dyDescent="0.35">
      <c r="B46" s="484" t="s">
        <v>398</v>
      </c>
      <c r="C46" s="485" t="s">
        <v>399</v>
      </c>
      <c r="D46" s="488"/>
      <c r="E46" s="488"/>
      <c r="F46" s="486"/>
      <c r="G46" s="486"/>
      <c r="H46" s="486"/>
      <c r="I46" s="486">
        <v>1920</v>
      </c>
      <c r="J46" s="486">
        <v>2478</v>
      </c>
      <c r="K46" s="486"/>
      <c r="L46" s="486">
        <v>2544</v>
      </c>
      <c r="M46" s="486">
        <v>2780</v>
      </c>
      <c r="N46" s="486">
        <v>2919</v>
      </c>
      <c r="O46" s="486">
        <v>3252</v>
      </c>
      <c r="P46" s="486">
        <v>3397</v>
      </c>
      <c r="Q46" s="486">
        <v>3260</v>
      </c>
      <c r="R46" s="486">
        <v>3350</v>
      </c>
      <c r="S46" s="486">
        <v>3424</v>
      </c>
      <c r="T46" s="486">
        <v>3556</v>
      </c>
      <c r="U46" s="486">
        <v>3534</v>
      </c>
      <c r="V46" s="486">
        <v>4150</v>
      </c>
      <c r="W46" s="486">
        <v>4475</v>
      </c>
      <c r="X46" s="486">
        <v>4494</v>
      </c>
      <c r="Y46" s="486">
        <v>4496</v>
      </c>
      <c r="Z46" s="486">
        <v>4349</v>
      </c>
      <c r="AA46" s="486">
        <v>4414</v>
      </c>
      <c r="AB46" s="486">
        <v>393.96249699999998</v>
      </c>
      <c r="AC46" s="486">
        <v>5911</v>
      </c>
      <c r="AD46" s="486">
        <v>6097</v>
      </c>
      <c r="AE46" s="486">
        <v>8507</v>
      </c>
      <c r="AF46" s="486">
        <v>8487</v>
      </c>
      <c r="AG46" s="486">
        <v>8696</v>
      </c>
      <c r="AH46" s="486">
        <v>9929</v>
      </c>
      <c r="AI46" s="486">
        <v>10124</v>
      </c>
      <c r="AJ46" s="486">
        <v>10219</v>
      </c>
      <c r="AK46" s="486">
        <v>10304</v>
      </c>
      <c r="AL46" s="486">
        <v>10307</v>
      </c>
      <c r="AM46" s="486">
        <v>10678</v>
      </c>
      <c r="AN46" s="486">
        <v>10752</v>
      </c>
      <c r="AO46" s="486">
        <v>11599</v>
      </c>
      <c r="AP46" s="486">
        <v>12156</v>
      </c>
      <c r="AQ46" s="486">
        <v>12604</v>
      </c>
      <c r="AR46" s="486">
        <v>12655</v>
      </c>
      <c r="AS46" s="486">
        <v>12995</v>
      </c>
      <c r="AT46" s="486">
        <v>13482</v>
      </c>
      <c r="AU46" s="486">
        <v>13626</v>
      </c>
      <c r="AV46" s="486">
        <v>13643</v>
      </c>
      <c r="AW46" s="486">
        <v>13753</v>
      </c>
      <c r="AX46" s="486">
        <v>14207</v>
      </c>
      <c r="AY46" s="486">
        <v>14237</v>
      </c>
      <c r="AZ46" s="486">
        <v>14480</v>
      </c>
      <c r="BA46" s="486">
        <v>14768</v>
      </c>
      <c r="BB46" s="486">
        <v>15355</v>
      </c>
      <c r="BC46" s="486">
        <v>15363</v>
      </c>
      <c r="BD46" s="486">
        <v>15182</v>
      </c>
      <c r="BE46" s="486">
        <v>15417</v>
      </c>
      <c r="BF46" s="486">
        <v>15454</v>
      </c>
      <c r="BG46" s="486">
        <v>15422</v>
      </c>
      <c r="BH46" s="486">
        <v>15568</v>
      </c>
      <c r="BI46" s="486">
        <v>15712</v>
      </c>
      <c r="BJ46" s="486">
        <v>15872</v>
      </c>
      <c r="BK46" s="486">
        <v>16460</v>
      </c>
      <c r="BL46" s="486">
        <v>17588</v>
      </c>
      <c r="BM46" s="486">
        <v>18357</v>
      </c>
      <c r="BN46" s="486">
        <v>19023</v>
      </c>
      <c r="BO46" s="486">
        <v>20223</v>
      </c>
      <c r="BP46" s="486">
        <v>21109</v>
      </c>
      <c r="BQ46" s="486">
        <v>21567</v>
      </c>
      <c r="BR46" s="486">
        <v>21991</v>
      </c>
      <c r="BS46" s="486">
        <v>20220</v>
      </c>
      <c r="BT46" s="486">
        <v>20482</v>
      </c>
      <c r="BU46" s="486">
        <v>20943</v>
      </c>
      <c r="BV46" s="486">
        <v>21238</v>
      </c>
      <c r="BW46" s="486">
        <v>21584</v>
      </c>
      <c r="BX46" s="486">
        <v>20445</v>
      </c>
      <c r="BY46" s="486">
        <v>21188</v>
      </c>
      <c r="BZ46" s="486">
        <v>17894</v>
      </c>
      <c r="CA46" s="486">
        <v>18460</v>
      </c>
      <c r="CB46" s="486">
        <v>18758</v>
      </c>
      <c r="CC46" s="486">
        <v>19148</v>
      </c>
      <c r="CD46" s="486">
        <v>19570</v>
      </c>
      <c r="CE46" s="486">
        <v>19977</v>
      </c>
      <c r="CF46" s="486">
        <v>20328</v>
      </c>
      <c r="CG46" s="486">
        <v>20798</v>
      </c>
      <c r="CH46" s="486">
        <v>21265</v>
      </c>
      <c r="CI46" s="486">
        <v>24099</v>
      </c>
      <c r="CJ46" s="486">
        <v>23674</v>
      </c>
      <c r="CK46" s="486">
        <v>22573</v>
      </c>
      <c r="CL46" s="486">
        <v>21052</v>
      </c>
      <c r="CM46" s="486">
        <v>20492</v>
      </c>
      <c r="CN46" s="486">
        <v>20528</v>
      </c>
      <c r="CO46" s="486">
        <v>20501</v>
      </c>
      <c r="CP46" s="486">
        <v>20114</v>
      </c>
      <c r="CQ46" s="486">
        <v>20255</v>
      </c>
      <c r="CR46" s="486">
        <v>20428</v>
      </c>
      <c r="CS46" s="486">
        <v>20452</v>
      </c>
      <c r="CT46" s="486">
        <v>20359</v>
      </c>
      <c r="CU46" s="486">
        <v>20680</v>
      </c>
      <c r="CV46" s="486">
        <v>20899</v>
      </c>
      <c r="CW46" s="486">
        <v>20976</v>
      </c>
      <c r="CX46" s="486">
        <v>20904</v>
      </c>
      <c r="CY46" s="486">
        <v>20881</v>
      </c>
      <c r="CZ46" s="486">
        <v>20960</v>
      </c>
      <c r="DA46" s="486">
        <v>20957</v>
      </c>
      <c r="DB46" s="486">
        <v>20919</v>
      </c>
      <c r="DC46" s="486">
        <v>20764</v>
      </c>
      <c r="DD46" s="486">
        <v>20733</v>
      </c>
      <c r="DE46" s="728">
        <v>20615</v>
      </c>
      <c r="DF46" s="483"/>
    </row>
    <row r="47" spans="2:110" x14ac:dyDescent="0.35">
      <c r="B47" s="484" t="s">
        <v>400</v>
      </c>
      <c r="C47" s="484" t="s">
        <v>401</v>
      </c>
      <c r="D47" s="486"/>
      <c r="E47" s="486"/>
      <c r="F47" s="486"/>
      <c r="G47" s="486"/>
      <c r="H47" s="486"/>
      <c r="I47" s="486"/>
      <c r="J47" s="486">
        <v>912</v>
      </c>
      <c r="K47" s="486"/>
      <c r="L47" s="486">
        <v>1508</v>
      </c>
      <c r="M47" s="486">
        <v>2456</v>
      </c>
      <c r="N47" s="486">
        <v>1349</v>
      </c>
      <c r="O47" s="486">
        <v>991</v>
      </c>
      <c r="P47" s="486">
        <v>930</v>
      </c>
      <c r="Q47" s="486">
        <v>897</v>
      </c>
      <c r="R47" s="486">
        <v>797</v>
      </c>
      <c r="S47" s="486">
        <v>877</v>
      </c>
      <c r="T47" s="486"/>
      <c r="U47" s="486"/>
      <c r="V47" s="486">
        <v>1276</v>
      </c>
      <c r="W47" s="486">
        <v>195</v>
      </c>
      <c r="X47" s="486"/>
      <c r="Y47" s="486"/>
      <c r="Z47" s="486">
        <v>1542</v>
      </c>
      <c r="AA47" s="486">
        <v>1921</v>
      </c>
      <c r="AB47" s="486">
        <v>2665</v>
      </c>
      <c r="AC47" s="486">
        <v>3547</v>
      </c>
      <c r="AD47" s="486">
        <v>4587</v>
      </c>
      <c r="AE47" s="486">
        <v>2539</v>
      </c>
      <c r="AF47" s="486">
        <v>2855</v>
      </c>
      <c r="AG47" s="486">
        <v>0</v>
      </c>
      <c r="AH47" s="486"/>
      <c r="AI47" s="486"/>
      <c r="AJ47" s="486"/>
      <c r="AK47" s="486">
        <v>1201</v>
      </c>
      <c r="AL47" s="486">
        <v>1596</v>
      </c>
      <c r="AM47" s="486"/>
      <c r="AN47" s="486"/>
      <c r="AO47" s="486">
        <v>1206</v>
      </c>
      <c r="AP47" s="486">
        <v>1994</v>
      </c>
      <c r="AQ47" s="486">
        <v>2696</v>
      </c>
      <c r="AR47" s="486">
        <v>3738</v>
      </c>
      <c r="AS47" s="486">
        <v>1931</v>
      </c>
      <c r="AT47" s="486">
        <v>1840</v>
      </c>
      <c r="AU47" s="486"/>
      <c r="AV47" s="486">
        <v>1009</v>
      </c>
      <c r="AZ47" s="486">
        <v>1032</v>
      </c>
      <c r="BA47" s="486">
        <v>1408</v>
      </c>
      <c r="BB47" s="486">
        <v>1403</v>
      </c>
      <c r="BC47" s="486"/>
      <c r="BD47" s="486">
        <v>1118</v>
      </c>
      <c r="BE47" s="483"/>
      <c r="BF47" s="483"/>
      <c r="BG47" s="486">
        <v>1186</v>
      </c>
      <c r="BH47" s="486">
        <v>1188</v>
      </c>
      <c r="BI47" s="486">
        <v>2008</v>
      </c>
      <c r="BJ47" s="486">
        <v>1376</v>
      </c>
      <c r="BK47" s="486">
        <v>4</v>
      </c>
      <c r="BL47" s="486">
        <v>1076</v>
      </c>
      <c r="BM47" s="486">
        <v>1723</v>
      </c>
      <c r="BN47" s="486">
        <v>3266</v>
      </c>
      <c r="BO47" s="486">
        <v>1353</v>
      </c>
      <c r="BP47" s="486">
        <v>1829</v>
      </c>
      <c r="BQ47" s="486">
        <v>2231</v>
      </c>
      <c r="BR47" s="486">
        <v>1352</v>
      </c>
      <c r="BS47" s="486">
        <v>1405</v>
      </c>
      <c r="BT47" s="486">
        <v>1040</v>
      </c>
      <c r="BU47" s="486">
        <v>1238</v>
      </c>
      <c r="BV47" s="486">
        <v>1029</v>
      </c>
      <c r="BW47" s="486">
        <v>1160</v>
      </c>
      <c r="BX47" s="486">
        <v>1584</v>
      </c>
      <c r="BY47" s="486">
        <v>842</v>
      </c>
      <c r="BZ47" s="486">
        <v>234</v>
      </c>
      <c r="CA47" s="486">
        <v>552</v>
      </c>
      <c r="CB47" s="486">
        <v>1418</v>
      </c>
      <c r="CC47" s="486">
        <v>1406</v>
      </c>
      <c r="CD47" s="486">
        <v>2226</v>
      </c>
      <c r="CE47" s="486">
        <v>1072</v>
      </c>
      <c r="CF47" s="486">
        <v>717</v>
      </c>
      <c r="CG47" s="486">
        <v>1020</v>
      </c>
      <c r="CH47" s="486">
        <v>2955</v>
      </c>
      <c r="CI47" s="486">
        <v>1335</v>
      </c>
      <c r="CJ47" s="486">
        <v>637</v>
      </c>
      <c r="CK47" s="486">
        <v>1108</v>
      </c>
      <c r="CL47" s="486">
        <v>757</v>
      </c>
      <c r="CM47" s="486">
        <v>773</v>
      </c>
      <c r="CN47" s="486">
        <v>918</v>
      </c>
      <c r="CO47" s="486">
        <v>861</v>
      </c>
      <c r="CP47" s="486">
        <v>765</v>
      </c>
      <c r="CQ47" s="486">
        <v>289</v>
      </c>
      <c r="CR47" s="486">
        <v>585</v>
      </c>
      <c r="CS47" s="486">
        <v>250</v>
      </c>
      <c r="CT47" s="486">
        <v>145</v>
      </c>
      <c r="CU47" s="486">
        <v>147</v>
      </c>
      <c r="CV47" s="486">
        <v>157</v>
      </c>
      <c r="CW47" s="486">
        <v>5</v>
      </c>
      <c r="CX47" s="486">
        <v>31</v>
      </c>
      <c r="CY47" s="486">
        <v>93</v>
      </c>
      <c r="CZ47" s="486">
        <v>22</v>
      </c>
      <c r="DA47" s="486">
        <v>50</v>
      </c>
      <c r="DB47" s="486">
        <v>56</v>
      </c>
      <c r="DC47" s="486">
        <v>55</v>
      </c>
      <c r="DD47" s="486">
        <v>7</v>
      </c>
      <c r="DE47" s="728">
        <v>3</v>
      </c>
      <c r="DF47" s="483"/>
    </row>
    <row r="48" spans="2:110" x14ac:dyDescent="0.35">
      <c r="B48" s="484" t="s">
        <v>314</v>
      </c>
      <c r="C48" s="485" t="s">
        <v>402</v>
      </c>
      <c r="D48" s="488"/>
      <c r="E48" s="488"/>
      <c r="F48" s="486"/>
      <c r="G48" s="486"/>
      <c r="H48" s="486">
        <v>1475</v>
      </c>
      <c r="I48" s="486">
        <v>5451</v>
      </c>
      <c r="J48" s="486">
        <v>11199</v>
      </c>
      <c r="K48" s="486"/>
      <c r="L48" s="486">
        <v>11588</v>
      </c>
      <c r="M48" s="486">
        <v>11972</v>
      </c>
      <c r="N48" s="486">
        <v>12597</v>
      </c>
      <c r="O48" s="486">
        <v>13000</v>
      </c>
      <c r="P48" s="486">
        <v>13437</v>
      </c>
      <c r="Q48" s="486">
        <v>13835</v>
      </c>
      <c r="R48" s="486">
        <v>14441</v>
      </c>
      <c r="S48" s="486">
        <v>14850</v>
      </c>
      <c r="T48" s="486">
        <v>15013</v>
      </c>
      <c r="U48" s="486">
        <v>15388</v>
      </c>
      <c r="V48" s="486">
        <v>15733</v>
      </c>
      <c r="W48" s="486">
        <v>16157</v>
      </c>
      <c r="X48" s="486">
        <v>16413</v>
      </c>
      <c r="Y48" s="486">
        <v>16599</v>
      </c>
      <c r="Z48" s="486">
        <v>17012</v>
      </c>
      <c r="AA48" s="486">
        <v>17550</v>
      </c>
      <c r="AB48" s="486">
        <v>16942</v>
      </c>
      <c r="AC48" s="486">
        <v>17414</v>
      </c>
      <c r="AD48" s="486">
        <v>17756</v>
      </c>
      <c r="AE48" s="486">
        <v>17600</v>
      </c>
      <c r="AF48" s="486">
        <v>17871</v>
      </c>
      <c r="AG48" s="486">
        <v>17904</v>
      </c>
      <c r="AH48" s="486">
        <v>18155</v>
      </c>
      <c r="AI48" s="486">
        <v>18562</v>
      </c>
      <c r="AJ48" s="486">
        <v>18866</v>
      </c>
      <c r="AK48" s="486">
        <v>18935</v>
      </c>
      <c r="AL48" s="486">
        <v>19051</v>
      </c>
      <c r="AM48" s="486">
        <v>19034</v>
      </c>
      <c r="AN48" s="486">
        <v>19211</v>
      </c>
      <c r="AO48" s="486">
        <v>19368</v>
      </c>
      <c r="AP48" s="486">
        <v>19800</v>
      </c>
      <c r="AQ48" s="486">
        <v>19955</v>
      </c>
      <c r="AR48" s="486">
        <v>20086</v>
      </c>
      <c r="AS48" s="486">
        <v>20303</v>
      </c>
      <c r="AT48" s="486">
        <v>20451</v>
      </c>
      <c r="AU48" s="486">
        <v>20726</v>
      </c>
      <c r="AV48" s="486">
        <v>20730</v>
      </c>
      <c r="AW48" s="486">
        <v>20891</v>
      </c>
      <c r="AX48" s="486">
        <v>21060</v>
      </c>
      <c r="AY48" s="486">
        <v>20730</v>
      </c>
      <c r="AZ48" s="486">
        <v>20932</v>
      </c>
      <c r="BA48" s="486">
        <v>21139</v>
      </c>
      <c r="BB48" s="486">
        <v>21433</v>
      </c>
      <c r="BC48" s="486">
        <v>21032</v>
      </c>
      <c r="BD48" s="486">
        <v>21034</v>
      </c>
      <c r="BE48" s="486">
        <v>21001</v>
      </c>
      <c r="BF48" s="486">
        <v>21079</v>
      </c>
      <c r="BG48" s="486">
        <v>21330</v>
      </c>
      <c r="BH48" s="486">
        <v>21300</v>
      </c>
      <c r="BI48" s="486">
        <v>21419</v>
      </c>
      <c r="BJ48" s="486">
        <v>21460</v>
      </c>
      <c r="BK48" s="486">
        <v>21527</v>
      </c>
      <c r="BL48" s="486">
        <v>21566</v>
      </c>
      <c r="BM48" s="486">
        <v>21544</v>
      </c>
      <c r="BN48" s="486">
        <v>21581</v>
      </c>
      <c r="BO48" s="486">
        <v>21568</v>
      </c>
      <c r="BP48" s="486">
        <v>21569</v>
      </c>
      <c r="BQ48" s="486">
        <v>21580</v>
      </c>
      <c r="BR48" s="486">
        <v>21457</v>
      </c>
      <c r="BS48" s="486">
        <v>21412</v>
      </c>
      <c r="BT48" s="486">
        <v>21311</v>
      </c>
      <c r="BU48" s="486">
        <v>21171</v>
      </c>
      <c r="BV48" s="486">
        <v>21098</v>
      </c>
      <c r="BW48" s="486">
        <v>21025</v>
      </c>
      <c r="BX48" s="486">
        <v>21000</v>
      </c>
      <c r="BY48" s="486">
        <v>20963</v>
      </c>
      <c r="BZ48" s="486">
        <v>20914</v>
      </c>
      <c r="CA48" s="486">
        <v>20655</v>
      </c>
      <c r="CB48" s="486">
        <v>20585</v>
      </c>
      <c r="CC48" s="486">
        <v>20556</v>
      </c>
      <c r="CD48" s="486">
        <v>20423</v>
      </c>
      <c r="CE48" s="486">
        <v>20298</v>
      </c>
      <c r="CF48" s="486">
        <v>20187</v>
      </c>
      <c r="CG48" s="486">
        <v>20097</v>
      </c>
      <c r="CH48" s="486">
        <v>19993</v>
      </c>
      <c r="CI48" s="486">
        <v>19873</v>
      </c>
      <c r="CJ48" s="486">
        <v>19787</v>
      </c>
      <c r="CK48" s="486">
        <v>19717</v>
      </c>
      <c r="CL48" s="486">
        <v>19606</v>
      </c>
      <c r="CM48" s="486">
        <v>19438</v>
      </c>
      <c r="CN48" s="486">
        <v>19340</v>
      </c>
      <c r="CO48" s="486">
        <v>19277</v>
      </c>
      <c r="CP48" s="486">
        <v>19202</v>
      </c>
      <c r="CQ48" s="486">
        <v>19140</v>
      </c>
      <c r="CR48" s="486">
        <v>19012</v>
      </c>
      <c r="CS48" s="486">
        <v>18932</v>
      </c>
      <c r="CT48" s="486">
        <v>18854</v>
      </c>
      <c r="CU48" s="486">
        <v>18756</v>
      </c>
      <c r="CV48" s="486">
        <v>18650</v>
      </c>
      <c r="CW48" s="486">
        <v>18568</v>
      </c>
      <c r="CX48" s="486">
        <v>18573</v>
      </c>
      <c r="CY48" s="486">
        <v>18339</v>
      </c>
      <c r="CZ48" s="486">
        <v>18272</v>
      </c>
      <c r="DA48" s="486">
        <v>18060</v>
      </c>
      <c r="DB48" s="486">
        <v>17982</v>
      </c>
      <c r="DC48" s="486">
        <v>17976</v>
      </c>
      <c r="DD48" s="486">
        <v>17971</v>
      </c>
      <c r="DE48" s="728">
        <v>17969</v>
      </c>
      <c r="DF48" s="483"/>
    </row>
    <row r="49" spans="2:110" x14ac:dyDescent="0.35">
      <c r="B49" s="484" t="s">
        <v>403</v>
      </c>
      <c r="C49" s="485" t="s">
        <v>404</v>
      </c>
      <c r="D49" s="486"/>
      <c r="E49" s="486"/>
      <c r="F49" s="486"/>
      <c r="G49" s="486"/>
      <c r="H49" s="486"/>
      <c r="I49" s="486"/>
      <c r="J49" s="486"/>
      <c r="K49" s="486"/>
      <c r="L49" s="486"/>
      <c r="M49" s="486"/>
      <c r="N49" s="486"/>
      <c r="O49" s="486"/>
      <c r="P49" s="486"/>
      <c r="Q49" s="486"/>
      <c r="R49" s="486"/>
      <c r="S49" s="486"/>
      <c r="T49" s="486"/>
      <c r="U49" s="486"/>
      <c r="V49" s="486"/>
      <c r="W49" s="486"/>
      <c r="X49" s="486"/>
      <c r="Y49" s="486"/>
      <c r="Z49" s="486"/>
      <c r="AA49" s="486">
        <v>1201</v>
      </c>
      <c r="AB49" s="486">
        <v>1501</v>
      </c>
      <c r="AC49" s="486">
        <v>1646</v>
      </c>
      <c r="AD49" s="486">
        <v>1896</v>
      </c>
      <c r="AE49" s="486">
        <v>2096</v>
      </c>
      <c r="AF49" s="486">
        <v>2396</v>
      </c>
      <c r="AG49" s="486">
        <v>2395</v>
      </c>
      <c r="AH49" s="486">
        <v>2745</v>
      </c>
      <c r="AI49" s="486">
        <v>2795</v>
      </c>
      <c r="AJ49" s="486">
        <v>2792</v>
      </c>
      <c r="AK49" s="486">
        <v>3040</v>
      </c>
      <c r="AL49" s="486">
        <v>3017</v>
      </c>
      <c r="AM49" s="486">
        <v>3405</v>
      </c>
      <c r="AN49" s="486">
        <v>3399</v>
      </c>
      <c r="AO49" s="486">
        <v>3538</v>
      </c>
      <c r="AP49" s="486">
        <v>3708</v>
      </c>
      <c r="AQ49" s="486">
        <v>3808</v>
      </c>
      <c r="AR49" s="486">
        <v>3808</v>
      </c>
      <c r="AS49" s="486">
        <v>3808</v>
      </c>
      <c r="AT49" s="486">
        <v>3835</v>
      </c>
      <c r="AU49" s="486">
        <v>4359</v>
      </c>
      <c r="AV49" s="486">
        <v>4616</v>
      </c>
      <c r="AW49" s="486">
        <v>4868</v>
      </c>
      <c r="AX49" s="486">
        <v>4985</v>
      </c>
      <c r="AY49" s="486">
        <v>5068</v>
      </c>
      <c r="AZ49" s="486">
        <v>5094</v>
      </c>
      <c r="BA49" s="486">
        <v>5306</v>
      </c>
      <c r="BB49" s="486">
        <v>5371</v>
      </c>
      <c r="BC49" s="486">
        <v>5093</v>
      </c>
      <c r="BD49" s="486">
        <v>5233</v>
      </c>
      <c r="BE49" s="486">
        <v>5303</v>
      </c>
      <c r="BF49" s="486">
        <v>5456</v>
      </c>
      <c r="BG49" s="486">
        <v>5715</v>
      </c>
      <c r="BH49" s="486">
        <v>5942</v>
      </c>
      <c r="BI49" s="486">
        <v>6150</v>
      </c>
      <c r="BJ49" s="486">
        <v>6342</v>
      </c>
      <c r="BK49" s="486">
        <v>6614</v>
      </c>
      <c r="BL49" s="486">
        <v>6801</v>
      </c>
      <c r="BM49" s="486">
        <v>7050</v>
      </c>
      <c r="BN49" s="486">
        <v>7188</v>
      </c>
      <c r="BO49" s="486">
        <v>7457</v>
      </c>
      <c r="BP49" s="486">
        <v>7828</v>
      </c>
      <c r="BQ49" s="486">
        <v>8254</v>
      </c>
      <c r="BR49" s="486">
        <v>8444</v>
      </c>
      <c r="BS49" s="486">
        <v>8819</v>
      </c>
      <c r="BT49" s="486">
        <v>9200</v>
      </c>
      <c r="BU49" s="486">
        <v>9407</v>
      </c>
      <c r="BV49" s="486">
        <v>9781</v>
      </c>
      <c r="BW49" s="486">
        <v>8962</v>
      </c>
      <c r="BX49" s="486">
        <v>9453</v>
      </c>
      <c r="BY49" s="486">
        <v>9576</v>
      </c>
      <c r="BZ49" s="486">
        <v>9954</v>
      </c>
      <c r="CA49" s="486">
        <v>10093</v>
      </c>
      <c r="CB49" s="486">
        <v>10536</v>
      </c>
      <c r="CC49" s="486">
        <v>10370</v>
      </c>
      <c r="CD49" s="486">
        <v>10569</v>
      </c>
      <c r="CE49" s="486">
        <v>11260</v>
      </c>
      <c r="CF49" s="486">
        <v>12047</v>
      </c>
      <c r="CG49" s="486">
        <v>13378</v>
      </c>
      <c r="CH49" s="486">
        <v>14134</v>
      </c>
      <c r="CI49" s="486">
        <v>14688</v>
      </c>
      <c r="CJ49" s="486">
        <v>15084</v>
      </c>
      <c r="CK49" s="486">
        <v>15411</v>
      </c>
      <c r="CL49" s="486">
        <v>15802</v>
      </c>
      <c r="CM49" s="486">
        <v>16186</v>
      </c>
      <c r="CN49" s="486">
        <v>16567</v>
      </c>
      <c r="CO49" s="486">
        <v>17065</v>
      </c>
      <c r="CP49" s="486">
        <v>17654</v>
      </c>
      <c r="CQ49" s="486">
        <v>17755</v>
      </c>
      <c r="CR49" s="486">
        <v>18034</v>
      </c>
      <c r="CS49" s="486">
        <v>18208</v>
      </c>
      <c r="CT49" s="486">
        <v>18483</v>
      </c>
      <c r="CU49" s="486">
        <v>19095</v>
      </c>
      <c r="CV49" s="486">
        <v>19194</v>
      </c>
      <c r="CW49" s="486">
        <v>19154</v>
      </c>
      <c r="CX49" s="486">
        <v>18542</v>
      </c>
      <c r="CY49" s="486">
        <v>18632</v>
      </c>
      <c r="CZ49" s="486">
        <v>18231</v>
      </c>
      <c r="DA49" s="486">
        <v>18018</v>
      </c>
      <c r="DB49" s="486">
        <v>17879</v>
      </c>
      <c r="DC49" s="486">
        <v>17841</v>
      </c>
      <c r="DD49" s="486">
        <v>17610</v>
      </c>
      <c r="DE49" s="728">
        <v>17363</v>
      </c>
      <c r="DF49" s="483"/>
    </row>
    <row r="50" spans="2:110" x14ac:dyDescent="0.35">
      <c r="B50" s="484" t="s">
        <v>405</v>
      </c>
      <c r="C50" s="484" t="s">
        <v>406</v>
      </c>
      <c r="D50" s="486"/>
      <c r="E50" s="486"/>
      <c r="F50" s="486"/>
      <c r="G50" s="486"/>
      <c r="H50" s="486"/>
      <c r="I50" s="486"/>
      <c r="J50" s="486"/>
      <c r="K50" s="486"/>
      <c r="L50" s="486"/>
      <c r="M50" s="486"/>
      <c r="N50" s="486"/>
      <c r="O50" s="486"/>
      <c r="P50" s="486"/>
      <c r="Q50" s="486"/>
      <c r="R50" s="486"/>
      <c r="S50" s="486"/>
      <c r="T50" s="486"/>
      <c r="U50" s="486"/>
      <c r="V50" s="486"/>
      <c r="W50" s="486"/>
      <c r="X50" s="486"/>
      <c r="Y50" s="486"/>
      <c r="Z50" s="486"/>
      <c r="AA50" s="486"/>
      <c r="AB50" s="486"/>
      <c r="AC50" s="486"/>
      <c r="AD50" s="486"/>
      <c r="AE50" s="486"/>
      <c r="AF50" s="486"/>
      <c r="AG50" s="486"/>
      <c r="AH50" s="486"/>
      <c r="AI50" s="486"/>
      <c r="AJ50" s="486"/>
      <c r="AK50" s="486"/>
      <c r="AL50" s="486"/>
      <c r="AM50" s="486"/>
      <c r="AN50" s="486"/>
      <c r="AO50" s="486"/>
      <c r="AP50" s="486"/>
      <c r="AQ50" s="486"/>
      <c r="AR50" s="486"/>
      <c r="AS50" s="486"/>
      <c r="AT50" s="486"/>
      <c r="AU50" s="486"/>
      <c r="AV50" s="486"/>
      <c r="AZ50" s="486"/>
      <c r="BA50" s="486"/>
      <c r="BB50" s="486"/>
      <c r="BC50" s="486"/>
      <c r="BD50" s="486"/>
      <c r="BE50" s="483"/>
      <c r="BF50" s="483"/>
      <c r="BG50" s="486"/>
      <c r="BH50" s="486"/>
      <c r="BI50" s="486"/>
      <c r="BJ50" s="486"/>
      <c r="BK50" s="486"/>
      <c r="BL50" s="486"/>
      <c r="BM50" s="486"/>
      <c r="BN50" s="486"/>
      <c r="BO50" s="486"/>
      <c r="BP50" s="486"/>
      <c r="BQ50" s="486"/>
      <c r="BR50" s="486"/>
      <c r="BS50" s="486">
        <v>1180</v>
      </c>
      <c r="BT50" s="486">
        <v>1718</v>
      </c>
      <c r="BU50" s="486">
        <v>1928</v>
      </c>
      <c r="BV50" s="486">
        <v>2217</v>
      </c>
      <c r="BW50" s="486">
        <v>2154</v>
      </c>
      <c r="BX50" s="486">
        <v>2847</v>
      </c>
      <c r="BY50" s="486">
        <v>2750</v>
      </c>
      <c r="BZ50" s="486">
        <v>3458</v>
      </c>
      <c r="CA50" s="486">
        <v>3710</v>
      </c>
      <c r="CB50" s="486">
        <v>4873</v>
      </c>
      <c r="CC50" s="486">
        <v>4921</v>
      </c>
      <c r="CD50" s="486">
        <v>6838</v>
      </c>
      <c r="CE50" s="486">
        <v>8794</v>
      </c>
      <c r="CF50" s="486">
        <v>11224</v>
      </c>
      <c r="CG50" s="486">
        <v>13535</v>
      </c>
      <c r="CH50" s="486">
        <v>13087</v>
      </c>
      <c r="CI50" s="486">
        <v>15858</v>
      </c>
      <c r="CJ50" s="486">
        <v>13970</v>
      </c>
      <c r="CK50" s="486">
        <v>13250</v>
      </c>
      <c r="CL50" s="486">
        <v>15385</v>
      </c>
      <c r="CM50" s="486">
        <v>18150</v>
      </c>
      <c r="CN50" s="486">
        <v>19927</v>
      </c>
      <c r="CO50" s="486">
        <v>15949</v>
      </c>
      <c r="CP50" s="486">
        <v>14401</v>
      </c>
      <c r="CQ50" s="486">
        <v>13229</v>
      </c>
      <c r="CR50" s="486">
        <v>10503</v>
      </c>
      <c r="CS50" s="486">
        <v>13230</v>
      </c>
      <c r="CT50" s="486">
        <v>15399</v>
      </c>
      <c r="CU50" s="486">
        <v>18395</v>
      </c>
      <c r="CV50" s="486">
        <v>15159</v>
      </c>
      <c r="CW50" s="486">
        <v>16279</v>
      </c>
      <c r="CX50" s="486">
        <v>17690</v>
      </c>
      <c r="CY50" s="486">
        <v>21553</v>
      </c>
      <c r="CZ50" s="486">
        <v>21496</v>
      </c>
      <c r="DA50" s="486">
        <v>20259</v>
      </c>
      <c r="DB50" s="486">
        <v>23511</v>
      </c>
      <c r="DC50" s="486">
        <v>19077</v>
      </c>
      <c r="DD50" s="486">
        <v>16507</v>
      </c>
      <c r="DE50" s="728">
        <v>15376</v>
      </c>
      <c r="DF50" s="483"/>
    </row>
    <row r="51" spans="2:110" x14ac:dyDescent="0.35">
      <c r="B51" s="484" t="s">
        <v>407</v>
      </c>
      <c r="C51" s="485" t="s">
        <v>408</v>
      </c>
      <c r="D51" s="486"/>
      <c r="E51" s="486"/>
      <c r="F51" s="486"/>
      <c r="G51" s="486"/>
      <c r="H51" s="486"/>
      <c r="I51" s="486">
        <v>666</v>
      </c>
      <c r="J51" s="486">
        <v>1550</v>
      </c>
      <c r="K51" s="486"/>
      <c r="L51" s="486">
        <v>1745</v>
      </c>
      <c r="M51" s="486">
        <v>2390</v>
      </c>
      <c r="N51" s="486">
        <v>2413</v>
      </c>
      <c r="O51" s="486">
        <v>2782</v>
      </c>
      <c r="P51" s="486">
        <v>3102</v>
      </c>
      <c r="Q51" s="486">
        <v>3274</v>
      </c>
      <c r="R51" s="486">
        <v>3326</v>
      </c>
      <c r="S51" s="486">
        <v>3373</v>
      </c>
      <c r="T51" s="486">
        <v>3518</v>
      </c>
      <c r="U51" s="486">
        <v>3607</v>
      </c>
      <c r="V51" s="486">
        <v>3676</v>
      </c>
      <c r="W51" s="486">
        <v>3818</v>
      </c>
      <c r="X51" s="486">
        <v>3864</v>
      </c>
      <c r="Y51" s="486">
        <v>3919</v>
      </c>
      <c r="Z51" s="486">
        <v>4138</v>
      </c>
      <c r="AA51" s="486">
        <v>4183</v>
      </c>
      <c r="AB51" s="486">
        <v>4366</v>
      </c>
      <c r="AC51" s="486">
        <v>3987</v>
      </c>
      <c r="AD51" s="486">
        <v>4131</v>
      </c>
      <c r="AE51" s="486">
        <v>3444</v>
      </c>
      <c r="AF51" s="486">
        <v>3624</v>
      </c>
      <c r="AG51" s="486">
        <v>3950</v>
      </c>
      <c r="AH51" s="486">
        <v>4410</v>
      </c>
      <c r="AI51" s="486">
        <v>4457</v>
      </c>
      <c r="AJ51" s="486">
        <v>4640</v>
      </c>
      <c r="AK51" s="486">
        <v>4814</v>
      </c>
      <c r="AL51" s="486">
        <v>5228</v>
      </c>
      <c r="AM51" s="486">
        <v>5935</v>
      </c>
      <c r="AN51" s="486">
        <v>6036</v>
      </c>
      <c r="AO51" s="486">
        <v>6716</v>
      </c>
      <c r="AP51" s="486">
        <v>6729</v>
      </c>
      <c r="AQ51" s="486">
        <v>6752</v>
      </c>
      <c r="AR51" s="486">
        <v>6745</v>
      </c>
      <c r="AS51" s="486">
        <v>6929</v>
      </c>
      <c r="AT51" s="486">
        <v>7030</v>
      </c>
      <c r="AU51" s="486">
        <v>7328</v>
      </c>
      <c r="AV51" s="486">
        <v>7422</v>
      </c>
      <c r="AW51" s="486">
        <v>7607</v>
      </c>
      <c r="AX51" s="486">
        <v>7984</v>
      </c>
      <c r="AY51" s="486">
        <v>7885</v>
      </c>
      <c r="AZ51" s="486">
        <v>7973</v>
      </c>
      <c r="BA51" s="486">
        <v>8131</v>
      </c>
      <c r="BB51" s="486">
        <v>8145</v>
      </c>
      <c r="BC51" s="486">
        <v>8447</v>
      </c>
      <c r="BD51" s="486">
        <v>8771</v>
      </c>
      <c r="BE51" s="486">
        <v>9104</v>
      </c>
      <c r="BF51" s="486">
        <v>9487</v>
      </c>
      <c r="BG51" s="486">
        <v>10156</v>
      </c>
      <c r="BH51" s="486">
        <v>10362</v>
      </c>
      <c r="BI51" s="486">
        <v>10511</v>
      </c>
      <c r="BJ51" s="486">
        <v>10825</v>
      </c>
      <c r="BK51" s="486">
        <v>10901</v>
      </c>
      <c r="BL51" s="486">
        <v>10867</v>
      </c>
      <c r="BM51" s="486">
        <v>11437</v>
      </c>
      <c r="BN51" s="486">
        <v>11505</v>
      </c>
      <c r="BO51" s="486">
        <v>12741</v>
      </c>
      <c r="BP51" s="486">
        <v>13593</v>
      </c>
      <c r="BQ51" s="486">
        <v>14130</v>
      </c>
      <c r="BR51" s="486">
        <v>14841</v>
      </c>
      <c r="BS51" s="486">
        <v>15338</v>
      </c>
      <c r="BT51" s="486">
        <v>15463</v>
      </c>
      <c r="BU51" s="486">
        <v>15573</v>
      </c>
      <c r="BV51" s="486">
        <v>15693</v>
      </c>
      <c r="BW51" s="486">
        <v>15770</v>
      </c>
      <c r="BX51" s="486">
        <v>16194</v>
      </c>
      <c r="BY51" s="486">
        <v>16332</v>
      </c>
      <c r="BZ51" s="486">
        <v>16362</v>
      </c>
      <c r="CA51" s="486">
        <v>16505</v>
      </c>
      <c r="CB51" s="486">
        <v>17032</v>
      </c>
      <c r="CC51" s="486">
        <v>17195</v>
      </c>
      <c r="CD51" s="486">
        <v>17843</v>
      </c>
      <c r="CE51" s="486">
        <v>18564</v>
      </c>
      <c r="CF51" s="486">
        <v>18701</v>
      </c>
      <c r="CG51" s="486">
        <v>18784</v>
      </c>
      <c r="CH51" s="486">
        <v>18919</v>
      </c>
      <c r="CI51" s="486">
        <v>18967</v>
      </c>
      <c r="CJ51" s="486">
        <v>19128</v>
      </c>
      <c r="CK51" s="486">
        <v>18846</v>
      </c>
      <c r="CL51" s="486">
        <v>18483</v>
      </c>
      <c r="CM51" s="486">
        <v>18593</v>
      </c>
      <c r="CN51" s="486">
        <v>18243</v>
      </c>
      <c r="CO51" s="486">
        <v>18066</v>
      </c>
      <c r="CP51" s="486">
        <v>17742</v>
      </c>
      <c r="CQ51" s="486">
        <v>17613</v>
      </c>
      <c r="CR51" s="486">
        <v>17561</v>
      </c>
      <c r="CS51" s="486">
        <v>17468</v>
      </c>
      <c r="CT51" s="486">
        <v>17479</v>
      </c>
      <c r="CU51" s="486">
        <v>17273</v>
      </c>
      <c r="CV51" s="486">
        <v>17174</v>
      </c>
      <c r="CW51" s="486">
        <v>17155</v>
      </c>
      <c r="CX51" s="486">
        <v>17016</v>
      </c>
      <c r="CY51" s="486">
        <v>16960</v>
      </c>
      <c r="CZ51" s="486">
        <v>16896</v>
      </c>
      <c r="DA51" s="486">
        <v>16842</v>
      </c>
      <c r="DB51" s="486">
        <v>16829</v>
      </c>
      <c r="DC51" s="486">
        <v>16828</v>
      </c>
      <c r="DD51" s="486">
        <v>16789</v>
      </c>
      <c r="DE51" s="728">
        <v>16766</v>
      </c>
      <c r="DF51" s="483"/>
    </row>
    <row r="52" spans="2:110" x14ac:dyDescent="0.35">
      <c r="B52" s="484" t="s">
        <v>317</v>
      </c>
      <c r="C52" s="485" t="s">
        <v>409</v>
      </c>
      <c r="D52" s="486"/>
      <c r="E52" s="486"/>
      <c r="F52" s="486"/>
      <c r="G52" s="486"/>
      <c r="H52" s="486"/>
      <c r="I52" s="486"/>
      <c r="J52" s="486"/>
      <c r="K52" s="486"/>
      <c r="L52" s="486"/>
      <c r="M52" s="486"/>
      <c r="N52" s="486"/>
      <c r="O52" s="486"/>
      <c r="P52" s="486"/>
      <c r="Q52" s="486"/>
      <c r="R52" s="486"/>
      <c r="S52" s="486"/>
      <c r="T52" s="486">
        <v>1005</v>
      </c>
      <c r="U52" s="486">
        <v>1173</v>
      </c>
      <c r="V52" s="486">
        <v>1212</v>
      </c>
      <c r="W52" s="486">
        <v>1249</v>
      </c>
      <c r="X52" s="486">
        <v>1308</v>
      </c>
      <c r="Y52" s="486">
        <v>1386</v>
      </c>
      <c r="Z52" s="486">
        <v>1458</v>
      </c>
      <c r="AA52" s="486">
        <v>1523</v>
      </c>
      <c r="AB52" s="486">
        <v>1595</v>
      </c>
      <c r="AC52" s="486">
        <v>1694</v>
      </c>
      <c r="AD52" s="486">
        <v>1776</v>
      </c>
      <c r="AE52" s="486">
        <v>1807</v>
      </c>
      <c r="AF52" s="486">
        <v>1923</v>
      </c>
      <c r="AG52" s="486">
        <v>2020</v>
      </c>
      <c r="AH52" s="486">
        <v>2081</v>
      </c>
      <c r="AI52" s="486">
        <v>2156</v>
      </c>
      <c r="AJ52" s="486">
        <v>2480</v>
      </c>
      <c r="AK52" s="486">
        <v>2705</v>
      </c>
      <c r="AL52" s="486">
        <v>3128</v>
      </c>
      <c r="AM52" s="486">
        <v>3186</v>
      </c>
      <c r="AN52" s="486">
        <v>3215</v>
      </c>
      <c r="AO52" s="486">
        <v>3259</v>
      </c>
      <c r="AP52" s="486">
        <v>3317</v>
      </c>
      <c r="AQ52" s="486">
        <v>3332</v>
      </c>
      <c r="AR52" s="486">
        <v>3379</v>
      </c>
      <c r="AS52" s="486">
        <v>3519</v>
      </c>
      <c r="AT52" s="486">
        <v>3594</v>
      </c>
      <c r="AU52" s="486">
        <v>3772</v>
      </c>
      <c r="AV52" s="486">
        <v>3816</v>
      </c>
      <c r="AW52" s="486">
        <v>3720</v>
      </c>
      <c r="AX52" s="486">
        <v>3778</v>
      </c>
      <c r="AY52" s="486">
        <v>3862</v>
      </c>
      <c r="AZ52" s="486">
        <v>3971</v>
      </c>
      <c r="BA52" s="486">
        <v>4093</v>
      </c>
      <c r="BB52" s="486">
        <v>4216</v>
      </c>
      <c r="BC52" s="486">
        <v>4359</v>
      </c>
      <c r="BD52" s="486">
        <v>4526</v>
      </c>
      <c r="BE52" s="486">
        <v>4689</v>
      </c>
      <c r="BF52" s="486">
        <v>4901</v>
      </c>
      <c r="BG52" s="486">
        <v>5216</v>
      </c>
      <c r="BH52" s="486">
        <v>5360</v>
      </c>
      <c r="BI52" s="486">
        <v>5545</v>
      </c>
      <c r="BJ52" s="486">
        <v>5820</v>
      </c>
      <c r="BK52" s="486">
        <v>5946</v>
      </c>
      <c r="BL52" s="486">
        <v>6026</v>
      </c>
      <c r="BM52" s="486">
        <v>6197</v>
      </c>
      <c r="BN52" s="486">
        <v>6310</v>
      </c>
      <c r="BO52" s="486">
        <v>6529</v>
      </c>
      <c r="BP52" s="486">
        <v>6749</v>
      </c>
      <c r="BQ52" s="486">
        <v>7221</v>
      </c>
      <c r="BR52" s="486">
        <v>7742</v>
      </c>
      <c r="BS52" s="486">
        <v>8299</v>
      </c>
      <c r="BT52" s="486">
        <v>8644</v>
      </c>
      <c r="BU52" s="486">
        <v>8917</v>
      </c>
      <c r="BV52" s="486">
        <v>9222</v>
      </c>
      <c r="BW52" s="486">
        <v>9530</v>
      </c>
      <c r="BX52" s="486">
        <v>9830</v>
      </c>
      <c r="BY52" s="486">
        <v>10057</v>
      </c>
      <c r="BZ52" s="486">
        <v>10516</v>
      </c>
      <c r="CA52" s="486">
        <v>10648</v>
      </c>
      <c r="CB52" s="486">
        <v>11172</v>
      </c>
      <c r="CC52" s="486">
        <v>11515</v>
      </c>
      <c r="CD52" s="486">
        <v>11883</v>
      </c>
      <c r="CE52" s="486">
        <v>12143</v>
      </c>
      <c r="CF52" s="486">
        <v>12414</v>
      </c>
      <c r="CG52" s="486">
        <v>12674</v>
      </c>
      <c r="CH52" s="486">
        <v>12725</v>
      </c>
      <c r="CI52" s="486">
        <v>12777</v>
      </c>
      <c r="CJ52" s="486">
        <v>12963</v>
      </c>
      <c r="CK52" s="486">
        <v>13092</v>
      </c>
      <c r="CL52" s="486">
        <v>13371</v>
      </c>
      <c r="CM52" s="486">
        <v>13575</v>
      </c>
      <c r="CN52" s="486">
        <v>13815</v>
      </c>
      <c r="CO52" s="486">
        <v>13905</v>
      </c>
      <c r="CP52" s="486">
        <v>13949</v>
      </c>
      <c r="CQ52" s="486">
        <v>14068</v>
      </c>
      <c r="CR52" s="486">
        <v>14105</v>
      </c>
      <c r="CS52" s="486">
        <v>14247</v>
      </c>
      <c r="CT52" s="486">
        <v>14029</v>
      </c>
      <c r="CU52" s="486">
        <v>14414</v>
      </c>
      <c r="CV52" s="486">
        <v>14551</v>
      </c>
      <c r="CW52" s="486">
        <v>14657</v>
      </c>
      <c r="CX52" s="486">
        <v>15075</v>
      </c>
      <c r="CY52" s="486">
        <v>15064</v>
      </c>
      <c r="CZ52" s="486">
        <v>15487</v>
      </c>
      <c r="DA52" s="486">
        <v>15462</v>
      </c>
      <c r="DB52" s="486">
        <v>15662</v>
      </c>
      <c r="DC52" s="486">
        <v>15626</v>
      </c>
      <c r="DD52" s="486">
        <v>16092</v>
      </c>
      <c r="DE52" s="728">
        <v>16345</v>
      </c>
      <c r="DF52" s="483"/>
    </row>
    <row r="53" spans="2:110" x14ac:dyDescent="0.35">
      <c r="B53" s="484" t="s">
        <v>410</v>
      </c>
      <c r="C53" s="484" t="s">
        <v>411</v>
      </c>
      <c r="D53" s="486"/>
      <c r="E53" s="486"/>
      <c r="F53" s="486"/>
      <c r="G53" s="486"/>
      <c r="H53" s="486"/>
      <c r="I53" s="486"/>
      <c r="J53" s="486"/>
      <c r="K53" s="486"/>
      <c r="L53" s="486"/>
      <c r="M53" s="486"/>
      <c r="N53" s="486"/>
      <c r="O53" s="486"/>
      <c r="P53" s="486"/>
      <c r="Q53" s="486"/>
      <c r="R53" s="486"/>
      <c r="S53" s="486"/>
      <c r="T53" s="486"/>
      <c r="U53" s="486"/>
      <c r="V53" s="486"/>
      <c r="W53" s="486"/>
      <c r="X53" s="486"/>
      <c r="Y53" s="486"/>
      <c r="Z53" s="486"/>
      <c r="AA53" s="486"/>
      <c r="AB53" s="486"/>
      <c r="AC53" s="486"/>
      <c r="AD53" s="486"/>
      <c r="AE53" s="486"/>
      <c r="AF53" s="486"/>
      <c r="AG53" s="486"/>
      <c r="AH53" s="486"/>
      <c r="AI53" s="486"/>
      <c r="AJ53" s="486"/>
      <c r="AK53" s="486"/>
      <c r="AL53" s="486"/>
      <c r="AM53" s="486"/>
      <c r="AN53" s="486"/>
      <c r="AO53" s="486"/>
      <c r="AP53" s="486"/>
      <c r="AQ53" s="486"/>
      <c r="AR53" s="486"/>
      <c r="AS53" s="486"/>
      <c r="AT53" s="486"/>
      <c r="AU53" s="486"/>
      <c r="AV53" s="486"/>
      <c r="AZ53" s="486"/>
      <c r="BA53" s="486"/>
      <c r="BB53" s="486"/>
      <c r="BC53" s="486"/>
      <c r="BD53" s="486"/>
      <c r="BE53" s="483"/>
      <c r="BF53" s="483"/>
      <c r="BG53" s="486"/>
      <c r="BH53" s="486"/>
      <c r="BI53" s="486"/>
      <c r="BJ53" s="486"/>
      <c r="BK53" s="486"/>
      <c r="BL53" s="486"/>
      <c r="BM53" s="486"/>
      <c r="BN53" s="486">
        <v>1015</v>
      </c>
      <c r="BO53" s="486">
        <v>1069</v>
      </c>
      <c r="BP53" s="486">
        <v>1388</v>
      </c>
      <c r="BQ53" s="486">
        <v>1605</v>
      </c>
      <c r="BR53" s="486">
        <v>1769</v>
      </c>
      <c r="BS53" s="486">
        <v>1769</v>
      </c>
      <c r="BT53" s="486">
        <v>1810</v>
      </c>
      <c r="BU53" s="486">
        <v>1812</v>
      </c>
      <c r="BV53" s="486">
        <v>1843</v>
      </c>
      <c r="BW53" s="486">
        <v>1980</v>
      </c>
      <c r="BX53" s="486">
        <v>1981</v>
      </c>
      <c r="BY53" s="486">
        <v>2271</v>
      </c>
      <c r="BZ53" s="486">
        <v>2414</v>
      </c>
      <c r="CA53" s="486">
        <v>2434</v>
      </c>
      <c r="CB53" s="486">
        <v>3435</v>
      </c>
      <c r="CC53" s="486">
        <v>4800</v>
      </c>
      <c r="CD53" s="486">
        <v>4890</v>
      </c>
      <c r="CE53" s="486">
        <v>5159</v>
      </c>
      <c r="CF53" s="486">
        <v>5159</v>
      </c>
      <c r="CG53" s="486">
        <v>5189</v>
      </c>
      <c r="CH53" s="486">
        <v>5749</v>
      </c>
      <c r="CI53" s="486">
        <v>5906</v>
      </c>
      <c r="CJ53" s="486">
        <v>6002</v>
      </c>
      <c r="CK53" s="486">
        <v>6973</v>
      </c>
      <c r="CL53" s="486">
        <v>7638</v>
      </c>
      <c r="CM53" s="486">
        <v>9458</v>
      </c>
      <c r="CN53" s="486">
        <v>9765</v>
      </c>
      <c r="CO53" s="486">
        <v>9796</v>
      </c>
      <c r="CP53" s="486">
        <v>9802</v>
      </c>
      <c r="CQ53" s="486">
        <v>10235</v>
      </c>
      <c r="CR53" s="486">
        <v>11734</v>
      </c>
      <c r="CS53" s="486">
        <v>12338</v>
      </c>
      <c r="CT53" s="486">
        <v>13005</v>
      </c>
      <c r="CU53" s="486">
        <v>14052</v>
      </c>
      <c r="CV53" s="486">
        <v>13608</v>
      </c>
      <c r="CW53" s="486">
        <v>14874</v>
      </c>
      <c r="CX53" s="486">
        <v>14878</v>
      </c>
      <c r="CY53" s="486">
        <v>14875</v>
      </c>
      <c r="CZ53" s="486">
        <v>14874</v>
      </c>
      <c r="DA53" s="486">
        <v>14886</v>
      </c>
      <c r="DB53" s="486">
        <v>14887</v>
      </c>
      <c r="DC53" s="486">
        <v>14887</v>
      </c>
      <c r="DD53" s="486">
        <v>14987</v>
      </c>
      <c r="DE53" s="728">
        <v>15034</v>
      </c>
      <c r="DF53" s="483"/>
    </row>
    <row r="54" spans="2:110" x14ac:dyDescent="0.35">
      <c r="B54" s="484" t="s">
        <v>316</v>
      </c>
      <c r="C54" s="485" t="s">
        <v>412</v>
      </c>
      <c r="D54" s="486"/>
      <c r="E54" s="486"/>
      <c r="F54" s="486"/>
      <c r="G54" s="486"/>
      <c r="H54" s="486"/>
      <c r="I54" s="486"/>
      <c r="J54" s="486">
        <v>954</v>
      </c>
      <c r="K54" s="486"/>
      <c r="L54" s="486">
        <v>1004</v>
      </c>
      <c r="M54" s="486">
        <v>1104</v>
      </c>
      <c r="N54" s="486">
        <v>1204</v>
      </c>
      <c r="O54" s="486">
        <v>1354</v>
      </c>
      <c r="P54" s="486">
        <v>1572</v>
      </c>
      <c r="Q54" s="486">
        <v>1747</v>
      </c>
      <c r="R54" s="486">
        <v>1877</v>
      </c>
      <c r="S54" s="486">
        <v>2036</v>
      </c>
      <c r="T54" s="486">
        <v>2120</v>
      </c>
      <c r="U54" s="486">
        <v>2267</v>
      </c>
      <c r="V54" s="486">
        <v>2412</v>
      </c>
      <c r="W54" s="486">
        <v>2412</v>
      </c>
      <c r="X54" s="486">
        <v>2610</v>
      </c>
      <c r="Y54" s="486">
        <v>2709</v>
      </c>
      <c r="Z54" s="486">
        <v>2872</v>
      </c>
      <c r="AA54" s="486">
        <v>3027</v>
      </c>
      <c r="AB54" s="486">
        <v>3128</v>
      </c>
      <c r="AC54" s="486">
        <v>3329</v>
      </c>
      <c r="AD54" s="486">
        <v>3538</v>
      </c>
      <c r="AE54" s="486">
        <v>3639</v>
      </c>
      <c r="AF54" s="486">
        <v>4012</v>
      </c>
      <c r="AG54" s="486">
        <v>4217</v>
      </c>
      <c r="AH54" s="486">
        <v>4258</v>
      </c>
      <c r="AI54" s="486">
        <v>4279</v>
      </c>
      <c r="AJ54" s="486">
        <v>4586</v>
      </c>
      <c r="AK54" s="486">
        <v>4768</v>
      </c>
      <c r="AL54" s="486">
        <v>5102</v>
      </c>
      <c r="AM54" s="486">
        <v>5202</v>
      </c>
      <c r="AN54" s="486">
        <v>5202</v>
      </c>
      <c r="AO54" s="486">
        <v>5302</v>
      </c>
      <c r="AP54" s="486">
        <v>5519</v>
      </c>
      <c r="AQ54" s="486">
        <v>5711</v>
      </c>
      <c r="AR54" s="486">
        <v>5906</v>
      </c>
      <c r="AS54" s="486">
        <v>6407</v>
      </c>
      <c r="AT54" s="486">
        <v>6608</v>
      </c>
      <c r="AU54" s="486">
        <v>6808</v>
      </c>
      <c r="AV54" s="486">
        <v>7012</v>
      </c>
      <c r="AW54" s="486">
        <v>7215</v>
      </c>
      <c r="AX54" s="486">
        <v>7525</v>
      </c>
      <c r="AY54" s="486">
        <v>8025</v>
      </c>
      <c r="AZ54" s="486">
        <v>7975</v>
      </c>
      <c r="BA54" s="486">
        <v>8156</v>
      </c>
      <c r="BB54" s="486">
        <v>8526</v>
      </c>
      <c r="BC54" s="486">
        <v>8828</v>
      </c>
      <c r="BD54" s="486">
        <v>9052</v>
      </c>
      <c r="BE54" s="486">
        <v>9365</v>
      </c>
      <c r="BF54" s="486">
        <v>9578</v>
      </c>
      <c r="BG54" s="486">
        <v>10083</v>
      </c>
      <c r="BH54" s="486">
        <v>10383</v>
      </c>
      <c r="BI54" s="486">
        <v>10585</v>
      </c>
      <c r="BJ54" s="486">
        <v>11386</v>
      </c>
      <c r="BK54" s="486">
        <v>11450</v>
      </c>
      <c r="BL54" s="486">
        <v>11764</v>
      </c>
      <c r="BM54" s="486">
        <v>12072</v>
      </c>
      <c r="BN54" s="486">
        <v>12232</v>
      </c>
      <c r="BO54" s="486">
        <v>12834</v>
      </c>
      <c r="BP54" s="486">
        <v>13033</v>
      </c>
      <c r="BQ54" s="486">
        <v>13329</v>
      </c>
      <c r="BR54" s="486">
        <v>13749</v>
      </c>
      <c r="BS54" s="486">
        <v>13854</v>
      </c>
      <c r="BT54" s="486">
        <v>14154</v>
      </c>
      <c r="BU54" s="486">
        <v>14550</v>
      </c>
      <c r="BV54" s="486">
        <v>15048</v>
      </c>
      <c r="BW54" s="486">
        <v>15337</v>
      </c>
      <c r="BX54" s="486">
        <v>15535</v>
      </c>
      <c r="BY54" s="486">
        <v>15820</v>
      </c>
      <c r="BZ54" s="486">
        <v>16120</v>
      </c>
      <c r="CA54" s="486">
        <v>16419</v>
      </c>
      <c r="CB54" s="486">
        <v>16701</v>
      </c>
      <c r="CC54" s="486">
        <v>16900</v>
      </c>
      <c r="CD54" s="486">
        <v>17200</v>
      </c>
      <c r="CE54" s="486">
        <v>17300</v>
      </c>
      <c r="CF54" s="486">
        <v>17500</v>
      </c>
      <c r="CG54" s="486">
        <v>17700</v>
      </c>
      <c r="CH54" s="486">
        <v>17898</v>
      </c>
      <c r="CI54" s="486">
        <v>18198</v>
      </c>
      <c r="CJ54" s="486">
        <v>18298</v>
      </c>
      <c r="CK54" s="486">
        <v>18498</v>
      </c>
      <c r="CL54" s="486">
        <v>18698</v>
      </c>
      <c r="CM54" s="486">
        <v>17966</v>
      </c>
      <c r="CN54" s="486">
        <v>18266</v>
      </c>
      <c r="CO54" s="486">
        <v>18687</v>
      </c>
      <c r="CP54" s="486">
        <v>14467</v>
      </c>
      <c r="CQ54" s="486">
        <v>14217</v>
      </c>
      <c r="CR54" s="486">
        <v>14213</v>
      </c>
      <c r="CS54" s="486">
        <v>14217</v>
      </c>
      <c r="CT54" s="486">
        <v>14216</v>
      </c>
      <c r="CU54" s="486">
        <v>14216</v>
      </c>
      <c r="CV54" s="486">
        <v>14216</v>
      </c>
      <c r="CW54" s="486">
        <v>14216</v>
      </c>
      <c r="CX54" s="486">
        <v>14216</v>
      </c>
      <c r="CY54" s="486">
        <v>14216</v>
      </c>
      <c r="CZ54" s="486">
        <v>14216</v>
      </c>
      <c r="DA54" s="486">
        <v>14216</v>
      </c>
      <c r="DB54" s="486">
        <v>14228</v>
      </c>
      <c r="DC54" s="486">
        <v>14230</v>
      </c>
      <c r="DD54" s="486">
        <v>14232</v>
      </c>
      <c r="DE54" s="728">
        <v>14233</v>
      </c>
      <c r="DF54" s="483"/>
    </row>
    <row r="55" spans="2:110" s="113" customFormat="1" x14ac:dyDescent="0.35">
      <c r="B55" s="484" t="s">
        <v>413</v>
      </c>
      <c r="C55" s="485" t="s">
        <v>414</v>
      </c>
      <c r="D55" s="486"/>
      <c r="E55" s="486"/>
      <c r="F55" s="486"/>
      <c r="G55" s="486"/>
      <c r="H55" s="486"/>
      <c r="I55" s="486"/>
      <c r="J55" s="486"/>
      <c r="K55" s="486"/>
      <c r="L55" s="486"/>
      <c r="M55" s="486"/>
      <c r="N55" s="486"/>
      <c r="O55" s="486"/>
      <c r="P55" s="486"/>
      <c r="Q55" s="486"/>
      <c r="R55" s="486"/>
      <c r="S55" s="486"/>
      <c r="T55" s="486"/>
      <c r="U55" s="486"/>
      <c r="V55" s="486"/>
      <c r="W55" s="486"/>
      <c r="X55" s="486">
        <v>3325</v>
      </c>
      <c r="Y55" s="486">
        <v>1549</v>
      </c>
      <c r="Z55" s="486">
        <v>1209</v>
      </c>
      <c r="AA55" s="486">
        <v>1729</v>
      </c>
      <c r="AB55" s="486">
        <v>1555</v>
      </c>
      <c r="AC55" s="486">
        <v>2242</v>
      </c>
      <c r="AD55" s="486">
        <v>1785</v>
      </c>
      <c r="AE55" s="486">
        <v>1565</v>
      </c>
      <c r="AF55" s="486">
        <v>1554</v>
      </c>
      <c r="AG55" s="486">
        <v>1671</v>
      </c>
      <c r="AH55" s="486">
        <v>2134</v>
      </c>
      <c r="AI55" s="486">
        <v>2116</v>
      </c>
      <c r="AJ55" s="486">
        <v>3681</v>
      </c>
      <c r="AK55" s="486">
        <v>1563</v>
      </c>
      <c r="AL55" s="486">
        <v>3289</v>
      </c>
      <c r="AM55" s="486">
        <v>3838</v>
      </c>
      <c r="AN55" s="486">
        <v>2897</v>
      </c>
      <c r="AO55" s="486">
        <v>3481</v>
      </c>
      <c r="AP55" s="486">
        <v>3978</v>
      </c>
      <c r="AQ55" s="486">
        <v>4426</v>
      </c>
      <c r="AR55" s="486">
        <v>4687</v>
      </c>
      <c r="AS55" s="486">
        <v>4792</v>
      </c>
      <c r="AT55" s="486">
        <v>4832</v>
      </c>
      <c r="AU55" s="486">
        <v>4965</v>
      </c>
      <c r="AV55" s="486">
        <v>4739</v>
      </c>
      <c r="AW55" s="486">
        <v>4591</v>
      </c>
      <c r="AX55" s="486">
        <v>4839</v>
      </c>
      <c r="AY55" s="486">
        <v>5372</v>
      </c>
      <c r="AZ55" s="486">
        <v>6106</v>
      </c>
      <c r="BA55" s="486">
        <v>6760</v>
      </c>
      <c r="BB55" s="486">
        <v>7318</v>
      </c>
      <c r="BC55" s="486">
        <v>7736</v>
      </c>
      <c r="BD55" s="486">
        <v>7994</v>
      </c>
      <c r="BE55" s="486">
        <v>8075</v>
      </c>
      <c r="BF55" s="486">
        <v>7987</v>
      </c>
      <c r="BG55" s="486">
        <v>7976</v>
      </c>
      <c r="BH55" s="486">
        <v>7959</v>
      </c>
      <c r="BI55" s="486">
        <v>8390</v>
      </c>
      <c r="BJ55" s="486">
        <v>8486</v>
      </c>
      <c r="BK55" s="486">
        <v>8937</v>
      </c>
      <c r="BL55" s="486">
        <v>9828</v>
      </c>
      <c r="BM55" s="486">
        <v>10449</v>
      </c>
      <c r="BN55" s="486">
        <v>10774</v>
      </c>
      <c r="BO55" s="486">
        <v>10715</v>
      </c>
      <c r="BP55" s="486">
        <v>10832</v>
      </c>
      <c r="BQ55" s="486">
        <v>11744</v>
      </c>
      <c r="BR55" s="486">
        <v>11034</v>
      </c>
      <c r="BS55" s="486">
        <v>11005</v>
      </c>
      <c r="BT55" s="486">
        <v>10972</v>
      </c>
      <c r="BU55" s="486">
        <v>10923</v>
      </c>
      <c r="BV55" s="486">
        <v>10835</v>
      </c>
      <c r="BW55" s="486">
        <v>10881</v>
      </c>
      <c r="BX55" s="486">
        <v>11468</v>
      </c>
      <c r="BY55" s="486">
        <v>11659</v>
      </c>
      <c r="BZ55" s="486">
        <v>11805</v>
      </c>
      <c r="CA55" s="486">
        <v>11888</v>
      </c>
      <c r="CB55" s="486">
        <v>11970</v>
      </c>
      <c r="CC55" s="486">
        <v>12023</v>
      </c>
      <c r="CD55" s="486">
        <v>12012</v>
      </c>
      <c r="CE55" s="486">
        <v>12003</v>
      </c>
      <c r="CF55" s="486">
        <v>12010</v>
      </c>
      <c r="CG55" s="486">
        <v>12030</v>
      </c>
      <c r="CH55" s="486">
        <v>12180</v>
      </c>
      <c r="CI55" s="486">
        <v>12368</v>
      </c>
      <c r="CJ55" s="486">
        <v>12366</v>
      </c>
      <c r="CK55" s="486">
        <v>12304</v>
      </c>
      <c r="CL55" s="486">
        <v>12245</v>
      </c>
      <c r="CM55" s="486">
        <v>12279</v>
      </c>
      <c r="CN55" s="486">
        <v>12345</v>
      </c>
      <c r="CO55" s="486">
        <v>12487</v>
      </c>
      <c r="CP55" s="486">
        <v>12566</v>
      </c>
      <c r="CQ55" s="486">
        <v>12586</v>
      </c>
      <c r="CR55" s="486">
        <v>12586</v>
      </c>
      <c r="CS55" s="486">
        <v>12594</v>
      </c>
      <c r="CT55" s="486">
        <v>12779</v>
      </c>
      <c r="CU55" s="486">
        <v>12988</v>
      </c>
      <c r="CV55" s="486">
        <v>13087</v>
      </c>
      <c r="CW55" s="486">
        <v>13169</v>
      </c>
      <c r="CX55" s="486">
        <v>13205</v>
      </c>
      <c r="CY55" s="486">
        <v>13299</v>
      </c>
      <c r="CZ55" s="486">
        <v>13403</v>
      </c>
      <c r="DA55" s="486">
        <v>13450</v>
      </c>
      <c r="DB55" s="486">
        <v>13494</v>
      </c>
      <c r="DC55" s="486">
        <v>13513</v>
      </c>
      <c r="DD55" s="486">
        <v>13527</v>
      </c>
      <c r="DE55" s="728">
        <v>13525</v>
      </c>
      <c r="DF55" s="483"/>
    </row>
    <row r="56" spans="2:110" x14ac:dyDescent="0.35">
      <c r="B56" s="484" t="s">
        <v>312</v>
      </c>
      <c r="C56" s="485" t="s">
        <v>415</v>
      </c>
      <c r="D56" s="488"/>
      <c r="E56" s="488"/>
      <c r="F56" s="486"/>
      <c r="G56" s="486"/>
      <c r="H56" s="486">
        <v>1139</v>
      </c>
      <c r="I56" s="486">
        <v>1654</v>
      </c>
      <c r="J56" s="486">
        <v>1921</v>
      </c>
      <c r="K56" s="486"/>
      <c r="L56" s="486">
        <v>1929</v>
      </c>
      <c r="M56" s="486">
        <v>1929</v>
      </c>
      <c r="N56" s="486">
        <v>2012</v>
      </c>
      <c r="O56" s="486">
        <v>2032</v>
      </c>
      <c r="P56" s="486">
        <v>2031</v>
      </c>
      <c r="Q56" s="486">
        <v>2029</v>
      </c>
      <c r="R56" s="486">
        <v>1985</v>
      </c>
      <c r="S56" s="486">
        <v>1506</v>
      </c>
      <c r="T56" s="486">
        <v>1506</v>
      </c>
      <c r="U56" s="486">
        <v>1483</v>
      </c>
      <c r="V56" s="486">
        <v>1521</v>
      </c>
      <c r="W56" s="486">
        <v>1521</v>
      </c>
      <c r="X56" s="486">
        <v>1521</v>
      </c>
      <c r="Y56" s="486">
        <v>1561</v>
      </c>
      <c r="Z56" s="486">
        <v>1566</v>
      </c>
      <c r="AA56" s="486">
        <v>1581</v>
      </c>
      <c r="AB56" s="486">
        <v>5.0873499999999998</v>
      </c>
      <c r="AC56" s="486">
        <v>1605</v>
      </c>
      <c r="AD56" s="486">
        <v>1604</v>
      </c>
      <c r="AE56" s="486">
        <v>1603</v>
      </c>
      <c r="AF56" s="486">
        <v>1603</v>
      </c>
      <c r="AG56" s="486">
        <v>1676</v>
      </c>
      <c r="AH56" s="486">
        <v>1702</v>
      </c>
      <c r="AI56" s="486">
        <v>1837</v>
      </c>
      <c r="AJ56" s="486">
        <v>1842</v>
      </c>
      <c r="AK56" s="486">
        <v>2045</v>
      </c>
      <c r="AL56" s="486">
        <v>2174</v>
      </c>
      <c r="AM56" s="486">
        <v>2255</v>
      </c>
      <c r="AN56" s="486">
        <v>2655</v>
      </c>
      <c r="AO56" s="486">
        <v>2659</v>
      </c>
      <c r="AP56" s="486">
        <v>2659</v>
      </c>
      <c r="AQ56" s="486">
        <v>2664</v>
      </c>
      <c r="AR56" s="486">
        <v>3059</v>
      </c>
      <c r="AS56" s="486">
        <v>3059</v>
      </c>
      <c r="AT56" s="486">
        <v>3257</v>
      </c>
      <c r="AU56" s="486">
        <v>3633</v>
      </c>
      <c r="AV56" s="486">
        <v>3633</v>
      </c>
      <c r="AW56" s="486">
        <v>3634</v>
      </c>
      <c r="AX56" s="486">
        <v>4033</v>
      </c>
      <c r="AY56" s="486">
        <v>4033</v>
      </c>
      <c r="AZ56" s="486">
        <v>4033</v>
      </c>
      <c r="BA56" s="486">
        <v>4233</v>
      </c>
      <c r="BB56" s="486">
        <v>4233</v>
      </c>
      <c r="BC56" s="486">
        <v>4233</v>
      </c>
      <c r="BD56" s="486">
        <v>4233</v>
      </c>
      <c r="BE56" s="486">
        <v>4233</v>
      </c>
      <c r="BF56" s="486">
        <v>4233</v>
      </c>
      <c r="BG56" s="486">
        <v>4233</v>
      </c>
      <c r="BH56" s="486">
        <v>4233</v>
      </c>
      <c r="BI56" s="486">
        <v>4233</v>
      </c>
      <c r="BJ56" s="486">
        <v>4235</v>
      </c>
      <c r="BK56" s="486">
        <v>4253</v>
      </c>
      <c r="BL56" s="486">
        <v>4253</v>
      </c>
      <c r="BM56" s="486">
        <v>4252</v>
      </c>
      <c r="BN56" s="486">
        <v>4312</v>
      </c>
      <c r="BO56" s="486">
        <v>2560</v>
      </c>
      <c r="BP56" s="486">
        <v>2799</v>
      </c>
      <c r="BQ56" s="486">
        <v>3101</v>
      </c>
      <c r="BR56" s="486">
        <v>3209</v>
      </c>
      <c r="BS56" s="486">
        <v>3271</v>
      </c>
      <c r="BT56" s="486">
        <v>3501</v>
      </c>
      <c r="BU56" s="486">
        <v>3651</v>
      </c>
      <c r="BV56" s="486">
        <v>3651</v>
      </c>
      <c r="BW56" s="486">
        <v>3806</v>
      </c>
      <c r="BX56" s="486">
        <v>3806</v>
      </c>
      <c r="BY56" s="486">
        <v>5178</v>
      </c>
      <c r="BZ56" s="486">
        <v>6091</v>
      </c>
      <c r="CA56" s="486">
        <v>6091</v>
      </c>
      <c r="CB56" s="486">
        <v>7591</v>
      </c>
      <c r="CC56" s="486">
        <v>7591</v>
      </c>
      <c r="CD56" s="486">
        <v>7791</v>
      </c>
      <c r="CE56" s="486">
        <v>7796</v>
      </c>
      <c r="CF56" s="486">
        <v>7798</v>
      </c>
      <c r="CG56" s="486">
        <v>7998</v>
      </c>
      <c r="CH56" s="486">
        <v>7994</v>
      </c>
      <c r="CI56" s="486">
        <v>7994</v>
      </c>
      <c r="CJ56" s="486">
        <v>10994</v>
      </c>
      <c r="CK56" s="486">
        <v>10994</v>
      </c>
      <c r="CL56" s="486">
        <v>10539</v>
      </c>
      <c r="CM56" s="486">
        <v>10539</v>
      </c>
      <c r="CN56" s="486">
        <v>10539</v>
      </c>
      <c r="CO56" s="486">
        <v>10540</v>
      </c>
      <c r="CP56" s="486">
        <v>10541</v>
      </c>
      <c r="CQ56" s="486">
        <v>10741</v>
      </c>
      <c r="CR56" s="486">
        <v>10741</v>
      </c>
      <c r="CS56" s="486">
        <v>10741</v>
      </c>
      <c r="CT56" s="486">
        <v>10842</v>
      </c>
      <c r="CU56" s="486">
        <v>10802</v>
      </c>
      <c r="CV56" s="486">
        <v>10802</v>
      </c>
      <c r="CW56" s="486">
        <v>12522</v>
      </c>
      <c r="CX56" s="486">
        <v>12522</v>
      </c>
      <c r="CY56" s="486">
        <v>12522</v>
      </c>
      <c r="CZ56" s="486">
        <v>12514</v>
      </c>
      <c r="DA56" s="486">
        <v>12514</v>
      </c>
      <c r="DB56" s="486">
        <v>4656</v>
      </c>
      <c r="DC56" s="486">
        <v>4657</v>
      </c>
      <c r="DD56" s="486">
        <v>4657</v>
      </c>
      <c r="DE56" s="728">
        <v>4657</v>
      </c>
      <c r="DF56" s="483"/>
    </row>
    <row r="57" spans="2:110" x14ac:dyDescent="0.35">
      <c r="B57" s="484" t="s">
        <v>416</v>
      </c>
      <c r="C57" s="484" t="s">
        <v>417</v>
      </c>
      <c r="D57" s="486"/>
      <c r="E57" s="486"/>
      <c r="F57" s="486"/>
      <c r="G57" s="486"/>
      <c r="H57" s="486"/>
      <c r="I57" s="486"/>
      <c r="J57" s="486"/>
      <c r="K57" s="486"/>
      <c r="L57" s="486"/>
      <c r="M57" s="486"/>
      <c r="N57" s="486"/>
      <c r="O57" s="486"/>
      <c r="P57" s="486"/>
      <c r="Q57" s="486"/>
      <c r="R57" s="486"/>
      <c r="S57" s="486"/>
      <c r="T57" s="486"/>
      <c r="U57" s="486"/>
      <c r="V57" s="486"/>
      <c r="W57" s="486"/>
      <c r="X57" s="486"/>
      <c r="Y57" s="486"/>
      <c r="Z57" s="486"/>
      <c r="AA57" s="486"/>
      <c r="AB57" s="486"/>
      <c r="AC57" s="486"/>
      <c r="AD57" s="486"/>
      <c r="AE57" s="486"/>
      <c r="AF57" s="486"/>
      <c r="AG57" s="486"/>
      <c r="AH57" s="486"/>
      <c r="AI57" s="486"/>
      <c r="AJ57" s="486"/>
      <c r="AK57" s="486"/>
      <c r="AL57" s="486"/>
      <c r="AM57" s="486"/>
      <c r="AN57" s="486"/>
      <c r="AO57" s="483"/>
      <c r="AP57" s="483"/>
      <c r="AQ57" s="483"/>
      <c r="AR57" s="483"/>
      <c r="AS57" s="486"/>
      <c r="AT57" s="486"/>
      <c r="AU57" s="486"/>
      <c r="AV57" s="486"/>
      <c r="AZ57" s="486"/>
      <c r="BA57" s="486"/>
      <c r="BB57" s="486">
        <v>2178</v>
      </c>
      <c r="BC57" s="486">
        <v>2547</v>
      </c>
      <c r="BD57" s="486">
        <v>4856</v>
      </c>
      <c r="BE57" s="486">
        <v>5219</v>
      </c>
      <c r="BF57" s="486">
        <v>5378</v>
      </c>
      <c r="BG57" s="486">
        <v>5807</v>
      </c>
      <c r="BH57" s="486">
        <v>6196</v>
      </c>
      <c r="BI57" s="486">
        <v>6454</v>
      </c>
      <c r="BJ57" s="486">
        <v>6454</v>
      </c>
      <c r="BK57" s="486">
        <v>6454</v>
      </c>
      <c r="BL57" s="486">
        <v>6454</v>
      </c>
      <c r="BM57" s="486">
        <v>6455</v>
      </c>
      <c r="BN57" s="486">
        <v>6650</v>
      </c>
      <c r="BO57" s="486">
        <v>6652</v>
      </c>
      <c r="BP57" s="486">
        <v>7146</v>
      </c>
      <c r="BQ57" s="486">
        <v>7145</v>
      </c>
      <c r="BR57" s="486">
        <v>7146</v>
      </c>
      <c r="BS57" s="486">
        <v>6934</v>
      </c>
      <c r="BT57" s="486">
        <v>6934</v>
      </c>
      <c r="BU57" s="486">
        <v>7180</v>
      </c>
      <c r="BV57" s="486">
        <v>6211</v>
      </c>
      <c r="BW57" s="486">
        <v>3075</v>
      </c>
      <c r="BX57" s="486">
        <v>3139</v>
      </c>
      <c r="BY57" s="486">
        <v>3968</v>
      </c>
      <c r="BZ57" s="486">
        <v>3967</v>
      </c>
      <c r="CA57" s="486">
        <v>4544</v>
      </c>
      <c r="CB57" s="486">
        <v>4540</v>
      </c>
      <c r="CC57" s="486">
        <v>4883</v>
      </c>
      <c r="CD57" s="486">
        <v>4978</v>
      </c>
      <c r="CE57" s="486">
        <v>5650</v>
      </c>
      <c r="CF57" s="486">
        <v>6497</v>
      </c>
      <c r="CG57" s="486">
        <v>7895</v>
      </c>
      <c r="CH57" s="486">
        <v>7885</v>
      </c>
      <c r="CI57" s="486">
        <v>7703</v>
      </c>
      <c r="CJ57" s="486">
        <v>7698</v>
      </c>
      <c r="CK57" s="486">
        <v>7702</v>
      </c>
      <c r="CL57" s="486">
        <v>7709</v>
      </c>
      <c r="CM57" s="486">
        <v>7697</v>
      </c>
      <c r="CN57" s="486">
        <v>7682</v>
      </c>
      <c r="CO57" s="486">
        <v>7695</v>
      </c>
      <c r="CP57" s="486">
        <v>7650</v>
      </c>
      <c r="CQ57" s="486">
        <v>7660</v>
      </c>
      <c r="CR57" s="486">
        <v>7606</v>
      </c>
      <c r="CS57" s="486">
        <v>7591</v>
      </c>
      <c r="CT57" s="486">
        <v>7611</v>
      </c>
      <c r="CU57" s="486">
        <v>8416</v>
      </c>
      <c r="CV57" s="486">
        <v>8659</v>
      </c>
      <c r="CW57" s="486">
        <v>8677</v>
      </c>
      <c r="CX57" s="486">
        <v>9029</v>
      </c>
      <c r="CY57" s="486">
        <v>8951</v>
      </c>
      <c r="CZ57" s="486">
        <v>9415</v>
      </c>
      <c r="DA57" s="486">
        <v>9684</v>
      </c>
      <c r="DB57" s="486">
        <v>9684</v>
      </c>
      <c r="DC57" s="486">
        <v>10164</v>
      </c>
      <c r="DD57" s="486">
        <v>10165</v>
      </c>
      <c r="DE57" s="728">
        <v>10209</v>
      </c>
      <c r="DF57" s="483"/>
    </row>
    <row r="58" spans="2:110" x14ac:dyDescent="0.35">
      <c r="B58" s="484" t="s">
        <v>418</v>
      </c>
      <c r="C58" s="485" t="s">
        <v>419</v>
      </c>
      <c r="D58" s="486"/>
      <c r="E58" s="486"/>
      <c r="F58" s="486"/>
      <c r="G58" s="486"/>
      <c r="H58" s="486"/>
      <c r="I58" s="486"/>
      <c r="J58" s="486"/>
      <c r="K58" s="486"/>
      <c r="L58" s="486"/>
      <c r="M58" s="486"/>
      <c r="N58" s="486"/>
      <c r="O58" s="486"/>
      <c r="P58" s="486"/>
      <c r="Q58" s="486"/>
      <c r="R58" s="486"/>
      <c r="S58" s="486"/>
      <c r="T58" s="486"/>
      <c r="U58" s="486"/>
      <c r="V58" s="486"/>
      <c r="W58" s="486"/>
      <c r="X58" s="486"/>
      <c r="Y58" s="486"/>
      <c r="Z58" s="486"/>
      <c r="AA58" s="486"/>
      <c r="AB58" s="486"/>
      <c r="AC58" s="486"/>
      <c r="AD58" s="486"/>
      <c r="AE58" s="486"/>
      <c r="AF58" s="486"/>
      <c r="AG58" s="486"/>
      <c r="AH58" s="486"/>
      <c r="AI58" s="486"/>
      <c r="AJ58" s="486"/>
      <c r="AK58" s="486"/>
      <c r="AL58" s="486"/>
      <c r="AM58" s="486"/>
      <c r="AN58" s="486"/>
      <c r="AO58" s="486"/>
      <c r="AP58" s="486"/>
      <c r="AQ58" s="486"/>
      <c r="AR58" s="486"/>
      <c r="AS58" s="486"/>
      <c r="AT58" s="486"/>
      <c r="AU58" s="486"/>
      <c r="AV58" s="486"/>
      <c r="AZ58" s="486"/>
      <c r="BA58" s="486"/>
      <c r="BB58" s="486"/>
      <c r="BC58" s="486"/>
      <c r="BD58" s="486"/>
      <c r="BE58" s="483"/>
      <c r="BF58" s="483"/>
      <c r="BG58" s="486"/>
      <c r="BH58" s="486"/>
      <c r="BI58" s="486"/>
      <c r="BJ58" s="486"/>
      <c r="BK58" s="486"/>
      <c r="BL58" s="486"/>
      <c r="BM58" s="486"/>
      <c r="BN58" s="486"/>
      <c r="BO58" s="486"/>
      <c r="BP58" s="486"/>
      <c r="BQ58" s="486"/>
      <c r="BR58" s="486"/>
      <c r="BS58" s="486"/>
      <c r="BT58" s="486"/>
      <c r="BU58" s="486">
        <v>1013</v>
      </c>
      <c r="BV58" s="486">
        <v>1083</v>
      </c>
      <c r="BW58" s="486">
        <v>1160</v>
      </c>
      <c r="BX58" s="486">
        <v>1159</v>
      </c>
      <c r="BY58" s="486">
        <v>1163</v>
      </c>
      <c r="BZ58" s="486">
        <v>1163</v>
      </c>
      <c r="CA58" s="486">
        <v>1252</v>
      </c>
      <c r="CB58" s="486">
        <v>1254</v>
      </c>
      <c r="CC58" s="486">
        <v>1712</v>
      </c>
      <c r="CD58" s="486">
        <v>1944</v>
      </c>
      <c r="CE58" s="486">
        <v>2021</v>
      </c>
      <c r="CF58" s="486">
        <v>2243</v>
      </c>
      <c r="CG58" s="486">
        <v>2243</v>
      </c>
      <c r="CH58" s="486">
        <v>2262</v>
      </c>
      <c r="CI58" s="486">
        <v>2316</v>
      </c>
      <c r="CJ58" s="486">
        <v>2392</v>
      </c>
      <c r="CK58" s="486">
        <v>2428</v>
      </c>
      <c r="CL58" s="486">
        <v>2432</v>
      </c>
      <c r="CM58" s="486">
        <v>2442</v>
      </c>
      <c r="CN58" s="486">
        <v>2450</v>
      </c>
      <c r="CO58" s="486">
        <v>2703</v>
      </c>
      <c r="CP58" s="486">
        <v>2751</v>
      </c>
      <c r="CQ58" s="486">
        <v>2750</v>
      </c>
      <c r="CR58" s="486">
        <v>2751</v>
      </c>
      <c r="CS58" s="486">
        <v>2800</v>
      </c>
      <c r="CT58" s="486">
        <v>2861</v>
      </c>
      <c r="CU58" s="486">
        <v>2858</v>
      </c>
      <c r="CV58" s="486">
        <v>2853</v>
      </c>
      <c r="CW58" s="486">
        <v>2867</v>
      </c>
      <c r="CX58" s="486">
        <v>2881</v>
      </c>
      <c r="CY58" s="486">
        <v>2926</v>
      </c>
      <c r="CZ58" s="486">
        <v>2951</v>
      </c>
      <c r="DA58" s="486">
        <v>3001</v>
      </c>
      <c r="DB58" s="486">
        <v>3022</v>
      </c>
      <c r="DC58" s="486">
        <v>3042</v>
      </c>
      <c r="DD58" s="486">
        <v>3070</v>
      </c>
      <c r="DE58" s="728">
        <v>3087</v>
      </c>
      <c r="DF58" s="483"/>
    </row>
    <row r="59" spans="2:110" x14ac:dyDescent="0.35">
      <c r="B59" s="484" t="s">
        <v>420</v>
      </c>
      <c r="C59" s="485" t="s">
        <v>421</v>
      </c>
      <c r="D59" s="486"/>
      <c r="E59" s="486"/>
      <c r="F59" s="486"/>
      <c r="G59" s="486"/>
      <c r="H59" s="486"/>
      <c r="I59" s="486"/>
      <c r="J59" s="486"/>
      <c r="K59" s="486"/>
      <c r="L59" s="486"/>
      <c r="M59" s="486"/>
      <c r="N59" s="486"/>
      <c r="O59" s="486"/>
      <c r="P59" s="486"/>
      <c r="Q59" s="486"/>
      <c r="R59" s="486"/>
      <c r="S59" s="486"/>
      <c r="T59" s="486"/>
      <c r="U59" s="486"/>
      <c r="V59" s="486"/>
      <c r="W59" s="486"/>
      <c r="X59" s="486"/>
      <c r="Y59" s="486"/>
      <c r="Z59" s="486"/>
      <c r="AA59" s="486"/>
      <c r="AB59" s="486"/>
      <c r="AC59" s="486"/>
      <c r="AD59" s="486"/>
      <c r="AE59" s="486"/>
      <c r="AF59" s="486"/>
      <c r="AG59" s="486"/>
      <c r="AH59" s="486"/>
      <c r="AI59" s="486"/>
      <c r="AJ59" s="486"/>
      <c r="AK59" s="486"/>
      <c r="AL59" s="486"/>
      <c r="AM59" s="486"/>
      <c r="AN59" s="486"/>
      <c r="AO59" s="483"/>
      <c r="AP59" s="483"/>
      <c r="AQ59" s="483"/>
      <c r="AR59" s="483"/>
      <c r="AS59" s="486">
        <v>3051</v>
      </c>
      <c r="AT59" s="486">
        <v>7551</v>
      </c>
      <c r="AU59" s="486">
        <v>7549</v>
      </c>
      <c r="AV59" s="486">
        <v>7552</v>
      </c>
      <c r="AW59" s="486">
        <v>7551</v>
      </c>
      <c r="AX59" s="486">
        <v>7551</v>
      </c>
      <c r="AY59" s="486">
        <v>7551</v>
      </c>
      <c r="AZ59" s="486">
        <v>7551</v>
      </c>
      <c r="BA59" s="486">
        <v>9551</v>
      </c>
      <c r="BB59" s="486">
        <v>9551</v>
      </c>
      <c r="BC59" s="486">
        <v>13049</v>
      </c>
      <c r="BD59" s="486">
        <v>13049</v>
      </c>
      <c r="BE59" s="486">
        <v>17549</v>
      </c>
      <c r="BF59" s="486">
        <v>17549</v>
      </c>
      <c r="BG59" s="486">
        <v>17549</v>
      </c>
      <c r="BH59" s="486">
        <v>20549</v>
      </c>
      <c r="BI59" s="486">
        <v>20549</v>
      </c>
      <c r="BJ59" s="486">
        <v>20549</v>
      </c>
      <c r="BK59" s="486">
        <v>20549</v>
      </c>
      <c r="BL59" s="486">
        <v>20549</v>
      </c>
      <c r="BM59" s="486">
        <v>20549</v>
      </c>
      <c r="BN59" s="486">
        <v>20548</v>
      </c>
      <c r="BO59" s="486">
        <v>19570</v>
      </c>
      <c r="BP59" s="486">
        <v>19570</v>
      </c>
      <c r="BQ59" s="486">
        <v>19570</v>
      </c>
      <c r="BR59" s="486">
        <v>18131</v>
      </c>
      <c r="BS59" s="486">
        <v>17990</v>
      </c>
      <c r="BT59" s="486">
        <v>17988</v>
      </c>
      <c r="BU59" s="486">
        <v>17925</v>
      </c>
      <c r="BV59" s="486">
        <v>17864</v>
      </c>
      <c r="BW59" s="486">
        <v>17864</v>
      </c>
      <c r="BX59" s="486">
        <v>17866</v>
      </c>
      <c r="BY59" s="486">
        <v>17627</v>
      </c>
      <c r="BZ59" s="486">
        <v>17628</v>
      </c>
      <c r="CA59" s="486">
        <v>17634</v>
      </c>
      <c r="CB59" s="486">
        <v>17640</v>
      </c>
      <c r="CC59" s="486">
        <v>17471</v>
      </c>
      <c r="CD59" s="486">
        <v>14201</v>
      </c>
      <c r="CE59" s="486">
        <v>14201</v>
      </c>
      <c r="CF59" s="486">
        <v>14186</v>
      </c>
      <c r="CG59" s="486">
        <v>14186</v>
      </c>
      <c r="CH59" s="486">
        <v>14185</v>
      </c>
      <c r="CI59" s="486">
        <v>13267</v>
      </c>
      <c r="CJ59" s="486">
        <v>13265</v>
      </c>
      <c r="CK59" s="486">
        <v>13265</v>
      </c>
      <c r="CL59" s="486">
        <v>13265</v>
      </c>
      <c r="CM59" s="486">
        <v>12611</v>
      </c>
      <c r="CN59" s="486">
        <v>12446</v>
      </c>
      <c r="CO59" s="486">
        <v>12446</v>
      </c>
      <c r="CP59" s="486">
        <v>12445</v>
      </c>
      <c r="CQ59" s="486">
        <v>12445</v>
      </c>
      <c r="CR59" s="486">
        <v>12445</v>
      </c>
      <c r="CS59" s="486">
        <v>12444</v>
      </c>
      <c r="CT59" s="486">
        <v>12444</v>
      </c>
      <c r="CU59" s="486">
        <v>12444</v>
      </c>
      <c r="CV59" s="486">
        <v>12444</v>
      </c>
      <c r="CW59" s="486">
        <v>12444</v>
      </c>
      <c r="CX59" s="486">
        <v>12444</v>
      </c>
      <c r="CY59" s="486">
        <v>8319</v>
      </c>
      <c r="CZ59" s="486">
        <v>8319</v>
      </c>
      <c r="DA59" s="486">
        <v>8319</v>
      </c>
      <c r="DB59" s="486">
        <v>8319</v>
      </c>
      <c r="DC59" s="486">
        <v>8319</v>
      </c>
      <c r="DD59" s="486">
        <v>8319</v>
      </c>
      <c r="DE59" s="728">
        <v>8319</v>
      </c>
      <c r="DF59" s="483"/>
    </row>
    <row r="60" spans="2:110" x14ac:dyDescent="0.35">
      <c r="B60" s="484" t="s">
        <v>422</v>
      </c>
      <c r="C60" s="485" t="s">
        <v>423</v>
      </c>
      <c r="D60" s="486"/>
      <c r="E60" s="486"/>
      <c r="F60" s="486"/>
      <c r="G60" s="486"/>
      <c r="H60" s="486"/>
      <c r="I60" s="486"/>
      <c r="J60" s="486"/>
      <c r="K60" s="486"/>
      <c r="L60" s="486"/>
      <c r="M60" s="486"/>
      <c r="N60" s="486"/>
      <c r="O60" s="486"/>
      <c r="P60" s="486"/>
      <c r="Q60" s="486"/>
      <c r="R60" s="486"/>
      <c r="S60" s="486"/>
      <c r="T60" s="486"/>
      <c r="U60" s="486"/>
      <c r="V60" s="486"/>
      <c r="W60" s="486"/>
      <c r="X60" s="486"/>
      <c r="Y60" s="486"/>
      <c r="Z60" s="486"/>
      <c r="AA60" s="486">
        <v>1000</v>
      </c>
      <c r="AB60" s="486">
        <v>1400</v>
      </c>
      <c r="AC60" s="486">
        <v>1800</v>
      </c>
      <c r="AD60" s="486">
        <v>2000</v>
      </c>
      <c r="AE60" s="486">
        <v>2300</v>
      </c>
      <c r="AF60" s="486">
        <v>2700</v>
      </c>
      <c r="AG60" s="486">
        <v>2700</v>
      </c>
      <c r="AH60" s="486">
        <v>3000</v>
      </c>
      <c r="AI60" s="486">
        <v>3500</v>
      </c>
      <c r="AJ60" s="486">
        <v>3500</v>
      </c>
      <c r="AK60" s="486">
        <v>3800</v>
      </c>
      <c r="AL60" s="486">
        <v>4150</v>
      </c>
      <c r="AM60" s="486">
        <v>4299</v>
      </c>
      <c r="AN60" s="486">
        <v>4529</v>
      </c>
      <c r="AO60" s="486">
        <v>4750</v>
      </c>
      <c r="AP60" s="486">
        <v>5100</v>
      </c>
      <c r="AQ60" s="486">
        <v>5279</v>
      </c>
      <c r="AR60" s="486">
        <v>5519</v>
      </c>
      <c r="AS60" s="486">
        <v>6079</v>
      </c>
      <c r="AT60" s="486">
        <v>7079</v>
      </c>
      <c r="AU60" s="486">
        <v>7079</v>
      </c>
      <c r="AV60" s="486">
        <v>7279</v>
      </c>
      <c r="AW60" s="486">
        <v>7529</v>
      </c>
      <c r="AX60" s="486">
        <v>7529</v>
      </c>
      <c r="AY60" s="486">
        <v>7529</v>
      </c>
      <c r="AZ60" s="486">
        <v>7829</v>
      </c>
      <c r="BA60" s="486">
        <v>7879</v>
      </c>
      <c r="BB60" s="486">
        <v>8129</v>
      </c>
      <c r="BC60" s="486">
        <v>8329</v>
      </c>
      <c r="BD60" s="486">
        <v>8529</v>
      </c>
      <c r="BE60" s="486">
        <v>8704</v>
      </c>
      <c r="BF60" s="486">
        <v>8829</v>
      </c>
      <c r="BG60" s="486">
        <v>9052</v>
      </c>
      <c r="BH60" s="486">
        <v>9237</v>
      </c>
      <c r="BI60" s="486">
        <v>9379</v>
      </c>
      <c r="BJ60" s="486">
        <v>8694</v>
      </c>
      <c r="BK60" s="486">
        <v>8839</v>
      </c>
      <c r="BL60" s="486">
        <v>8833</v>
      </c>
      <c r="BM60" s="486">
        <v>8830</v>
      </c>
      <c r="BN60" s="486">
        <v>8785</v>
      </c>
      <c r="BO60" s="486">
        <v>8776</v>
      </c>
      <c r="BP60" s="486">
        <v>8772</v>
      </c>
      <c r="BQ60" s="486">
        <v>8753</v>
      </c>
      <c r="BR60" s="486">
        <v>8491</v>
      </c>
      <c r="BS60" s="486">
        <v>8488</v>
      </c>
      <c r="BT60" s="486">
        <v>8489</v>
      </c>
      <c r="BU60" s="486">
        <v>8488</v>
      </c>
      <c r="BV60" s="486">
        <v>8484</v>
      </c>
      <c r="BW60" s="486">
        <v>8463</v>
      </c>
      <c r="BX60" s="486">
        <v>7471</v>
      </c>
      <c r="BY60" s="486">
        <v>7543</v>
      </c>
      <c r="BZ60" s="486">
        <v>7560</v>
      </c>
      <c r="CA60" s="486">
        <v>8078</v>
      </c>
      <c r="CB60" s="486">
        <v>8287</v>
      </c>
      <c r="CC60" s="486">
        <v>9707</v>
      </c>
      <c r="CD60" s="486">
        <v>9705</v>
      </c>
      <c r="CE60" s="486">
        <v>9700</v>
      </c>
      <c r="CF60" s="486">
        <v>9705</v>
      </c>
      <c r="CG60" s="486">
        <v>10345</v>
      </c>
      <c r="CH60" s="486">
        <v>10547</v>
      </c>
      <c r="CI60" s="486">
        <v>10546</v>
      </c>
      <c r="CJ60" s="486">
        <v>10511</v>
      </c>
      <c r="CK60" s="486">
        <v>10508</v>
      </c>
      <c r="CL60" s="486">
        <v>10503</v>
      </c>
      <c r="CM60" s="486">
        <v>10661</v>
      </c>
      <c r="CN60" s="486">
        <v>11245</v>
      </c>
      <c r="CO60" s="486">
        <v>11138</v>
      </c>
      <c r="CP60" s="486">
        <v>11536</v>
      </c>
      <c r="CQ60" s="486">
        <v>11492</v>
      </c>
      <c r="CR60" s="486">
        <v>11818</v>
      </c>
      <c r="CS60" s="486">
        <v>11835</v>
      </c>
      <c r="CT60" s="486">
        <v>12032</v>
      </c>
      <c r="CU60" s="486">
        <v>12479</v>
      </c>
      <c r="CV60" s="486">
        <v>12476</v>
      </c>
      <c r="CW60" s="486">
        <v>12248</v>
      </c>
      <c r="CX60" s="486">
        <v>12431</v>
      </c>
      <c r="CY60" s="486">
        <v>12377</v>
      </c>
      <c r="CZ60" s="486">
        <v>12240</v>
      </c>
      <c r="DA60" s="486">
        <v>12269</v>
      </c>
      <c r="DB60" s="486">
        <v>12201</v>
      </c>
      <c r="DC60" s="486">
        <v>12299</v>
      </c>
      <c r="DD60" s="486">
        <v>12290</v>
      </c>
      <c r="DE60" s="728">
        <v>12488</v>
      </c>
      <c r="DF60" s="483"/>
    </row>
    <row r="61" spans="2:110" x14ac:dyDescent="0.35">
      <c r="B61" s="484" t="s">
        <v>424</v>
      </c>
      <c r="C61" s="485" t="s">
        <v>425</v>
      </c>
      <c r="D61" s="486">
        <v>0</v>
      </c>
      <c r="E61" s="486">
        <v>0</v>
      </c>
      <c r="F61" s="486">
        <v>1</v>
      </c>
      <c r="G61" s="486">
        <v>3743</v>
      </c>
      <c r="H61" s="486">
        <v>42603</v>
      </c>
      <c r="I61" s="486">
        <v>69908</v>
      </c>
      <c r="J61" s="486">
        <v>93598</v>
      </c>
      <c r="K61" s="486"/>
      <c r="L61" s="486">
        <v>93797</v>
      </c>
      <c r="M61" s="486">
        <v>95737</v>
      </c>
      <c r="N61" s="486">
        <v>95750</v>
      </c>
      <c r="O61" s="486">
        <v>95854</v>
      </c>
      <c r="P61" s="486">
        <v>97462</v>
      </c>
      <c r="Q61" s="486">
        <v>98502</v>
      </c>
      <c r="R61" s="486">
        <v>98698</v>
      </c>
      <c r="S61" s="486">
        <v>98866</v>
      </c>
      <c r="T61" s="486">
        <v>100968</v>
      </c>
      <c r="U61" s="486">
        <v>101430</v>
      </c>
      <c r="V61" s="486">
        <v>101428</v>
      </c>
      <c r="W61" s="486">
        <v>103515</v>
      </c>
      <c r="X61" s="486">
        <v>103510</v>
      </c>
      <c r="Y61" s="486">
        <v>103514</v>
      </c>
      <c r="Z61" s="486">
        <v>104513</v>
      </c>
      <c r="AA61" s="486">
        <v>106712</v>
      </c>
      <c r="AB61" s="486">
        <v>112912</v>
      </c>
      <c r="AC61" s="486">
        <v>112912</v>
      </c>
      <c r="AD61" s="486">
        <v>113124</v>
      </c>
      <c r="AE61" s="486">
        <v>113123</v>
      </c>
      <c r="AF61" s="486">
        <v>113741</v>
      </c>
      <c r="AG61" s="486">
        <v>118856</v>
      </c>
      <c r="AH61" s="486">
        <v>119059</v>
      </c>
      <c r="AI61" s="486">
        <v>119063</v>
      </c>
      <c r="AJ61" s="486">
        <v>119063</v>
      </c>
      <c r="AK61" s="486">
        <v>119066</v>
      </c>
      <c r="AL61" s="486">
        <v>119102</v>
      </c>
      <c r="AM61" s="486">
        <v>119101</v>
      </c>
      <c r="AN61" s="486">
        <v>119182</v>
      </c>
      <c r="AO61" s="486">
        <v>119241</v>
      </c>
      <c r="AP61" s="486">
        <v>119241</v>
      </c>
      <c r="AQ61" s="486">
        <v>119242</v>
      </c>
      <c r="AR61" s="486">
        <v>119242</v>
      </c>
      <c r="AS61" s="486">
        <v>119442</v>
      </c>
      <c r="AT61" s="486">
        <v>119442</v>
      </c>
      <c r="AU61" s="486">
        <v>119443</v>
      </c>
      <c r="AV61" s="486">
        <v>119443</v>
      </c>
      <c r="AW61" s="486">
        <v>119443</v>
      </c>
      <c r="AX61" s="486">
        <v>119443</v>
      </c>
      <c r="AY61" s="486">
        <v>119445</v>
      </c>
      <c r="AZ61" s="486">
        <v>119445</v>
      </c>
      <c r="BA61" s="486">
        <v>119448</v>
      </c>
      <c r="BB61" s="486">
        <v>119448</v>
      </c>
      <c r="BC61" s="486">
        <v>119448</v>
      </c>
      <c r="BD61" s="486">
        <v>119448</v>
      </c>
      <c r="BE61" s="486">
        <v>119497</v>
      </c>
      <c r="BF61" s="486">
        <v>119497</v>
      </c>
      <c r="BG61" s="486">
        <v>119497</v>
      </c>
      <c r="BH61" s="486">
        <v>119507</v>
      </c>
      <c r="BI61" s="486">
        <v>119510</v>
      </c>
      <c r="BJ61" s="486">
        <v>119510</v>
      </c>
      <c r="BK61" s="486">
        <v>119510</v>
      </c>
      <c r="BL61" s="486">
        <v>119520</v>
      </c>
      <c r="BM61" s="486">
        <v>119531</v>
      </c>
      <c r="BN61" s="486">
        <v>117759</v>
      </c>
      <c r="BO61" s="486">
        <v>117759</v>
      </c>
      <c r="BP61" s="486">
        <v>117767</v>
      </c>
      <c r="BQ61" s="486">
        <v>117768</v>
      </c>
      <c r="BR61" s="486">
        <v>117772</v>
      </c>
      <c r="BS61" s="486">
        <v>117775</v>
      </c>
      <c r="BT61" s="486">
        <v>38950</v>
      </c>
      <c r="BU61" s="486">
        <v>40950</v>
      </c>
      <c r="BV61" s="486">
        <v>40951</v>
      </c>
      <c r="BW61" s="486">
        <v>40951</v>
      </c>
      <c r="BX61" s="486">
        <v>41029</v>
      </c>
      <c r="BY61" s="486">
        <v>41031</v>
      </c>
      <c r="BZ61" s="486">
        <v>41241</v>
      </c>
      <c r="CA61" s="486">
        <v>41241</v>
      </c>
      <c r="CB61" s="486">
        <v>41258</v>
      </c>
      <c r="CC61" s="486">
        <v>41258</v>
      </c>
      <c r="CD61" s="486">
        <v>41258</v>
      </c>
      <c r="CE61" s="486">
        <v>41263</v>
      </c>
      <c r="CF61" s="486">
        <v>41264</v>
      </c>
      <c r="CG61" s="486">
        <v>41264</v>
      </c>
      <c r="CH61" s="486">
        <v>41271</v>
      </c>
      <c r="CI61" s="486">
        <v>41287</v>
      </c>
      <c r="CJ61" s="486">
        <v>41287</v>
      </c>
      <c r="CK61" s="486">
        <v>41287</v>
      </c>
      <c r="CL61" s="486">
        <v>41291</v>
      </c>
      <c r="CM61" s="486">
        <v>41297</v>
      </c>
      <c r="CN61" s="486">
        <v>23042</v>
      </c>
      <c r="CO61" s="486">
        <v>23039</v>
      </c>
      <c r="CP61" s="486">
        <v>23040</v>
      </c>
      <c r="CQ61" s="486">
        <v>23040</v>
      </c>
      <c r="CR61" s="486">
        <v>10342</v>
      </c>
      <c r="CS61" s="486">
        <v>10345</v>
      </c>
      <c r="CT61" s="486">
        <v>10355</v>
      </c>
      <c r="CU61" s="486">
        <v>10471</v>
      </c>
      <c r="CV61" s="486">
        <v>10471</v>
      </c>
      <c r="CW61" s="486">
        <v>10456</v>
      </c>
      <c r="CX61" s="486">
        <v>10461</v>
      </c>
      <c r="CY61" s="486">
        <v>10463</v>
      </c>
      <c r="CZ61" s="486">
        <v>10469</v>
      </c>
      <c r="DA61" s="486">
        <v>10505</v>
      </c>
      <c r="DB61" s="486">
        <v>10507</v>
      </c>
      <c r="DC61" s="486">
        <v>10658</v>
      </c>
      <c r="DD61" s="486">
        <v>10659</v>
      </c>
      <c r="DE61" s="728">
        <v>10661</v>
      </c>
      <c r="DF61" s="483"/>
    </row>
    <row r="62" spans="2:110" x14ac:dyDescent="0.35">
      <c r="B62" s="484" t="s">
        <v>426</v>
      </c>
      <c r="C62" s="485" t="s">
        <v>427</v>
      </c>
      <c r="D62" s="486"/>
      <c r="E62" s="486"/>
      <c r="F62" s="486"/>
      <c r="G62" s="486"/>
      <c r="H62" s="486"/>
      <c r="I62" s="486"/>
      <c r="J62" s="486"/>
      <c r="K62" s="486"/>
      <c r="L62" s="486"/>
      <c r="M62" s="486"/>
      <c r="N62" s="486"/>
      <c r="O62" s="486"/>
      <c r="P62" s="486"/>
      <c r="Q62" s="486"/>
      <c r="R62" s="486"/>
      <c r="S62" s="486"/>
      <c r="T62" s="486"/>
      <c r="U62" s="486"/>
      <c r="V62" s="486"/>
      <c r="W62" s="486"/>
      <c r="X62" s="486"/>
      <c r="Y62" s="486"/>
      <c r="Z62" s="486"/>
      <c r="AA62" s="486"/>
      <c r="AB62" s="486">
        <v>1104</v>
      </c>
      <c r="AC62" s="486">
        <v>1304</v>
      </c>
      <c r="AD62" s="486">
        <v>1504</v>
      </c>
      <c r="AE62" s="486">
        <v>1837</v>
      </c>
      <c r="AF62" s="486">
        <v>2032</v>
      </c>
      <c r="AG62" s="486">
        <v>2229</v>
      </c>
      <c r="AH62" s="486">
        <v>2229</v>
      </c>
      <c r="AI62" s="486">
        <v>2429</v>
      </c>
      <c r="AJ62" s="486">
        <v>2629</v>
      </c>
      <c r="AK62" s="486">
        <v>2629</v>
      </c>
      <c r="AL62" s="486">
        <v>2829</v>
      </c>
      <c r="AM62" s="486">
        <v>3129</v>
      </c>
      <c r="AN62" s="486">
        <v>3529</v>
      </c>
      <c r="AO62" s="486">
        <v>3629</v>
      </c>
      <c r="AP62" s="486">
        <v>3485</v>
      </c>
      <c r="AQ62" s="486">
        <v>3568</v>
      </c>
      <c r="AR62" s="486">
        <v>3750</v>
      </c>
      <c r="AS62" s="486">
        <v>4100</v>
      </c>
      <c r="AT62" s="486">
        <v>4175</v>
      </c>
      <c r="AU62" s="486">
        <v>4052</v>
      </c>
      <c r="AV62" s="486">
        <v>3869</v>
      </c>
      <c r="AW62" s="486">
        <v>3832</v>
      </c>
      <c r="AX62" s="486">
        <v>4232</v>
      </c>
      <c r="AY62" s="486">
        <v>4560</v>
      </c>
      <c r="AZ62" s="486">
        <v>4661</v>
      </c>
      <c r="BA62" s="486">
        <v>4914</v>
      </c>
      <c r="BB62" s="486">
        <v>5118</v>
      </c>
      <c r="BC62" s="486">
        <v>5230</v>
      </c>
      <c r="BD62" s="486">
        <v>5416</v>
      </c>
      <c r="BE62" s="486">
        <v>5591</v>
      </c>
      <c r="BF62" s="486">
        <v>5665</v>
      </c>
      <c r="BG62" s="486">
        <v>5717</v>
      </c>
      <c r="BH62" s="486">
        <v>6038</v>
      </c>
      <c r="BI62" s="486">
        <v>6254</v>
      </c>
      <c r="BJ62" s="486">
        <v>6286</v>
      </c>
      <c r="BK62" s="486">
        <v>6322</v>
      </c>
      <c r="BL62" s="486">
        <v>6693</v>
      </c>
      <c r="BM62" s="486">
        <v>6979</v>
      </c>
      <c r="BN62" s="486">
        <v>7285</v>
      </c>
      <c r="BO62" s="486">
        <v>7487</v>
      </c>
      <c r="BP62" s="486">
        <v>7741</v>
      </c>
      <c r="BQ62" s="486">
        <v>7970</v>
      </c>
      <c r="BR62" s="486">
        <v>7937</v>
      </c>
      <c r="BS62" s="486">
        <v>7924</v>
      </c>
      <c r="BT62" s="486">
        <v>7918</v>
      </c>
      <c r="BU62" s="486">
        <v>7897</v>
      </c>
      <c r="BV62" s="486">
        <v>8326</v>
      </c>
      <c r="BW62" s="486">
        <v>8483</v>
      </c>
      <c r="BX62" s="486">
        <v>8529</v>
      </c>
      <c r="BY62" s="486">
        <v>8872</v>
      </c>
      <c r="BZ62" s="486">
        <v>9129</v>
      </c>
      <c r="CA62" s="486">
        <v>9474</v>
      </c>
      <c r="CB62" s="486">
        <v>9813</v>
      </c>
      <c r="CC62" s="486">
        <v>10101</v>
      </c>
      <c r="CD62" s="486">
        <v>10441</v>
      </c>
      <c r="CE62" s="486">
        <v>10514</v>
      </c>
      <c r="CF62" s="486">
        <v>10066</v>
      </c>
      <c r="CG62" s="486">
        <v>10157</v>
      </c>
      <c r="CH62" s="486">
        <v>10139</v>
      </c>
      <c r="CI62" s="486">
        <v>10115</v>
      </c>
      <c r="CJ62" s="486">
        <v>10068</v>
      </c>
      <c r="CK62" s="486">
        <v>10071</v>
      </c>
      <c r="CL62" s="486">
        <v>10096</v>
      </c>
      <c r="CM62" s="486">
        <v>9432</v>
      </c>
      <c r="CN62" s="486">
        <v>9202</v>
      </c>
      <c r="CO62" s="486">
        <v>9008</v>
      </c>
      <c r="CP62" s="486">
        <v>8846</v>
      </c>
      <c r="CQ62" s="486">
        <v>8834</v>
      </c>
      <c r="CR62" s="486">
        <v>9070</v>
      </c>
      <c r="CS62" s="486">
        <v>9126</v>
      </c>
      <c r="CT62" s="486">
        <v>9134</v>
      </c>
      <c r="CU62" s="486">
        <v>9250</v>
      </c>
      <c r="CV62" s="486">
        <v>9367</v>
      </c>
      <c r="CW62" s="486">
        <v>9570</v>
      </c>
      <c r="CX62" s="486">
        <v>9986</v>
      </c>
      <c r="CY62" s="486">
        <v>10103</v>
      </c>
      <c r="CZ62" s="486">
        <v>10129</v>
      </c>
      <c r="DA62" s="486">
        <v>10593</v>
      </c>
      <c r="DB62" s="486">
        <v>10551</v>
      </c>
      <c r="DC62" s="486">
        <v>10240</v>
      </c>
      <c r="DD62" s="486">
        <v>10002</v>
      </c>
      <c r="DE62" s="728">
        <v>9872</v>
      </c>
      <c r="DF62" s="483"/>
    </row>
    <row r="63" spans="2:110" x14ac:dyDescent="0.35">
      <c r="B63" s="484" t="s">
        <v>428</v>
      </c>
      <c r="C63" s="485" t="s">
        <v>429</v>
      </c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  <c r="O63" s="486"/>
      <c r="P63" s="486"/>
      <c r="Q63" s="486"/>
      <c r="R63" s="486"/>
      <c r="S63" s="486"/>
      <c r="T63" s="486"/>
      <c r="U63" s="486"/>
      <c r="V63" s="486"/>
      <c r="W63" s="486"/>
      <c r="X63" s="486"/>
      <c r="Y63" s="486"/>
      <c r="Z63" s="486"/>
      <c r="AA63" s="486"/>
      <c r="AB63" s="486"/>
      <c r="AC63" s="486"/>
      <c r="AD63" s="486"/>
      <c r="AE63" s="486"/>
      <c r="AF63" s="486"/>
      <c r="AG63" s="486"/>
      <c r="AH63" s="486"/>
      <c r="AI63" s="486"/>
      <c r="AJ63" s="486"/>
      <c r="AK63" s="486"/>
      <c r="AL63" s="486"/>
      <c r="AM63" s="486"/>
      <c r="AN63" s="486"/>
      <c r="AO63" s="486"/>
      <c r="AP63" s="486"/>
      <c r="AQ63" s="486"/>
      <c r="AR63" s="486"/>
      <c r="AS63" s="486"/>
      <c r="AT63" s="486"/>
      <c r="AU63" s="486"/>
      <c r="AV63" s="486"/>
      <c r="AZ63" s="486"/>
      <c r="BA63" s="486"/>
      <c r="BB63" s="486"/>
      <c r="BC63" s="486"/>
      <c r="BD63" s="486"/>
      <c r="BE63" s="483"/>
      <c r="BF63" s="483"/>
      <c r="BG63" s="486"/>
      <c r="BH63" s="486"/>
      <c r="BI63" s="486"/>
      <c r="BJ63" s="486"/>
      <c r="BK63" s="486"/>
      <c r="BL63" s="486"/>
      <c r="BM63" s="486"/>
      <c r="BN63" s="486"/>
      <c r="BO63" s="486"/>
      <c r="BP63" s="486"/>
      <c r="BQ63" s="486"/>
      <c r="BR63" s="486"/>
      <c r="BS63" s="486"/>
      <c r="BT63" s="486"/>
      <c r="BU63" s="486">
        <v>868</v>
      </c>
      <c r="BV63" s="486">
        <v>986</v>
      </c>
      <c r="BW63" s="486">
        <v>1044</v>
      </c>
      <c r="BX63" s="486">
        <v>1054</v>
      </c>
      <c r="BY63" s="486">
        <v>1495</v>
      </c>
      <c r="BZ63" s="486">
        <v>1498</v>
      </c>
      <c r="CA63" s="486">
        <v>1523</v>
      </c>
      <c r="CB63" s="486">
        <v>1551</v>
      </c>
      <c r="CC63" s="486">
        <v>2695</v>
      </c>
      <c r="CD63" s="486">
        <v>3579</v>
      </c>
      <c r="CE63" s="486">
        <v>3618</v>
      </c>
      <c r="CF63" s="486">
        <v>4056</v>
      </c>
      <c r="CG63" s="486">
        <v>4094</v>
      </c>
      <c r="CH63" s="486">
        <v>4190</v>
      </c>
      <c r="CI63" s="486">
        <v>4559</v>
      </c>
      <c r="CJ63" s="486">
        <v>4815</v>
      </c>
      <c r="CK63" s="486">
        <v>5461</v>
      </c>
      <c r="CL63" s="486">
        <v>5815</v>
      </c>
      <c r="CM63" s="486">
        <v>6286</v>
      </c>
      <c r="CN63" s="486">
        <v>7012</v>
      </c>
      <c r="CO63" s="486">
        <v>7414</v>
      </c>
      <c r="CP63" s="486">
        <v>8005</v>
      </c>
      <c r="CQ63" s="486">
        <v>8640</v>
      </c>
      <c r="CR63" s="486">
        <v>8730</v>
      </c>
      <c r="CS63" s="486">
        <v>9317</v>
      </c>
      <c r="CT63" s="486">
        <v>9667</v>
      </c>
      <c r="CU63" s="486">
        <v>9283</v>
      </c>
      <c r="CV63" s="486">
        <v>9361</v>
      </c>
      <c r="CW63" s="486">
        <v>9661</v>
      </c>
      <c r="CX63" s="486">
        <v>9861</v>
      </c>
      <c r="CY63" s="486">
        <v>9861</v>
      </c>
      <c r="CZ63" s="486">
        <v>10777</v>
      </c>
      <c r="DA63" s="486">
        <v>10995</v>
      </c>
      <c r="DB63" s="486">
        <v>11189</v>
      </c>
      <c r="DC63" s="486">
        <v>10950</v>
      </c>
      <c r="DD63" s="486">
        <v>11042</v>
      </c>
      <c r="DE63" s="728">
        <v>11332</v>
      </c>
      <c r="DF63" s="483"/>
    </row>
    <row r="64" spans="2:110" x14ac:dyDescent="0.35">
      <c r="B64" s="484" t="s">
        <v>430</v>
      </c>
      <c r="C64" s="485" t="s">
        <v>431</v>
      </c>
      <c r="D64" s="486"/>
      <c r="E64" s="486"/>
      <c r="F64" s="486"/>
      <c r="G64" s="486"/>
      <c r="H64" s="486"/>
      <c r="I64" s="486"/>
      <c r="J64" s="486"/>
      <c r="K64" s="486"/>
      <c r="L64" s="486"/>
      <c r="M64" s="486"/>
      <c r="N64" s="486"/>
      <c r="O64" s="486"/>
      <c r="P64" s="486"/>
      <c r="Q64" s="486"/>
      <c r="R64" s="486"/>
      <c r="S64" s="486"/>
      <c r="T64" s="486"/>
      <c r="U64" s="486"/>
      <c r="V64" s="486"/>
      <c r="W64" s="486"/>
      <c r="X64" s="486"/>
      <c r="Y64" s="486"/>
      <c r="Z64" s="486"/>
      <c r="AA64" s="486"/>
      <c r="AB64" s="486"/>
      <c r="AC64" s="486"/>
      <c r="AD64" s="486"/>
      <c r="AE64" s="486"/>
      <c r="AF64" s="486"/>
      <c r="AG64" s="486"/>
      <c r="AH64" s="486"/>
      <c r="AI64" s="486"/>
      <c r="AJ64" s="486"/>
      <c r="AK64" s="486"/>
      <c r="AL64" s="486"/>
      <c r="AM64" s="486"/>
      <c r="AN64" s="486"/>
      <c r="AO64" s="486"/>
      <c r="AP64" s="486"/>
      <c r="AQ64" s="486"/>
      <c r="AR64" s="486"/>
      <c r="AS64" s="486"/>
      <c r="AT64" s="486"/>
      <c r="AU64" s="486"/>
      <c r="AV64" s="486"/>
      <c r="AW64" s="486"/>
      <c r="AX64" s="486"/>
      <c r="AY64" s="486"/>
      <c r="AZ64" s="486"/>
      <c r="BA64" s="486"/>
      <c r="BB64" s="486"/>
      <c r="BC64" s="486"/>
      <c r="BD64" s="486"/>
      <c r="BE64" s="483"/>
      <c r="BF64" s="483"/>
      <c r="BG64" s="483"/>
      <c r="BH64" s="483"/>
      <c r="BM64" s="486"/>
      <c r="BN64" s="486"/>
      <c r="BO64" s="486"/>
      <c r="BP64" s="486">
        <v>1485</v>
      </c>
      <c r="BQ64" s="486">
        <v>1692</v>
      </c>
      <c r="BR64" s="486">
        <v>1718</v>
      </c>
      <c r="BS64" s="486">
        <v>1858</v>
      </c>
      <c r="BT64" s="486">
        <v>2456</v>
      </c>
      <c r="BU64" s="486">
        <v>2627</v>
      </c>
      <c r="BV64" s="486">
        <v>3307</v>
      </c>
      <c r="BW64" s="486">
        <v>3411</v>
      </c>
      <c r="BX64" s="486">
        <v>3824</v>
      </c>
      <c r="BY64" s="486">
        <v>3824</v>
      </c>
      <c r="BZ64" s="486">
        <v>4419</v>
      </c>
      <c r="CA64" s="486">
        <v>5491</v>
      </c>
      <c r="CB64" s="486">
        <v>5491</v>
      </c>
      <c r="CC64" s="486">
        <v>5990</v>
      </c>
      <c r="CD64" s="486">
        <v>5990</v>
      </c>
      <c r="CE64" s="486">
        <v>5990</v>
      </c>
      <c r="CF64" s="486">
        <v>5990</v>
      </c>
      <c r="CG64" s="486">
        <v>6540</v>
      </c>
      <c r="CH64" s="486">
        <v>6990</v>
      </c>
      <c r="CI64" s="486">
        <v>6990</v>
      </c>
      <c r="CJ64" s="486">
        <v>6990</v>
      </c>
      <c r="CK64" s="486">
        <v>6990</v>
      </c>
      <c r="CL64" s="486">
        <v>7990</v>
      </c>
      <c r="CM64" s="486">
        <v>7990</v>
      </c>
      <c r="CN64" s="486">
        <v>7990</v>
      </c>
      <c r="CO64" s="486">
        <v>7990</v>
      </c>
      <c r="CP64" s="486">
        <v>7990</v>
      </c>
      <c r="CQ64" s="486">
        <v>7990</v>
      </c>
      <c r="CR64" s="486">
        <v>7990</v>
      </c>
      <c r="CS64" s="486">
        <v>7986</v>
      </c>
      <c r="CT64" s="486">
        <v>7985</v>
      </c>
      <c r="CU64" s="486">
        <v>9146</v>
      </c>
      <c r="CV64" s="486">
        <v>9221</v>
      </c>
      <c r="CW64" s="486">
        <v>9221</v>
      </c>
      <c r="CX64" s="486">
        <v>9220</v>
      </c>
      <c r="CY64" s="486">
        <v>9220</v>
      </c>
      <c r="CZ64" s="486">
        <v>9220</v>
      </c>
      <c r="DA64" s="486">
        <v>9220</v>
      </c>
      <c r="DB64" s="486">
        <v>9220</v>
      </c>
      <c r="DC64" s="486">
        <v>9220</v>
      </c>
      <c r="DD64" s="486">
        <v>9220</v>
      </c>
      <c r="DE64" s="728">
        <v>9220</v>
      </c>
      <c r="DF64" s="483"/>
    </row>
    <row r="65" spans="2:110" x14ac:dyDescent="0.35">
      <c r="B65" s="484" t="s">
        <v>432</v>
      </c>
      <c r="C65" s="484" t="s">
        <v>433</v>
      </c>
      <c r="D65" s="486"/>
      <c r="E65" s="486"/>
      <c r="F65" s="486"/>
      <c r="G65" s="486"/>
      <c r="H65" s="486"/>
      <c r="I65" s="486"/>
      <c r="J65" s="486"/>
      <c r="K65" s="486"/>
      <c r="L65" s="486"/>
      <c r="M65" s="486"/>
      <c r="N65" s="486"/>
      <c r="O65" s="486"/>
      <c r="P65" s="486"/>
      <c r="Q65" s="486"/>
      <c r="R65" s="486"/>
      <c r="S65" s="486"/>
      <c r="T65" s="486"/>
      <c r="U65" s="486"/>
      <c r="V65" s="486"/>
      <c r="W65" s="486"/>
      <c r="X65" s="486"/>
      <c r="Y65" s="486"/>
      <c r="Z65" s="486"/>
      <c r="AA65" s="486"/>
      <c r="AB65" s="486"/>
      <c r="AC65" s="486"/>
      <c r="AD65" s="486"/>
      <c r="AE65" s="486"/>
      <c r="AF65" s="486"/>
      <c r="AG65" s="486"/>
      <c r="AH65" s="486"/>
      <c r="AI65" s="486"/>
      <c r="AJ65" s="486"/>
      <c r="AK65" s="486"/>
      <c r="AL65" s="486"/>
      <c r="AM65" s="486"/>
      <c r="AN65" s="486"/>
      <c r="AO65" s="483"/>
      <c r="AP65" s="483"/>
      <c r="AQ65" s="483"/>
      <c r="AR65" s="483"/>
      <c r="AS65" s="486"/>
      <c r="AT65" s="486"/>
      <c r="AU65" s="486"/>
      <c r="AV65" s="486"/>
      <c r="AY65" s="486">
        <v>16471</v>
      </c>
      <c r="AZ65" s="486">
        <v>15709</v>
      </c>
      <c r="BA65" s="486">
        <v>15927</v>
      </c>
      <c r="BB65" s="486">
        <v>16150</v>
      </c>
      <c r="BC65" s="486">
        <v>16152</v>
      </c>
      <c r="BD65" s="486">
        <v>16480</v>
      </c>
      <c r="BE65" s="486">
        <v>16798</v>
      </c>
      <c r="BF65" s="486">
        <v>16829</v>
      </c>
      <c r="BG65" s="486">
        <v>16495</v>
      </c>
      <c r="BH65" s="486">
        <v>16501</v>
      </c>
      <c r="BI65" s="486">
        <v>16603</v>
      </c>
      <c r="BJ65" s="486">
        <v>15093</v>
      </c>
      <c r="BK65" s="486">
        <v>14767</v>
      </c>
      <c r="BL65" s="486">
        <v>14558</v>
      </c>
      <c r="BM65" s="486">
        <v>14416</v>
      </c>
      <c r="BN65" s="486">
        <v>12252</v>
      </c>
      <c r="BO65" s="486">
        <v>12570</v>
      </c>
      <c r="BP65" s="486">
        <v>12971</v>
      </c>
      <c r="BQ65" s="486">
        <v>13367</v>
      </c>
      <c r="BR65" s="486">
        <v>12879</v>
      </c>
      <c r="BS65" s="486">
        <v>12753</v>
      </c>
      <c r="BT65" s="486">
        <v>12828</v>
      </c>
      <c r="BU65" s="486">
        <v>12755</v>
      </c>
      <c r="BV65" s="486">
        <v>12410</v>
      </c>
      <c r="BW65" s="486">
        <v>12058</v>
      </c>
      <c r="BX65" s="486">
        <v>10742</v>
      </c>
      <c r="BY65" s="486">
        <v>10800</v>
      </c>
      <c r="BZ65" s="486">
        <v>12404</v>
      </c>
      <c r="CA65" s="486">
        <v>12577</v>
      </c>
      <c r="CB65" s="486">
        <v>12532</v>
      </c>
      <c r="CC65" s="486">
        <v>13120</v>
      </c>
      <c r="CD65" s="486">
        <v>12434</v>
      </c>
      <c r="CE65" s="486">
        <v>12209</v>
      </c>
      <c r="CF65" s="486">
        <v>12319</v>
      </c>
      <c r="CG65" s="486">
        <v>12286</v>
      </c>
      <c r="CH65" s="486">
        <v>12576</v>
      </c>
      <c r="CI65" s="486">
        <v>12352</v>
      </c>
      <c r="CJ65" s="486">
        <v>12103</v>
      </c>
      <c r="CK65" s="486">
        <v>12066</v>
      </c>
      <c r="CL65" s="486">
        <v>11951</v>
      </c>
      <c r="CM65" s="486">
        <v>11747</v>
      </c>
      <c r="CN65" s="486">
        <v>11691</v>
      </c>
      <c r="CO65" s="486">
        <v>11709</v>
      </c>
      <c r="CP65" s="486">
        <v>10142</v>
      </c>
      <c r="CQ65" s="486">
        <v>8621</v>
      </c>
      <c r="CR65" s="486">
        <v>8596</v>
      </c>
      <c r="CS65" s="486">
        <v>8570</v>
      </c>
      <c r="CT65" s="486">
        <v>8516</v>
      </c>
      <c r="CU65" s="486">
        <v>7511</v>
      </c>
      <c r="CV65" s="486">
        <v>8117</v>
      </c>
      <c r="CW65" s="486">
        <v>8064</v>
      </c>
      <c r="CX65" s="486">
        <v>9038</v>
      </c>
      <c r="CY65" s="486">
        <v>8434</v>
      </c>
      <c r="CZ65" s="486">
        <v>8434</v>
      </c>
      <c r="DA65" s="486">
        <v>8294</v>
      </c>
      <c r="DB65" s="486">
        <v>8261</v>
      </c>
      <c r="DC65" s="486">
        <v>8229</v>
      </c>
      <c r="DD65" s="486">
        <v>8216</v>
      </c>
      <c r="DE65" s="728">
        <v>7982</v>
      </c>
      <c r="DF65" s="483"/>
    </row>
    <row r="66" spans="2:110" x14ac:dyDescent="0.35">
      <c r="B66" s="484" t="s">
        <v>434</v>
      </c>
      <c r="C66" s="484" t="s">
        <v>435</v>
      </c>
      <c r="D66" s="486"/>
      <c r="E66" s="486"/>
      <c r="F66" s="486"/>
      <c r="G66" s="486"/>
      <c r="H66" s="486"/>
      <c r="I66" s="486"/>
      <c r="J66" s="486"/>
      <c r="K66" s="486"/>
      <c r="L66" s="486"/>
      <c r="M66" s="486"/>
      <c r="N66" s="486"/>
      <c r="O66" s="486"/>
      <c r="P66" s="486"/>
      <c r="Q66" s="486"/>
      <c r="R66" s="486"/>
      <c r="S66" s="486"/>
      <c r="T66" s="486"/>
      <c r="U66" s="486"/>
      <c r="V66" s="486"/>
      <c r="W66" s="486"/>
      <c r="X66" s="486"/>
      <c r="Y66" s="486"/>
      <c r="Z66" s="486"/>
      <c r="AA66" s="486"/>
      <c r="AB66" s="486"/>
      <c r="AC66" s="486"/>
      <c r="AD66" s="486"/>
      <c r="AE66" s="486"/>
      <c r="AF66" s="486"/>
      <c r="AG66" s="486"/>
      <c r="AH66" s="486"/>
      <c r="AI66" s="486"/>
      <c r="AJ66" s="486"/>
      <c r="AK66" s="486"/>
      <c r="AL66" s="486"/>
      <c r="AM66" s="486"/>
      <c r="AN66" s="486"/>
      <c r="AO66" s="483"/>
      <c r="AP66" s="483"/>
      <c r="AQ66" s="483"/>
      <c r="AR66" s="483"/>
      <c r="AS66" s="486"/>
      <c r="AT66" s="486"/>
      <c r="AU66" s="486"/>
      <c r="AV66" s="486"/>
      <c r="AZ66" s="486"/>
      <c r="BA66" s="486"/>
      <c r="BB66" s="486"/>
      <c r="BC66" s="486"/>
      <c r="BD66" s="486"/>
      <c r="BE66" s="486">
        <v>1142</v>
      </c>
      <c r="BF66" s="486">
        <v>1142</v>
      </c>
      <c r="BG66" s="486">
        <v>1142</v>
      </c>
      <c r="BH66" s="486">
        <v>1142</v>
      </c>
      <c r="BI66" s="486">
        <v>1370</v>
      </c>
      <c r="BJ66" s="486">
        <v>1370</v>
      </c>
      <c r="BK66" s="486">
        <v>1638</v>
      </c>
      <c r="BL66" s="486">
        <v>1638</v>
      </c>
      <c r="BM66" s="486">
        <v>1638</v>
      </c>
      <c r="BN66" s="486">
        <v>1637</v>
      </c>
      <c r="BO66" s="486">
        <v>1637</v>
      </c>
      <c r="BP66" s="486">
        <v>1639</v>
      </c>
      <c r="BQ66" s="486">
        <v>1639</v>
      </c>
      <c r="BR66" s="486">
        <v>1615</v>
      </c>
      <c r="BS66" s="486">
        <v>1615</v>
      </c>
      <c r="BT66" s="486">
        <v>1723</v>
      </c>
      <c r="BU66" s="486">
        <v>1833</v>
      </c>
      <c r="BV66" s="486">
        <v>1833</v>
      </c>
      <c r="BW66" s="486">
        <v>1833</v>
      </c>
      <c r="BX66" s="486">
        <v>1833</v>
      </c>
      <c r="BY66" s="486">
        <v>1839</v>
      </c>
      <c r="BZ66" s="486">
        <v>2055</v>
      </c>
      <c r="CA66" s="486">
        <v>2124</v>
      </c>
      <c r="CB66" s="486">
        <v>2138</v>
      </c>
      <c r="CC66" s="486">
        <v>2157</v>
      </c>
      <c r="CD66" s="486">
        <v>2237</v>
      </c>
      <c r="CE66" s="486">
        <v>2269</v>
      </c>
      <c r="CF66" s="486">
        <v>2295</v>
      </c>
      <c r="CG66" s="486">
        <v>2379</v>
      </c>
      <c r="CH66" s="486">
        <v>2407</v>
      </c>
      <c r="CI66" s="486">
        <v>2344</v>
      </c>
      <c r="CJ66" s="486">
        <v>2337</v>
      </c>
      <c r="CK66" s="486">
        <v>2366</v>
      </c>
      <c r="CL66" s="486">
        <v>2168</v>
      </c>
      <c r="CM66" s="486">
        <v>2247</v>
      </c>
      <c r="CN66" s="486">
        <v>2230</v>
      </c>
      <c r="CO66" s="486">
        <v>2208</v>
      </c>
      <c r="CP66" s="486">
        <v>2217</v>
      </c>
      <c r="CQ66" s="486">
        <v>2220</v>
      </c>
      <c r="CR66" s="486">
        <v>2281</v>
      </c>
      <c r="CS66" s="486">
        <v>2288</v>
      </c>
      <c r="CT66" s="486">
        <v>2325</v>
      </c>
      <c r="CU66" s="486">
        <v>2340</v>
      </c>
      <c r="CV66" s="486">
        <v>2361</v>
      </c>
      <c r="CW66" s="486">
        <v>2385</v>
      </c>
      <c r="CX66" s="486">
        <v>2450</v>
      </c>
      <c r="CY66" s="486">
        <v>2499</v>
      </c>
      <c r="CZ66" s="486">
        <v>2575</v>
      </c>
      <c r="DA66" s="486">
        <v>2582</v>
      </c>
      <c r="DB66" s="486">
        <v>2656</v>
      </c>
      <c r="DC66" s="486">
        <v>2651</v>
      </c>
      <c r="DD66" s="486">
        <v>2662</v>
      </c>
      <c r="DE66" s="728">
        <v>2758</v>
      </c>
      <c r="DF66" s="483"/>
    </row>
    <row r="67" spans="2:110" x14ac:dyDescent="0.35">
      <c r="B67" s="484" t="s">
        <v>436</v>
      </c>
      <c r="C67" s="484" t="s">
        <v>437</v>
      </c>
      <c r="D67" s="486"/>
      <c r="E67" s="486"/>
      <c r="F67" s="486"/>
      <c r="G67" s="486"/>
      <c r="H67" s="486"/>
      <c r="I67" s="486"/>
      <c r="J67" s="486"/>
      <c r="K67" s="486"/>
      <c r="L67" s="486"/>
      <c r="M67" s="486"/>
      <c r="N67" s="486"/>
      <c r="O67" s="486"/>
      <c r="P67" s="486"/>
      <c r="Q67" s="486"/>
      <c r="R67" s="486"/>
      <c r="S67" s="486"/>
      <c r="T67" s="486"/>
      <c r="U67" s="486"/>
      <c r="V67" s="486"/>
      <c r="W67" s="486"/>
      <c r="X67" s="486"/>
      <c r="Y67" s="486"/>
      <c r="Z67" s="486"/>
      <c r="AA67" s="486"/>
      <c r="AB67" s="486"/>
      <c r="AC67" s="486"/>
      <c r="AD67" s="486"/>
      <c r="AE67" s="486"/>
      <c r="AF67" s="486"/>
      <c r="AG67" s="486"/>
      <c r="AH67" s="486"/>
      <c r="AI67" s="486"/>
      <c r="AJ67" s="486"/>
      <c r="AK67" s="486"/>
      <c r="AL67" s="486"/>
      <c r="AM67" s="486"/>
      <c r="AN67" s="486"/>
      <c r="AO67" s="483"/>
      <c r="AP67" s="483"/>
      <c r="AQ67" s="483"/>
      <c r="AR67" s="483"/>
      <c r="AS67" s="486"/>
      <c r="AT67" s="486"/>
      <c r="AU67" s="486"/>
      <c r="AV67" s="486"/>
      <c r="AZ67" s="486"/>
      <c r="BA67" s="486"/>
      <c r="BB67" s="486"/>
      <c r="BC67" s="486"/>
      <c r="BD67" s="486"/>
      <c r="BE67" s="486"/>
      <c r="BF67" s="486"/>
      <c r="BG67" s="486">
        <v>1006</v>
      </c>
      <c r="BH67" s="486">
        <v>1071</v>
      </c>
      <c r="BI67" s="486">
        <v>1089</v>
      </c>
      <c r="BJ67" s="486">
        <v>1270</v>
      </c>
      <c r="BK67" s="486">
        <v>1272</v>
      </c>
      <c r="BL67" s="486">
        <v>1318</v>
      </c>
      <c r="BM67" s="486">
        <v>1330</v>
      </c>
      <c r="BN67" s="486">
        <v>1349</v>
      </c>
      <c r="BO67" s="486">
        <v>1324</v>
      </c>
      <c r="BP67" s="486">
        <v>1356</v>
      </c>
      <c r="BQ67" s="486">
        <v>1383</v>
      </c>
      <c r="BR67" s="486">
        <v>1442</v>
      </c>
      <c r="BS67" s="486">
        <v>1453</v>
      </c>
      <c r="BT67" s="486">
        <v>1534</v>
      </c>
      <c r="BU67" s="486">
        <v>1559</v>
      </c>
      <c r="BV67" s="486">
        <v>1708</v>
      </c>
      <c r="BW67" s="486">
        <v>1864</v>
      </c>
      <c r="BX67" s="486">
        <v>1913</v>
      </c>
      <c r="BY67" s="486">
        <v>1930</v>
      </c>
      <c r="BZ67" s="486">
        <v>1956</v>
      </c>
      <c r="CA67" s="486">
        <v>1979</v>
      </c>
      <c r="CB67" s="486">
        <v>1985</v>
      </c>
      <c r="CC67" s="486">
        <v>2043</v>
      </c>
      <c r="CD67" s="486">
        <v>2185</v>
      </c>
      <c r="CE67" s="486">
        <v>2187</v>
      </c>
      <c r="CF67" s="486">
        <v>2337</v>
      </c>
      <c r="CG67" s="486">
        <v>2330</v>
      </c>
      <c r="CH67" s="486">
        <v>2377</v>
      </c>
      <c r="CI67" s="486">
        <v>2387</v>
      </c>
      <c r="CJ67" s="486">
        <v>2387</v>
      </c>
      <c r="CK67" s="486">
        <v>2361</v>
      </c>
      <c r="CL67" s="486">
        <v>2362</v>
      </c>
      <c r="CM67" s="486">
        <v>2362</v>
      </c>
      <c r="CN67" s="486">
        <v>2322</v>
      </c>
      <c r="CO67" s="486">
        <v>2336</v>
      </c>
      <c r="CP67" s="486">
        <v>2081</v>
      </c>
      <c r="CQ67" s="486">
        <v>1374</v>
      </c>
      <c r="CR67" s="486">
        <v>1416</v>
      </c>
      <c r="CS67" s="486">
        <v>1428</v>
      </c>
      <c r="CT67" s="486">
        <v>1252</v>
      </c>
      <c r="CU67" s="486">
        <v>1300</v>
      </c>
      <c r="CV67" s="486">
        <v>1323</v>
      </c>
      <c r="CW67" s="486">
        <v>1436</v>
      </c>
      <c r="CX67" s="486">
        <v>1464</v>
      </c>
      <c r="CY67" s="486">
        <v>1471</v>
      </c>
      <c r="CZ67" s="486">
        <v>1498</v>
      </c>
      <c r="DA67" s="486">
        <v>1496</v>
      </c>
      <c r="DB67" s="486">
        <v>1742</v>
      </c>
      <c r="DC67" s="486">
        <v>1822</v>
      </c>
      <c r="DD67" s="486">
        <v>1953</v>
      </c>
      <c r="DE67" s="728">
        <v>1981</v>
      </c>
      <c r="DF67" s="483"/>
    </row>
    <row r="68" spans="2:110" x14ac:dyDescent="0.35">
      <c r="B68" s="484" t="s">
        <v>438</v>
      </c>
      <c r="C68" s="485" t="s">
        <v>439</v>
      </c>
      <c r="D68" s="486"/>
      <c r="E68" s="486"/>
      <c r="F68" s="486"/>
      <c r="G68" s="486"/>
      <c r="H68" s="486"/>
      <c r="I68" s="486"/>
      <c r="J68" s="486"/>
      <c r="K68" s="486"/>
      <c r="L68" s="486"/>
      <c r="M68" s="486"/>
      <c r="N68" s="486"/>
      <c r="O68" s="486"/>
      <c r="P68" s="486"/>
      <c r="Q68" s="486"/>
      <c r="R68" s="486"/>
      <c r="S68" s="486"/>
      <c r="T68" s="486"/>
      <c r="U68" s="486"/>
      <c r="V68" s="486"/>
      <c r="W68" s="486"/>
      <c r="X68" s="486"/>
      <c r="Y68" s="486"/>
      <c r="Z68" s="486"/>
      <c r="AA68" s="486"/>
      <c r="AB68" s="486"/>
      <c r="AC68" s="486"/>
      <c r="AD68" s="486"/>
      <c r="AE68" s="486"/>
      <c r="AF68" s="486"/>
      <c r="AG68" s="486"/>
      <c r="AH68" s="486"/>
      <c r="AI68" s="486"/>
      <c r="AJ68" s="486"/>
      <c r="AK68" s="486"/>
      <c r="AL68" s="486"/>
      <c r="AM68" s="486"/>
      <c r="AN68" s="486"/>
      <c r="AO68" s="483"/>
      <c r="AP68" s="483"/>
      <c r="AQ68" s="483"/>
      <c r="AR68" s="483"/>
      <c r="AS68" s="486"/>
      <c r="AT68" s="486">
        <v>1031</v>
      </c>
      <c r="AU68" s="486">
        <v>1042</v>
      </c>
      <c r="AV68" s="486"/>
      <c r="AW68" s="486">
        <v>1015</v>
      </c>
      <c r="AX68" s="486">
        <v>1074</v>
      </c>
      <c r="AY68" s="486">
        <v>1127</v>
      </c>
      <c r="AZ68" s="486">
        <v>1179</v>
      </c>
      <c r="BA68" s="486">
        <v>1199</v>
      </c>
      <c r="BB68" s="486">
        <v>1264</v>
      </c>
      <c r="BC68" s="486">
        <v>1293</v>
      </c>
      <c r="BD68" s="486">
        <v>1314</v>
      </c>
      <c r="BE68" s="486">
        <v>1323</v>
      </c>
      <c r="BF68" s="486">
        <v>1237</v>
      </c>
      <c r="BG68" s="486">
        <v>1245</v>
      </c>
      <c r="BH68" s="486">
        <v>1725</v>
      </c>
      <c r="BI68" s="486">
        <v>1781</v>
      </c>
      <c r="BJ68" s="486">
        <v>2071</v>
      </c>
      <c r="BK68" s="486">
        <v>1442</v>
      </c>
      <c r="BL68" s="486">
        <v>1465</v>
      </c>
      <c r="BM68" s="486">
        <v>1621</v>
      </c>
      <c r="BN68" s="486">
        <v>1444</v>
      </c>
      <c r="BO68" s="486">
        <v>1515</v>
      </c>
      <c r="BP68" s="486">
        <v>1614</v>
      </c>
      <c r="BQ68" s="486">
        <v>1664</v>
      </c>
      <c r="BR68" s="486">
        <v>1736</v>
      </c>
      <c r="BS68" s="486">
        <v>1785</v>
      </c>
      <c r="BT68" s="486">
        <v>1914</v>
      </c>
      <c r="BU68" s="486">
        <v>1933</v>
      </c>
      <c r="BV68" s="486">
        <v>2060</v>
      </c>
      <c r="BW68" s="486">
        <v>2177</v>
      </c>
      <c r="BX68" s="486">
        <v>2206</v>
      </c>
      <c r="BY68" s="486">
        <v>1227</v>
      </c>
      <c r="BZ68" s="486">
        <v>1380</v>
      </c>
      <c r="CA68" s="486">
        <v>1444</v>
      </c>
      <c r="CB68" s="486">
        <v>1501</v>
      </c>
      <c r="CC68" s="486">
        <v>1532</v>
      </c>
      <c r="CD68" s="486">
        <v>1503</v>
      </c>
      <c r="CE68" s="486">
        <v>1600</v>
      </c>
      <c r="CF68" s="486">
        <v>1604</v>
      </c>
      <c r="CG68" s="486">
        <v>1664</v>
      </c>
      <c r="CH68" s="486">
        <v>1761</v>
      </c>
      <c r="CI68" s="486">
        <v>1973</v>
      </c>
      <c r="CJ68" s="486">
        <v>2060</v>
      </c>
      <c r="CK68" s="486">
        <v>2113</v>
      </c>
      <c r="CL68" s="486">
        <v>2213</v>
      </c>
      <c r="CM68" s="486">
        <v>2319</v>
      </c>
      <c r="CN68" s="486">
        <v>2397</v>
      </c>
      <c r="CO68" s="486">
        <v>2543</v>
      </c>
      <c r="CP68" s="486">
        <v>2565</v>
      </c>
      <c r="CQ68" s="486">
        <v>2002</v>
      </c>
      <c r="CR68" s="486">
        <v>2051</v>
      </c>
      <c r="CS68" s="486">
        <v>2095</v>
      </c>
      <c r="CT68" s="486">
        <v>2154</v>
      </c>
      <c r="CU68" s="486">
        <v>2075</v>
      </c>
      <c r="CV68" s="486">
        <v>1977</v>
      </c>
      <c r="CW68" s="486">
        <v>2039</v>
      </c>
      <c r="CX68" s="486">
        <v>2087</v>
      </c>
      <c r="CY68" s="486">
        <v>2137</v>
      </c>
      <c r="CZ68" s="486">
        <v>2185</v>
      </c>
      <c r="DA68" s="486">
        <v>2241</v>
      </c>
      <c r="DB68" s="486">
        <v>2431</v>
      </c>
      <c r="DC68" s="486">
        <v>2436</v>
      </c>
      <c r="DD68" s="486">
        <v>2519</v>
      </c>
      <c r="DE68" s="728">
        <v>2588</v>
      </c>
      <c r="DF68" s="483"/>
    </row>
    <row r="69" spans="2:110" x14ac:dyDescent="0.35">
      <c r="B69" s="484" t="s">
        <v>440</v>
      </c>
      <c r="C69" s="485" t="s">
        <v>441</v>
      </c>
      <c r="D69" s="486"/>
      <c r="E69" s="486"/>
      <c r="F69" s="486"/>
      <c r="G69" s="486"/>
      <c r="H69" s="486"/>
      <c r="I69" s="486"/>
      <c r="J69" s="486"/>
      <c r="K69" s="486"/>
      <c r="L69" s="486"/>
      <c r="M69" s="486"/>
      <c r="N69" s="486"/>
      <c r="O69" s="486"/>
      <c r="P69" s="486"/>
      <c r="Q69" s="486"/>
      <c r="R69" s="486"/>
      <c r="S69" s="486"/>
      <c r="T69" s="486"/>
      <c r="U69" s="486"/>
      <c r="V69" s="486"/>
      <c r="W69" s="486"/>
      <c r="X69" s="486"/>
      <c r="Y69" s="486"/>
      <c r="Z69" s="486"/>
      <c r="AA69" s="486"/>
      <c r="AB69" s="486"/>
      <c r="AC69" s="486"/>
      <c r="AD69" s="486"/>
      <c r="AE69" s="486"/>
      <c r="AF69" s="486"/>
      <c r="AG69" s="486"/>
      <c r="AH69" s="486"/>
      <c r="AI69" s="486"/>
      <c r="AJ69" s="486"/>
      <c r="AK69" s="486"/>
      <c r="AL69" s="486"/>
      <c r="AM69" s="486"/>
      <c r="AN69" s="486"/>
      <c r="AO69" s="486"/>
      <c r="AP69" s="486"/>
      <c r="AQ69" s="486"/>
      <c r="AR69" s="486"/>
      <c r="AS69" s="486"/>
      <c r="AT69" s="483"/>
      <c r="AU69" s="483"/>
      <c r="AV69" s="483"/>
      <c r="BE69" s="483"/>
      <c r="BF69" s="483"/>
      <c r="BG69" s="483"/>
      <c r="BH69" s="483"/>
      <c r="BM69" s="486"/>
      <c r="BN69" s="486"/>
      <c r="BO69" s="486"/>
      <c r="BP69" s="486"/>
      <c r="BQ69" s="486"/>
      <c r="BR69" s="486"/>
      <c r="BS69" s="486"/>
      <c r="BT69" s="486"/>
      <c r="BU69" s="486">
        <v>1037</v>
      </c>
      <c r="BV69" s="486">
        <v>1040</v>
      </c>
      <c r="BW69" s="486">
        <v>1068</v>
      </c>
      <c r="BX69" s="486">
        <v>1089</v>
      </c>
      <c r="BY69" s="486">
        <v>1039</v>
      </c>
      <c r="BZ69" s="486">
        <v>1079</v>
      </c>
      <c r="CA69" s="486">
        <v>1104</v>
      </c>
      <c r="CB69" s="486">
        <v>1109</v>
      </c>
      <c r="CC69" s="486">
        <v>1110</v>
      </c>
      <c r="CD69" s="486">
        <v>1164</v>
      </c>
      <c r="CE69" s="486">
        <v>1204</v>
      </c>
      <c r="CF69" s="486">
        <v>1380</v>
      </c>
      <c r="CG69" s="486">
        <v>1402</v>
      </c>
      <c r="CH69" s="486">
        <v>1465</v>
      </c>
      <c r="CI69" s="486">
        <v>1478</v>
      </c>
      <c r="CJ69" s="486">
        <v>1518</v>
      </c>
      <c r="CK69" s="486">
        <v>1582</v>
      </c>
      <c r="CL69" s="486">
        <v>1615</v>
      </c>
      <c r="CM69" s="486">
        <v>1640</v>
      </c>
      <c r="CN69" s="486">
        <v>1712</v>
      </c>
      <c r="CO69" s="486">
        <v>1852</v>
      </c>
      <c r="CP69" s="486">
        <v>1864</v>
      </c>
      <c r="CQ69" s="486">
        <v>1914</v>
      </c>
      <c r="CR69" s="486">
        <v>1927</v>
      </c>
      <c r="CS69" s="486">
        <v>1927</v>
      </c>
      <c r="CT69" s="486">
        <v>1941</v>
      </c>
      <c r="CU69" s="486">
        <v>2031</v>
      </c>
      <c r="CV69" s="486">
        <v>1599</v>
      </c>
      <c r="CW69" s="486">
        <v>1643</v>
      </c>
      <c r="CX69" s="486">
        <v>1654</v>
      </c>
      <c r="CY69" s="486">
        <v>1663</v>
      </c>
      <c r="CZ69" s="486">
        <v>1663</v>
      </c>
      <c r="DA69" s="486">
        <v>1665</v>
      </c>
      <c r="DB69" s="486">
        <v>1635</v>
      </c>
      <c r="DC69" s="486">
        <v>1687</v>
      </c>
      <c r="DD69" s="486">
        <v>1704</v>
      </c>
      <c r="DE69" s="728">
        <v>1734</v>
      </c>
      <c r="DF69" s="483"/>
    </row>
    <row r="70" spans="2:110" x14ac:dyDescent="0.35">
      <c r="B70" s="485" t="s">
        <v>442</v>
      </c>
      <c r="C70" s="485" t="s">
        <v>443</v>
      </c>
      <c r="D70" s="486"/>
      <c r="E70" s="486"/>
      <c r="F70" s="486"/>
      <c r="G70" s="486"/>
      <c r="H70" s="486"/>
      <c r="I70" s="486"/>
      <c r="J70" s="486"/>
      <c r="K70" s="486"/>
      <c r="L70" s="486"/>
      <c r="M70" s="486"/>
      <c r="N70" s="486"/>
      <c r="O70" s="486"/>
      <c r="P70" s="486"/>
      <c r="Q70" s="486"/>
      <c r="R70" s="486"/>
      <c r="S70" s="486"/>
      <c r="T70" s="486"/>
      <c r="U70" s="486"/>
      <c r="V70" s="486"/>
      <c r="W70" s="486"/>
      <c r="X70" s="486"/>
      <c r="Y70" s="486"/>
      <c r="Z70" s="486"/>
      <c r="AA70" s="486"/>
      <c r="AB70" s="486"/>
      <c r="AC70" s="486"/>
      <c r="AD70" s="486"/>
      <c r="AE70" s="486"/>
      <c r="AF70" s="486">
        <v>1027</v>
      </c>
      <c r="AG70" s="486">
        <v>1026</v>
      </c>
      <c r="AH70" s="486">
        <v>1025</v>
      </c>
      <c r="AI70" s="486"/>
      <c r="AJ70" s="486"/>
      <c r="AK70" s="486"/>
      <c r="AL70" s="486"/>
      <c r="AM70" s="486"/>
      <c r="BB70" s="490"/>
      <c r="BC70" s="490"/>
      <c r="BD70" s="490"/>
      <c r="BE70" s="483"/>
      <c r="BF70" s="483"/>
      <c r="BG70" s="483"/>
      <c r="BH70" s="483"/>
      <c r="BM70" s="486"/>
      <c r="BN70" s="486">
        <v>62</v>
      </c>
      <c r="BO70" s="486"/>
      <c r="BP70" s="486"/>
      <c r="BQ70" s="486"/>
      <c r="BR70" s="486"/>
      <c r="BS70" s="486">
        <v>57</v>
      </c>
      <c r="BT70" s="486"/>
      <c r="BU70" s="486">
        <v>57</v>
      </c>
      <c r="BV70" s="486">
        <v>63</v>
      </c>
      <c r="BW70" s="486">
        <v>63</v>
      </c>
      <c r="BX70" s="486">
        <v>63</v>
      </c>
      <c r="BY70" s="486">
        <v>91</v>
      </c>
      <c r="BZ70" s="486">
        <v>91</v>
      </c>
      <c r="CA70" s="102">
        <v>91</v>
      </c>
      <c r="CB70" s="486"/>
      <c r="CC70" s="486">
        <v>99</v>
      </c>
      <c r="CD70" s="486">
        <v>99</v>
      </c>
      <c r="CE70" s="486">
        <v>177</v>
      </c>
      <c r="CF70" s="486">
        <v>291</v>
      </c>
      <c r="CG70" s="486">
        <v>334</v>
      </c>
      <c r="CH70" s="486">
        <v>335</v>
      </c>
      <c r="CI70" s="486">
        <v>413</v>
      </c>
      <c r="CJ70" s="486">
        <v>425</v>
      </c>
      <c r="CK70" s="486">
        <v>439</v>
      </c>
      <c r="CL70" s="486">
        <v>790</v>
      </c>
      <c r="CM70" s="486">
        <v>820</v>
      </c>
      <c r="CN70" s="486">
        <v>830</v>
      </c>
      <c r="CO70" s="486">
        <v>914</v>
      </c>
      <c r="CP70" s="486">
        <v>273</v>
      </c>
      <c r="CQ70" s="486">
        <v>208</v>
      </c>
      <c r="CR70" s="486">
        <v>216</v>
      </c>
      <c r="CS70" s="486">
        <v>220</v>
      </c>
      <c r="CT70" s="486">
        <v>161</v>
      </c>
      <c r="CU70" s="486">
        <v>42</v>
      </c>
      <c r="CV70" s="486">
        <v>50</v>
      </c>
      <c r="CW70" s="486">
        <v>49</v>
      </c>
      <c r="CX70" s="486">
        <v>49</v>
      </c>
      <c r="CY70" s="486">
        <v>51</v>
      </c>
      <c r="CZ70" s="486">
        <v>195</v>
      </c>
      <c r="DA70" s="486">
        <v>268</v>
      </c>
      <c r="DB70" s="486">
        <v>66</v>
      </c>
      <c r="DC70" s="486">
        <v>241</v>
      </c>
      <c r="DD70" s="486">
        <v>186</v>
      </c>
      <c r="DE70" s="728">
        <v>92</v>
      </c>
      <c r="DF70" s="483"/>
    </row>
    <row r="71" spans="2:110" x14ac:dyDescent="0.35">
      <c r="B71" s="484" t="s">
        <v>444</v>
      </c>
      <c r="C71" s="484" t="s">
        <v>445</v>
      </c>
      <c r="D71" s="486"/>
      <c r="E71" s="486"/>
      <c r="F71" s="486"/>
      <c r="G71" s="486"/>
      <c r="H71" s="486"/>
      <c r="I71" s="486"/>
      <c r="J71" s="486"/>
      <c r="K71" s="486"/>
      <c r="L71" s="486"/>
      <c r="M71" s="486"/>
      <c r="N71" s="486"/>
      <c r="O71" s="486"/>
      <c r="P71" s="486"/>
      <c r="Q71" s="486"/>
      <c r="R71" s="486"/>
      <c r="S71" s="486"/>
      <c r="T71" s="486"/>
      <c r="U71" s="486"/>
      <c r="V71" s="486"/>
      <c r="W71" s="486"/>
      <c r="X71" s="486"/>
      <c r="Y71" s="486"/>
      <c r="Z71" s="486"/>
      <c r="AA71" s="486"/>
      <c r="AB71" s="486"/>
      <c r="AC71" s="486"/>
      <c r="AD71" s="486"/>
      <c r="AE71" s="486"/>
      <c r="AF71" s="486"/>
      <c r="AG71" s="486"/>
      <c r="AH71" s="486"/>
      <c r="AI71" s="486"/>
      <c r="AJ71" s="486"/>
      <c r="AK71" s="486"/>
      <c r="AL71" s="486"/>
      <c r="AM71" s="486"/>
      <c r="AN71" s="486"/>
      <c r="AO71" s="486"/>
      <c r="AP71" s="486"/>
      <c r="AQ71" s="486"/>
      <c r="AR71" s="486"/>
      <c r="AS71" s="486"/>
      <c r="AT71" s="486"/>
      <c r="AU71" s="486"/>
      <c r="AV71" s="486"/>
      <c r="AZ71" s="486"/>
      <c r="BA71" s="486"/>
      <c r="BB71" s="486"/>
      <c r="BC71" s="486"/>
      <c r="BD71" s="486"/>
      <c r="BE71" s="483"/>
      <c r="BF71" s="483"/>
      <c r="BG71" s="486"/>
      <c r="BH71" s="486"/>
      <c r="BI71" s="486"/>
      <c r="BJ71" s="486"/>
      <c r="BK71" s="486"/>
      <c r="BL71" s="486"/>
      <c r="BM71" s="486"/>
      <c r="BN71" s="486"/>
      <c r="BO71" s="486"/>
      <c r="BP71" s="486">
        <v>1190</v>
      </c>
      <c r="BQ71" s="486">
        <v>1390</v>
      </c>
      <c r="BR71" s="486">
        <v>1574</v>
      </c>
      <c r="BS71" s="486">
        <v>1813</v>
      </c>
      <c r="BT71" s="486">
        <v>1960</v>
      </c>
      <c r="BU71" s="486">
        <v>2040</v>
      </c>
      <c r="BV71" s="486">
        <v>2200</v>
      </c>
      <c r="BW71" s="486">
        <v>2387</v>
      </c>
      <c r="BX71" s="486">
        <v>2622</v>
      </c>
      <c r="BY71" s="486">
        <v>2805</v>
      </c>
      <c r="BZ71" s="486">
        <v>3161</v>
      </c>
      <c r="CA71" s="486">
        <v>3612</v>
      </c>
      <c r="CB71" s="486">
        <v>3981</v>
      </c>
      <c r="CC71" s="486">
        <v>4361</v>
      </c>
      <c r="CD71" s="486">
        <v>4841</v>
      </c>
      <c r="CE71" s="486">
        <v>5291</v>
      </c>
      <c r="CF71" s="486">
        <v>5661</v>
      </c>
      <c r="CG71" s="486">
        <v>5860</v>
      </c>
      <c r="CH71" s="486">
        <v>6030</v>
      </c>
      <c r="CI71" s="486">
        <v>6215</v>
      </c>
      <c r="CJ71" s="486">
        <v>6601</v>
      </c>
      <c r="CK71" s="486">
        <v>6981</v>
      </c>
      <c r="CL71" s="486">
        <v>7261</v>
      </c>
      <c r="CM71" s="486">
        <v>7511</v>
      </c>
      <c r="CN71" s="486">
        <v>7691</v>
      </c>
      <c r="CO71" s="486">
        <v>7861</v>
      </c>
      <c r="CP71" s="486">
        <v>7861</v>
      </c>
      <c r="CQ71" s="486">
        <v>7861</v>
      </c>
      <c r="CR71" s="486">
        <v>7861</v>
      </c>
      <c r="CS71" s="486">
        <v>7860</v>
      </c>
      <c r="CT71" s="486">
        <v>7859</v>
      </c>
      <c r="CU71" s="486">
        <v>7858</v>
      </c>
      <c r="CV71" s="486">
        <v>7858</v>
      </c>
      <c r="CW71" s="486">
        <v>7858</v>
      </c>
      <c r="CX71" s="486">
        <v>7857</v>
      </c>
      <c r="CY71" s="486">
        <v>7857</v>
      </c>
      <c r="CZ71" s="486">
        <v>6856</v>
      </c>
      <c r="DA71" s="486">
        <v>6862</v>
      </c>
      <c r="DB71" s="486">
        <v>6866</v>
      </c>
      <c r="DC71" s="486">
        <v>6866</v>
      </c>
      <c r="DD71" s="486">
        <v>6855</v>
      </c>
      <c r="DE71" s="728">
        <v>6795</v>
      </c>
      <c r="DF71" s="483"/>
    </row>
    <row r="72" spans="2:110" x14ac:dyDescent="0.35">
      <c r="B72" s="484" t="s">
        <v>446</v>
      </c>
      <c r="C72" s="484" t="s">
        <v>447</v>
      </c>
      <c r="D72" s="486"/>
      <c r="E72" s="486"/>
      <c r="F72" s="486"/>
      <c r="G72" s="486"/>
      <c r="H72" s="486"/>
      <c r="I72" s="486"/>
      <c r="J72" s="486"/>
      <c r="K72" s="486"/>
      <c r="L72" s="486"/>
      <c r="M72" s="486"/>
      <c r="N72" s="486"/>
      <c r="O72" s="486"/>
      <c r="P72" s="486"/>
      <c r="Q72" s="486"/>
      <c r="R72" s="486"/>
      <c r="S72" s="486"/>
      <c r="T72" s="486"/>
      <c r="U72" s="486"/>
      <c r="V72" s="486"/>
      <c r="W72" s="486"/>
      <c r="X72" s="486"/>
      <c r="Y72" s="486"/>
      <c r="Z72" s="486"/>
      <c r="AA72" s="486"/>
      <c r="AB72" s="486"/>
      <c r="AC72" s="486"/>
      <c r="AD72" s="486"/>
      <c r="AE72" s="486"/>
      <c r="AF72" s="486"/>
      <c r="AG72" s="486"/>
      <c r="AH72" s="486"/>
      <c r="AI72" s="486"/>
      <c r="AJ72" s="486"/>
      <c r="AK72" s="486"/>
      <c r="AL72" s="486"/>
      <c r="AM72" s="486"/>
      <c r="AN72" s="486"/>
      <c r="AO72" s="483"/>
      <c r="AP72" s="483"/>
      <c r="AQ72" s="483"/>
      <c r="AR72" s="483"/>
      <c r="AS72" s="486"/>
      <c r="AT72" s="486"/>
      <c r="AU72" s="486"/>
      <c r="AV72" s="486"/>
      <c r="AZ72" s="486"/>
      <c r="BA72" s="486"/>
      <c r="BB72" s="486"/>
      <c r="BC72" s="486"/>
      <c r="BD72" s="486"/>
      <c r="BE72" s="486"/>
      <c r="BF72" s="486"/>
      <c r="BG72" s="486"/>
      <c r="BH72" s="486">
        <v>1450</v>
      </c>
      <c r="BI72" s="486">
        <v>1450</v>
      </c>
      <c r="BJ72" s="486">
        <v>1450</v>
      </c>
      <c r="BK72" s="486">
        <v>2950</v>
      </c>
      <c r="BL72" s="486">
        <v>2950</v>
      </c>
      <c r="BM72" s="486">
        <v>2950</v>
      </c>
      <c r="BN72" s="486">
        <v>2950</v>
      </c>
      <c r="BO72" s="486">
        <v>3950</v>
      </c>
      <c r="BP72" s="486">
        <v>3950</v>
      </c>
      <c r="BQ72" s="486">
        <v>3950</v>
      </c>
      <c r="BR72" s="486">
        <v>4550</v>
      </c>
      <c r="BS72" s="486">
        <v>4550</v>
      </c>
      <c r="BT72" s="486">
        <v>4550</v>
      </c>
      <c r="BU72" s="486">
        <v>4550</v>
      </c>
      <c r="BV72" s="486">
        <v>4550</v>
      </c>
      <c r="BW72" s="486">
        <v>5050</v>
      </c>
      <c r="BX72" s="486">
        <v>5050</v>
      </c>
      <c r="BY72" s="486">
        <v>5050</v>
      </c>
      <c r="BZ72" s="486">
        <v>5550</v>
      </c>
      <c r="CA72" s="486">
        <v>5550</v>
      </c>
      <c r="CB72" s="486">
        <v>5550</v>
      </c>
      <c r="CC72" s="486">
        <v>5550</v>
      </c>
      <c r="CD72" s="486">
        <v>5550</v>
      </c>
      <c r="CE72" s="486">
        <v>5550</v>
      </c>
      <c r="CF72" s="486">
        <v>5550</v>
      </c>
      <c r="CG72" s="486">
        <v>5550</v>
      </c>
      <c r="CH72" s="486">
        <v>5550</v>
      </c>
      <c r="CI72" s="486">
        <v>5550</v>
      </c>
      <c r="CJ72" s="486">
        <v>5650</v>
      </c>
      <c r="CK72" s="486">
        <v>5850</v>
      </c>
      <c r="CL72" s="486">
        <v>6050</v>
      </c>
      <c r="CM72" s="486">
        <v>6350</v>
      </c>
      <c r="CN72" s="486">
        <v>6350</v>
      </c>
      <c r="CO72" s="486">
        <v>6350</v>
      </c>
      <c r="CP72" s="486">
        <v>6350</v>
      </c>
      <c r="CQ72" s="486">
        <v>6550</v>
      </c>
      <c r="CR72" s="486">
        <v>6550</v>
      </c>
      <c r="CS72" s="486">
        <v>6750</v>
      </c>
      <c r="CT72" s="486">
        <v>6750</v>
      </c>
      <c r="CU72" s="486">
        <v>7150</v>
      </c>
      <c r="CV72" s="486">
        <v>7154</v>
      </c>
      <c r="CW72" s="486">
        <v>7154</v>
      </c>
      <c r="CX72" s="486">
        <v>7650</v>
      </c>
      <c r="CY72" s="486">
        <v>7650</v>
      </c>
      <c r="CZ72" s="486">
        <v>7650</v>
      </c>
      <c r="DA72" s="486">
        <v>7650</v>
      </c>
      <c r="DB72" s="486">
        <v>7650</v>
      </c>
      <c r="DC72" s="486">
        <v>7650</v>
      </c>
      <c r="DD72" s="486">
        <v>7650</v>
      </c>
      <c r="DE72" s="728">
        <v>7650</v>
      </c>
      <c r="DF72" s="483"/>
    </row>
    <row r="73" spans="2:110" x14ac:dyDescent="0.35">
      <c r="B73" s="484" t="s">
        <v>448</v>
      </c>
      <c r="C73" s="485" t="s">
        <v>449</v>
      </c>
      <c r="D73" s="486"/>
      <c r="E73" s="486"/>
      <c r="F73" s="486"/>
      <c r="G73" s="486"/>
      <c r="H73" s="486"/>
      <c r="I73" s="486"/>
      <c r="J73" s="486"/>
      <c r="K73" s="486"/>
      <c r="L73" s="486"/>
      <c r="M73" s="486"/>
      <c r="N73" s="486"/>
      <c r="O73" s="486"/>
      <c r="P73" s="486"/>
      <c r="Q73" s="486"/>
      <c r="R73" s="486"/>
      <c r="S73" s="486"/>
      <c r="T73" s="486"/>
      <c r="U73" s="486">
        <v>1009</v>
      </c>
      <c r="V73" s="486">
        <v>1309</v>
      </c>
      <c r="W73" s="486">
        <v>1610</v>
      </c>
      <c r="X73" s="486">
        <v>1841</v>
      </c>
      <c r="Y73" s="486">
        <v>2200</v>
      </c>
      <c r="Z73" s="486">
        <v>3128</v>
      </c>
      <c r="AA73" s="486">
        <v>3740</v>
      </c>
      <c r="AB73" s="486">
        <v>4356</v>
      </c>
      <c r="AC73" s="486">
        <v>4743</v>
      </c>
      <c r="AD73" s="486">
        <v>5094</v>
      </c>
      <c r="AE73" s="486">
        <v>5348</v>
      </c>
      <c r="AF73" s="486">
        <v>5737</v>
      </c>
      <c r="AG73" s="486">
        <v>5906</v>
      </c>
      <c r="AH73" s="486">
        <v>6027</v>
      </c>
      <c r="AI73" s="486">
        <v>6227</v>
      </c>
      <c r="AJ73" s="486">
        <v>6316</v>
      </c>
      <c r="AK73" s="486">
        <v>6420</v>
      </c>
      <c r="AL73" s="486">
        <v>6645</v>
      </c>
      <c r="AM73" s="486">
        <v>6843</v>
      </c>
      <c r="AN73" s="486">
        <v>7013</v>
      </c>
      <c r="AO73" s="486">
        <v>7169</v>
      </c>
      <c r="AP73" s="486">
        <v>7387</v>
      </c>
      <c r="AQ73" s="486">
        <v>7552</v>
      </c>
      <c r="AR73" s="486">
        <v>7539</v>
      </c>
      <c r="AS73" s="486">
        <v>7442</v>
      </c>
      <c r="AT73" s="486">
        <v>7525</v>
      </c>
      <c r="AU73" s="486">
        <v>7587</v>
      </c>
      <c r="AV73" s="486">
        <v>7599</v>
      </c>
      <c r="AW73" s="486">
        <v>7600</v>
      </c>
      <c r="AX73" s="486">
        <v>7493</v>
      </c>
      <c r="AY73" s="486">
        <v>7504</v>
      </c>
      <c r="AZ73" s="486">
        <v>7517</v>
      </c>
      <c r="BA73" s="486">
        <v>7523</v>
      </c>
      <c r="BB73" s="486">
        <v>7522</v>
      </c>
      <c r="BC73" s="486">
        <v>7497</v>
      </c>
      <c r="BD73" s="486">
        <v>7498</v>
      </c>
      <c r="BE73" s="486">
        <v>7505</v>
      </c>
      <c r="BF73" s="486">
        <v>7505</v>
      </c>
      <c r="BG73" s="486">
        <v>7511</v>
      </c>
      <c r="BH73" s="486">
        <v>7515</v>
      </c>
      <c r="BI73" s="486">
        <v>7516</v>
      </c>
      <c r="BJ73" s="486">
        <v>7517</v>
      </c>
      <c r="BK73" s="486">
        <v>7517</v>
      </c>
      <c r="BL73" s="486">
        <v>7525</v>
      </c>
      <c r="BM73" s="486">
        <v>7526</v>
      </c>
      <c r="BN73" s="486">
        <v>7511</v>
      </c>
      <c r="BO73" s="486">
        <v>7504</v>
      </c>
      <c r="BP73" s="486">
        <v>7506</v>
      </c>
      <c r="BQ73" s="486">
        <v>7506</v>
      </c>
      <c r="BR73" s="486">
        <v>7508</v>
      </c>
      <c r="BS73" s="486">
        <v>7508</v>
      </c>
      <c r="BT73" s="486">
        <v>7507</v>
      </c>
      <c r="BU73" s="486">
        <v>7507</v>
      </c>
      <c r="BV73" s="486">
        <v>7506</v>
      </c>
      <c r="BW73" s="486">
        <v>7506</v>
      </c>
      <c r="BX73" s="486">
        <v>7508</v>
      </c>
      <c r="BY73" s="486">
        <v>7508</v>
      </c>
      <c r="BZ73" s="486">
        <v>7509</v>
      </c>
      <c r="CA73" s="486">
        <v>7509</v>
      </c>
      <c r="CB73" s="486">
        <v>7511</v>
      </c>
      <c r="CC73" s="486">
        <v>7514</v>
      </c>
      <c r="CD73" s="486">
        <v>7514</v>
      </c>
      <c r="CE73" s="486">
        <v>7514</v>
      </c>
      <c r="CF73" s="486">
        <v>7519</v>
      </c>
      <c r="CG73" s="486">
        <v>7519</v>
      </c>
      <c r="CH73" s="486">
        <v>7519</v>
      </c>
      <c r="CI73" s="486">
        <v>7519</v>
      </c>
      <c r="CJ73" s="486">
        <v>7518</v>
      </c>
      <c r="CK73" s="486">
        <v>7518</v>
      </c>
      <c r="CL73" s="486">
        <v>7518</v>
      </c>
      <c r="CM73" s="486">
        <v>7518</v>
      </c>
      <c r="CN73" s="486">
        <v>7519</v>
      </c>
      <c r="CO73" s="486">
        <v>7519</v>
      </c>
      <c r="CP73" s="486">
        <v>7517</v>
      </c>
      <c r="CQ73" s="486">
        <v>7517</v>
      </c>
      <c r="CR73" s="486">
        <v>7517</v>
      </c>
      <c r="CS73" s="486">
        <v>7518</v>
      </c>
      <c r="CT73" s="486">
        <v>7519</v>
      </c>
      <c r="CU73" s="486">
        <v>7519</v>
      </c>
      <c r="CV73" s="486">
        <v>7519</v>
      </c>
      <c r="CW73" s="486">
        <v>7521</v>
      </c>
      <c r="CX73" s="486">
        <v>7521</v>
      </c>
      <c r="CY73" s="486">
        <v>7521</v>
      </c>
      <c r="CZ73" s="486">
        <v>7521</v>
      </c>
      <c r="DA73" s="486">
        <v>7542</v>
      </c>
      <c r="DB73" s="486">
        <v>7542</v>
      </c>
      <c r="DC73" s="486">
        <v>7542</v>
      </c>
      <c r="DD73" s="486">
        <v>7543</v>
      </c>
      <c r="DE73" s="728">
        <v>7541</v>
      </c>
      <c r="DF73" s="483"/>
    </row>
    <row r="74" spans="2:110" x14ac:dyDescent="0.35">
      <c r="B74" s="484" t="s">
        <v>450</v>
      </c>
      <c r="C74" s="484" t="s">
        <v>451</v>
      </c>
      <c r="D74" s="486"/>
      <c r="E74" s="486"/>
      <c r="F74" s="486"/>
      <c r="G74" s="486"/>
      <c r="H74" s="486"/>
      <c r="I74" s="486"/>
      <c r="J74" s="486"/>
      <c r="K74" s="486"/>
      <c r="L74" s="486"/>
      <c r="M74" s="486"/>
      <c r="N74" s="486"/>
      <c r="O74" s="486"/>
      <c r="P74" s="486"/>
      <c r="Q74" s="486"/>
      <c r="R74" s="486"/>
      <c r="S74" s="486"/>
      <c r="T74" s="486"/>
      <c r="U74" s="486"/>
      <c r="V74" s="486"/>
      <c r="W74" s="486"/>
      <c r="X74" s="486"/>
      <c r="Y74" s="486"/>
      <c r="Z74" s="486"/>
      <c r="AA74" s="486"/>
      <c r="AB74" s="486"/>
      <c r="AC74" s="486"/>
      <c r="AD74" s="486"/>
      <c r="AE74" s="486"/>
      <c r="AF74" s="486"/>
      <c r="AG74" s="486"/>
      <c r="AH74" s="486"/>
      <c r="AI74" s="486"/>
      <c r="AJ74" s="486"/>
      <c r="AK74" s="486"/>
      <c r="AL74" s="486"/>
      <c r="AM74" s="486"/>
      <c r="AN74" s="486"/>
      <c r="AO74" s="486"/>
      <c r="AP74" s="486"/>
      <c r="AQ74" s="486"/>
      <c r="AR74" s="486"/>
      <c r="AS74" s="486"/>
      <c r="AT74" s="486"/>
      <c r="AU74" s="486"/>
      <c r="AV74" s="486"/>
      <c r="AZ74" s="486"/>
      <c r="BA74" s="486"/>
      <c r="BB74" s="486"/>
      <c r="BC74" s="486"/>
      <c r="BD74" s="486"/>
      <c r="BE74" s="483"/>
      <c r="BF74" s="483"/>
      <c r="BG74" s="486"/>
      <c r="BH74" s="486"/>
      <c r="BI74" s="486"/>
      <c r="BJ74" s="486"/>
      <c r="BK74" s="486"/>
      <c r="BL74" s="486"/>
      <c r="BM74" s="486">
        <v>1000</v>
      </c>
      <c r="BN74" s="486">
        <v>1200</v>
      </c>
      <c r="BO74" s="486">
        <v>1457</v>
      </c>
      <c r="BP74" s="486">
        <v>1800</v>
      </c>
      <c r="BQ74" s="486">
        <v>2000</v>
      </c>
      <c r="BR74" s="486">
        <v>2281</v>
      </c>
      <c r="BS74" s="486">
        <v>2600</v>
      </c>
      <c r="BT74" s="486">
        <v>3200</v>
      </c>
      <c r="BU74" s="486">
        <v>3500</v>
      </c>
      <c r="BV74" s="486">
        <v>4000</v>
      </c>
      <c r="BW74" s="486">
        <v>4400</v>
      </c>
      <c r="BX74" s="486">
        <v>4783</v>
      </c>
      <c r="BY74" s="486">
        <v>5083</v>
      </c>
      <c r="BZ74" s="486">
        <v>4863</v>
      </c>
      <c r="CA74" s="486">
        <v>5482</v>
      </c>
      <c r="CB74" s="486">
        <v>5969</v>
      </c>
      <c r="CC74" s="486">
        <v>5949</v>
      </c>
      <c r="CD74" s="486">
        <v>5929</v>
      </c>
      <c r="CE74" s="486">
        <v>6400</v>
      </c>
      <c r="CF74" s="486">
        <v>6976</v>
      </c>
      <c r="CG74" s="486">
        <v>6929</v>
      </c>
      <c r="CH74" s="486">
        <v>7120</v>
      </c>
      <c r="CI74" s="486">
        <v>6815</v>
      </c>
      <c r="CJ74" s="486">
        <v>6818</v>
      </c>
      <c r="CK74" s="486">
        <v>6751</v>
      </c>
      <c r="CL74" s="486">
        <v>6531</v>
      </c>
      <c r="CM74" s="486">
        <v>6551</v>
      </c>
      <c r="CN74" s="486">
        <v>6536</v>
      </c>
      <c r="CO74" s="486">
        <v>6376</v>
      </c>
      <c r="CP74" s="486">
        <v>5450</v>
      </c>
      <c r="CQ74" s="486">
        <v>5572</v>
      </c>
      <c r="CR74" s="486">
        <v>5680</v>
      </c>
      <c r="CS74" s="486">
        <v>5662</v>
      </c>
      <c r="CT74" s="486">
        <v>5761</v>
      </c>
      <c r="CU74" s="486">
        <v>6014</v>
      </c>
      <c r="CV74" s="486">
        <v>5772</v>
      </c>
      <c r="CW74" s="486">
        <v>5790</v>
      </c>
      <c r="CX74" s="486">
        <v>5040</v>
      </c>
      <c r="CY74" s="486">
        <v>4966</v>
      </c>
      <c r="CZ74" s="486">
        <v>4924</v>
      </c>
      <c r="DA74" s="486">
        <v>4642</v>
      </c>
      <c r="DB74" s="486">
        <v>4646</v>
      </c>
      <c r="DC74" s="486">
        <v>4371</v>
      </c>
      <c r="DD74" s="486">
        <v>4113</v>
      </c>
      <c r="DE74" s="728">
        <v>3899</v>
      </c>
      <c r="DF74" s="483"/>
    </row>
    <row r="75" spans="2:110" x14ac:dyDescent="0.35">
      <c r="B75" s="484" t="s">
        <v>452</v>
      </c>
      <c r="C75" s="485" t="s">
        <v>453</v>
      </c>
      <c r="D75" s="486"/>
      <c r="E75" s="486"/>
      <c r="F75" s="486"/>
      <c r="G75" s="486"/>
      <c r="H75" s="486"/>
      <c r="I75" s="486"/>
      <c r="J75" s="486"/>
      <c r="K75" s="486"/>
      <c r="L75" s="486"/>
      <c r="M75" s="486"/>
      <c r="N75" s="486"/>
      <c r="O75" s="486"/>
      <c r="P75" s="486"/>
      <c r="Q75" s="486"/>
      <c r="R75" s="486"/>
      <c r="S75" s="486"/>
      <c r="T75" s="486"/>
      <c r="U75" s="486"/>
      <c r="V75" s="486"/>
      <c r="W75" s="486"/>
      <c r="X75" s="486"/>
      <c r="Y75" s="486"/>
      <c r="Z75" s="486"/>
      <c r="AA75" s="486"/>
      <c r="AB75" s="486"/>
      <c r="AC75" s="486"/>
      <c r="AD75" s="486"/>
      <c r="AE75" s="486"/>
      <c r="AF75" s="486"/>
      <c r="AG75" s="486"/>
      <c r="AH75" s="486"/>
      <c r="AI75" s="486"/>
      <c r="AJ75" s="486"/>
      <c r="AK75" s="486"/>
      <c r="AL75" s="486"/>
      <c r="AM75" s="486"/>
      <c r="AN75" s="486"/>
      <c r="AO75" s="486"/>
      <c r="AP75" s="486"/>
      <c r="AQ75" s="486"/>
      <c r="AR75" s="486"/>
      <c r="AS75" s="486"/>
      <c r="AT75" s="486"/>
      <c r="AU75" s="486"/>
      <c r="AV75" s="486"/>
      <c r="AW75" s="486"/>
      <c r="AX75" s="486"/>
      <c r="AY75" s="486"/>
      <c r="AZ75" s="486"/>
      <c r="BA75" s="486"/>
      <c r="BB75" s="486"/>
      <c r="BC75" s="486"/>
      <c r="BD75" s="486"/>
      <c r="BE75" s="483"/>
      <c r="BF75" s="483"/>
      <c r="BG75" s="483"/>
      <c r="BH75" s="483"/>
      <c r="BM75" s="486"/>
      <c r="BN75" s="486"/>
      <c r="BO75" s="486"/>
      <c r="BP75" s="486">
        <v>1446</v>
      </c>
      <c r="BQ75" s="486">
        <v>2288</v>
      </c>
      <c r="BR75" s="486">
        <v>2509</v>
      </c>
      <c r="BS75" s="486">
        <v>2546</v>
      </c>
      <c r="BT75" s="486">
        <v>2538</v>
      </c>
      <c r="BU75" s="486">
        <v>2534</v>
      </c>
      <c r="BV75" s="486">
        <v>2530</v>
      </c>
      <c r="BW75" s="486">
        <v>2522</v>
      </c>
      <c r="BX75" s="486">
        <v>2522</v>
      </c>
      <c r="BY75" s="486">
        <v>2522</v>
      </c>
      <c r="BZ75" s="486">
        <v>2522</v>
      </c>
      <c r="CA75" s="486">
        <v>2522</v>
      </c>
      <c r="CB75" s="486">
        <v>2522</v>
      </c>
      <c r="CC75" s="486">
        <v>2522</v>
      </c>
      <c r="CD75" s="486">
        <v>2522</v>
      </c>
      <c r="CE75" s="486">
        <v>2522</v>
      </c>
      <c r="CF75" s="486">
        <v>2522</v>
      </c>
      <c r="CG75" s="486">
        <v>2522</v>
      </c>
      <c r="CH75" s="486">
        <v>2522</v>
      </c>
      <c r="CI75" s="486">
        <v>2519</v>
      </c>
      <c r="CJ75" s="486">
        <v>2516</v>
      </c>
      <c r="CK75" s="486">
        <v>2516</v>
      </c>
      <c r="CL75" s="486">
        <v>2515</v>
      </c>
      <c r="CM75" s="486">
        <v>2516</v>
      </c>
      <c r="CN75" s="486">
        <v>2515</v>
      </c>
      <c r="CO75" s="486">
        <v>2416</v>
      </c>
      <c r="CP75" s="486">
        <v>2281</v>
      </c>
      <c r="CQ75" s="486">
        <v>2278</v>
      </c>
      <c r="CR75" s="486">
        <v>2276</v>
      </c>
      <c r="CS75" s="486">
        <v>2272</v>
      </c>
      <c r="CT75" s="486">
        <v>2272</v>
      </c>
      <c r="CU75" s="486">
        <v>2272</v>
      </c>
      <c r="CV75" s="486">
        <v>2256</v>
      </c>
      <c r="CW75" s="486">
        <v>2250</v>
      </c>
      <c r="CX75" s="486">
        <v>2246</v>
      </c>
      <c r="CY75" s="486">
        <v>2245</v>
      </c>
      <c r="CZ75" s="486">
        <v>2208</v>
      </c>
      <c r="DA75" s="486">
        <v>2197</v>
      </c>
      <c r="DB75" s="486">
        <v>2194</v>
      </c>
      <c r="DC75" s="486">
        <v>2193</v>
      </c>
      <c r="DD75" s="486">
        <v>2168</v>
      </c>
      <c r="DE75" s="728">
        <v>2027</v>
      </c>
      <c r="DF75" s="483"/>
    </row>
    <row r="76" spans="2:110" x14ac:dyDescent="0.35">
      <c r="B76" s="484" t="s">
        <v>454</v>
      </c>
      <c r="C76" s="485" t="s">
        <v>455</v>
      </c>
      <c r="D76" s="486"/>
      <c r="E76" s="486"/>
      <c r="F76" s="486"/>
      <c r="G76" s="486"/>
      <c r="H76" s="486"/>
      <c r="I76" s="486"/>
      <c r="J76" s="486"/>
      <c r="K76" s="486"/>
      <c r="L76" s="486"/>
      <c r="M76" s="486"/>
      <c r="N76" s="486"/>
      <c r="O76" s="486"/>
      <c r="P76" s="486"/>
      <c r="Q76" s="486"/>
      <c r="R76" s="486"/>
      <c r="S76" s="486"/>
      <c r="T76" s="486"/>
      <c r="U76" s="486"/>
      <c r="V76" s="486"/>
      <c r="W76" s="486"/>
      <c r="X76" s="486"/>
      <c r="Y76" s="486"/>
      <c r="Z76" s="486"/>
      <c r="AA76" s="486"/>
      <c r="AB76" s="486"/>
      <c r="AC76" s="486"/>
      <c r="AD76" s="486"/>
      <c r="AE76" s="486"/>
      <c r="AF76" s="486"/>
      <c r="AG76" s="486"/>
      <c r="AH76" s="486"/>
      <c r="AI76" s="486"/>
      <c r="AJ76" s="486"/>
      <c r="AK76" s="486"/>
      <c r="AL76" s="486"/>
      <c r="AM76" s="486"/>
      <c r="AN76" s="486"/>
      <c r="AO76" s="483"/>
      <c r="AP76" s="483"/>
      <c r="AQ76" s="483"/>
      <c r="AR76" s="483"/>
      <c r="AS76" s="486"/>
      <c r="AT76" s="483"/>
      <c r="AU76" s="483"/>
      <c r="AV76" s="486">
        <v>1099</v>
      </c>
      <c r="AW76" s="486">
        <v>1294</v>
      </c>
      <c r="AX76" s="486">
        <v>1494</v>
      </c>
      <c r="AY76" s="486">
        <v>1893</v>
      </c>
      <c r="AZ76" s="486">
        <v>2293</v>
      </c>
      <c r="BA76" s="486">
        <v>2893</v>
      </c>
      <c r="BB76" s="486">
        <v>3692</v>
      </c>
      <c r="BC76" s="486">
        <v>4492</v>
      </c>
      <c r="BD76" s="486">
        <v>5092</v>
      </c>
      <c r="BE76" s="486">
        <v>5292</v>
      </c>
      <c r="BF76" s="486">
        <v>6092</v>
      </c>
      <c r="BG76" s="486">
        <v>6692</v>
      </c>
      <c r="BH76" s="486">
        <v>7080</v>
      </c>
      <c r="BI76" s="486">
        <v>7282</v>
      </c>
      <c r="BJ76" s="486">
        <v>7883</v>
      </c>
      <c r="BK76" s="486">
        <v>8483</v>
      </c>
      <c r="BL76" s="486">
        <v>9083</v>
      </c>
      <c r="BM76" s="486">
        <v>10275</v>
      </c>
      <c r="BN76" s="486">
        <v>10837</v>
      </c>
      <c r="BO76" s="486">
        <v>11787</v>
      </c>
      <c r="BP76" s="486">
        <v>11761</v>
      </c>
      <c r="BQ76" s="486">
        <v>11173</v>
      </c>
      <c r="BR76" s="486">
        <v>11853</v>
      </c>
      <c r="BS76" s="486">
        <v>12374</v>
      </c>
      <c r="BT76" s="486">
        <v>12497</v>
      </c>
      <c r="BU76" s="486">
        <v>12671</v>
      </c>
      <c r="BV76" s="486">
        <v>12643</v>
      </c>
      <c r="BW76" s="486">
        <v>12661</v>
      </c>
      <c r="BX76" s="486">
        <v>12646</v>
      </c>
      <c r="BY76" s="486">
        <v>12636</v>
      </c>
      <c r="BZ76" s="486">
        <v>12808</v>
      </c>
      <c r="CA76" s="486">
        <v>12705</v>
      </c>
      <c r="CB76" s="486">
        <v>12895</v>
      </c>
      <c r="CC76" s="486">
        <v>12871</v>
      </c>
      <c r="CD76" s="486">
        <v>13272</v>
      </c>
      <c r="CE76" s="486">
        <v>13273</v>
      </c>
      <c r="CF76" s="486">
        <v>13191</v>
      </c>
      <c r="CG76" s="486">
        <v>13271</v>
      </c>
      <c r="CH76" s="486">
        <v>13262</v>
      </c>
      <c r="CI76" s="486">
        <v>13459</v>
      </c>
      <c r="CJ76" s="486">
        <v>13459</v>
      </c>
      <c r="CK76" s="486">
        <v>13659</v>
      </c>
      <c r="CL76" s="486">
        <v>8349</v>
      </c>
      <c r="CM76" s="486">
        <v>8550</v>
      </c>
      <c r="CN76" s="486">
        <v>8801</v>
      </c>
      <c r="CO76" s="486">
        <v>8687</v>
      </c>
      <c r="CP76" s="486">
        <v>6964</v>
      </c>
      <c r="CQ76" s="486">
        <v>7167</v>
      </c>
      <c r="CR76" s="486">
        <v>7953</v>
      </c>
      <c r="CS76" s="486">
        <v>6868</v>
      </c>
      <c r="CT76" s="486">
        <v>7071</v>
      </c>
      <c r="CU76" s="486">
        <v>6994</v>
      </c>
      <c r="CV76" s="486">
        <v>6995</v>
      </c>
      <c r="CW76" s="486">
        <v>7200</v>
      </c>
      <c r="CX76" s="486">
        <v>7428</v>
      </c>
      <c r="CY76" s="486">
        <v>7436</v>
      </c>
      <c r="CZ76" s="486">
        <v>7436</v>
      </c>
      <c r="DA76" s="486">
        <v>7436</v>
      </c>
      <c r="DB76" s="486">
        <v>7436</v>
      </c>
      <c r="DC76" s="486">
        <v>7437</v>
      </c>
      <c r="DD76" s="486">
        <v>7439</v>
      </c>
      <c r="DE76" s="728">
        <v>7439</v>
      </c>
      <c r="DF76" s="483"/>
    </row>
    <row r="77" spans="2:110" x14ac:dyDescent="0.35">
      <c r="B77" s="484" t="s">
        <v>456</v>
      </c>
      <c r="C77" s="485" t="s">
        <v>457</v>
      </c>
      <c r="D77" s="486"/>
      <c r="E77" s="486"/>
      <c r="F77" s="486"/>
      <c r="G77" s="486"/>
      <c r="H77" s="486"/>
      <c r="I77" s="486">
        <v>12</v>
      </c>
      <c r="J77" s="486">
        <v>1295</v>
      </c>
      <c r="K77" s="486"/>
      <c r="L77" s="486">
        <v>1266</v>
      </c>
      <c r="M77" s="486">
        <v>1266</v>
      </c>
      <c r="N77" s="486">
        <v>1266</v>
      </c>
      <c r="O77" s="486">
        <v>1266</v>
      </c>
      <c r="P77" s="486">
        <v>1266</v>
      </c>
      <c r="Q77" s="486">
        <v>1265</v>
      </c>
      <c r="R77" s="486">
        <v>2257</v>
      </c>
      <c r="S77" s="486">
        <v>2257</v>
      </c>
      <c r="T77" s="486">
        <v>2257</v>
      </c>
      <c r="U77" s="486">
        <v>2265</v>
      </c>
      <c r="V77" s="486">
        <v>2265</v>
      </c>
      <c r="W77" s="486">
        <v>2265</v>
      </c>
      <c r="X77" s="486">
        <v>2255</v>
      </c>
      <c r="Y77" s="486">
        <v>2255</v>
      </c>
      <c r="Z77" s="486">
        <v>2255</v>
      </c>
      <c r="AA77" s="486">
        <v>2255</v>
      </c>
      <c r="AB77" s="486">
        <v>2255</v>
      </c>
      <c r="AC77" s="486">
        <v>2255</v>
      </c>
      <c r="AD77" s="486">
        <v>2255</v>
      </c>
      <c r="AE77" s="486">
        <v>2255</v>
      </c>
      <c r="AF77" s="486">
        <v>2255</v>
      </c>
      <c r="AG77" s="486">
        <v>2255</v>
      </c>
      <c r="AH77" s="486">
        <v>2255</v>
      </c>
      <c r="AI77" s="486">
        <v>2255</v>
      </c>
      <c r="AJ77" s="486">
        <v>2255</v>
      </c>
      <c r="AK77" s="486">
        <v>2255</v>
      </c>
      <c r="AL77" s="486">
        <v>2255</v>
      </c>
      <c r="AM77" s="486">
        <v>2255</v>
      </c>
      <c r="AN77" s="486">
        <v>2255</v>
      </c>
      <c r="AO77" s="486">
        <v>2255</v>
      </c>
      <c r="AP77" s="486">
        <v>2255</v>
      </c>
      <c r="AQ77" s="486">
        <v>2255</v>
      </c>
      <c r="AR77" s="486">
        <v>2255</v>
      </c>
      <c r="AS77" s="486">
        <v>2265</v>
      </c>
      <c r="AT77" s="486">
        <v>2265</v>
      </c>
      <c r="AU77" s="486">
        <v>3265</v>
      </c>
      <c r="AV77" s="486">
        <v>3265</v>
      </c>
      <c r="AW77" s="486">
        <v>3865</v>
      </c>
      <c r="AX77" s="486">
        <v>3865</v>
      </c>
      <c r="AY77" s="486">
        <v>3865</v>
      </c>
      <c r="AZ77" s="486">
        <v>3865</v>
      </c>
      <c r="BA77" s="486">
        <v>3865</v>
      </c>
      <c r="BB77" s="486">
        <v>3865</v>
      </c>
      <c r="BC77" s="486">
        <v>3866</v>
      </c>
      <c r="BD77" s="486">
        <v>3867</v>
      </c>
      <c r="BE77" s="486">
        <v>3888</v>
      </c>
      <c r="BF77" s="486">
        <v>3888</v>
      </c>
      <c r="BG77" s="486">
        <v>3888</v>
      </c>
      <c r="BH77" s="486">
        <v>3888</v>
      </c>
      <c r="BI77" s="486">
        <v>3888</v>
      </c>
      <c r="BJ77" s="486">
        <v>3888</v>
      </c>
      <c r="BK77" s="486">
        <v>3888</v>
      </c>
      <c r="BL77" s="486">
        <v>3888</v>
      </c>
      <c r="BM77" s="486">
        <v>3888</v>
      </c>
      <c r="BN77" s="486">
        <v>3888</v>
      </c>
      <c r="BO77" s="486">
        <v>3888</v>
      </c>
      <c r="BP77" s="486">
        <v>5888</v>
      </c>
      <c r="BQ77" s="486">
        <v>5888</v>
      </c>
      <c r="BR77" s="486">
        <v>5888</v>
      </c>
      <c r="BS77" s="486">
        <v>5888</v>
      </c>
      <c r="BT77" s="486">
        <v>5888</v>
      </c>
      <c r="BU77" s="486">
        <v>5888</v>
      </c>
      <c r="BV77" s="486">
        <v>5888</v>
      </c>
      <c r="BW77" s="486">
        <v>5888</v>
      </c>
      <c r="BX77" s="486">
        <v>5888</v>
      </c>
      <c r="BY77" s="486">
        <v>5888</v>
      </c>
      <c r="BZ77" s="486">
        <v>5888</v>
      </c>
      <c r="CA77" s="486">
        <v>5888</v>
      </c>
      <c r="CB77" s="486">
        <v>5888</v>
      </c>
      <c r="CC77" s="486">
        <v>5888</v>
      </c>
      <c r="CD77" s="486">
        <v>5888</v>
      </c>
      <c r="CE77" s="486">
        <v>5888</v>
      </c>
      <c r="CF77" s="486">
        <v>5888</v>
      </c>
      <c r="CG77" s="486">
        <v>5888</v>
      </c>
      <c r="CH77" s="486">
        <v>5888</v>
      </c>
      <c r="CI77" s="486">
        <v>5888</v>
      </c>
      <c r="CJ77" s="486">
        <v>5888</v>
      </c>
      <c r="CK77" s="486">
        <v>5888</v>
      </c>
      <c r="CL77" s="486">
        <v>5888</v>
      </c>
      <c r="CM77" s="486">
        <v>5888</v>
      </c>
      <c r="CN77" s="486">
        <v>5888</v>
      </c>
      <c r="CO77" s="486">
        <v>5888</v>
      </c>
      <c r="CP77" s="486">
        <v>6888</v>
      </c>
      <c r="CQ77" s="486">
        <v>6888</v>
      </c>
      <c r="CR77" s="486">
        <v>6888</v>
      </c>
      <c r="CS77" s="486">
        <v>6888</v>
      </c>
      <c r="CT77" s="486">
        <v>6888</v>
      </c>
      <c r="CU77" s="486">
        <v>6888</v>
      </c>
      <c r="CV77" s="486">
        <v>6888</v>
      </c>
      <c r="CW77" s="486">
        <v>6888</v>
      </c>
      <c r="CX77" s="486">
        <v>6888</v>
      </c>
      <c r="CY77" s="486">
        <v>6893</v>
      </c>
      <c r="CZ77" s="486">
        <v>6893</v>
      </c>
      <c r="DA77" s="486">
        <v>6893</v>
      </c>
      <c r="DB77" s="486">
        <v>6893</v>
      </c>
      <c r="DC77" s="486">
        <v>6893</v>
      </c>
      <c r="DD77" s="486">
        <v>6893</v>
      </c>
      <c r="DE77" s="728">
        <v>6943</v>
      </c>
      <c r="DF77" s="483"/>
    </row>
    <row r="78" spans="2:110" x14ac:dyDescent="0.35">
      <c r="B78" s="484" t="s">
        <v>458</v>
      </c>
      <c r="C78" s="485" t="s">
        <v>459</v>
      </c>
      <c r="D78" s="486"/>
      <c r="E78" s="486"/>
      <c r="F78" s="486"/>
      <c r="G78" s="486"/>
      <c r="H78" s="486"/>
      <c r="I78" s="486">
        <v>33</v>
      </c>
      <c r="J78" s="486">
        <v>1005</v>
      </c>
      <c r="K78" s="486"/>
      <c r="L78" s="486">
        <v>1059</v>
      </c>
      <c r="M78" s="486">
        <v>1121</v>
      </c>
      <c r="N78" s="486">
        <v>1178</v>
      </c>
      <c r="O78" s="486">
        <v>1290</v>
      </c>
      <c r="P78" s="486">
        <v>1462</v>
      </c>
      <c r="Q78" s="486">
        <v>1752</v>
      </c>
      <c r="R78" s="486">
        <v>2017</v>
      </c>
      <c r="S78" s="486">
        <v>2256</v>
      </c>
      <c r="T78" s="486">
        <v>2313</v>
      </c>
      <c r="U78" s="486">
        <v>2366</v>
      </c>
      <c r="V78" s="486">
        <v>2431</v>
      </c>
      <c r="W78" s="486">
        <v>2477</v>
      </c>
      <c r="X78" s="486">
        <v>2527</v>
      </c>
      <c r="Y78" s="486">
        <v>2640</v>
      </c>
      <c r="Z78" s="486">
        <v>2789</v>
      </c>
      <c r="AA78" s="486">
        <v>3055</v>
      </c>
      <c r="AB78" s="486">
        <v>3062</v>
      </c>
      <c r="AC78" s="486">
        <v>3104</v>
      </c>
      <c r="AD78" s="486">
        <v>3105</v>
      </c>
      <c r="AE78" s="486">
        <v>3104</v>
      </c>
      <c r="AF78" s="486">
        <v>2700</v>
      </c>
      <c r="AG78" s="486">
        <v>2633</v>
      </c>
      <c r="AH78" s="486">
        <v>2386</v>
      </c>
      <c r="AI78" s="486">
        <v>2327</v>
      </c>
      <c r="AJ78" s="486">
        <v>2302</v>
      </c>
      <c r="AK78" s="486">
        <v>2169</v>
      </c>
      <c r="AL78" s="486">
        <v>1470</v>
      </c>
      <c r="AM78" s="486">
        <v>1414</v>
      </c>
      <c r="AN78" s="486">
        <v>1490</v>
      </c>
      <c r="AO78" s="486">
        <v>1519</v>
      </c>
      <c r="AP78" s="486">
        <v>1551</v>
      </c>
      <c r="AQ78" s="486">
        <v>1522</v>
      </c>
      <c r="AR78" s="486">
        <v>1490</v>
      </c>
      <c r="AS78" s="486">
        <v>1459</v>
      </c>
      <c r="AT78" s="486">
        <v>1453</v>
      </c>
      <c r="AU78" s="486">
        <v>1422</v>
      </c>
      <c r="AV78" s="486">
        <v>1404</v>
      </c>
      <c r="AW78" s="486">
        <v>1256</v>
      </c>
      <c r="AX78" s="486">
        <v>1247</v>
      </c>
      <c r="AY78" s="486">
        <v>1174</v>
      </c>
      <c r="AZ78" s="486">
        <v>1117</v>
      </c>
      <c r="BA78" s="486">
        <v>1121</v>
      </c>
      <c r="BB78" s="486">
        <v>1054</v>
      </c>
      <c r="BC78" s="486">
        <v>1038</v>
      </c>
      <c r="BD78" s="486">
        <v>1022</v>
      </c>
      <c r="BE78" s="486"/>
      <c r="BF78" s="486"/>
      <c r="BG78" s="486"/>
      <c r="BH78" s="486"/>
      <c r="BM78" s="486"/>
      <c r="BN78" s="486">
        <v>462</v>
      </c>
      <c r="BO78" s="486"/>
      <c r="BP78" s="486"/>
      <c r="BQ78" s="486"/>
      <c r="BR78" s="486"/>
      <c r="BS78" s="486">
        <v>310</v>
      </c>
      <c r="BT78" s="486"/>
      <c r="BU78" s="486">
        <v>333</v>
      </c>
      <c r="BV78" s="486">
        <v>314</v>
      </c>
      <c r="BW78" s="486">
        <v>322</v>
      </c>
      <c r="BX78" s="486">
        <v>323</v>
      </c>
      <c r="BY78" s="486">
        <v>330</v>
      </c>
      <c r="BZ78" s="486">
        <v>359</v>
      </c>
      <c r="CA78" s="486">
        <v>348</v>
      </c>
      <c r="CB78" s="486"/>
      <c r="CC78" s="486">
        <v>319</v>
      </c>
      <c r="CD78" s="486">
        <v>313</v>
      </c>
      <c r="CE78" s="486">
        <v>327</v>
      </c>
      <c r="CF78" s="486">
        <v>331</v>
      </c>
      <c r="CG78" s="486">
        <v>321</v>
      </c>
      <c r="CH78" s="486">
        <v>332</v>
      </c>
      <c r="CI78" s="486">
        <v>364</v>
      </c>
      <c r="CJ78" s="486">
        <v>383</v>
      </c>
      <c r="CK78" s="486">
        <v>413</v>
      </c>
      <c r="CL78" s="486">
        <v>583</v>
      </c>
      <c r="CM78" s="486">
        <v>662</v>
      </c>
      <c r="CN78" s="486">
        <v>742</v>
      </c>
      <c r="CO78" s="486">
        <v>846</v>
      </c>
      <c r="CP78" s="486">
        <v>906</v>
      </c>
      <c r="CQ78" s="486">
        <v>991</v>
      </c>
      <c r="CR78" s="486">
        <v>1145</v>
      </c>
      <c r="CS78" s="486">
        <v>1363</v>
      </c>
      <c r="CT78" s="486">
        <v>1862</v>
      </c>
      <c r="CU78" s="486">
        <v>2545</v>
      </c>
      <c r="CV78" s="486">
        <v>6294</v>
      </c>
      <c r="CW78" s="486">
        <v>6950</v>
      </c>
      <c r="CX78" s="486">
        <v>7377</v>
      </c>
      <c r="CY78" s="486">
        <v>7502</v>
      </c>
      <c r="CZ78" s="486">
        <v>7410</v>
      </c>
      <c r="DA78" s="486">
        <v>7496</v>
      </c>
      <c r="DB78" s="486">
        <v>7455</v>
      </c>
      <c r="DC78" s="486">
        <v>7465</v>
      </c>
      <c r="DD78" s="486">
        <v>7480</v>
      </c>
      <c r="DE78" s="728">
        <v>7491</v>
      </c>
      <c r="DF78" s="483"/>
    </row>
    <row r="79" spans="2:110" x14ac:dyDescent="0.35">
      <c r="B79" s="484" t="s">
        <v>460</v>
      </c>
      <c r="C79" s="485" t="s">
        <v>461</v>
      </c>
      <c r="D79" s="486">
        <v>0</v>
      </c>
      <c r="E79" s="486">
        <v>452</v>
      </c>
      <c r="F79" s="486">
        <v>1270</v>
      </c>
      <c r="G79" s="486">
        <v>2029</v>
      </c>
      <c r="H79" s="486">
        <v>2353</v>
      </c>
      <c r="I79" s="486">
        <v>2900</v>
      </c>
      <c r="J79" s="486">
        <v>3722</v>
      </c>
      <c r="K79" s="486"/>
      <c r="L79" s="486">
        <v>3783</v>
      </c>
      <c r="M79" s="486">
        <v>3852</v>
      </c>
      <c r="N79" s="486">
        <v>3914</v>
      </c>
      <c r="O79" s="486">
        <v>4041</v>
      </c>
      <c r="P79" s="486">
        <v>4162</v>
      </c>
      <c r="Q79" s="486">
        <v>4399</v>
      </c>
      <c r="R79" s="486">
        <v>4410</v>
      </c>
      <c r="S79" s="486">
        <v>4468</v>
      </c>
      <c r="T79" s="486">
        <v>4464</v>
      </c>
      <c r="U79" s="486">
        <v>4364</v>
      </c>
      <c r="V79" s="486">
        <v>4403</v>
      </c>
      <c r="W79" s="486">
        <v>4357</v>
      </c>
      <c r="X79" s="486">
        <v>4402</v>
      </c>
      <c r="Y79" s="486">
        <v>4392</v>
      </c>
      <c r="Z79" s="486">
        <v>4363</v>
      </c>
      <c r="AA79" s="486">
        <v>4248</v>
      </c>
      <c r="AB79" s="486">
        <v>4248</v>
      </c>
      <c r="AC79" s="486">
        <v>4310</v>
      </c>
      <c r="AD79" s="486">
        <v>4240</v>
      </c>
      <c r="AE79" s="486">
        <v>4253</v>
      </c>
      <c r="AF79" s="486">
        <v>4154</v>
      </c>
      <c r="AG79" s="486">
        <v>4161</v>
      </c>
      <c r="AH79" s="486">
        <v>4170</v>
      </c>
      <c r="AI79" s="486">
        <v>4102</v>
      </c>
      <c r="AJ79" s="486">
        <v>4059</v>
      </c>
      <c r="AK79" s="486">
        <v>4046</v>
      </c>
      <c r="AL79" s="486">
        <v>3981</v>
      </c>
      <c r="AM79" s="486">
        <v>3903</v>
      </c>
      <c r="AN79" s="486">
        <v>3912</v>
      </c>
      <c r="AO79" s="486">
        <v>3946</v>
      </c>
      <c r="AP79" s="486">
        <v>3935</v>
      </c>
      <c r="AQ79" s="486">
        <v>4006</v>
      </c>
      <c r="AR79" s="486">
        <v>4014</v>
      </c>
      <c r="AS79" s="486">
        <v>4094</v>
      </c>
      <c r="AT79" s="486">
        <v>4153</v>
      </c>
      <c r="AU79" s="486">
        <v>4288</v>
      </c>
      <c r="AV79" s="486">
        <v>4371</v>
      </c>
      <c r="AW79" s="486">
        <v>4447</v>
      </c>
      <c r="AX79" s="486">
        <v>4412</v>
      </c>
      <c r="AY79" s="486">
        <v>4464</v>
      </c>
      <c r="AZ79" s="486">
        <v>4440</v>
      </c>
      <c r="BA79" s="486">
        <v>4478</v>
      </c>
      <c r="BB79" s="486">
        <v>4499</v>
      </c>
      <c r="BC79" s="486">
        <v>4517</v>
      </c>
      <c r="BD79" s="486">
        <v>4530</v>
      </c>
      <c r="BE79" s="486">
        <v>4558</v>
      </c>
      <c r="BF79" s="486">
        <v>4595</v>
      </c>
      <c r="BG79" s="486">
        <v>4619</v>
      </c>
      <c r="BH79" s="486">
        <v>4603</v>
      </c>
      <c r="BI79" s="486">
        <v>4613</v>
      </c>
      <c r="BJ79" s="486">
        <v>4622</v>
      </c>
      <c r="BK79" s="486">
        <v>4653</v>
      </c>
      <c r="BL79" s="486">
        <v>4552</v>
      </c>
      <c r="BM79" s="486">
        <v>4401</v>
      </c>
      <c r="BN79" s="486">
        <v>4420</v>
      </c>
      <c r="BO79" s="486">
        <v>4472</v>
      </c>
      <c r="BP79" s="486">
        <v>4522</v>
      </c>
      <c r="BQ79" s="486">
        <v>4544</v>
      </c>
      <c r="BR79" s="486">
        <v>4590</v>
      </c>
      <c r="BS79" s="486">
        <v>4670</v>
      </c>
      <c r="BT79" s="486">
        <v>4667</v>
      </c>
      <c r="BU79" s="486">
        <v>4615</v>
      </c>
      <c r="BV79" s="486">
        <v>4572</v>
      </c>
      <c r="BW79" s="486">
        <v>4532</v>
      </c>
      <c r="BX79" s="486">
        <v>4527</v>
      </c>
      <c r="BY79" s="486">
        <v>4686</v>
      </c>
      <c r="BZ79" s="486">
        <v>4700</v>
      </c>
      <c r="CA79" s="486">
        <v>4735</v>
      </c>
      <c r="CB79" s="486">
        <v>4750</v>
      </c>
      <c r="CC79" s="486">
        <v>4808</v>
      </c>
      <c r="CD79" s="486">
        <v>4830</v>
      </c>
      <c r="CE79" s="486">
        <v>4843</v>
      </c>
      <c r="CF79" s="486">
        <v>4897</v>
      </c>
      <c r="CG79" s="486">
        <v>4986</v>
      </c>
      <c r="CH79" s="486">
        <v>5047</v>
      </c>
      <c r="CI79" s="486">
        <v>5196</v>
      </c>
      <c r="CJ79" s="486">
        <v>5285</v>
      </c>
      <c r="CK79" s="486">
        <v>5566</v>
      </c>
      <c r="CL79" s="486">
        <v>5749</v>
      </c>
      <c r="CM79" s="486">
        <v>5962</v>
      </c>
      <c r="CN79" s="486">
        <v>6141</v>
      </c>
      <c r="CO79" s="486">
        <v>6361</v>
      </c>
      <c r="CP79" s="486">
        <v>6505</v>
      </c>
      <c r="CQ79" s="486">
        <v>6675</v>
      </c>
      <c r="CR79" s="486">
        <v>6891</v>
      </c>
      <c r="CS79" s="486">
        <v>6897</v>
      </c>
      <c r="CT79" s="486">
        <v>6886</v>
      </c>
      <c r="CU79" s="486">
        <v>6961</v>
      </c>
      <c r="CV79" s="486">
        <v>7009</v>
      </c>
      <c r="CW79" s="486">
        <v>7210</v>
      </c>
      <c r="CX79" s="486">
        <v>7374</v>
      </c>
      <c r="CY79" s="486">
        <v>7389</v>
      </c>
      <c r="CZ79" s="486">
        <v>7570</v>
      </c>
      <c r="DA79" s="486">
        <v>7792</v>
      </c>
      <c r="DB79" s="486">
        <v>7852</v>
      </c>
      <c r="DC79" s="486">
        <v>7964</v>
      </c>
      <c r="DD79" s="486">
        <v>7991</v>
      </c>
      <c r="DE79" s="728">
        <v>8101</v>
      </c>
      <c r="DF79" s="483"/>
    </row>
    <row r="80" spans="2:110" x14ac:dyDescent="0.35">
      <c r="B80" s="484" t="s">
        <v>462</v>
      </c>
      <c r="C80" s="484" t="s">
        <v>463</v>
      </c>
      <c r="D80" s="486"/>
      <c r="E80" s="486"/>
      <c r="F80" s="486"/>
      <c r="G80" s="486"/>
      <c r="H80" s="486"/>
      <c r="I80" s="486"/>
      <c r="J80" s="486"/>
      <c r="K80" s="486"/>
      <c r="L80" s="486"/>
      <c r="M80" s="486"/>
      <c r="N80" s="486"/>
      <c r="O80" s="486"/>
      <c r="P80" s="486"/>
      <c r="Q80" s="486"/>
      <c r="R80" s="486"/>
      <c r="S80" s="486"/>
      <c r="T80" s="486"/>
      <c r="U80" s="486"/>
      <c r="V80" s="486"/>
      <c r="W80" s="486"/>
      <c r="X80" s="486"/>
      <c r="Y80" s="486"/>
      <c r="Z80" s="486"/>
      <c r="AA80" s="486"/>
      <c r="AB80" s="486"/>
      <c r="AC80" s="486"/>
      <c r="AD80" s="486"/>
      <c r="AE80" s="486"/>
      <c r="AF80" s="486"/>
      <c r="AG80" s="486"/>
      <c r="AH80" s="486"/>
      <c r="AI80" s="486"/>
      <c r="AJ80" s="486"/>
      <c r="AK80" s="486"/>
      <c r="AL80" s="486"/>
      <c r="AM80" s="486"/>
      <c r="AN80" s="486"/>
      <c r="AO80" s="486"/>
      <c r="AP80" s="486"/>
      <c r="AQ80" s="486"/>
      <c r="AR80" s="486"/>
      <c r="AS80" s="486"/>
      <c r="AT80" s="486"/>
      <c r="AU80" s="486"/>
      <c r="AV80" s="486"/>
      <c r="AZ80" s="486"/>
      <c r="BA80" s="486"/>
      <c r="BB80" s="486"/>
      <c r="BC80" s="486"/>
      <c r="BD80" s="486"/>
      <c r="BE80" s="483"/>
      <c r="BF80" s="483"/>
      <c r="BG80" s="486"/>
      <c r="BH80" s="486"/>
      <c r="BI80" s="486"/>
      <c r="BJ80" s="486"/>
      <c r="BK80" s="486"/>
      <c r="BL80" s="486"/>
      <c r="BM80" s="486"/>
      <c r="BN80" s="486"/>
      <c r="BO80" s="486">
        <v>2181</v>
      </c>
      <c r="BP80" s="486">
        <v>2277</v>
      </c>
      <c r="BQ80" s="486">
        <v>2427</v>
      </c>
      <c r="BR80" s="486">
        <v>2583</v>
      </c>
      <c r="BS80" s="486">
        <v>2593</v>
      </c>
      <c r="BT80" s="486">
        <v>2623</v>
      </c>
      <c r="BU80" s="486">
        <v>2746</v>
      </c>
      <c r="BV80" s="486">
        <v>3241</v>
      </c>
      <c r="BW80" s="486">
        <v>3740</v>
      </c>
      <c r="BX80" s="486">
        <v>4350</v>
      </c>
      <c r="BY80" s="486">
        <v>4390</v>
      </c>
      <c r="BZ80" s="486">
        <v>4396</v>
      </c>
      <c r="CA80" s="486">
        <v>4916</v>
      </c>
      <c r="CB80" s="486">
        <v>4929</v>
      </c>
      <c r="CC80" s="486">
        <v>4932</v>
      </c>
      <c r="CD80" s="486">
        <v>4932</v>
      </c>
      <c r="CE80" s="486">
        <v>4941</v>
      </c>
      <c r="CF80" s="486">
        <v>5663</v>
      </c>
      <c r="CG80" s="486">
        <v>5663</v>
      </c>
      <c r="CH80" s="486">
        <v>5108</v>
      </c>
      <c r="CI80" s="486">
        <v>5258</v>
      </c>
      <c r="CJ80" s="486">
        <v>5911</v>
      </c>
      <c r="CK80" s="486">
        <v>5911</v>
      </c>
      <c r="CL80" s="486">
        <v>5912</v>
      </c>
      <c r="CM80" s="486">
        <v>6311</v>
      </c>
      <c r="CN80" s="486">
        <v>6661</v>
      </c>
      <c r="CO80" s="486">
        <v>6621</v>
      </c>
      <c r="CP80" s="486">
        <v>6619</v>
      </c>
      <c r="CQ80" s="486">
        <v>6619</v>
      </c>
      <c r="CR80" s="486">
        <v>6560</v>
      </c>
      <c r="CS80" s="486">
        <v>6495</v>
      </c>
      <c r="CT80" s="486">
        <v>6597</v>
      </c>
      <c r="CU80" s="486">
        <v>6561</v>
      </c>
      <c r="CV80" s="486">
        <v>6804</v>
      </c>
      <c r="CW80" s="486">
        <v>7068</v>
      </c>
      <c r="CX80" s="486">
        <v>7330</v>
      </c>
      <c r="CY80" s="486">
        <v>7347</v>
      </c>
      <c r="CZ80" s="486">
        <v>7747</v>
      </c>
      <c r="DA80" s="486">
        <v>8136</v>
      </c>
      <c r="DB80" s="486">
        <v>8136</v>
      </c>
      <c r="DC80" s="486">
        <v>8135</v>
      </c>
      <c r="DD80" s="486">
        <v>8046</v>
      </c>
      <c r="DE80" s="728">
        <v>8048</v>
      </c>
      <c r="DF80" s="483"/>
    </row>
    <row r="81" spans="2:110" x14ac:dyDescent="0.35">
      <c r="B81" s="484" t="s">
        <v>464</v>
      </c>
      <c r="C81" s="485" t="s">
        <v>465</v>
      </c>
      <c r="D81" s="486"/>
      <c r="E81" s="486"/>
      <c r="F81" s="486"/>
      <c r="G81" s="486"/>
      <c r="H81" s="486"/>
      <c r="I81" s="486"/>
      <c r="J81" s="486"/>
      <c r="K81" s="486"/>
      <c r="L81" s="486"/>
      <c r="M81" s="486"/>
      <c r="N81" s="486"/>
      <c r="O81" s="486"/>
      <c r="P81" s="486"/>
      <c r="Q81" s="486"/>
      <c r="R81" s="486"/>
      <c r="S81" s="486"/>
      <c r="T81" s="486"/>
      <c r="U81" s="486"/>
      <c r="V81" s="486"/>
      <c r="W81" s="486"/>
      <c r="X81" s="486">
        <v>1096</v>
      </c>
      <c r="Y81" s="486">
        <v>1193</v>
      </c>
      <c r="Z81" s="486">
        <v>1584</v>
      </c>
      <c r="AA81" s="486">
        <v>1684</v>
      </c>
      <c r="AB81" s="486">
        <v>1776</v>
      </c>
      <c r="AC81" s="486">
        <v>1774</v>
      </c>
      <c r="AD81" s="486">
        <v>1813</v>
      </c>
      <c r="AE81" s="486">
        <v>2013</v>
      </c>
      <c r="AF81" s="486">
        <v>2113</v>
      </c>
      <c r="AG81" s="486">
        <v>2112</v>
      </c>
      <c r="AH81" s="486">
        <v>2211</v>
      </c>
      <c r="AI81" s="486">
        <v>2197</v>
      </c>
      <c r="AJ81" s="486">
        <v>2192</v>
      </c>
      <c r="AK81" s="486">
        <v>2185</v>
      </c>
      <c r="AL81" s="486">
        <v>2185</v>
      </c>
      <c r="AM81" s="486">
        <v>2286</v>
      </c>
      <c r="AN81" s="486">
        <v>2382</v>
      </c>
      <c r="AO81" s="486">
        <v>2579</v>
      </c>
      <c r="AP81" s="486">
        <v>2778</v>
      </c>
      <c r="AQ81" s="486">
        <v>2820</v>
      </c>
      <c r="AR81" s="486">
        <v>3017</v>
      </c>
      <c r="AS81" s="486">
        <v>2876</v>
      </c>
      <c r="AT81" s="486">
        <v>2973</v>
      </c>
      <c r="AU81" s="486">
        <v>3022</v>
      </c>
      <c r="AV81" s="486">
        <v>3159</v>
      </c>
      <c r="AW81" s="486">
        <v>3341</v>
      </c>
      <c r="AX81" s="486">
        <v>3480</v>
      </c>
      <c r="AY81" s="486">
        <v>3644</v>
      </c>
      <c r="AZ81" s="486">
        <v>3880</v>
      </c>
      <c r="BA81" s="486">
        <v>4119</v>
      </c>
      <c r="BB81" s="486">
        <v>4016</v>
      </c>
      <c r="BC81" s="486">
        <v>3714</v>
      </c>
      <c r="BD81" s="486">
        <v>3629</v>
      </c>
      <c r="BE81" s="486">
        <v>3670</v>
      </c>
      <c r="BF81" s="486">
        <v>3630</v>
      </c>
      <c r="BG81" s="486">
        <v>3625</v>
      </c>
      <c r="BH81" s="486">
        <v>3625</v>
      </c>
      <c r="BI81" s="486">
        <v>3612</v>
      </c>
      <c r="BJ81" s="486">
        <v>3608</v>
      </c>
      <c r="BK81" s="486">
        <v>3558</v>
      </c>
      <c r="BL81" s="486">
        <v>3558</v>
      </c>
      <c r="BM81" s="486">
        <v>3547</v>
      </c>
      <c r="BN81" s="486">
        <v>3524</v>
      </c>
      <c r="BO81" s="486">
        <v>3488</v>
      </c>
      <c r="BP81" s="486">
        <v>3310</v>
      </c>
      <c r="BQ81" s="486">
        <v>3278</v>
      </c>
      <c r="BR81" s="486">
        <v>3299</v>
      </c>
      <c r="BS81" s="486">
        <v>3301</v>
      </c>
      <c r="BT81" s="486">
        <v>3297</v>
      </c>
      <c r="BU81" s="486">
        <v>3305</v>
      </c>
      <c r="BV81" s="486">
        <v>3423</v>
      </c>
      <c r="BW81" s="486">
        <v>3626</v>
      </c>
      <c r="BX81" s="486">
        <v>3694</v>
      </c>
      <c r="BY81" s="486">
        <v>3469</v>
      </c>
      <c r="BZ81" s="486">
        <v>3547</v>
      </c>
      <c r="CA81" s="486">
        <v>3613</v>
      </c>
      <c r="CB81" s="486">
        <v>4066</v>
      </c>
      <c r="CC81" s="486">
        <v>4292</v>
      </c>
      <c r="CD81" s="486">
        <v>4603</v>
      </c>
      <c r="CE81" s="486">
        <v>4954</v>
      </c>
      <c r="CF81" s="486">
        <v>5237</v>
      </c>
      <c r="CG81" s="486">
        <v>5686</v>
      </c>
      <c r="CH81" s="486">
        <v>6145</v>
      </c>
      <c r="CI81" s="486">
        <v>6358</v>
      </c>
      <c r="CJ81" s="486">
        <v>6613</v>
      </c>
      <c r="CK81" s="486">
        <v>6613</v>
      </c>
      <c r="CL81" s="486">
        <v>6613</v>
      </c>
      <c r="CM81" s="486">
        <v>6613</v>
      </c>
      <c r="CN81" s="486">
        <v>6899</v>
      </c>
      <c r="CO81" s="486">
        <v>6992</v>
      </c>
      <c r="CP81" s="486">
        <v>6998</v>
      </c>
      <c r="CQ81" s="486">
        <v>7146</v>
      </c>
      <c r="CR81" s="486">
        <v>6164</v>
      </c>
      <c r="CS81" s="486">
        <v>6099</v>
      </c>
      <c r="CT81" s="486">
        <v>6167</v>
      </c>
      <c r="CU81" s="486">
        <v>5883</v>
      </c>
      <c r="CV81" s="486">
        <v>5874</v>
      </c>
      <c r="CW81" s="486">
        <v>5779</v>
      </c>
      <c r="CX81" s="486">
        <v>5826</v>
      </c>
      <c r="CY81" s="486">
        <v>5751</v>
      </c>
      <c r="CZ81" s="486">
        <v>5816</v>
      </c>
      <c r="DA81" s="486">
        <v>5900</v>
      </c>
      <c r="DB81" s="486">
        <v>5889</v>
      </c>
      <c r="DC81" s="486">
        <v>5915</v>
      </c>
      <c r="DD81" s="486">
        <v>5641</v>
      </c>
      <c r="DE81" s="728">
        <v>4936</v>
      </c>
      <c r="DF81" s="483"/>
    </row>
    <row r="82" spans="2:110" x14ac:dyDescent="0.35">
      <c r="B82" s="484" t="s">
        <v>466</v>
      </c>
      <c r="C82" s="485" t="s">
        <v>467</v>
      </c>
      <c r="D82" s="486"/>
      <c r="E82" s="486"/>
      <c r="F82" s="486"/>
      <c r="G82" s="486"/>
      <c r="H82" s="486"/>
      <c r="I82" s="486"/>
      <c r="J82" s="486"/>
      <c r="K82" s="486"/>
      <c r="L82" s="486"/>
      <c r="M82" s="486"/>
      <c r="N82" s="486"/>
      <c r="O82" s="486"/>
      <c r="P82" s="486"/>
      <c r="Q82" s="486"/>
      <c r="R82" s="486"/>
      <c r="S82" s="486">
        <v>1000</v>
      </c>
      <c r="T82" s="486">
        <v>1112</v>
      </c>
      <c r="U82" s="486">
        <v>1137</v>
      </c>
      <c r="V82" s="486">
        <v>1219</v>
      </c>
      <c r="W82" s="486">
        <v>1507</v>
      </c>
      <c r="X82" s="486">
        <v>1764</v>
      </c>
      <c r="Y82" s="486">
        <v>1886</v>
      </c>
      <c r="Z82" s="486">
        <v>1958</v>
      </c>
      <c r="AA82" s="486">
        <v>2214</v>
      </c>
      <c r="AB82" s="486">
        <v>2225</v>
      </c>
      <c r="AC82" s="486">
        <v>2353</v>
      </c>
      <c r="AD82" s="486">
        <v>2374</v>
      </c>
      <c r="AE82" s="486">
        <v>2399</v>
      </c>
      <c r="AF82" s="486">
        <v>2404</v>
      </c>
      <c r="AG82" s="486">
        <v>2406</v>
      </c>
      <c r="AH82" s="486">
        <v>2415</v>
      </c>
      <c r="AI82" s="486">
        <v>2419</v>
      </c>
      <c r="AJ82" s="486">
        <v>2643</v>
      </c>
      <c r="AK82" s="486">
        <v>2649</v>
      </c>
      <c r="AL82" s="486">
        <v>2655</v>
      </c>
      <c r="AM82" s="486">
        <v>2668</v>
      </c>
      <c r="AN82" s="486">
        <v>2674</v>
      </c>
      <c r="AO82" s="486">
        <v>2752</v>
      </c>
      <c r="AP82" s="486">
        <v>2736</v>
      </c>
      <c r="AQ82" s="486">
        <v>2878</v>
      </c>
      <c r="AR82" s="486">
        <v>2886</v>
      </c>
      <c r="AS82" s="486">
        <v>2901</v>
      </c>
      <c r="AT82" s="486">
        <v>2914</v>
      </c>
      <c r="AU82" s="486">
        <v>2893</v>
      </c>
      <c r="AV82" s="486">
        <v>2900</v>
      </c>
      <c r="AW82" s="486">
        <v>2909</v>
      </c>
      <c r="AX82" s="486">
        <v>2882</v>
      </c>
      <c r="AY82" s="486">
        <v>2879</v>
      </c>
      <c r="AZ82" s="486">
        <v>2845</v>
      </c>
      <c r="BA82" s="486">
        <v>2931</v>
      </c>
      <c r="BB82" s="486">
        <v>2945</v>
      </c>
      <c r="BC82" s="486">
        <v>2957</v>
      </c>
      <c r="BD82" s="486">
        <v>3036</v>
      </c>
      <c r="BE82" s="486">
        <v>3114</v>
      </c>
      <c r="BF82" s="486">
        <v>3157</v>
      </c>
      <c r="BG82" s="486">
        <v>3197</v>
      </c>
      <c r="BH82" s="486">
        <v>3200</v>
      </c>
      <c r="BI82" s="486">
        <v>3272</v>
      </c>
      <c r="BJ82" s="486">
        <v>3456</v>
      </c>
      <c r="BK82" s="486">
        <v>3601</v>
      </c>
      <c r="BL82" s="486">
        <v>3563</v>
      </c>
      <c r="BM82" s="486">
        <v>3505</v>
      </c>
      <c r="BN82" s="486">
        <v>3497</v>
      </c>
      <c r="BO82" s="486">
        <v>3534</v>
      </c>
      <c r="BP82" s="486">
        <v>3633</v>
      </c>
      <c r="BQ82" s="486">
        <v>3634</v>
      </c>
      <c r="BR82" s="486">
        <v>3657</v>
      </c>
      <c r="BS82" s="486">
        <v>3637</v>
      </c>
      <c r="BT82" s="486">
        <v>3624</v>
      </c>
      <c r="BU82" s="486">
        <v>3584</v>
      </c>
      <c r="BV82" s="486">
        <v>3763</v>
      </c>
      <c r="BW82" s="486">
        <v>3765</v>
      </c>
      <c r="BX82" s="486">
        <v>3786</v>
      </c>
      <c r="BY82" s="486">
        <v>3842</v>
      </c>
      <c r="BZ82" s="486">
        <v>3819</v>
      </c>
      <c r="CA82" s="486">
        <v>3859</v>
      </c>
      <c r="CB82" s="486">
        <v>3888</v>
      </c>
      <c r="CC82" s="486">
        <v>3913</v>
      </c>
      <c r="CD82" s="486">
        <v>3942</v>
      </c>
      <c r="CE82" s="486">
        <v>3989</v>
      </c>
      <c r="CF82" s="486">
        <v>4152</v>
      </c>
      <c r="CG82" s="486">
        <v>4283</v>
      </c>
      <c r="CH82" s="486">
        <v>4461</v>
      </c>
      <c r="CI82" s="486">
        <v>4699</v>
      </c>
      <c r="CJ82" s="486">
        <v>5646</v>
      </c>
      <c r="CK82" s="486">
        <v>5895</v>
      </c>
      <c r="CL82" s="486">
        <v>6120</v>
      </c>
      <c r="CM82" s="486">
        <v>5345</v>
      </c>
      <c r="CN82" s="486">
        <v>5568</v>
      </c>
      <c r="CO82" s="486">
        <v>5953</v>
      </c>
      <c r="CP82" s="486">
        <v>6047</v>
      </c>
      <c r="CQ82" s="486">
        <v>5676</v>
      </c>
      <c r="CR82" s="486">
        <v>5789</v>
      </c>
      <c r="CS82" s="486">
        <v>6100</v>
      </c>
      <c r="CT82" s="486">
        <v>6087</v>
      </c>
      <c r="CU82" s="486">
        <v>6004</v>
      </c>
      <c r="CV82" s="486">
        <v>6133</v>
      </c>
      <c r="CW82" s="486">
        <v>5983</v>
      </c>
      <c r="CX82" s="486">
        <v>6096</v>
      </c>
      <c r="CY82" s="486">
        <v>6194</v>
      </c>
      <c r="CZ82" s="486">
        <v>6216</v>
      </c>
      <c r="DA82" s="486">
        <v>6288</v>
      </c>
      <c r="DB82" s="486">
        <v>6491</v>
      </c>
      <c r="DC82" s="486">
        <v>6509</v>
      </c>
      <c r="DD82" s="486">
        <v>6603</v>
      </c>
      <c r="DE82" s="728">
        <v>6636</v>
      </c>
      <c r="DF82" s="483"/>
    </row>
    <row r="83" spans="2:110" x14ac:dyDescent="0.35">
      <c r="B83" s="484" t="s">
        <v>468</v>
      </c>
      <c r="C83" s="485" t="s">
        <v>469</v>
      </c>
      <c r="D83" s="486"/>
      <c r="E83" s="486"/>
      <c r="F83" s="486"/>
      <c r="G83" s="486"/>
      <c r="H83" s="486"/>
      <c r="I83" s="486"/>
      <c r="J83" s="486"/>
      <c r="K83" s="486"/>
      <c r="L83" s="486"/>
      <c r="M83" s="486"/>
      <c r="N83" s="486"/>
      <c r="O83" s="486"/>
      <c r="P83" s="486"/>
      <c r="Q83" s="486"/>
      <c r="R83" s="486"/>
      <c r="S83" s="486"/>
      <c r="T83" s="486"/>
      <c r="U83" s="486"/>
      <c r="V83" s="486"/>
      <c r="W83" s="486"/>
      <c r="X83" s="486"/>
      <c r="Y83" s="486"/>
      <c r="Z83" s="486"/>
      <c r="AA83" s="486"/>
      <c r="AB83" s="486"/>
      <c r="AC83" s="486"/>
      <c r="AD83" s="486"/>
      <c r="AE83" s="486"/>
      <c r="AF83" s="486"/>
      <c r="AG83" s="486"/>
      <c r="AH83" s="486"/>
      <c r="AI83" s="486"/>
      <c r="AJ83" s="486"/>
      <c r="AK83" s="486"/>
      <c r="AL83" s="486"/>
      <c r="AM83" s="486"/>
      <c r="AN83" s="486"/>
      <c r="AO83" s="483"/>
      <c r="AP83" s="483"/>
      <c r="AQ83" s="483"/>
      <c r="AR83" s="483"/>
      <c r="AS83" s="486">
        <v>1045</v>
      </c>
      <c r="AT83" s="486">
        <v>1107</v>
      </c>
      <c r="AU83" s="486">
        <v>1261</v>
      </c>
      <c r="AV83" s="486">
        <v>1262</v>
      </c>
      <c r="AW83" s="486">
        <v>1324</v>
      </c>
      <c r="AX83" s="486">
        <v>1319</v>
      </c>
      <c r="AY83" s="486">
        <v>1450</v>
      </c>
      <c r="AZ83" s="486">
        <v>1566</v>
      </c>
      <c r="BA83" s="486">
        <v>1602</v>
      </c>
      <c r="BB83" s="486">
        <v>1606</v>
      </c>
      <c r="BC83" s="486">
        <v>1621</v>
      </c>
      <c r="BD83" s="486">
        <v>1621</v>
      </c>
      <c r="BE83" s="486">
        <v>1824</v>
      </c>
      <c r="BF83" s="486">
        <v>2199</v>
      </c>
      <c r="BG83" s="486">
        <v>2203</v>
      </c>
      <c r="BH83" s="486">
        <v>2202</v>
      </c>
      <c r="BI83" s="486">
        <v>2372</v>
      </c>
      <c r="BJ83" s="486">
        <v>2926</v>
      </c>
      <c r="BK83" s="486">
        <v>2932</v>
      </c>
      <c r="BL83" s="486">
        <v>3171</v>
      </c>
      <c r="BM83" s="486">
        <v>3206</v>
      </c>
      <c r="BN83" s="486">
        <v>3579</v>
      </c>
      <c r="BO83" s="486">
        <v>3760</v>
      </c>
      <c r="BP83" s="486">
        <v>3864</v>
      </c>
      <c r="BQ83" s="486">
        <v>3917</v>
      </c>
      <c r="BR83" s="486">
        <v>3950</v>
      </c>
      <c r="BS83" s="486">
        <v>3984</v>
      </c>
      <c r="BT83" s="486">
        <v>4070</v>
      </c>
      <c r="BU83" s="486">
        <v>4147</v>
      </c>
      <c r="BV83" s="486">
        <v>4171</v>
      </c>
      <c r="BW83" s="486">
        <v>4273</v>
      </c>
      <c r="BX83" s="486">
        <v>4310</v>
      </c>
      <c r="BY83" s="486">
        <v>4311</v>
      </c>
      <c r="BZ83" s="486">
        <v>4330</v>
      </c>
      <c r="CA83" s="486">
        <v>4598</v>
      </c>
      <c r="CB83" s="486">
        <v>4616</v>
      </c>
      <c r="CC83" s="486">
        <v>4616</v>
      </c>
      <c r="CD83" s="486">
        <v>4679</v>
      </c>
      <c r="CE83" s="486">
        <v>4930</v>
      </c>
      <c r="CF83" s="486">
        <v>5028</v>
      </c>
      <c r="CG83" s="486">
        <v>5260</v>
      </c>
      <c r="CH83" s="486">
        <v>5400</v>
      </c>
      <c r="CI83" s="486">
        <v>5560</v>
      </c>
      <c r="CJ83" s="486">
        <v>5637</v>
      </c>
      <c r="CK83" s="486">
        <v>5637</v>
      </c>
      <c r="CL83" s="486">
        <v>5637</v>
      </c>
      <c r="CM83" s="486">
        <v>5717</v>
      </c>
      <c r="CN83" s="486">
        <v>5717</v>
      </c>
      <c r="CO83" s="486">
        <v>5783</v>
      </c>
      <c r="CP83" s="486">
        <v>5796</v>
      </c>
      <c r="CQ83" s="486">
        <v>6064</v>
      </c>
      <c r="CR83" s="486">
        <v>6151</v>
      </c>
      <c r="CS83" s="486">
        <v>6261</v>
      </c>
      <c r="CT83" s="486">
        <v>6306</v>
      </c>
      <c r="CU83" s="486">
        <v>6342</v>
      </c>
      <c r="CV83" s="486">
        <v>6410</v>
      </c>
      <c r="CW83" s="486">
        <v>6459</v>
      </c>
      <c r="CX83" s="486">
        <v>6459</v>
      </c>
      <c r="CY83" s="486">
        <v>6482</v>
      </c>
      <c r="CZ83" s="486">
        <v>6710</v>
      </c>
      <c r="DA83" s="486">
        <v>6778</v>
      </c>
      <c r="DB83" s="486">
        <v>6778</v>
      </c>
      <c r="DC83" s="486">
        <v>6932</v>
      </c>
      <c r="DD83" s="486">
        <v>6950</v>
      </c>
      <c r="DE83" s="728">
        <v>7064</v>
      </c>
      <c r="DF83" s="483"/>
    </row>
    <row r="84" spans="2:110" x14ac:dyDescent="0.35">
      <c r="B84" s="484" t="s">
        <v>470</v>
      </c>
      <c r="C84" s="484" t="s">
        <v>471</v>
      </c>
      <c r="D84" s="486"/>
      <c r="E84" s="486"/>
      <c r="F84" s="486"/>
      <c r="G84" s="486"/>
      <c r="H84" s="486"/>
      <c r="I84" s="486"/>
      <c r="J84" s="486"/>
      <c r="K84" s="486"/>
      <c r="L84" s="486"/>
      <c r="M84" s="486"/>
      <c r="N84" s="486"/>
      <c r="O84" s="486"/>
      <c r="P84" s="486"/>
      <c r="Q84" s="486"/>
      <c r="R84" s="486"/>
      <c r="S84" s="486"/>
      <c r="T84" s="486"/>
      <c r="U84" s="486"/>
      <c r="V84" s="486"/>
      <c r="W84" s="486"/>
      <c r="X84" s="486"/>
      <c r="Y84" s="486"/>
      <c r="Z84" s="486"/>
      <c r="AA84" s="486"/>
      <c r="AB84" s="486"/>
      <c r="AC84" s="486"/>
      <c r="AD84" s="486"/>
      <c r="AE84" s="486"/>
      <c r="AF84" s="486"/>
      <c r="AG84" s="486"/>
      <c r="AH84" s="486"/>
      <c r="AI84" s="486"/>
      <c r="AJ84" s="486"/>
      <c r="AK84" s="486"/>
      <c r="AL84" s="486"/>
      <c r="AM84" s="486"/>
      <c r="AN84" s="486"/>
      <c r="AO84" s="486"/>
      <c r="AP84" s="486"/>
      <c r="AQ84" s="486"/>
      <c r="AR84" s="486"/>
      <c r="AS84" s="486"/>
      <c r="AT84" s="486"/>
      <c r="AU84" s="486"/>
      <c r="AV84" s="486"/>
      <c r="AZ84" s="486"/>
      <c r="BA84" s="486"/>
      <c r="BB84" s="486"/>
      <c r="BC84" s="486"/>
      <c r="BD84" s="486"/>
      <c r="BE84" s="483"/>
      <c r="BF84" s="483"/>
      <c r="BG84" s="486"/>
      <c r="BH84" s="486"/>
      <c r="BI84" s="486"/>
      <c r="BJ84" s="486"/>
      <c r="BK84" s="486"/>
      <c r="BL84" s="486"/>
      <c r="BM84" s="486"/>
      <c r="BN84" s="486">
        <v>1091</v>
      </c>
      <c r="BO84" s="486">
        <v>1420</v>
      </c>
      <c r="BP84" s="486">
        <v>1479</v>
      </c>
      <c r="BQ84" s="486">
        <v>1872</v>
      </c>
      <c r="BR84" s="486">
        <v>2153</v>
      </c>
      <c r="BS84" s="486">
        <v>2164</v>
      </c>
      <c r="BT84" s="486">
        <v>2116</v>
      </c>
      <c r="BU84" s="486">
        <v>2414</v>
      </c>
      <c r="BV84" s="486">
        <v>2573</v>
      </c>
      <c r="BW84" s="486">
        <v>2681</v>
      </c>
      <c r="BX84" s="486">
        <v>2801</v>
      </c>
      <c r="BY84" s="486">
        <v>2840</v>
      </c>
      <c r="BZ84" s="486">
        <v>3567</v>
      </c>
      <c r="CA84" s="486">
        <v>3837</v>
      </c>
      <c r="CB84" s="486">
        <v>3940</v>
      </c>
      <c r="CC84" s="486">
        <v>4096</v>
      </c>
      <c r="CD84" s="486">
        <v>4207</v>
      </c>
      <c r="CE84" s="486">
        <v>4206</v>
      </c>
      <c r="CF84" s="486">
        <v>4179</v>
      </c>
      <c r="CG84" s="486">
        <v>4176</v>
      </c>
      <c r="CH84" s="486">
        <v>4197</v>
      </c>
      <c r="CI84" s="486">
        <v>3992</v>
      </c>
      <c r="CJ84" s="486">
        <v>3995</v>
      </c>
      <c r="CK84" s="486">
        <v>4448</v>
      </c>
      <c r="CL84" s="486">
        <v>4872</v>
      </c>
      <c r="CM84" s="486">
        <v>4912</v>
      </c>
      <c r="CN84" s="486">
        <v>4991</v>
      </c>
      <c r="CO84" s="486">
        <v>6324</v>
      </c>
      <c r="CP84" s="486">
        <v>6303</v>
      </c>
      <c r="CQ84" s="486">
        <v>6311</v>
      </c>
      <c r="CR84" s="486">
        <v>6580</v>
      </c>
      <c r="CS84" s="486">
        <v>7044</v>
      </c>
      <c r="CT84" s="486">
        <v>5620</v>
      </c>
      <c r="CU84" s="486">
        <v>5725</v>
      </c>
      <c r="CV84" s="486">
        <v>5931</v>
      </c>
      <c r="CW84" s="486">
        <v>5917</v>
      </c>
      <c r="CX84" s="486">
        <v>5910</v>
      </c>
      <c r="CY84" s="486">
        <v>5941</v>
      </c>
      <c r="CZ84" s="486">
        <v>6007</v>
      </c>
      <c r="DA84" s="486">
        <v>6081</v>
      </c>
      <c r="DB84" s="486">
        <v>6415</v>
      </c>
      <c r="DC84" s="486">
        <v>6839</v>
      </c>
      <c r="DD84" s="486">
        <v>7162</v>
      </c>
      <c r="DE84" s="728">
        <v>6556</v>
      </c>
      <c r="DF84" s="483"/>
    </row>
    <row r="85" spans="2:110" x14ac:dyDescent="0.35">
      <c r="B85" s="484" t="s">
        <v>472</v>
      </c>
      <c r="C85" s="484" t="s">
        <v>473</v>
      </c>
      <c r="D85" s="486"/>
      <c r="E85" s="486"/>
      <c r="F85" s="486"/>
      <c r="G85" s="486"/>
      <c r="H85" s="486"/>
      <c r="I85" s="486"/>
      <c r="J85" s="486"/>
      <c r="K85" s="486"/>
      <c r="L85" s="486"/>
      <c r="M85" s="486"/>
      <c r="N85" s="486"/>
      <c r="O85" s="486"/>
      <c r="P85" s="486"/>
      <c r="Q85" s="486"/>
      <c r="R85" s="486"/>
      <c r="S85" s="486"/>
      <c r="T85" s="486"/>
      <c r="U85" s="486"/>
      <c r="V85" s="486"/>
      <c r="W85" s="486"/>
      <c r="X85" s="486"/>
      <c r="Y85" s="486"/>
      <c r="Z85" s="486"/>
      <c r="AA85" s="486"/>
      <c r="AB85" s="486"/>
      <c r="AC85" s="486"/>
      <c r="AD85" s="486"/>
      <c r="AE85" s="486"/>
      <c r="AF85" s="486"/>
      <c r="AG85" s="486"/>
      <c r="AH85" s="486"/>
      <c r="AI85" s="486"/>
      <c r="AJ85" s="486"/>
      <c r="AK85" s="486"/>
      <c r="AL85" s="486"/>
      <c r="AM85" s="486"/>
      <c r="AN85" s="486"/>
      <c r="AO85" s="483"/>
      <c r="AP85" s="483"/>
      <c r="AQ85" s="483"/>
      <c r="AR85" s="483"/>
      <c r="AS85" s="486"/>
      <c r="AT85" s="486"/>
      <c r="AU85" s="486"/>
      <c r="AV85" s="486"/>
      <c r="AZ85" s="486"/>
      <c r="BA85" s="486"/>
      <c r="BB85" s="486"/>
      <c r="BC85" s="486">
        <v>1055</v>
      </c>
      <c r="BD85" s="486">
        <v>1161</v>
      </c>
      <c r="BE85" s="486">
        <v>1234</v>
      </c>
      <c r="BF85" s="486">
        <v>1185</v>
      </c>
      <c r="BG85" s="486">
        <v>1267</v>
      </c>
      <c r="BH85" s="486">
        <v>1461</v>
      </c>
      <c r="BI85" s="486">
        <v>1584</v>
      </c>
      <c r="BJ85" s="486">
        <v>1681</v>
      </c>
      <c r="BK85" s="486">
        <v>1702</v>
      </c>
      <c r="BL85" s="486">
        <v>1805</v>
      </c>
      <c r="BM85" s="486">
        <v>1835</v>
      </c>
      <c r="BN85" s="486">
        <v>1835</v>
      </c>
      <c r="BO85" s="486">
        <v>1949</v>
      </c>
      <c r="BP85" s="486">
        <v>2031</v>
      </c>
      <c r="BQ85" s="486">
        <v>2097</v>
      </c>
      <c r="BR85" s="486">
        <v>2128</v>
      </c>
      <c r="BS85" s="486">
        <v>2249</v>
      </c>
      <c r="BT85" s="486">
        <v>2301</v>
      </c>
      <c r="BU85" s="486">
        <v>2349</v>
      </c>
      <c r="BV85" s="486">
        <v>2395</v>
      </c>
      <c r="BW85" s="486">
        <v>2505</v>
      </c>
      <c r="BX85" s="486">
        <v>2605</v>
      </c>
      <c r="BY85" s="486">
        <v>2607</v>
      </c>
      <c r="BZ85" s="486">
        <v>2707</v>
      </c>
      <c r="CA85" s="486">
        <v>2706</v>
      </c>
      <c r="CB85" s="486">
        <v>2804</v>
      </c>
      <c r="CC85" s="486">
        <v>2804</v>
      </c>
      <c r="CD85" s="486">
        <v>2855</v>
      </c>
      <c r="CE85" s="486">
        <v>2874</v>
      </c>
      <c r="CF85" s="486">
        <v>3104</v>
      </c>
      <c r="CG85" s="486">
        <v>3160</v>
      </c>
      <c r="CH85" s="486">
        <v>3202</v>
      </c>
      <c r="CI85" s="486">
        <v>3513</v>
      </c>
      <c r="CJ85" s="486">
        <v>3665</v>
      </c>
      <c r="CK85" s="486">
        <v>3676</v>
      </c>
      <c r="CL85" s="486">
        <v>3982</v>
      </c>
      <c r="CM85" s="486">
        <v>4103</v>
      </c>
      <c r="CN85" s="486">
        <v>4262</v>
      </c>
      <c r="CO85" s="486">
        <v>4420</v>
      </c>
      <c r="CP85" s="486">
        <v>4525</v>
      </c>
      <c r="CQ85" s="486">
        <v>4698</v>
      </c>
      <c r="CR85" s="486">
        <v>4865</v>
      </c>
      <c r="CS85" s="486">
        <v>5107</v>
      </c>
      <c r="CT85" s="486">
        <v>5317</v>
      </c>
      <c r="CU85" s="486">
        <v>5388</v>
      </c>
      <c r="CV85" s="486">
        <v>5618</v>
      </c>
      <c r="CW85" s="486">
        <v>5671</v>
      </c>
      <c r="CX85" s="486">
        <v>5663</v>
      </c>
      <c r="CY85" s="486">
        <v>5658</v>
      </c>
      <c r="CZ85" s="486">
        <v>5656</v>
      </c>
      <c r="DA85" s="486">
        <v>5654</v>
      </c>
      <c r="DB85" s="486">
        <v>5653</v>
      </c>
      <c r="DC85" s="486">
        <v>5653</v>
      </c>
      <c r="DD85" s="486">
        <v>5170</v>
      </c>
      <c r="DE85" s="728">
        <v>5167</v>
      </c>
      <c r="DF85" s="483"/>
    </row>
    <row r="86" spans="2:110" x14ac:dyDescent="0.35">
      <c r="B86" s="484" t="s">
        <v>474</v>
      </c>
      <c r="C86" s="485" t="s">
        <v>475</v>
      </c>
      <c r="D86" s="486"/>
      <c r="E86" s="486"/>
      <c r="F86" s="486"/>
      <c r="G86" s="486"/>
      <c r="H86" s="486"/>
      <c r="I86" s="486"/>
      <c r="J86" s="486"/>
      <c r="K86" s="486"/>
      <c r="L86" s="486"/>
      <c r="M86" s="486"/>
      <c r="N86" s="486"/>
      <c r="O86" s="486"/>
      <c r="P86" s="486"/>
      <c r="Q86" s="486"/>
      <c r="R86" s="486"/>
      <c r="S86" s="486"/>
      <c r="T86" s="486"/>
      <c r="U86" s="486"/>
      <c r="V86" s="486"/>
      <c r="W86" s="486"/>
      <c r="X86" s="486"/>
      <c r="Y86" s="486"/>
      <c r="Z86" s="486"/>
      <c r="AA86" s="486"/>
      <c r="AB86" s="486"/>
      <c r="AC86" s="486"/>
      <c r="AD86" s="486"/>
      <c r="AE86" s="486"/>
      <c r="AF86" s="486"/>
      <c r="AG86" s="486"/>
      <c r="AH86" s="486"/>
      <c r="AI86" s="486"/>
      <c r="AJ86" s="486"/>
      <c r="AK86" s="486"/>
      <c r="AL86" s="486"/>
      <c r="AM86" s="486"/>
      <c r="AN86" s="486"/>
      <c r="AO86" s="486"/>
      <c r="AP86" s="486"/>
      <c r="AQ86" s="486"/>
      <c r="AR86" s="486"/>
      <c r="AS86" s="486"/>
      <c r="AT86" s="483"/>
      <c r="AU86" s="483"/>
      <c r="AV86" s="483"/>
      <c r="BE86" s="483"/>
      <c r="BF86" s="483"/>
      <c r="BG86" s="483"/>
      <c r="BH86" s="483"/>
      <c r="BM86" s="486"/>
      <c r="BN86" s="486"/>
      <c r="BO86" s="486"/>
      <c r="BP86" s="486"/>
      <c r="BQ86" s="486"/>
      <c r="BR86" s="486"/>
      <c r="BS86" s="486"/>
      <c r="BT86" s="486"/>
      <c r="BU86" s="486">
        <v>1801</v>
      </c>
      <c r="BV86" s="486">
        <v>3002</v>
      </c>
      <c r="BW86" s="486">
        <v>5002</v>
      </c>
      <c r="BX86" s="486">
        <v>5002</v>
      </c>
      <c r="BY86" s="486">
        <v>6002</v>
      </c>
      <c r="BZ86" s="486">
        <v>6002</v>
      </c>
      <c r="CA86" s="486">
        <v>6002</v>
      </c>
      <c r="CB86" s="486">
        <v>6002</v>
      </c>
      <c r="CC86" s="486">
        <v>6512</v>
      </c>
      <c r="CD86" s="486">
        <v>6512</v>
      </c>
      <c r="CE86" s="486">
        <v>6911</v>
      </c>
      <c r="CF86" s="486">
        <v>7011</v>
      </c>
      <c r="CG86" s="486">
        <v>6963</v>
      </c>
      <c r="CH86" s="486">
        <v>7263</v>
      </c>
      <c r="CI86" s="486">
        <v>7663</v>
      </c>
      <c r="CJ86" s="486">
        <v>7663</v>
      </c>
      <c r="CK86" s="486">
        <v>7663</v>
      </c>
      <c r="CL86" s="486">
        <v>7963</v>
      </c>
      <c r="CM86" s="486">
        <v>7963</v>
      </c>
      <c r="CN86" s="486">
        <v>8163</v>
      </c>
      <c r="CO86" s="486">
        <v>8163</v>
      </c>
      <c r="CP86" s="486">
        <v>8163</v>
      </c>
      <c r="CQ86" s="486">
        <v>7870</v>
      </c>
      <c r="CR86" s="486">
        <v>7755</v>
      </c>
      <c r="CS86" s="486">
        <v>7755</v>
      </c>
      <c r="CT86" s="486">
        <v>7527</v>
      </c>
      <c r="CU86" s="486">
        <v>7080</v>
      </c>
      <c r="CV86" s="486">
        <v>7080</v>
      </c>
      <c r="CW86" s="486">
        <v>7080</v>
      </c>
      <c r="CX86" s="486">
        <v>6484</v>
      </c>
      <c r="CY86" s="486">
        <v>5718</v>
      </c>
      <c r="CZ86" s="486">
        <v>5400</v>
      </c>
      <c r="DA86" s="486">
        <v>5105</v>
      </c>
      <c r="DB86" s="486">
        <v>4945</v>
      </c>
      <c r="DC86" s="486">
        <v>4945</v>
      </c>
      <c r="DD86" s="486">
        <v>4866</v>
      </c>
      <c r="DE86" s="728">
        <v>4867</v>
      </c>
      <c r="DF86" s="483"/>
    </row>
    <row r="87" spans="2:110" x14ac:dyDescent="0.35">
      <c r="B87" s="484" t="s">
        <v>476</v>
      </c>
      <c r="C87" s="485" t="s">
        <v>477</v>
      </c>
      <c r="D87" s="486"/>
      <c r="E87" s="486"/>
      <c r="F87" s="486"/>
      <c r="G87" s="486"/>
      <c r="H87" s="486"/>
      <c r="I87" s="486"/>
      <c r="J87" s="486"/>
      <c r="K87" s="486"/>
      <c r="L87" s="486"/>
      <c r="M87" s="486"/>
      <c r="N87" s="486"/>
      <c r="O87" s="486"/>
      <c r="P87" s="486"/>
      <c r="Q87" s="486"/>
      <c r="R87" s="486"/>
      <c r="S87" s="486"/>
      <c r="T87" s="486"/>
      <c r="U87" s="486"/>
      <c r="V87" s="486"/>
      <c r="W87" s="486"/>
      <c r="X87" s="486"/>
      <c r="Y87" s="486"/>
      <c r="Z87" s="486"/>
      <c r="AA87" s="486">
        <v>1594</v>
      </c>
      <c r="AB87" s="486">
        <v>2554</v>
      </c>
      <c r="AC87" s="486">
        <v>3199</v>
      </c>
      <c r="AD87" s="486">
        <v>5265</v>
      </c>
      <c r="AE87" s="486">
        <v>7562</v>
      </c>
      <c r="AF87" s="486">
        <v>9323</v>
      </c>
      <c r="AG87" s="486">
        <v>10713</v>
      </c>
      <c r="AH87" s="486">
        <v>12298</v>
      </c>
      <c r="AI87" s="486">
        <v>13611</v>
      </c>
      <c r="AJ87" s="486">
        <v>15269</v>
      </c>
      <c r="AK87" s="486">
        <v>16090</v>
      </c>
      <c r="AL87" s="486">
        <v>16953</v>
      </c>
      <c r="AM87" s="486">
        <v>17815</v>
      </c>
      <c r="AN87" s="486">
        <v>18382</v>
      </c>
      <c r="AO87" s="486">
        <v>20196</v>
      </c>
      <c r="AP87" s="486">
        <v>22333</v>
      </c>
      <c r="AQ87" s="486">
        <v>24466</v>
      </c>
      <c r="AR87" s="486">
        <v>25397</v>
      </c>
      <c r="AS87" s="486">
        <v>27622</v>
      </c>
      <c r="AT87" s="486">
        <v>28457</v>
      </c>
      <c r="AU87" s="486">
        <v>29301</v>
      </c>
      <c r="AV87" s="486">
        <v>30166</v>
      </c>
      <c r="AW87" s="486">
        <v>31070</v>
      </c>
      <c r="AX87" s="486">
        <v>33324</v>
      </c>
      <c r="AY87" s="486">
        <v>33257</v>
      </c>
      <c r="AZ87" s="486">
        <v>34892</v>
      </c>
      <c r="BA87" s="486">
        <v>36768</v>
      </c>
      <c r="BB87" s="486">
        <v>38677</v>
      </c>
      <c r="BC87" s="486">
        <v>38140</v>
      </c>
      <c r="BD87" s="486">
        <v>37408</v>
      </c>
      <c r="BE87" s="486">
        <v>39319</v>
      </c>
      <c r="BF87" s="486">
        <v>38680</v>
      </c>
      <c r="BG87" s="486">
        <v>40577</v>
      </c>
      <c r="BH87" s="486">
        <v>40475</v>
      </c>
      <c r="BI87" s="486">
        <v>44065</v>
      </c>
      <c r="BJ87" s="486">
        <v>45297</v>
      </c>
      <c r="BK87" s="486">
        <v>45278</v>
      </c>
      <c r="BL87" s="486">
        <v>47279</v>
      </c>
      <c r="BM87" s="486">
        <v>46462</v>
      </c>
      <c r="BN87" s="486">
        <v>48058</v>
      </c>
      <c r="BO87" s="486">
        <v>50042</v>
      </c>
      <c r="BP87" s="486">
        <v>49783</v>
      </c>
      <c r="BQ87" s="486">
        <v>51822</v>
      </c>
      <c r="BR87" s="486">
        <v>51723</v>
      </c>
      <c r="BS87" s="486">
        <v>51736</v>
      </c>
      <c r="BT87" s="486">
        <v>49664</v>
      </c>
      <c r="BU87" s="486">
        <v>49684</v>
      </c>
      <c r="BV87" s="486">
        <v>49690</v>
      </c>
      <c r="BW87" s="486">
        <v>49691</v>
      </c>
      <c r="BX87" s="486">
        <v>49691</v>
      </c>
      <c r="BY87" s="486">
        <v>45361</v>
      </c>
      <c r="BZ87" s="486">
        <v>42663</v>
      </c>
      <c r="CA87" s="486">
        <v>42663</v>
      </c>
      <c r="CB87" s="486">
        <v>42664</v>
      </c>
      <c r="CC87" s="486">
        <v>25903</v>
      </c>
      <c r="CD87" s="486">
        <v>25527</v>
      </c>
      <c r="CE87" s="486">
        <v>24677</v>
      </c>
      <c r="CF87" s="486">
        <v>23139</v>
      </c>
      <c r="CG87" s="486">
        <v>22451</v>
      </c>
      <c r="CH87" s="486">
        <v>20700</v>
      </c>
      <c r="CI87" s="486">
        <v>13031</v>
      </c>
      <c r="CJ87" s="486">
        <v>12449</v>
      </c>
      <c r="CK87" s="486">
        <v>9623</v>
      </c>
      <c r="CL87" s="486">
        <v>9446</v>
      </c>
      <c r="CM87" s="486">
        <v>9019</v>
      </c>
      <c r="CN87" s="486">
        <v>8527</v>
      </c>
      <c r="CO87" s="486">
        <v>7842</v>
      </c>
      <c r="CP87" s="486">
        <v>7854</v>
      </c>
      <c r="CQ87" s="486">
        <v>6766</v>
      </c>
      <c r="CR87" s="486">
        <v>6640</v>
      </c>
      <c r="CS87" s="486">
        <v>6536</v>
      </c>
      <c r="CT87" s="486">
        <v>6488</v>
      </c>
      <c r="CU87" s="486">
        <v>5567</v>
      </c>
      <c r="CV87" s="486">
        <v>5364</v>
      </c>
      <c r="CW87" s="486">
        <v>5263</v>
      </c>
      <c r="CX87" s="486">
        <v>4970</v>
      </c>
      <c r="CY87" s="486">
        <v>4971</v>
      </c>
      <c r="CZ87" s="486">
        <v>4296</v>
      </c>
      <c r="DA87" s="486">
        <v>4204</v>
      </c>
      <c r="DB87" s="486">
        <v>4161</v>
      </c>
      <c r="DC87" s="486">
        <v>4133</v>
      </c>
      <c r="DD87" s="486">
        <v>4051</v>
      </c>
      <c r="DE87" s="728">
        <v>4051</v>
      </c>
      <c r="DF87" s="483"/>
    </row>
    <row r="88" spans="2:110" x14ac:dyDescent="0.35">
      <c r="B88" s="484" t="s">
        <v>478</v>
      </c>
      <c r="C88" s="485" t="s">
        <v>479</v>
      </c>
      <c r="D88" s="486"/>
      <c r="E88" s="486"/>
      <c r="F88" s="486"/>
      <c r="G88" s="486"/>
      <c r="H88" s="486"/>
      <c r="I88" s="486"/>
      <c r="J88" s="486"/>
      <c r="K88" s="486"/>
      <c r="L88" s="486"/>
      <c r="M88" s="486"/>
      <c r="N88" s="486"/>
      <c r="O88" s="486"/>
      <c r="P88" s="486"/>
      <c r="Q88" s="486"/>
      <c r="R88" s="486"/>
      <c r="S88" s="486"/>
      <c r="T88" s="486"/>
      <c r="U88" s="486"/>
      <c r="V88" s="486"/>
      <c r="W88" s="486"/>
      <c r="X88" s="486"/>
      <c r="Y88" s="486"/>
      <c r="Z88" s="486"/>
      <c r="AA88" s="486"/>
      <c r="AB88" s="486"/>
      <c r="AC88" s="486">
        <v>1000</v>
      </c>
      <c r="AD88" s="486">
        <v>1000</v>
      </c>
      <c r="AE88" s="486">
        <v>1250</v>
      </c>
      <c r="AF88" s="486">
        <v>1500</v>
      </c>
      <c r="AG88" s="486">
        <v>1500</v>
      </c>
      <c r="AH88" s="486">
        <v>1700</v>
      </c>
      <c r="AI88" s="486">
        <v>1950</v>
      </c>
      <c r="AJ88" s="486">
        <v>1950</v>
      </c>
      <c r="AK88" s="486">
        <v>1950</v>
      </c>
      <c r="AL88" s="486">
        <v>2250</v>
      </c>
      <c r="AM88" s="486">
        <v>2250</v>
      </c>
      <c r="AN88" s="486">
        <v>2250</v>
      </c>
      <c r="AO88" s="486">
        <v>2600</v>
      </c>
      <c r="AP88" s="486">
        <v>2599</v>
      </c>
      <c r="AQ88" s="486">
        <v>3092</v>
      </c>
      <c r="AR88" s="486">
        <v>3092</v>
      </c>
      <c r="AS88" s="486">
        <v>3242</v>
      </c>
      <c r="AT88" s="486">
        <v>3442</v>
      </c>
      <c r="AU88" s="486">
        <v>3592</v>
      </c>
      <c r="AV88" s="486">
        <v>3992</v>
      </c>
      <c r="AW88" s="486">
        <v>4592</v>
      </c>
      <c r="AX88" s="486">
        <v>4592</v>
      </c>
      <c r="AY88" s="486">
        <v>4592</v>
      </c>
      <c r="AZ88" s="486">
        <v>5092</v>
      </c>
      <c r="BA88" s="486">
        <v>5592</v>
      </c>
      <c r="BB88" s="486">
        <v>5592</v>
      </c>
      <c r="BC88" s="486">
        <v>5592</v>
      </c>
      <c r="BD88" s="486">
        <v>5592</v>
      </c>
      <c r="BE88" s="486">
        <v>5592</v>
      </c>
      <c r="BF88" s="486">
        <v>5592</v>
      </c>
      <c r="BG88" s="486">
        <v>5592</v>
      </c>
      <c r="BH88" s="486">
        <v>5592</v>
      </c>
      <c r="BI88" s="486">
        <v>5592</v>
      </c>
      <c r="BJ88" s="486">
        <v>5592</v>
      </c>
      <c r="BK88" s="486">
        <v>5592</v>
      </c>
      <c r="BL88" s="486">
        <v>5544</v>
      </c>
      <c r="BM88" s="486">
        <v>6146</v>
      </c>
      <c r="BN88" s="486">
        <v>6346</v>
      </c>
      <c r="BO88" s="486">
        <v>6346</v>
      </c>
      <c r="BP88" s="486">
        <v>6545</v>
      </c>
      <c r="BQ88" s="486">
        <v>6546</v>
      </c>
      <c r="BR88" s="486">
        <v>7346</v>
      </c>
      <c r="BS88" s="486">
        <v>7640</v>
      </c>
      <c r="BT88" s="486">
        <v>8346</v>
      </c>
      <c r="BU88" s="486">
        <v>8346</v>
      </c>
      <c r="BV88" s="486">
        <v>8346</v>
      </c>
      <c r="BW88" s="486">
        <v>9146</v>
      </c>
      <c r="BX88" s="486">
        <v>9146</v>
      </c>
      <c r="BY88" s="486">
        <v>9146</v>
      </c>
      <c r="BZ88" s="486">
        <v>9147</v>
      </c>
      <c r="CA88" s="486">
        <v>9146</v>
      </c>
      <c r="CB88" s="486">
        <v>8986</v>
      </c>
      <c r="CC88" s="486">
        <v>8743</v>
      </c>
      <c r="CD88" s="486">
        <v>7970</v>
      </c>
      <c r="CE88" s="486">
        <v>7085</v>
      </c>
      <c r="CF88" s="486">
        <v>6186</v>
      </c>
      <c r="CG88" s="486">
        <v>5508</v>
      </c>
      <c r="CH88" s="486">
        <v>5343</v>
      </c>
      <c r="CI88" s="486">
        <v>5345</v>
      </c>
      <c r="CJ88" s="486">
        <v>5412</v>
      </c>
      <c r="CK88" s="486">
        <v>5067</v>
      </c>
      <c r="CL88" s="486">
        <v>5118</v>
      </c>
      <c r="CM88" s="486">
        <v>5120</v>
      </c>
      <c r="CN88" s="486">
        <v>5120</v>
      </c>
      <c r="CO88" s="486">
        <v>5120</v>
      </c>
      <c r="CP88" s="486">
        <v>5078</v>
      </c>
      <c r="CQ88" s="486">
        <v>5065</v>
      </c>
      <c r="CR88" s="486">
        <v>5065</v>
      </c>
      <c r="CS88" s="486">
        <v>5096</v>
      </c>
      <c r="CT88" s="486">
        <v>5096</v>
      </c>
      <c r="CU88" s="486">
        <v>5091</v>
      </c>
      <c r="CV88" s="486">
        <v>5091</v>
      </c>
      <c r="CW88" s="486">
        <v>5005</v>
      </c>
      <c r="CX88" s="486">
        <v>4799</v>
      </c>
      <c r="CY88" s="486">
        <v>4800</v>
      </c>
      <c r="CZ88" s="486">
        <v>4579</v>
      </c>
      <c r="DA88" s="486">
        <v>4519</v>
      </c>
      <c r="DB88" s="486">
        <v>4497</v>
      </c>
      <c r="DC88" s="486">
        <v>4497</v>
      </c>
      <c r="DD88" s="486">
        <v>4454</v>
      </c>
      <c r="DE88" s="728">
        <v>4454</v>
      </c>
      <c r="DF88" s="483"/>
    </row>
    <row r="89" spans="2:110" x14ac:dyDescent="0.35">
      <c r="B89" s="484" t="s">
        <v>480</v>
      </c>
      <c r="C89" s="485" t="s">
        <v>481</v>
      </c>
      <c r="D89" s="486">
        <v>863</v>
      </c>
      <c r="E89" s="486">
        <v>2611</v>
      </c>
      <c r="F89" s="486">
        <v>3951</v>
      </c>
      <c r="G89" s="486">
        <v>5885</v>
      </c>
      <c r="H89" s="486">
        <v>7979</v>
      </c>
      <c r="I89" s="486">
        <v>8583</v>
      </c>
      <c r="J89" s="486">
        <v>8650</v>
      </c>
      <c r="K89" s="486"/>
      <c r="L89" s="486">
        <v>8649</v>
      </c>
      <c r="M89" s="486">
        <v>8649</v>
      </c>
      <c r="N89" s="486">
        <v>8665</v>
      </c>
      <c r="O89" s="486">
        <v>8665</v>
      </c>
      <c r="P89" s="486">
        <v>8665</v>
      </c>
      <c r="Q89" s="486">
        <v>8665</v>
      </c>
      <c r="R89" s="486">
        <v>8665</v>
      </c>
      <c r="S89" s="486">
        <v>8665</v>
      </c>
      <c r="T89" s="486">
        <v>8665</v>
      </c>
      <c r="U89" s="486">
        <v>8665</v>
      </c>
      <c r="V89" s="486">
        <v>8665</v>
      </c>
      <c r="W89" s="486">
        <v>8665</v>
      </c>
      <c r="X89" s="486">
        <v>8665</v>
      </c>
      <c r="Y89" s="486">
        <v>8665</v>
      </c>
      <c r="Z89" s="486">
        <v>8663</v>
      </c>
      <c r="AA89" s="486">
        <v>8662</v>
      </c>
      <c r="AB89" s="486">
        <v>8120</v>
      </c>
      <c r="AC89" s="486">
        <v>8119</v>
      </c>
      <c r="AD89" s="486">
        <v>8062</v>
      </c>
      <c r="AE89" s="486">
        <v>8062</v>
      </c>
      <c r="AF89" s="486">
        <v>8062</v>
      </c>
      <c r="AG89" s="486">
        <v>8062</v>
      </c>
      <c r="AH89" s="486">
        <v>8067</v>
      </c>
      <c r="AI89" s="486">
        <v>8067</v>
      </c>
      <c r="AJ89" s="486">
        <v>8067</v>
      </c>
      <c r="AK89" s="486">
        <v>8067</v>
      </c>
      <c r="AL89" s="486">
        <v>8067</v>
      </c>
      <c r="AM89" s="486">
        <v>8048</v>
      </c>
      <c r="AN89" s="486">
        <v>7984</v>
      </c>
      <c r="AO89" s="486">
        <v>7801</v>
      </c>
      <c r="AP89" s="486">
        <v>7801</v>
      </c>
      <c r="AQ89" s="486">
        <v>7802</v>
      </c>
      <c r="AR89" s="486">
        <v>7802</v>
      </c>
      <c r="AS89" s="486">
        <v>7802</v>
      </c>
      <c r="AT89" s="486">
        <v>7802</v>
      </c>
      <c r="AU89" s="486">
        <v>7802</v>
      </c>
      <c r="AV89" s="486">
        <v>7802</v>
      </c>
      <c r="AW89" s="486">
        <v>7802</v>
      </c>
      <c r="AX89" s="486">
        <v>7802</v>
      </c>
      <c r="AY89" s="486">
        <v>7802</v>
      </c>
      <c r="AZ89" s="486">
        <v>7802</v>
      </c>
      <c r="BA89" s="486">
        <v>7802</v>
      </c>
      <c r="BB89" s="486">
        <v>7802</v>
      </c>
      <c r="BC89" s="486">
        <v>7802</v>
      </c>
      <c r="BD89" s="486">
        <v>7590</v>
      </c>
      <c r="BE89" s="486">
        <v>7590</v>
      </c>
      <c r="BF89" s="486">
        <v>7590</v>
      </c>
      <c r="BG89" s="486">
        <v>7590</v>
      </c>
      <c r="BH89" s="486">
        <v>7590</v>
      </c>
      <c r="BI89" s="486">
        <v>7590</v>
      </c>
      <c r="BJ89" s="486">
        <v>7590</v>
      </c>
      <c r="BK89" s="486">
        <v>7590</v>
      </c>
      <c r="BL89" s="486">
        <v>7590</v>
      </c>
      <c r="BM89" s="486">
        <v>7590</v>
      </c>
      <c r="BN89" s="486">
        <v>7584</v>
      </c>
      <c r="BO89" s="486">
        <v>7584</v>
      </c>
      <c r="BP89" s="486">
        <v>7584</v>
      </c>
      <c r="BQ89" s="486">
        <v>7584</v>
      </c>
      <c r="BR89" s="486">
        <v>7584</v>
      </c>
      <c r="BS89" s="486">
        <v>7584</v>
      </c>
      <c r="BT89" s="486">
        <v>7584</v>
      </c>
      <c r="BU89" s="486">
        <v>7850</v>
      </c>
      <c r="BV89" s="486">
        <v>7960</v>
      </c>
      <c r="BW89" s="486">
        <v>7960</v>
      </c>
      <c r="BX89" s="486">
        <v>7960</v>
      </c>
      <c r="BY89" s="486">
        <v>7086</v>
      </c>
      <c r="BZ89" s="486">
        <v>7030</v>
      </c>
      <c r="CA89" s="486">
        <v>7030</v>
      </c>
      <c r="CB89" s="486">
        <v>6900</v>
      </c>
      <c r="CC89" s="486">
        <v>6900</v>
      </c>
      <c r="CD89" s="486">
        <v>6900</v>
      </c>
      <c r="CE89" s="486">
        <v>6748</v>
      </c>
      <c r="CF89" s="486">
        <v>6621</v>
      </c>
      <c r="CG89" s="486">
        <v>6533</v>
      </c>
      <c r="CH89" s="486">
        <v>6533</v>
      </c>
      <c r="CI89" s="486">
        <v>6431</v>
      </c>
      <c r="CJ89" s="486">
        <v>6431</v>
      </c>
      <c r="CK89" s="486">
        <v>6432</v>
      </c>
      <c r="CL89" s="486">
        <v>6405</v>
      </c>
      <c r="CM89" s="486">
        <v>6405</v>
      </c>
      <c r="CN89" s="486">
        <v>6405</v>
      </c>
      <c r="CO89" s="486">
        <v>6135</v>
      </c>
      <c r="CP89" s="486">
        <v>6135</v>
      </c>
      <c r="CQ89" s="486">
        <v>5885</v>
      </c>
      <c r="CR89" s="486">
        <v>5885</v>
      </c>
      <c r="CS89" s="486">
        <v>5885</v>
      </c>
      <c r="CT89" s="486">
        <v>5736</v>
      </c>
      <c r="CU89" s="486">
        <v>5736</v>
      </c>
      <c r="CV89" s="486">
        <v>5736</v>
      </c>
      <c r="CW89" s="486">
        <v>5670</v>
      </c>
      <c r="CX89" s="486">
        <v>5480</v>
      </c>
      <c r="CY89" s="486">
        <v>5480</v>
      </c>
      <c r="CZ89" s="486">
        <v>5354</v>
      </c>
      <c r="DA89" s="486">
        <v>5354</v>
      </c>
      <c r="DB89" s="486">
        <v>5202</v>
      </c>
      <c r="DC89" s="486">
        <v>5202</v>
      </c>
      <c r="DD89" s="486">
        <v>5147</v>
      </c>
      <c r="DE89" s="728">
        <v>5147</v>
      </c>
      <c r="DF89" s="483"/>
    </row>
    <row r="90" spans="2:110" x14ac:dyDescent="0.35">
      <c r="B90" s="484" t="s">
        <v>482</v>
      </c>
      <c r="C90" s="485" t="s">
        <v>483</v>
      </c>
      <c r="D90" s="486"/>
      <c r="E90" s="486"/>
      <c r="F90" s="486"/>
      <c r="G90" s="486"/>
      <c r="H90" s="486"/>
      <c r="I90" s="486"/>
      <c r="J90" s="486"/>
      <c r="K90" s="486"/>
      <c r="L90" s="486"/>
      <c r="M90" s="486"/>
      <c r="N90" s="486"/>
      <c r="O90" s="486"/>
      <c r="P90" s="486"/>
      <c r="Q90" s="486"/>
      <c r="R90" s="486"/>
      <c r="S90" s="486"/>
      <c r="T90" s="486"/>
      <c r="U90" s="486"/>
      <c r="V90" s="486">
        <v>7298</v>
      </c>
      <c r="W90" s="486">
        <v>7549</v>
      </c>
      <c r="X90" s="486">
        <v>7964</v>
      </c>
      <c r="Y90" s="486">
        <v>8236</v>
      </c>
      <c r="Z90" s="486">
        <v>8736</v>
      </c>
      <c r="AA90" s="486">
        <v>8922</v>
      </c>
      <c r="AB90" s="486">
        <v>9169</v>
      </c>
      <c r="AC90" s="486">
        <v>9366</v>
      </c>
      <c r="AD90" s="486">
        <v>9468</v>
      </c>
      <c r="AE90" s="486">
        <v>9499</v>
      </c>
      <c r="AF90" s="486">
        <v>9615</v>
      </c>
      <c r="AG90" s="486">
        <v>9659</v>
      </c>
      <c r="AH90" s="486">
        <v>9608</v>
      </c>
      <c r="AI90" s="486">
        <v>9579</v>
      </c>
      <c r="AJ90" s="486">
        <v>9543</v>
      </c>
      <c r="AK90" s="486">
        <v>9504</v>
      </c>
      <c r="AL90" s="486">
        <v>8968</v>
      </c>
      <c r="AM90" s="486">
        <v>9055</v>
      </c>
      <c r="AN90" s="486">
        <v>9046</v>
      </c>
      <c r="AO90" s="486">
        <v>8921</v>
      </c>
      <c r="AP90" s="486">
        <v>8869</v>
      </c>
      <c r="AQ90" s="486">
        <v>8869</v>
      </c>
      <c r="AR90" s="486">
        <v>8752</v>
      </c>
      <c r="AS90" s="486">
        <v>8593</v>
      </c>
      <c r="AT90" s="486">
        <v>8516</v>
      </c>
      <c r="AU90" s="486">
        <v>8491</v>
      </c>
      <c r="AV90" s="486">
        <v>8435</v>
      </c>
      <c r="AW90" s="486">
        <v>8347</v>
      </c>
      <c r="AX90" s="486">
        <v>8298</v>
      </c>
      <c r="AY90" s="486">
        <v>8275</v>
      </c>
      <c r="AZ90" s="486">
        <v>8267</v>
      </c>
      <c r="BA90" s="486">
        <v>8262</v>
      </c>
      <c r="BB90" s="486">
        <v>8207</v>
      </c>
      <c r="BC90" s="486">
        <v>8081</v>
      </c>
      <c r="BD90" s="486">
        <v>8073</v>
      </c>
      <c r="BE90" s="486">
        <v>8073</v>
      </c>
      <c r="BF90" s="486">
        <v>8066</v>
      </c>
      <c r="BG90" s="486">
        <v>8060</v>
      </c>
      <c r="BH90" s="486">
        <v>8040</v>
      </c>
      <c r="BI90" s="486">
        <v>7977</v>
      </c>
      <c r="BJ90" s="486">
        <v>7976</v>
      </c>
      <c r="BK90" s="486">
        <v>7969</v>
      </c>
      <c r="BL90" s="486">
        <v>7853</v>
      </c>
      <c r="BM90" s="486">
        <v>7821</v>
      </c>
      <c r="BN90" s="486">
        <v>7644</v>
      </c>
      <c r="BO90" s="486">
        <v>7631</v>
      </c>
      <c r="BP90" s="486">
        <v>7620</v>
      </c>
      <c r="BQ90" s="486">
        <v>7612</v>
      </c>
      <c r="BR90" s="486">
        <v>7590</v>
      </c>
      <c r="BS90" s="486">
        <v>7559</v>
      </c>
      <c r="BT90" s="486">
        <v>7459</v>
      </c>
      <c r="BU90" s="486">
        <v>7364</v>
      </c>
      <c r="BV90" s="486">
        <v>7183</v>
      </c>
      <c r="BW90" s="486">
        <v>6928</v>
      </c>
      <c r="BX90" s="486">
        <v>6602</v>
      </c>
      <c r="BY90" s="486">
        <v>6371</v>
      </c>
      <c r="BZ90" s="486">
        <v>6101</v>
      </c>
      <c r="CA90" s="486">
        <v>6026</v>
      </c>
      <c r="CB90" s="486">
        <v>5964</v>
      </c>
      <c r="CC90" s="486">
        <v>5873</v>
      </c>
      <c r="CD90" s="486">
        <v>5856</v>
      </c>
      <c r="CE90" s="486">
        <v>5856</v>
      </c>
      <c r="CF90" s="486">
        <v>5814</v>
      </c>
      <c r="CG90" s="486">
        <v>5806</v>
      </c>
      <c r="CH90" s="486">
        <v>5804</v>
      </c>
      <c r="CI90" s="486">
        <v>5790</v>
      </c>
      <c r="CJ90" s="486">
        <v>5770</v>
      </c>
      <c r="CK90" s="486">
        <v>5769</v>
      </c>
      <c r="CL90" s="486">
        <v>5771</v>
      </c>
      <c r="CM90" s="486">
        <v>5760</v>
      </c>
      <c r="CN90" s="486">
        <v>5760</v>
      </c>
      <c r="CO90" s="486">
        <v>5755</v>
      </c>
      <c r="CP90" s="486">
        <v>5746</v>
      </c>
      <c r="CQ90" s="486">
        <v>5706</v>
      </c>
      <c r="CR90" s="486">
        <v>5678</v>
      </c>
      <c r="CS90" s="486">
        <v>5654</v>
      </c>
      <c r="CT90" s="486">
        <v>5563</v>
      </c>
      <c r="CU90" s="486">
        <v>5563</v>
      </c>
      <c r="CV90" s="486">
        <v>5562</v>
      </c>
      <c r="CW90" s="486">
        <v>5562</v>
      </c>
      <c r="CX90" s="486">
        <v>5365</v>
      </c>
      <c r="CY90" s="486">
        <v>5365</v>
      </c>
      <c r="CZ90" s="486">
        <v>5363</v>
      </c>
      <c r="DA90" s="486">
        <v>5362</v>
      </c>
      <c r="DB90" s="486">
        <v>5357</v>
      </c>
      <c r="DC90" s="486">
        <v>5357</v>
      </c>
      <c r="DD90" s="486">
        <v>5357</v>
      </c>
      <c r="DE90" s="728">
        <v>5356</v>
      </c>
      <c r="DF90" s="483"/>
    </row>
    <row r="91" spans="2:110" x14ac:dyDescent="0.35">
      <c r="B91" s="484" t="s">
        <v>484</v>
      </c>
      <c r="C91" s="485" t="s">
        <v>485</v>
      </c>
      <c r="D91" s="486"/>
      <c r="E91" s="486"/>
      <c r="F91" s="486"/>
      <c r="G91" s="486"/>
      <c r="H91" s="486"/>
      <c r="I91" s="486"/>
      <c r="J91" s="486"/>
      <c r="K91" s="486"/>
      <c r="L91" s="486"/>
      <c r="M91" s="486"/>
      <c r="N91" s="486"/>
      <c r="O91" s="486"/>
      <c r="P91" s="486"/>
      <c r="Q91" s="486"/>
      <c r="R91" s="486"/>
      <c r="S91" s="486"/>
      <c r="T91" s="486"/>
      <c r="U91" s="486"/>
      <c r="V91" s="486"/>
      <c r="W91" s="486"/>
      <c r="X91" s="486"/>
      <c r="Y91" s="486"/>
      <c r="Z91" s="486"/>
      <c r="AA91" s="486">
        <v>1057</v>
      </c>
      <c r="AB91" s="486">
        <v>1236</v>
      </c>
      <c r="AC91" s="486">
        <v>1354</v>
      </c>
      <c r="AD91" s="486">
        <v>1563</v>
      </c>
      <c r="AE91" s="486">
        <v>1623</v>
      </c>
      <c r="AF91" s="486">
        <v>1732</v>
      </c>
      <c r="AG91" s="486">
        <v>1790</v>
      </c>
      <c r="AH91" s="486">
        <v>1899</v>
      </c>
      <c r="AI91" s="486">
        <v>1950</v>
      </c>
      <c r="AJ91" s="486">
        <v>2083</v>
      </c>
      <c r="AK91" s="486">
        <v>2213</v>
      </c>
      <c r="AL91" s="486">
        <v>2332</v>
      </c>
      <c r="AM91" s="486">
        <v>2392</v>
      </c>
      <c r="AN91" s="486">
        <v>2473</v>
      </c>
      <c r="AO91" s="486">
        <v>2601</v>
      </c>
      <c r="AP91" s="486">
        <v>2671</v>
      </c>
      <c r="AQ91" s="486">
        <v>2786</v>
      </c>
      <c r="AR91" s="486">
        <v>2968</v>
      </c>
      <c r="AS91" s="486">
        <v>3171</v>
      </c>
      <c r="AT91" s="486">
        <v>3138</v>
      </c>
      <c r="AU91" s="486">
        <v>3246</v>
      </c>
      <c r="AV91" s="486">
        <v>3391</v>
      </c>
      <c r="AW91" s="486">
        <v>3563</v>
      </c>
      <c r="AX91" s="486">
        <v>3741</v>
      </c>
      <c r="AY91" s="486">
        <v>3864</v>
      </c>
      <c r="AZ91" s="486">
        <v>4086</v>
      </c>
      <c r="BA91" s="486">
        <v>4342</v>
      </c>
      <c r="BB91" s="486">
        <v>4684</v>
      </c>
      <c r="BC91" s="486">
        <v>4886</v>
      </c>
      <c r="BD91" s="486">
        <v>5033</v>
      </c>
      <c r="BE91" s="486">
        <v>5101</v>
      </c>
      <c r="BF91" s="486">
        <v>5167</v>
      </c>
      <c r="BG91" s="486">
        <v>5192</v>
      </c>
      <c r="BH91" s="486">
        <v>5235</v>
      </c>
      <c r="BI91" s="486">
        <v>5296</v>
      </c>
      <c r="BJ91" s="486">
        <v>5395</v>
      </c>
      <c r="BK91" s="486">
        <v>5411</v>
      </c>
      <c r="BL91" s="486">
        <v>5412</v>
      </c>
      <c r="BM91" s="486">
        <v>5434</v>
      </c>
      <c r="BN91" s="486">
        <v>5437</v>
      </c>
      <c r="BO91" s="486">
        <v>5465</v>
      </c>
      <c r="BP91" s="486">
        <v>5477</v>
      </c>
      <c r="BQ91" s="486">
        <v>5494</v>
      </c>
      <c r="BR91" s="486">
        <v>5501</v>
      </c>
      <c r="BS91" s="486">
        <v>5506</v>
      </c>
      <c r="BT91" s="486">
        <v>5510</v>
      </c>
      <c r="BU91" s="486">
        <v>5516</v>
      </c>
      <c r="BV91" s="486">
        <v>5516</v>
      </c>
      <c r="BW91" s="486">
        <v>5520</v>
      </c>
      <c r="BX91" s="486">
        <v>5521</v>
      </c>
      <c r="BY91" s="486">
        <v>5522</v>
      </c>
      <c r="BZ91" s="486">
        <v>5496</v>
      </c>
      <c r="CA91" s="486">
        <v>5493</v>
      </c>
      <c r="CB91" s="486">
        <v>5485</v>
      </c>
      <c r="CC91" s="486">
        <v>5484</v>
      </c>
      <c r="CD91" s="486">
        <v>5483</v>
      </c>
      <c r="CE91" s="486">
        <v>5483</v>
      </c>
      <c r="CF91" s="486">
        <v>5478</v>
      </c>
      <c r="CG91" s="486">
        <v>5476</v>
      </c>
      <c r="CH91" s="486">
        <v>5477</v>
      </c>
      <c r="CI91" s="486">
        <v>5477</v>
      </c>
      <c r="CJ91" s="486">
        <v>5477</v>
      </c>
      <c r="CK91" s="486">
        <v>5476</v>
      </c>
      <c r="CL91" s="486">
        <v>5476</v>
      </c>
      <c r="CM91" s="486">
        <v>5476</v>
      </c>
      <c r="CN91" s="486">
        <v>5476</v>
      </c>
      <c r="CO91" s="486">
        <v>5476</v>
      </c>
      <c r="CP91" s="486">
        <v>5476</v>
      </c>
      <c r="CQ91" s="486">
        <v>5476</v>
      </c>
      <c r="CR91" s="486">
        <v>5481</v>
      </c>
      <c r="CS91" s="486">
        <v>5480</v>
      </c>
      <c r="CT91" s="486">
        <v>5480</v>
      </c>
      <c r="CU91" s="486">
        <v>5483</v>
      </c>
      <c r="CV91" s="486">
        <v>5484</v>
      </c>
      <c r="CW91" s="486">
        <v>5484</v>
      </c>
      <c r="CX91" s="486">
        <v>5484</v>
      </c>
      <c r="CY91" s="486">
        <v>5486</v>
      </c>
      <c r="CZ91" s="486">
        <v>5486</v>
      </c>
      <c r="DA91" s="486">
        <v>5486</v>
      </c>
      <c r="DB91" s="486">
        <v>5486</v>
      </c>
      <c r="DC91" s="486">
        <v>5486</v>
      </c>
      <c r="DD91" s="486">
        <v>5485</v>
      </c>
      <c r="DE91" s="728">
        <v>5201</v>
      </c>
      <c r="DF91" s="483"/>
    </row>
    <row r="92" spans="2:110" x14ac:dyDescent="0.35">
      <c r="B92" s="484" t="s">
        <v>486</v>
      </c>
      <c r="C92" s="485" t="s">
        <v>487</v>
      </c>
      <c r="D92" s="486"/>
      <c r="E92" s="486"/>
      <c r="F92" s="486"/>
      <c r="G92" s="486"/>
      <c r="H92" s="486"/>
      <c r="I92" s="486"/>
      <c r="J92" s="486"/>
      <c r="K92" s="486"/>
      <c r="L92" s="486"/>
      <c r="M92" s="486"/>
      <c r="N92" s="486"/>
      <c r="O92" s="486"/>
      <c r="P92" s="486"/>
      <c r="Q92" s="486"/>
      <c r="R92" s="486"/>
      <c r="S92" s="486"/>
      <c r="T92" s="486"/>
      <c r="U92" s="486"/>
      <c r="V92" s="486"/>
      <c r="W92" s="486"/>
      <c r="X92" s="486"/>
      <c r="Y92" s="486"/>
      <c r="Z92" s="486"/>
      <c r="AA92" s="486"/>
      <c r="AB92" s="486"/>
      <c r="AC92" s="486">
        <v>1198</v>
      </c>
      <c r="AD92" s="486">
        <v>1198</v>
      </c>
      <c r="AE92" s="486">
        <v>1798</v>
      </c>
      <c r="AF92" s="486">
        <v>1798</v>
      </c>
      <c r="AG92" s="486">
        <v>1798</v>
      </c>
      <c r="AH92" s="486">
        <v>1944</v>
      </c>
      <c r="AI92" s="486">
        <v>1981</v>
      </c>
      <c r="AJ92" s="486">
        <v>2120</v>
      </c>
      <c r="AK92" s="486">
        <v>2121</v>
      </c>
      <c r="AL92" s="486">
        <v>2335</v>
      </c>
      <c r="AM92" s="486">
        <v>2100</v>
      </c>
      <c r="AN92" s="486">
        <v>2096</v>
      </c>
      <c r="AO92" s="486">
        <v>2259</v>
      </c>
      <c r="AP92" s="486">
        <v>2525</v>
      </c>
      <c r="AQ92" s="486">
        <v>2633</v>
      </c>
      <c r="AR92" s="486">
        <v>2666</v>
      </c>
      <c r="AS92" s="486">
        <v>2806</v>
      </c>
      <c r="AT92" s="486">
        <v>2853</v>
      </c>
      <c r="AU92" s="486">
        <v>2852</v>
      </c>
      <c r="AV92" s="486">
        <v>3329</v>
      </c>
      <c r="AW92" s="486">
        <v>3325</v>
      </c>
      <c r="AX92" s="486">
        <v>3395</v>
      </c>
      <c r="AY92" s="486">
        <v>3395</v>
      </c>
      <c r="AZ92" s="486">
        <v>3459</v>
      </c>
      <c r="BA92" s="486">
        <v>3688</v>
      </c>
      <c r="BB92" s="486">
        <v>3891</v>
      </c>
      <c r="BC92" s="486">
        <v>3886</v>
      </c>
      <c r="BD92" s="486">
        <v>3885</v>
      </c>
      <c r="BE92" s="486">
        <v>3876</v>
      </c>
      <c r="BF92" s="486">
        <v>3830</v>
      </c>
      <c r="BG92" s="486">
        <v>4214</v>
      </c>
      <c r="BH92" s="486">
        <v>4312</v>
      </c>
      <c r="BI92" s="486">
        <v>4788</v>
      </c>
      <c r="BJ92" s="486">
        <v>4471</v>
      </c>
      <c r="BK92" s="486">
        <v>4431</v>
      </c>
      <c r="BL92" s="486">
        <v>4390</v>
      </c>
      <c r="BM92" s="486">
        <v>4525</v>
      </c>
      <c r="BN92" s="486">
        <v>4424</v>
      </c>
      <c r="BO92" s="486">
        <v>4726</v>
      </c>
      <c r="BP92" s="486">
        <v>4961</v>
      </c>
      <c r="BQ92" s="486">
        <v>5109</v>
      </c>
      <c r="BR92" s="486">
        <v>5247</v>
      </c>
      <c r="BS92" s="486">
        <v>5395</v>
      </c>
      <c r="BT92" s="486">
        <v>5630</v>
      </c>
      <c r="BU92" s="486">
        <v>5701</v>
      </c>
      <c r="BV92" s="486">
        <v>5694</v>
      </c>
      <c r="BW92" s="486">
        <v>5760</v>
      </c>
      <c r="BX92" s="486">
        <v>5919</v>
      </c>
      <c r="BY92" s="486">
        <v>5788</v>
      </c>
      <c r="BZ92" s="486">
        <v>5820</v>
      </c>
      <c r="CA92" s="486">
        <v>6011</v>
      </c>
      <c r="CB92" s="486">
        <v>5950</v>
      </c>
      <c r="CC92" s="486">
        <v>6251</v>
      </c>
      <c r="CD92" s="486">
        <v>5892</v>
      </c>
      <c r="CE92" s="486">
        <v>5882</v>
      </c>
      <c r="CF92" s="486">
        <v>5842</v>
      </c>
      <c r="CG92" s="486">
        <v>5874</v>
      </c>
      <c r="CH92" s="486">
        <v>5949</v>
      </c>
      <c r="CI92" s="486">
        <v>5999</v>
      </c>
      <c r="CJ92" s="486">
        <v>5961</v>
      </c>
      <c r="CK92" s="486">
        <v>5966</v>
      </c>
      <c r="CL92" s="486">
        <v>5939</v>
      </c>
      <c r="CM92" s="486">
        <v>5931</v>
      </c>
      <c r="CN92" s="486">
        <v>5922</v>
      </c>
      <c r="CO92" s="486">
        <v>5914</v>
      </c>
      <c r="CP92" s="486">
        <v>5890</v>
      </c>
      <c r="CQ92" s="486">
        <v>5812</v>
      </c>
      <c r="CR92" s="486">
        <v>5686</v>
      </c>
      <c r="CS92" s="486">
        <v>5670</v>
      </c>
      <c r="CT92" s="486">
        <v>5664</v>
      </c>
      <c r="CU92" s="486">
        <v>5576</v>
      </c>
      <c r="CV92" s="486">
        <v>5556</v>
      </c>
      <c r="CW92" s="486">
        <v>5410</v>
      </c>
      <c r="CX92" s="486">
        <v>5105</v>
      </c>
      <c r="CY92" s="486">
        <v>4824</v>
      </c>
      <c r="CZ92" s="486">
        <v>4813</v>
      </c>
      <c r="DA92" s="486">
        <v>3926</v>
      </c>
      <c r="DB92" s="486">
        <v>3917</v>
      </c>
      <c r="DC92" s="486">
        <v>3719</v>
      </c>
      <c r="DD92" s="486">
        <v>3536</v>
      </c>
      <c r="DE92" s="728">
        <v>3460</v>
      </c>
      <c r="DF92" s="483"/>
    </row>
    <row r="93" spans="2:110" x14ac:dyDescent="0.35">
      <c r="B93" s="484" t="s">
        <v>488</v>
      </c>
      <c r="C93" s="485" t="s">
        <v>489</v>
      </c>
      <c r="D93" s="486"/>
      <c r="E93" s="486"/>
      <c r="F93" s="486"/>
      <c r="G93" s="486"/>
      <c r="H93" s="486"/>
      <c r="I93" s="486"/>
      <c r="J93" s="486"/>
      <c r="K93" s="486"/>
      <c r="L93" s="486"/>
      <c r="M93" s="486"/>
      <c r="N93" s="486"/>
      <c r="O93" s="486"/>
      <c r="P93" s="486"/>
      <c r="Q93" s="486"/>
      <c r="R93" s="486"/>
      <c r="S93" s="486"/>
      <c r="T93" s="486"/>
      <c r="U93" s="486"/>
      <c r="V93" s="486"/>
      <c r="W93" s="486"/>
      <c r="X93" s="486"/>
      <c r="Y93" s="486"/>
      <c r="Z93" s="486"/>
      <c r="AA93" s="486"/>
      <c r="AB93" s="486"/>
      <c r="AC93" s="486"/>
      <c r="AD93" s="486"/>
      <c r="AE93" s="486"/>
      <c r="AF93" s="486"/>
      <c r="AG93" s="486"/>
      <c r="AH93" s="486"/>
      <c r="AI93" s="486"/>
      <c r="AJ93" s="486"/>
      <c r="AK93" s="486">
        <v>1056</v>
      </c>
      <c r="AL93" s="486">
        <v>1159</v>
      </c>
      <c r="AM93" s="486">
        <v>1206</v>
      </c>
      <c r="AN93" s="486">
        <v>1320</v>
      </c>
      <c r="AO93" s="486">
        <v>1376</v>
      </c>
      <c r="AP93" s="486">
        <v>1516</v>
      </c>
      <c r="AQ93" s="486">
        <v>1681</v>
      </c>
      <c r="AR93" s="486">
        <v>1793</v>
      </c>
      <c r="AS93" s="486">
        <v>1903</v>
      </c>
      <c r="AT93" s="486">
        <v>1968</v>
      </c>
      <c r="AU93" s="486">
        <v>2049</v>
      </c>
      <c r="AV93" s="486">
        <v>2141</v>
      </c>
      <c r="AW93" s="486">
        <v>2161</v>
      </c>
      <c r="AX93" s="486">
        <v>2259</v>
      </c>
      <c r="AY93" s="486">
        <v>2325</v>
      </c>
      <c r="AZ93" s="486">
        <v>2334</v>
      </c>
      <c r="BA93" s="486">
        <v>2353</v>
      </c>
      <c r="BB93" s="486">
        <v>2422</v>
      </c>
      <c r="BC93" s="486">
        <v>2465</v>
      </c>
      <c r="BD93" s="486">
        <v>2599</v>
      </c>
      <c r="BE93" s="486">
        <v>2598</v>
      </c>
      <c r="BF93" s="486">
        <v>2629</v>
      </c>
      <c r="BG93" s="486">
        <v>2692</v>
      </c>
      <c r="BH93" s="486">
        <v>2769</v>
      </c>
      <c r="BI93" s="486">
        <v>2842</v>
      </c>
      <c r="BJ93" s="486">
        <v>2983</v>
      </c>
      <c r="BK93" s="486">
        <v>3117</v>
      </c>
      <c r="BL93" s="486">
        <v>3149</v>
      </c>
      <c r="BM93" s="486">
        <v>3335</v>
      </c>
      <c r="BN93" s="486">
        <v>3433</v>
      </c>
      <c r="BO93" s="486">
        <v>3546</v>
      </c>
      <c r="BP93" s="486">
        <v>3681</v>
      </c>
      <c r="BQ93" s="486">
        <v>3751</v>
      </c>
      <c r="BR93" s="486">
        <v>3769</v>
      </c>
      <c r="BS93" s="486">
        <v>3804</v>
      </c>
      <c r="BT93" s="486">
        <v>3885</v>
      </c>
      <c r="BU93" s="486">
        <v>3911</v>
      </c>
      <c r="BV93" s="486">
        <v>3926</v>
      </c>
      <c r="BW93" s="486">
        <v>3797</v>
      </c>
      <c r="BX93" s="486">
        <v>3902</v>
      </c>
      <c r="BY93" s="486">
        <v>3958</v>
      </c>
      <c r="BZ93" s="486">
        <v>4020</v>
      </c>
      <c r="CA93" s="486">
        <v>4091</v>
      </c>
      <c r="CB93" s="486">
        <v>4268</v>
      </c>
      <c r="CC93" s="486">
        <v>4212</v>
      </c>
      <c r="CD93" s="486">
        <v>4335</v>
      </c>
      <c r="CE93" s="486">
        <v>4461</v>
      </c>
      <c r="CF93" s="486">
        <v>4428</v>
      </c>
      <c r="CG93" s="486">
        <v>4447</v>
      </c>
      <c r="CH93" s="486">
        <v>4540</v>
      </c>
      <c r="CI93" s="486">
        <v>4544</v>
      </c>
      <c r="CJ93" s="486">
        <v>4619</v>
      </c>
      <c r="CK93" s="486">
        <v>4548</v>
      </c>
      <c r="CL93" s="486">
        <v>4415</v>
      </c>
      <c r="CM93" s="486">
        <v>4288</v>
      </c>
      <c r="CN93" s="486">
        <v>4227</v>
      </c>
      <c r="CO93" s="486">
        <v>4249</v>
      </c>
      <c r="CP93" s="486">
        <v>4138</v>
      </c>
      <c r="CQ93" s="486">
        <v>4242</v>
      </c>
      <c r="CR93" s="486">
        <v>4267</v>
      </c>
      <c r="CS93" s="486">
        <v>4339</v>
      </c>
      <c r="CT93" s="486">
        <v>4373</v>
      </c>
      <c r="CU93" s="486">
        <v>4520</v>
      </c>
      <c r="CV93" s="486">
        <v>4549</v>
      </c>
      <c r="CW93" s="486">
        <v>4907</v>
      </c>
      <c r="CX93" s="486">
        <v>4726</v>
      </c>
      <c r="CY93" s="486">
        <v>4626</v>
      </c>
      <c r="CZ93" s="486">
        <v>4417</v>
      </c>
      <c r="DA93" s="486">
        <v>4364</v>
      </c>
      <c r="DB93" s="486">
        <v>4332</v>
      </c>
      <c r="DC93" s="486">
        <v>4274</v>
      </c>
      <c r="DD93" s="486">
        <v>4284</v>
      </c>
      <c r="DE93" s="728">
        <v>4237</v>
      </c>
      <c r="DF93" s="483"/>
    </row>
    <row r="94" spans="2:110" x14ac:dyDescent="0.35">
      <c r="B94" s="484" t="s">
        <v>490</v>
      </c>
      <c r="C94" s="485" t="s">
        <v>491</v>
      </c>
      <c r="D94" s="486"/>
      <c r="E94" s="486"/>
      <c r="F94" s="486"/>
      <c r="G94" s="486"/>
      <c r="H94" s="486"/>
      <c r="I94" s="486">
        <v>6</v>
      </c>
      <c r="J94" s="486">
        <v>4715</v>
      </c>
      <c r="K94" s="486"/>
      <c r="L94" s="486">
        <v>4715</v>
      </c>
      <c r="M94" s="486">
        <v>4715</v>
      </c>
      <c r="N94" s="486">
        <v>4715</v>
      </c>
      <c r="O94" s="486">
        <v>4727</v>
      </c>
      <c r="P94" s="486">
        <v>4726</v>
      </c>
      <c r="Q94" s="486">
        <v>4726</v>
      </c>
      <c r="R94" s="486">
        <v>4726</v>
      </c>
      <c r="S94" s="486">
        <v>4778</v>
      </c>
      <c r="T94" s="486">
        <v>4817</v>
      </c>
      <c r="U94" s="486">
        <v>4897</v>
      </c>
      <c r="V94" s="486">
        <v>4894</v>
      </c>
      <c r="W94" s="486">
        <v>4911</v>
      </c>
      <c r="X94" s="486">
        <v>4929</v>
      </c>
      <c r="Y94" s="486">
        <v>4933</v>
      </c>
      <c r="Z94" s="486">
        <v>4974</v>
      </c>
      <c r="AA94" s="486">
        <v>4990</v>
      </c>
      <c r="AB94" s="486">
        <v>4990</v>
      </c>
      <c r="AC94" s="486">
        <v>4991</v>
      </c>
      <c r="AD94" s="486">
        <v>4991</v>
      </c>
      <c r="AE94" s="486">
        <v>4991</v>
      </c>
      <c r="AF94" s="486">
        <v>4991</v>
      </c>
      <c r="AG94" s="486">
        <v>4991</v>
      </c>
      <c r="AH94" s="486">
        <v>4991</v>
      </c>
      <c r="AI94" s="486">
        <v>4990</v>
      </c>
      <c r="AJ94" s="486">
        <v>4999</v>
      </c>
      <c r="AK94" s="486">
        <v>5000</v>
      </c>
      <c r="AL94" s="486">
        <v>5000</v>
      </c>
      <c r="AM94" s="486">
        <v>5002</v>
      </c>
      <c r="AN94" s="486">
        <v>4997</v>
      </c>
      <c r="AO94" s="486">
        <v>4997</v>
      </c>
      <c r="AP94" s="486">
        <v>4997</v>
      </c>
      <c r="AQ94" s="486">
        <v>4997</v>
      </c>
      <c r="AR94" s="486">
        <v>4997</v>
      </c>
      <c r="AS94" s="486">
        <v>4997</v>
      </c>
      <c r="AT94" s="486">
        <v>4997</v>
      </c>
      <c r="AU94" s="486">
        <v>4997</v>
      </c>
      <c r="AV94" s="486">
        <v>4997</v>
      </c>
      <c r="AW94" s="486">
        <v>4997</v>
      </c>
      <c r="AX94" s="486">
        <v>4997</v>
      </c>
      <c r="AY94" s="486">
        <v>4997</v>
      </c>
      <c r="AZ94" s="486">
        <v>4997</v>
      </c>
      <c r="BA94" s="486">
        <v>4997</v>
      </c>
      <c r="BB94" s="486">
        <v>4997</v>
      </c>
      <c r="BC94" s="486">
        <v>4997</v>
      </c>
      <c r="BD94" s="486">
        <v>4997</v>
      </c>
      <c r="BE94" s="486">
        <v>4997</v>
      </c>
      <c r="BF94" s="486">
        <v>4997</v>
      </c>
      <c r="BG94" s="486">
        <v>4999</v>
      </c>
      <c r="BH94" s="486">
        <v>4999</v>
      </c>
      <c r="BI94" s="486">
        <v>4998</v>
      </c>
      <c r="BJ94" s="486">
        <v>4998</v>
      </c>
      <c r="BK94" s="486">
        <v>4997</v>
      </c>
      <c r="BL94" s="486">
        <v>4996</v>
      </c>
      <c r="BM94" s="486">
        <v>4995</v>
      </c>
      <c r="BN94" s="486">
        <v>4995</v>
      </c>
      <c r="BO94" s="486">
        <v>4981</v>
      </c>
      <c r="BP94" s="486">
        <v>4997</v>
      </c>
      <c r="BQ94" s="486">
        <v>4997</v>
      </c>
      <c r="BR94" s="486">
        <v>4997</v>
      </c>
      <c r="BS94" s="486">
        <v>4997</v>
      </c>
      <c r="BT94" s="486">
        <v>4997</v>
      </c>
      <c r="BU94" s="486">
        <v>4997</v>
      </c>
      <c r="BV94" s="486">
        <v>4998</v>
      </c>
      <c r="BW94" s="486">
        <v>4998</v>
      </c>
      <c r="BX94" s="486">
        <v>4998</v>
      </c>
      <c r="BY94" s="486">
        <v>4996</v>
      </c>
      <c r="BZ94" s="486">
        <v>4996</v>
      </c>
      <c r="CA94" s="486">
        <v>4996</v>
      </c>
      <c r="CB94" s="486">
        <v>4996</v>
      </c>
      <c r="CC94" s="486">
        <v>4996</v>
      </c>
      <c r="CD94" s="486">
        <v>4996</v>
      </c>
      <c r="CE94" s="486">
        <v>4997</v>
      </c>
      <c r="CF94" s="486">
        <v>4997</v>
      </c>
      <c r="CG94" s="486">
        <v>4997</v>
      </c>
      <c r="CH94" s="486">
        <v>4997</v>
      </c>
      <c r="CI94" s="486">
        <v>4997</v>
      </c>
      <c r="CJ94" s="486">
        <v>4997</v>
      </c>
      <c r="CK94" s="486">
        <v>4997</v>
      </c>
      <c r="CL94" s="486">
        <v>4997</v>
      </c>
      <c r="CM94" s="486">
        <v>4997</v>
      </c>
      <c r="CN94" s="486">
        <v>4997</v>
      </c>
      <c r="CO94" s="486">
        <v>4997</v>
      </c>
      <c r="CP94" s="486">
        <v>4997</v>
      </c>
      <c r="CQ94" s="486">
        <v>4997</v>
      </c>
      <c r="CR94" s="486">
        <v>4997</v>
      </c>
      <c r="CS94" s="486">
        <v>4997</v>
      </c>
      <c r="CT94" s="486">
        <v>4997</v>
      </c>
      <c r="CU94" s="486">
        <v>4997</v>
      </c>
      <c r="CV94" s="486">
        <v>4997</v>
      </c>
      <c r="CW94" s="486">
        <v>4997</v>
      </c>
      <c r="CX94" s="486">
        <v>4997</v>
      </c>
      <c r="CY94" s="486">
        <v>4997</v>
      </c>
      <c r="CZ94" s="486">
        <v>4997</v>
      </c>
      <c r="DA94" s="486">
        <v>4997</v>
      </c>
      <c r="DB94" s="486">
        <v>4997</v>
      </c>
      <c r="DC94" s="486">
        <v>4997</v>
      </c>
      <c r="DD94" s="486">
        <v>4997</v>
      </c>
      <c r="DE94" s="728">
        <v>4997</v>
      </c>
      <c r="DF94" s="483"/>
    </row>
    <row r="95" spans="2:110" x14ac:dyDescent="0.35">
      <c r="B95" s="484" t="s">
        <v>492</v>
      </c>
      <c r="C95" s="485" t="s">
        <v>493</v>
      </c>
      <c r="D95" s="486"/>
      <c r="E95" s="486"/>
      <c r="F95" s="486"/>
      <c r="G95" s="486"/>
      <c r="H95" s="486"/>
      <c r="I95" s="486"/>
      <c r="J95" s="486"/>
      <c r="K95" s="486"/>
      <c r="L95" s="486"/>
      <c r="M95" s="486"/>
      <c r="N95" s="486"/>
      <c r="O95" s="486"/>
      <c r="P95" s="486"/>
      <c r="Q95" s="486"/>
      <c r="R95" s="486"/>
      <c r="S95" s="486"/>
      <c r="T95" s="486"/>
      <c r="U95" s="486"/>
      <c r="V95" s="486"/>
      <c r="W95" s="486"/>
      <c r="X95" s="486"/>
      <c r="Y95" s="486"/>
      <c r="Z95" s="486"/>
      <c r="AA95" s="486"/>
      <c r="AB95" s="486"/>
      <c r="AC95" s="486"/>
      <c r="AD95" s="486"/>
      <c r="AE95" s="486"/>
      <c r="AF95" s="486"/>
      <c r="AG95" s="486"/>
      <c r="AH95" s="486"/>
      <c r="AI95" s="486"/>
      <c r="AJ95" s="486"/>
      <c r="AK95" s="486"/>
      <c r="AL95" s="486"/>
      <c r="AM95" s="486"/>
      <c r="AN95" s="486"/>
      <c r="AO95" s="483"/>
      <c r="AP95" s="483"/>
      <c r="AQ95" s="483"/>
      <c r="AR95" s="483"/>
      <c r="AS95" s="486"/>
      <c r="AT95" s="483"/>
      <c r="AU95" s="486">
        <v>1357</v>
      </c>
      <c r="AV95" s="486">
        <v>1356</v>
      </c>
      <c r="AW95" s="486">
        <v>1448</v>
      </c>
      <c r="AX95" s="486">
        <v>1565</v>
      </c>
      <c r="AY95" s="486">
        <v>1698</v>
      </c>
      <c r="AZ95" s="486">
        <v>1698</v>
      </c>
      <c r="BA95" s="486">
        <v>1704</v>
      </c>
      <c r="BB95" s="486">
        <v>1912</v>
      </c>
      <c r="BC95" s="486">
        <v>1912</v>
      </c>
      <c r="BD95" s="486">
        <v>2097</v>
      </c>
      <c r="BE95" s="486">
        <v>2297</v>
      </c>
      <c r="BF95" s="486">
        <v>2485</v>
      </c>
      <c r="BG95" s="486">
        <v>2420</v>
      </c>
      <c r="BH95" s="486">
        <v>2626</v>
      </c>
      <c r="BI95" s="486">
        <v>2709</v>
      </c>
      <c r="BJ95" s="486">
        <v>2973</v>
      </c>
      <c r="BK95" s="486">
        <v>3096</v>
      </c>
      <c r="BL95" s="486">
        <v>3092</v>
      </c>
      <c r="BM95" s="486">
        <v>3470</v>
      </c>
      <c r="BN95" s="486">
        <v>3565</v>
      </c>
      <c r="BO95" s="486">
        <v>3633</v>
      </c>
      <c r="BP95" s="486">
        <v>3986</v>
      </c>
      <c r="BQ95" s="486">
        <v>3986</v>
      </c>
      <c r="BR95" s="486">
        <v>3986</v>
      </c>
      <c r="BS95" s="486">
        <v>3986</v>
      </c>
      <c r="BT95" s="486">
        <v>3896</v>
      </c>
      <c r="BU95" s="486">
        <v>3870</v>
      </c>
      <c r="BV95" s="486">
        <v>3877</v>
      </c>
      <c r="BW95" s="486">
        <v>3870</v>
      </c>
      <c r="BX95" s="486">
        <v>3862</v>
      </c>
      <c r="BY95" s="486">
        <v>3126</v>
      </c>
      <c r="BZ95" s="486">
        <v>3107</v>
      </c>
      <c r="CA95" s="486">
        <v>3057</v>
      </c>
      <c r="CB95" s="486">
        <v>3026</v>
      </c>
      <c r="CC95" s="486">
        <v>2960</v>
      </c>
      <c r="CD95" s="486">
        <v>2954</v>
      </c>
      <c r="CE95" s="486">
        <v>2845</v>
      </c>
      <c r="CF95" s="486">
        <v>2919</v>
      </c>
      <c r="CG95" s="486">
        <v>2707</v>
      </c>
      <c r="CH95" s="486">
        <v>2702</v>
      </c>
      <c r="CI95" s="486">
        <v>2751</v>
      </c>
      <c r="CJ95" s="486">
        <v>2738</v>
      </c>
      <c r="CK95" s="486">
        <v>2808</v>
      </c>
      <c r="CL95" s="486">
        <v>2906</v>
      </c>
      <c r="CM95" s="486">
        <v>3053</v>
      </c>
      <c r="CN95" s="486">
        <v>3311</v>
      </c>
      <c r="CO95" s="486">
        <v>3471</v>
      </c>
      <c r="CP95" s="486">
        <v>3517</v>
      </c>
      <c r="CQ95" s="486">
        <v>3575</v>
      </c>
      <c r="CR95" s="486">
        <v>3729</v>
      </c>
      <c r="CS95" s="486">
        <v>3802</v>
      </c>
      <c r="CT95" s="486">
        <v>3982</v>
      </c>
      <c r="CU95" s="486">
        <v>4030</v>
      </c>
      <c r="CV95" s="486">
        <v>4162</v>
      </c>
      <c r="CW95" s="486">
        <v>4830</v>
      </c>
      <c r="CX95" s="486">
        <v>5130</v>
      </c>
      <c r="CY95" s="486">
        <v>5730</v>
      </c>
      <c r="CZ95" s="486">
        <v>5730</v>
      </c>
      <c r="DA95" s="486">
        <v>5930</v>
      </c>
      <c r="DB95" s="486">
        <v>5930</v>
      </c>
      <c r="DC95" s="486">
        <v>6130</v>
      </c>
      <c r="DD95" s="486">
        <v>6230</v>
      </c>
      <c r="DE95" s="728">
        <v>6530</v>
      </c>
      <c r="DF95" s="483"/>
    </row>
    <row r="96" spans="2:110" x14ac:dyDescent="0.35">
      <c r="B96" s="484" t="s">
        <v>494</v>
      </c>
      <c r="C96" s="485" t="s">
        <v>495</v>
      </c>
      <c r="D96" s="486"/>
      <c r="E96" s="486"/>
      <c r="F96" s="486"/>
      <c r="G96" s="486"/>
      <c r="H96" s="486"/>
      <c r="I96" s="486"/>
      <c r="J96" s="486"/>
      <c r="K96" s="486"/>
      <c r="L96" s="486"/>
      <c r="M96" s="486"/>
      <c r="N96" s="486"/>
      <c r="O96" s="486"/>
      <c r="P96" s="486"/>
      <c r="Q96" s="486"/>
      <c r="R96" s="486"/>
      <c r="S96" s="486"/>
      <c r="T96" s="486"/>
      <c r="U96" s="486"/>
      <c r="V96" s="486"/>
      <c r="W96" s="486"/>
      <c r="X96" s="486"/>
      <c r="Y96" s="486"/>
      <c r="Z96" s="486"/>
      <c r="AA96" s="486"/>
      <c r="AB96" s="486"/>
      <c r="AC96" s="486"/>
      <c r="AD96" s="486"/>
      <c r="AE96" s="486"/>
      <c r="AF96" s="486"/>
      <c r="AG96" s="486"/>
      <c r="AH96" s="486"/>
      <c r="AI96" s="486"/>
      <c r="AJ96" s="486"/>
      <c r="AK96" s="486"/>
      <c r="AL96" s="486"/>
      <c r="AM96" s="486"/>
      <c r="AN96" s="486"/>
      <c r="AO96" s="483"/>
      <c r="AP96" s="483"/>
      <c r="AQ96" s="483"/>
      <c r="AR96" s="483"/>
      <c r="AS96" s="486"/>
      <c r="AT96" s="486"/>
      <c r="AU96" s="486">
        <v>1012</v>
      </c>
      <c r="AV96" s="486">
        <v>1060</v>
      </c>
      <c r="AW96" s="486">
        <v>1061</v>
      </c>
      <c r="AX96" s="486">
        <v>1063</v>
      </c>
      <c r="AY96" s="486">
        <v>1063</v>
      </c>
      <c r="AZ96" s="486">
        <v>1071</v>
      </c>
      <c r="BA96" s="486">
        <v>1071</v>
      </c>
      <c r="BB96" s="486">
        <v>1088</v>
      </c>
      <c r="BC96" s="486">
        <v>1091</v>
      </c>
      <c r="BD96" s="486">
        <v>1555</v>
      </c>
      <c r="BE96" s="486">
        <v>1558</v>
      </c>
      <c r="BF96" s="486">
        <v>1566</v>
      </c>
      <c r="BG96" s="486">
        <v>1574</v>
      </c>
      <c r="BH96" s="486">
        <v>3510</v>
      </c>
      <c r="BI96" s="486">
        <v>4806</v>
      </c>
      <c r="BJ96" s="486">
        <v>4806</v>
      </c>
      <c r="BK96" s="486">
        <v>4806</v>
      </c>
      <c r="BL96" s="486">
        <v>4806</v>
      </c>
      <c r="BM96" s="486">
        <v>4835</v>
      </c>
      <c r="BN96" s="486">
        <v>4923</v>
      </c>
      <c r="BO96" s="486">
        <v>4923</v>
      </c>
      <c r="BP96" s="486">
        <v>4923</v>
      </c>
      <c r="BQ96" s="486">
        <v>4923</v>
      </c>
      <c r="BR96" s="486">
        <v>4921</v>
      </c>
      <c r="BS96" s="486">
        <v>4921</v>
      </c>
      <c r="BT96" s="486">
        <v>4921</v>
      </c>
      <c r="BU96" s="486">
        <v>4921</v>
      </c>
      <c r="BV96" s="486">
        <v>4921</v>
      </c>
      <c r="BW96" s="486">
        <v>4921</v>
      </c>
      <c r="BX96" s="486">
        <v>4920</v>
      </c>
      <c r="BY96" s="486">
        <v>4920</v>
      </c>
      <c r="BZ96" s="486">
        <v>4920</v>
      </c>
      <c r="CA96" s="486">
        <v>4920</v>
      </c>
      <c r="CB96" s="486">
        <v>4925</v>
      </c>
      <c r="CC96" s="486">
        <v>4941</v>
      </c>
      <c r="CD96" s="486">
        <v>4958</v>
      </c>
      <c r="CE96" s="486">
        <v>4958</v>
      </c>
      <c r="CF96" s="486">
        <v>4960</v>
      </c>
      <c r="CG96" s="486">
        <v>4960</v>
      </c>
      <c r="CH96" s="486">
        <v>4959</v>
      </c>
      <c r="CI96" s="486">
        <v>5080</v>
      </c>
      <c r="CJ96" s="486">
        <v>5081</v>
      </c>
      <c r="CK96" s="486">
        <v>5108</v>
      </c>
      <c r="CL96" s="486">
        <v>5109</v>
      </c>
      <c r="CM96" s="486">
        <v>5113</v>
      </c>
      <c r="CN96" s="486">
        <v>5118</v>
      </c>
      <c r="CO96" s="486">
        <v>5122</v>
      </c>
      <c r="CP96" s="486">
        <v>5124</v>
      </c>
      <c r="CQ96" s="486">
        <v>5131</v>
      </c>
      <c r="CR96" s="486">
        <v>5131</v>
      </c>
      <c r="CS96" s="486">
        <v>5148</v>
      </c>
      <c r="CT96" s="486">
        <v>5160</v>
      </c>
      <c r="CU96" s="486">
        <v>5162</v>
      </c>
      <c r="CV96" s="486">
        <v>5163</v>
      </c>
      <c r="CW96" s="486">
        <v>5180</v>
      </c>
      <c r="CX96" s="486">
        <v>5200</v>
      </c>
      <c r="CY96" s="486">
        <v>5202</v>
      </c>
      <c r="CZ96" s="486">
        <v>5204</v>
      </c>
      <c r="DA96" s="486">
        <v>5237</v>
      </c>
      <c r="DB96" s="486">
        <v>5245</v>
      </c>
      <c r="DC96" s="486">
        <v>5247</v>
      </c>
      <c r="DD96" s="486">
        <v>5248</v>
      </c>
      <c r="DE96" s="728">
        <v>5248</v>
      </c>
      <c r="DF96" s="483"/>
    </row>
    <row r="97" spans="2:110" x14ac:dyDescent="0.35">
      <c r="B97" s="484" t="s">
        <v>496</v>
      </c>
      <c r="C97" s="484" t="s">
        <v>497</v>
      </c>
      <c r="D97" s="486"/>
      <c r="E97" s="486"/>
      <c r="F97" s="486"/>
      <c r="G97" s="486"/>
      <c r="H97" s="486"/>
      <c r="I97" s="486"/>
      <c r="J97" s="486"/>
      <c r="K97" s="486"/>
      <c r="L97" s="486"/>
      <c r="M97" s="486"/>
      <c r="N97" s="486"/>
      <c r="O97" s="486"/>
      <c r="P97" s="486"/>
      <c r="Q97" s="486"/>
      <c r="R97" s="486"/>
      <c r="S97" s="486"/>
      <c r="T97" s="486"/>
      <c r="U97" s="486"/>
      <c r="V97" s="486"/>
      <c r="W97" s="486"/>
      <c r="X97" s="486"/>
      <c r="Y97" s="486"/>
      <c r="Z97" s="486"/>
      <c r="AA97" s="486"/>
      <c r="AB97" s="486"/>
      <c r="AC97" s="486"/>
      <c r="AD97" s="486"/>
      <c r="AE97" s="486"/>
      <c r="AF97" s="486"/>
      <c r="AG97" s="486"/>
      <c r="AH97" s="486"/>
      <c r="AI97" s="486"/>
      <c r="AJ97" s="486"/>
      <c r="AK97" s="486"/>
      <c r="AL97" s="486"/>
      <c r="AM97" s="486"/>
      <c r="AN97" s="486"/>
      <c r="AO97" s="486"/>
      <c r="AP97" s="486"/>
      <c r="AQ97" s="486"/>
      <c r="AR97" s="486"/>
      <c r="AS97" s="486"/>
      <c r="AT97" s="486"/>
      <c r="AU97" s="486"/>
      <c r="AV97" s="486"/>
      <c r="AZ97" s="486"/>
      <c r="BA97" s="486"/>
      <c r="BB97" s="486"/>
      <c r="BC97" s="486"/>
      <c r="BD97" s="486"/>
      <c r="BE97" s="483"/>
      <c r="BF97" s="483"/>
      <c r="BG97" s="486"/>
      <c r="BH97" s="486"/>
      <c r="BI97" s="486"/>
      <c r="BJ97" s="486"/>
      <c r="BK97" s="486"/>
      <c r="BL97" s="486"/>
      <c r="BM97" s="486"/>
      <c r="BN97" s="486"/>
      <c r="BO97" s="486"/>
      <c r="BP97" s="486"/>
      <c r="BQ97" s="486">
        <v>1104</v>
      </c>
      <c r="BR97" s="486">
        <v>1154</v>
      </c>
      <c r="BS97" s="486">
        <v>1154</v>
      </c>
      <c r="BT97" s="486">
        <v>1334</v>
      </c>
      <c r="BU97" s="486">
        <v>1404</v>
      </c>
      <c r="BV97" s="486">
        <v>1684</v>
      </c>
      <c r="BW97" s="486">
        <v>1684</v>
      </c>
      <c r="BX97" s="486">
        <v>1684</v>
      </c>
      <c r="BY97" s="486">
        <v>1749</v>
      </c>
      <c r="BZ97" s="486">
        <v>2004</v>
      </c>
      <c r="CA97" s="486">
        <v>2233</v>
      </c>
      <c r="CB97" s="486">
        <v>2454</v>
      </c>
      <c r="CC97" s="486">
        <v>2487</v>
      </c>
      <c r="CD97" s="486">
        <v>2684</v>
      </c>
      <c r="CE97" s="486">
        <v>2693</v>
      </c>
      <c r="CF97" s="486">
        <v>2734</v>
      </c>
      <c r="CG97" s="486">
        <v>2780</v>
      </c>
      <c r="CH97" s="486">
        <v>2831</v>
      </c>
      <c r="CI97" s="486">
        <v>2899</v>
      </c>
      <c r="CJ97" s="486">
        <v>3031</v>
      </c>
      <c r="CK97" s="486">
        <v>3382</v>
      </c>
      <c r="CL97" s="486">
        <v>3400</v>
      </c>
      <c r="CM97" s="486">
        <v>3640</v>
      </c>
      <c r="CN97" s="486">
        <v>3696</v>
      </c>
      <c r="CO97" s="486">
        <v>3797</v>
      </c>
      <c r="CP97" s="486">
        <v>4230</v>
      </c>
      <c r="CQ97" s="486">
        <v>4230</v>
      </c>
      <c r="CR97" s="486">
        <v>4535</v>
      </c>
      <c r="CS97" s="486">
        <v>4535</v>
      </c>
      <c r="CT97" s="486">
        <v>4835</v>
      </c>
      <c r="CU97" s="486">
        <v>4985</v>
      </c>
      <c r="CV97" s="486">
        <v>5284</v>
      </c>
      <c r="CW97" s="486">
        <v>5285</v>
      </c>
      <c r="CX97" s="486">
        <v>5285</v>
      </c>
      <c r="CY97" s="486">
        <v>5285</v>
      </c>
      <c r="CZ97" s="486">
        <v>5453</v>
      </c>
      <c r="DA97" s="486">
        <v>5820</v>
      </c>
      <c r="DB97" s="486">
        <v>6095</v>
      </c>
      <c r="DC97" s="486">
        <v>6095</v>
      </c>
      <c r="DD97" s="486">
        <v>6271</v>
      </c>
      <c r="DE97" s="728">
        <v>6595</v>
      </c>
      <c r="DF97" s="483"/>
    </row>
    <row r="98" spans="2:110" x14ac:dyDescent="0.35">
      <c r="B98" s="484" t="s">
        <v>498</v>
      </c>
      <c r="C98" s="485" t="s">
        <v>499</v>
      </c>
      <c r="D98" s="486"/>
      <c r="E98" s="486"/>
      <c r="F98" s="486"/>
      <c r="G98" s="486"/>
      <c r="H98" s="486"/>
      <c r="I98" s="486"/>
      <c r="J98" s="486"/>
      <c r="K98" s="486"/>
      <c r="L98" s="486"/>
      <c r="M98" s="486"/>
      <c r="N98" s="486"/>
      <c r="O98" s="486"/>
      <c r="P98" s="486"/>
      <c r="Q98" s="486"/>
      <c r="R98" s="486"/>
      <c r="S98" s="486"/>
      <c r="T98" s="486"/>
      <c r="U98" s="486"/>
      <c r="V98" s="486"/>
      <c r="W98" s="486"/>
      <c r="X98" s="486"/>
      <c r="Y98" s="486"/>
      <c r="Z98" s="486"/>
      <c r="AA98" s="486"/>
      <c r="AB98" s="486"/>
      <c r="AC98" s="486"/>
      <c r="AD98" s="486"/>
      <c r="AE98" s="486"/>
      <c r="AF98" s="486"/>
      <c r="AG98" s="486"/>
      <c r="AH98" s="486"/>
      <c r="AI98" s="486"/>
      <c r="AJ98" s="486"/>
      <c r="AK98" s="486">
        <v>1850</v>
      </c>
      <c r="AL98" s="486">
        <v>1850</v>
      </c>
      <c r="AM98" s="486">
        <v>1050</v>
      </c>
      <c r="AN98" s="486">
        <v>1050</v>
      </c>
      <c r="AO98" s="486">
        <v>1450</v>
      </c>
      <c r="AP98" s="486">
        <v>1450</v>
      </c>
      <c r="AQ98" s="486">
        <v>1450</v>
      </c>
      <c r="AR98" s="486">
        <v>1850</v>
      </c>
      <c r="AS98" s="486">
        <v>1850</v>
      </c>
      <c r="AT98" s="486">
        <v>1850</v>
      </c>
      <c r="AU98" s="486">
        <v>1850</v>
      </c>
      <c r="AV98" s="486">
        <v>2850</v>
      </c>
      <c r="AW98" s="486">
        <v>2850</v>
      </c>
      <c r="AX98" s="486">
        <v>2850</v>
      </c>
      <c r="AY98" s="486">
        <v>3150</v>
      </c>
      <c r="AZ98" s="486">
        <v>3150</v>
      </c>
      <c r="BA98" s="486">
        <v>3150</v>
      </c>
      <c r="BB98" s="486">
        <v>3350</v>
      </c>
      <c r="BC98" s="486">
        <v>3350</v>
      </c>
      <c r="BD98" s="486">
        <v>3550</v>
      </c>
      <c r="BE98" s="486">
        <v>3550</v>
      </c>
      <c r="BF98" s="486">
        <v>4150</v>
      </c>
      <c r="BG98" s="486">
        <v>4350</v>
      </c>
      <c r="BH98" s="486">
        <v>4850</v>
      </c>
      <c r="BI98" s="486">
        <v>4850</v>
      </c>
      <c r="BJ98" s="486">
        <v>4950</v>
      </c>
      <c r="BK98" s="486">
        <v>5250</v>
      </c>
      <c r="BL98" s="486">
        <v>5268</v>
      </c>
      <c r="BM98" s="486">
        <v>4178</v>
      </c>
      <c r="BN98" s="486">
        <v>4201</v>
      </c>
      <c r="BO98" s="486">
        <v>4825</v>
      </c>
      <c r="BP98" s="486">
        <v>5850</v>
      </c>
      <c r="BQ98" s="486">
        <v>5850</v>
      </c>
      <c r="BR98" s="486">
        <v>4351</v>
      </c>
      <c r="BS98" s="486">
        <v>4351</v>
      </c>
      <c r="BT98" s="486">
        <v>4466</v>
      </c>
      <c r="BU98" s="486">
        <v>4466</v>
      </c>
      <c r="BV98" s="486">
        <v>4466</v>
      </c>
      <c r="BW98" s="486">
        <v>4466</v>
      </c>
      <c r="BX98" s="486">
        <v>4466</v>
      </c>
      <c r="BY98" s="486">
        <v>4466</v>
      </c>
      <c r="BZ98" s="486">
        <v>4466</v>
      </c>
      <c r="CA98" s="486">
        <v>3971</v>
      </c>
      <c r="CB98" s="486">
        <v>4059</v>
      </c>
      <c r="CC98" s="486">
        <v>3855</v>
      </c>
      <c r="CD98" s="486">
        <v>3855</v>
      </c>
      <c r="CE98" s="486">
        <v>3855</v>
      </c>
      <c r="CF98" s="486">
        <v>3855</v>
      </c>
      <c r="CG98" s="486">
        <v>3855</v>
      </c>
      <c r="CH98" s="486">
        <v>3855</v>
      </c>
      <c r="CI98" s="486">
        <v>3855</v>
      </c>
      <c r="CJ98" s="486">
        <v>3855</v>
      </c>
      <c r="CK98" s="486">
        <v>3911</v>
      </c>
      <c r="CL98" s="486">
        <v>3911</v>
      </c>
      <c r="CM98" s="486">
        <v>3911</v>
      </c>
      <c r="CN98" s="486">
        <v>3911</v>
      </c>
      <c r="CO98" s="486">
        <v>3911</v>
      </c>
      <c r="CP98" s="486">
        <v>3911</v>
      </c>
      <c r="CQ98" s="486">
        <v>3911</v>
      </c>
      <c r="CR98" s="486">
        <v>3911</v>
      </c>
      <c r="CS98" s="486">
        <v>3911</v>
      </c>
      <c r="CT98" s="486">
        <v>3911</v>
      </c>
      <c r="CU98" s="486">
        <v>3911</v>
      </c>
      <c r="CV98" s="486">
        <v>3911</v>
      </c>
      <c r="CW98" s="486">
        <v>3911</v>
      </c>
      <c r="CX98" s="486">
        <v>3911</v>
      </c>
      <c r="CY98" s="486">
        <v>3911</v>
      </c>
      <c r="CZ98" s="486">
        <v>3912</v>
      </c>
      <c r="DA98" s="486">
        <v>5412</v>
      </c>
      <c r="DB98" s="486">
        <v>5412</v>
      </c>
      <c r="DC98" s="486">
        <v>5412</v>
      </c>
      <c r="DD98" s="486">
        <v>5412</v>
      </c>
      <c r="DE98" s="728">
        <v>5412</v>
      </c>
      <c r="DF98" s="483"/>
    </row>
    <row r="99" spans="2:110" x14ac:dyDescent="0.35">
      <c r="B99" s="484" t="s">
        <v>500</v>
      </c>
      <c r="C99" s="484" t="s">
        <v>501</v>
      </c>
      <c r="D99" s="486"/>
      <c r="E99" s="486"/>
      <c r="F99" s="486"/>
      <c r="G99" s="486"/>
      <c r="H99" s="486"/>
      <c r="I99" s="486"/>
      <c r="J99" s="486">
        <v>1499</v>
      </c>
      <c r="K99" s="486"/>
      <c r="L99" s="486">
        <v>1499</v>
      </c>
      <c r="M99" s="486">
        <v>1299</v>
      </c>
      <c r="N99" s="486">
        <v>1099</v>
      </c>
      <c r="O99" s="486">
        <v>1099</v>
      </c>
      <c r="P99" s="486">
        <v>1099</v>
      </c>
      <c r="Q99" s="486">
        <v>1099</v>
      </c>
      <c r="R99" s="486">
        <v>1099</v>
      </c>
      <c r="S99" s="486">
        <v>1099</v>
      </c>
      <c r="T99" s="486">
        <v>1099</v>
      </c>
      <c r="U99" s="486">
        <v>1099</v>
      </c>
      <c r="V99" s="486">
        <v>1499</v>
      </c>
      <c r="W99" s="486">
        <v>1499</v>
      </c>
      <c r="X99" s="486">
        <v>1499</v>
      </c>
      <c r="Y99" s="486">
        <v>1499</v>
      </c>
      <c r="Z99" s="486">
        <v>1499</v>
      </c>
      <c r="AA99" s="486">
        <v>1499</v>
      </c>
      <c r="AB99" s="486">
        <v>1897</v>
      </c>
      <c r="AC99" s="486">
        <v>1498</v>
      </c>
      <c r="AD99" s="486">
        <v>1500</v>
      </c>
      <c r="AE99" s="486">
        <v>1500</v>
      </c>
      <c r="AF99" s="486">
        <v>0</v>
      </c>
      <c r="AG99" s="486">
        <v>1290</v>
      </c>
      <c r="AH99" s="486">
        <v>1290</v>
      </c>
      <c r="AI99" s="486">
        <v>1077</v>
      </c>
      <c r="AJ99" s="486">
        <v>1077</v>
      </c>
      <c r="AK99" s="486">
        <v>1077</v>
      </c>
      <c r="AL99" s="486">
        <v>1077</v>
      </c>
      <c r="AM99" s="486"/>
      <c r="AN99" s="486"/>
      <c r="AO99" s="483"/>
      <c r="AP99" s="483"/>
      <c r="AQ99" s="483"/>
      <c r="AR99" s="483"/>
      <c r="AS99" s="486"/>
      <c r="AT99" s="483"/>
      <c r="AU99" s="483"/>
      <c r="AV99" s="483"/>
      <c r="AW99" s="487"/>
      <c r="AX99" s="486">
        <v>3745</v>
      </c>
      <c r="AY99" s="486">
        <v>3767</v>
      </c>
      <c r="AZ99" s="486">
        <v>3769</v>
      </c>
      <c r="BA99" s="486">
        <v>3770</v>
      </c>
      <c r="BB99" s="486">
        <v>3976</v>
      </c>
      <c r="BC99" s="486">
        <v>4176</v>
      </c>
      <c r="BD99" s="486">
        <v>4185</v>
      </c>
      <c r="BE99" s="486">
        <v>4492</v>
      </c>
      <c r="BF99" s="486">
        <v>4391</v>
      </c>
      <c r="BG99" s="486">
        <v>4392</v>
      </c>
      <c r="BH99" s="486">
        <v>4392</v>
      </c>
      <c r="BI99" s="486">
        <v>3473</v>
      </c>
      <c r="BJ99" s="486">
        <v>1978</v>
      </c>
      <c r="BK99" s="486">
        <v>2291</v>
      </c>
      <c r="BL99" s="486">
        <v>2666</v>
      </c>
      <c r="BM99" s="486">
        <v>2128</v>
      </c>
      <c r="BN99" s="486">
        <v>2369</v>
      </c>
      <c r="BO99" s="486">
        <v>2407</v>
      </c>
      <c r="BP99" s="486">
        <v>2457</v>
      </c>
      <c r="BQ99" s="486">
        <v>2469</v>
      </c>
      <c r="BR99" s="486">
        <v>2626</v>
      </c>
      <c r="BS99" s="486">
        <v>2833</v>
      </c>
      <c r="BT99" s="486">
        <v>2836</v>
      </c>
      <c r="BU99" s="486">
        <v>2849</v>
      </c>
      <c r="BV99" s="486">
        <v>2870</v>
      </c>
      <c r="BW99" s="486">
        <v>3080</v>
      </c>
      <c r="BX99" s="486">
        <v>3089</v>
      </c>
      <c r="BY99" s="486">
        <v>3099</v>
      </c>
      <c r="BZ99" s="486">
        <v>2808</v>
      </c>
      <c r="CA99" s="486">
        <v>2823</v>
      </c>
      <c r="CB99" s="486">
        <v>2860</v>
      </c>
      <c r="CC99" s="486">
        <v>1567</v>
      </c>
      <c r="CD99" s="486">
        <v>1593</v>
      </c>
      <c r="CE99" s="486">
        <v>1623</v>
      </c>
      <c r="CF99" s="486">
        <v>1629</v>
      </c>
      <c r="CG99" s="486">
        <v>1631</v>
      </c>
      <c r="CH99" s="486">
        <v>3799</v>
      </c>
      <c r="CI99" s="486">
        <v>3800</v>
      </c>
      <c r="CJ99" s="486">
        <v>1087</v>
      </c>
      <c r="CK99" s="486">
        <v>1090</v>
      </c>
      <c r="CL99" s="486">
        <v>1090</v>
      </c>
      <c r="CM99" s="486">
        <v>1090</v>
      </c>
      <c r="CN99" s="486">
        <v>1090</v>
      </c>
      <c r="CO99" s="486">
        <v>533</v>
      </c>
      <c r="CP99" s="486">
        <v>533</v>
      </c>
      <c r="CQ99" s="486">
        <v>533</v>
      </c>
      <c r="CR99" s="486">
        <v>533</v>
      </c>
      <c r="CS99" s="486">
        <v>334</v>
      </c>
      <c r="CT99" s="486">
        <v>335</v>
      </c>
      <c r="CU99" s="486">
        <v>335</v>
      </c>
      <c r="CV99" s="486">
        <v>150</v>
      </c>
      <c r="CW99" s="486">
        <v>150</v>
      </c>
      <c r="CX99" s="486">
        <v>154</v>
      </c>
      <c r="CY99" s="486">
        <v>172</v>
      </c>
      <c r="CZ99" s="486">
        <v>187</v>
      </c>
      <c r="DA99" s="486">
        <v>188</v>
      </c>
      <c r="DB99" s="486">
        <v>181</v>
      </c>
      <c r="DC99" s="486">
        <v>0</v>
      </c>
      <c r="DD99" s="486">
        <v>0</v>
      </c>
      <c r="DE99" s="728">
        <v>0</v>
      </c>
      <c r="DF99" s="483"/>
    </row>
    <row r="100" spans="2:110" x14ac:dyDescent="0.35">
      <c r="B100" s="515" t="s">
        <v>502</v>
      </c>
      <c r="C100" s="515" t="s">
        <v>503</v>
      </c>
      <c r="D100" s="516"/>
      <c r="E100" s="516"/>
      <c r="F100" s="516"/>
      <c r="G100" s="516"/>
      <c r="H100" s="516"/>
      <c r="I100" s="516"/>
      <c r="J100" s="516"/>
      <c r="K100" s="516"/>
      <c r="L100" s="516"/>
      <c r="M100" s="516"/>
      <c r="N100" s="516"/>
      <c r="O100" s="516"/>
      <c r="P100" s="516"/>
      <c r="Q100" s="516"/>
      <c r="R100" s="516"/>
      <c r="S100" s="516"/>
      <c r="T100" s="516"/>
      <c r="U100" s="516"/>
      <c r="V100" s="516"/>
      <c r="W100" s="516"/>
      <c r="X100" s="516"/>
      <c r="Y100" s="516"/>
      <c r="Z100" s="516"/>
      <c r="AA100" s="516"/>
      <c r="AB100" s="516"/>
      <c r="AC100" s="516"/>
      <c r="AD100" s="516"/>
      <c r="AE100" s="516"/>
      <c r="AF100" s="516"/>
      <c r="AG100" s="516"/>
      <c r="AH100" s="516"/>
      <c r="AI100" s="516"/>
      <c r="AJ100" s="516"/>
      <c r="AK100" s="516"/>
      <c r="AL100" s="516"/>
      <c r="AM100" s="516"/>
      <c r="AN100" s="516"/>
      <c r="AO100" s="517"/>
      <c r="AP100" s="517"/>
      <c r="AQ100" s="517"/>
      <c r="AR100" s="517"/>
      <c r="AS100" s="516"/>
      <c r="AT100" s="516"/>
      <c r="AU100" s="516"/>
      <c r="AV100" s="516"/>
      <c r="AW100" s="113"/>
      <c r="AX100" s="113"/>
      <c r="AY100" s="113"/>
      <c r="AZ100" s="516"/>
      <c r="BA100" s="516"/>
      <c r="BB100" s="516"/>
      <c r="BC100" s="516"/>
      <c r="BD100" s="516">
        <v>1152</v>
      </c>
      <c r="BE100" s="516">
        <v>1152</v>
      </c>
      <c r="BF100" s="516">
        <v>1153</v>
      </c>
      <c r="BG100" s="516">
        <v>1153</v>
      </c>
      <c r="BH100" s="516">
        <v>1153</v>
      </c>
      <c r="BI100" s="516">
        <v>956</v>
      </c>
      <c r="BJ100" s="516"/>
      <c r="BK100" s="516"/>
      <c r="BL100" s="516"/>
      <c r="BM100" s="516"/>
      <c r="BN100" s="516">
        <v>270</v>
      </c>
      <c r="BO100" s="516">
        <v>1250</v>
      </c>
      <c r="BP100" s="516">
        <v>1250</v>
      </c>
      <c r="BQ100" s="516">
        <v>1250</v>
      </c>
      <c r="BR100" s="516">
        <v>1250</v>
      </c>
      <c r="BS100" s="516">
        <v>1250</v>
      </c>
      <c r="BT100" s="516">
        <v>1250</v>
      </c>
      <c r="BU100" s="486">
        <v>1250</v>
      </c>
      <c r="BV100" s="516">
        <v>1250</v>
      </c>
      <c r="BW100" s="516">
        <v>1250</v>
      </c>
      <c r="BX100" s="516">
        <v>1250</v>
      </c>
      <c r="BY100" s="516">
        <v>1250</v>
      </c>
      <c r="BZ100" s="516">
        <v>1250</v>
      </c>
      <c r="CA100" s="518">
        <v>750</v>
      </c>
      <c r="CB100" s="486">
        <v>950</v>
      </c>
      <c r="CC100" s="486">
        <v>618</v>
      </c>
      <c r="CD100" s="486">
        <v>618</v>
      </c>
      <c r="CE100" s="486">
        <v>632</v>
      </c>
      <c r="CF100" s="486">
        <v>632</v>
      </c>
      <c r="CG100" s="486">
        <v>632</v>
      </c>
      <c r="CH100" s="486">
        <v>632</v>
      </c>
      <c r="CI100" s="486">
        <v>632</v>
      </c>
      <c r="CJ100" s="486">
        <v>634</v>
      </c>
      <c r="CK100" s="486">
        <v>634</v>
      </c>
      <c r="CL100" s="486">
        <v>634</v>
      </c>
      <c r="CM100" s="486">
        <v>634</v>
      </c>
      <c r="CN100" s="486">
        <v>634</v>
      </c>
      <c r="CO100" s="486">
        <v>634</v>
      </c>
      <c r="CP100" s="486">
        <v>634</v>
      </c>
      <c r="CQ100" s="486">
        <v>634</v>
      </c>
      <c r="CR100" s="486">
        <v>634</v>
      </c>
      <c r="CS100" s="486">
        <v>234</v>
      </c>
      <c r="CT100" s="486">
        <v>234</v>
      </c>
      <c r="CU100" s="486">
        <v>234</v>
      </c>
      <c r="CV100" s="486">
        <v>234</v>
      </c>
      <c r="CW100" s="486">
        <v>234</v>
      </c>
      <c r="CX100" s="486">
        <v>234</v>
      </c>
      <c r="CY100" s="486">
        <v>234</v>
      </c>
      <c r="CZ100" s="486">
        <v>233</v>
      </c>
      <c r="DA100" s="486">
        <v>233</v>
      </c>
      <c r="DB100" s="486">
        <v>233</v>
      </c>
      <c r="DC100" s="486">
        <v>233</v>
      </c>
      <c r="DD100" s="486">
        <v>233</v>
      </c>
      <c r="DE100" s="728">
        <v>233</v>
      </c>
      <c r="DF100" s="483"/>
    </row>
    <row r="101" spans="2:110" x14ac:dyDescent="0.35">
      <c r="B101" s="484" t="s">
        <v>504</v>
      </c>
      <c r="C101" s="485" t="s">
        <v>505</v>
      </c>
      <c r="D101" s="486">
        <v>2487</v>
      </c>
      <c r="E101" s="486">
        <v>4450</v>
      </c>
      <c r="F101" s="486">
        <v>4834</v>
      </c>
      <c r="G101" s="486">
        <v>6161</v>
      </c>
      <c r="H101" s="486">
        <v>8847</v>
      </c>
      <c r="I101" s="486">
        <v>8491</v>
      </c>
      <c r="J101" s="486">
        <v>8437</v>
      </c>
      <c r="K101" s="486"/>
      <c r="L101" s="486">
        <v>8440</v>
      </c>
      <c r="M101" s="486">
        <v>8449</v>
      </c>
      <c r="N101" s="486">
        <v>8437</v>
      </c>
      <c r="O101" s="486">
        <v>8434</v>
      </c>
      <c r="P101" s="486">
        <v>8429</v>
      </c>
      <c r="Q101" s="486">
        <v>8340</v>
      </c>
      <c r="R101" s="486">
        <v>7834</v>
      </c>
      <c r="S101" s="486">
        <v>7811</v>
      </c>
      <c r="T101" s="486">
        <v>7809</v>
      </c>
      <c r="U101" s="486">
        <v>7791</v>
      </c>
      <c r="V101" s="486">
        <v>7795</v>
      </c>
      <c r="W101" s="486">
        <v>7788</v>
      </c>
      <c r="X101" s="486">
        <v>7788</v>
      </c>
      <c r="Y101" s="486">
        <v>7758</v>
      </c>
      <c r="Z101" s="486">
        <v>7543</v>
      </c>
      <c r="AA101" s="486">
        <v>7547</v>
      </c>
      <c r="AB101" s="486">
        <v>7542</v>
      </c>
      <c r="AC101" s="486">
        <v>7535</v>
      </c>
      <c r="AD101" s="486">
        <v>7533</v>
      </c>
      <c r="AE101" s="486">
        <v>7534</v>
      </c>
      <c r="AF101" s="486">
        <v>7533</v>
      </c>
      <c r="AG101" s="486">
        <v>7508</v>
      </c>
      <c r="AH101" s="486">
        <v>7507</v>
      </c>
      <c r="AI101" s="486">
        <v>7460</v>
      </c>
      <c r="AJ101" s="486">
        <v>7449</v>
      </c>
      <c r="AK101" s="486">
        <v>7449</v>
      </c>
      <c r="AL101" s="486">
        <v>7449</v>
      </c>
      <c r="AM101" s="486">
        <v>7449</v>
      </c>
      <c r="AN101" s="486">
        <v>7457</v>
      </c>
      <c r="AO101" s="486">
        <v>7453</v>
      </c>
      <c r="AP101" s="486">
        <v>7457</v>
      </c>
      <c r="AQ101" s="486">
        <v>7457</v>
      </c>
      <c r="AR101" s="486">
        <v>7452</v>
      </c>
      <c r="AS101" s="486">
        <v>7451</v>
      </c>
      <c r="AT101" s="486">
        <v>7354</v>
      </c>
      <c r="AU101" s="486">
        <v>7354</v>
      </c>
      <c r="AV101" s="486">
        <v>7354</v>
      </c>
      <c r="AW101" s="486">
        <v>7354</v>
      </c>
      <c r="AX101" s="486">
        <v>7354</v>
      </c>
      <c r="AY101" s="486">
        <v>7351</v>
      </c>
      <c r="AZ101" s="486">
        <v>7351</v>
      </c>
      <c r="BA101" s="486">
        <v>7292</v>
      </c>
      <c r="BB101" s="486">
        <v>7264</v>
      </c>
      <c r="BC101" s="486">
        <v>7280</v>
      </c>
      <c r="BD101" s="486">
        <v>7288</v>
      </c>
      <c r="BE101" s="486">
        <v>7293</v>
      </c>
      <c r="BF101" s="486">
        <v>7296</v>
      </c>
      <c r="BG101" s="486">
        <v>7302</v>
      </c>
      <c r="BH101" s="486">
        <v>7310</v>
      </c>
      <c r="BI101" s="486">
        <v>7289</v>
      </c>
      <c r="BJ101" s="486">
        <v>7269</v>
      </c>
      <c r="BK101" s="486">
        <v>7286</v>
      </c>
      <c r="BL101" s="486">
        <v>7279</v>
      </c>
      <c r="BM101" s="486">
        <v>7265</v>
      </c>
      <c r="BN101" s="486">
        <v>6675</v>
      </c>
      <c r="BO101" s="486">
        <v>6631</v>
      </c>
      <c r="BP101" s="486">
        <v>6509</v>
      </c>
      <c r="BQ101" s="486">
        <v>6443</v>
      </c>
      <c r="BR101" s="486">
        <v>6458</v>
      </c>
      <c r="BS101" s="486">
        <v>6353</v>
      </c>
      <c r="BT101" s="486">
        <v>6295</v>
      </c>
      <c r="BU101" s="486">
        <v>6227</v>
      </c>
      <c r="BV101" s="486">
        <v>6205</v>
      </c>
      <c r="BW101" s="486">
        <v>6177</v>
      </c>
      <c r="BX101" s="486">
        <v>6160</v>
      </c>
      <c r="BY101" s="486">
        <v>6164</v>
      </c>
      <c r="BZ101" s="486">
        <v>6172</v>
      </c>
      <c r="CA101" s="486">
        <v>6162</v>
      </c>
      <c r="CB101" s="486">
        <v>6175</v>
      </c>
      <c r="CC101" s="486">
        <v>6183</v>
      </c>
      <c r="CD101" s="486">
        <v>6170</v>
      </c>
      <c r="CE101" s="486">
        <v>6170</v>
      </c>
      <c r="CF101" s="486">
        <v>6193</v>
      </c>
      <c r="CG101" s="486">
        <v>5443</v>
      </c>
      <c r="CH101" s="486">
        <v>5306</v>
      </c>
      <c r="CI101" s="486">
        <v>5226</v>
      </c>
      <c r="CJ101" s="486">
        <v>5149</v>
      </c>
      <c r="CK101" s="486">
        <v>5095</v>
      </c>
      <c r="CL101" s="486">
        <v>5047</v>
      </c>
      <c r="CM101" s="486">
        <v>4973</v>
      </c>
      <c r="CN101" s="486">
        <v>4939</v>
      </c>
      <c r="CO101" s="486">
        <v>4865</v>
      </c>
      <c r="CP101" s="486">
        <v>4725</v>
      </c>
      <c r="CQ101" s="486">
        <v>4725</v>
      </c>
      <c r="CR101" s="486">
        <v>4529</v>
      </c>
      <c r="CS101" s="486">
        <v>4417</v>
      </c>
      <c r="CT101" s="486">
        <v>4417</v>
      </c>
      <c r="CU101" s="486">
        <v>4302</v>
      </c>
      <c r="CV101" s="486">
        <v>4138</v>
      </c>
      <c r="CW101" s="486">
        <v>4135</v>
      </c>
      <c r="CX101" s="486">
        <v>4004</v>
      </c>
      <c r="CY101" s="486">
        <v>4002</v>
      </c>
      <c r="CZ101" s="486">
        <v>3906</v>
      </c>
      <c r="DA101" s="486">
        <v>3905</v>
      </c>
      <c r="DB101" s="486">
        <v>3905</v>
      </c>
      <c r="DC101" s="486">
        <v>3776</v>
      </c>
      <c r="DD101" s="486">
        <v>3776</v>
      </c>
      <c r="DE101" s="728">
        <v>3013</v>
      </c>
      <c r="DF101" s="483"/>
    </row>
    <row r="102" spans="2:110" x14ac:dyDescent="0.35">
      <c r="B102" s="484" t="s">
        <v>506</v>
      </c>
      <c r="C102" s="485" t="s">
        <v>507</v>
      </c>
      <c r="D102" s="486">
        <v>159</v>
      </c>
      <c r="E102" s="486">
        <v>1084</v>
      </c>
      <c r="F102" s="486">
        <v>2673</v>
      </c>
      <c r="G102" s="486">
        <v>4238</v>
      </c>
      <c r="H102" s="486">
        <v>5040</v>
      </c>
      <c r="I102" s="486">
        <v>5860</v>
      </c>
      <c r="J102" s="486">
        <v>6029</v>
      </c>
      <c r="K102" s="486"/>
      <c r="L102" s="486">
        <v>6139</v>
      </c>
      <c r="M102" s="486">
        <v>6211</v>
      </c>
      <c r="N102" s="486">
        <v>6093</v>
      </c>
      <c r="O102" s="486">
        <v>6093</v>
      </c>
      <c r="P102" s="486">
        <v>6093</v>
      </c>
      <c r="Q102" s="486">
        <v>6093</v>
      </c>
      <c r="R102" s="486">
        <v>6093</v>
      </c>
      <c r="S102" s="486">
        <v>6093</v>
      </c>
      <c r="T102" s="486">
        <v>6093</v>
      </c>
      <c r="U102" s="486">
        <v>5601</v>
      </c>
      <c r="V102" s="486">
        <v>5621</v>
      </c>
      <c r="W102" s="486">
        <v>5641</v>
      </c>
      <c r="X102" s="486">
        <v>5641</v>
      </c>
      <c r="Y102" s="486">
        <v>5641</v>
      </c>
      <c r="Z102" s="486">
        <v>5641</v>
      </c>
      <c r="AA102" s="486">
        <v>5640</v>
      </c>
      <c r="AB102" s="486">
        <v>5640</v>
      </c>
      <c r="AC102" s="486">
        <v>4606</v>
      </c>
      <c r="AD102" s="486">
        <v>4608</v>
      </c>
      <c r="AE102" s="486">
        <v>4613</v>
      </c>
      <c r="AF102" s="486">
        <v>4641</v>
      </c>
      <c r="AG102" s="486">
        <v>4650</v>
      </c>
      <c r="AH102" s="486">
        <v>4656</v>
      </c>
      <c r="AI102" s="486">
        <v>4657</v>
      </c>
      <c r="AJ102" s="486">
        <v>4674</v>
      </c>
      <c r="AK102" s="486">
        <v>4682</v>
      </c>
      <c r="AL102" s="486">
        <v>4718</v>
      </c>
      <c r="AM102" s="486">
        <v>4718</v>
      </c>
      <c r="AN102" s="486">
        <v>4718</v>
      </c>
      <c r="AO102" s="486">
        <v>4719</v>
      </c>
      <c r="AP102" s="486">
        <v>4729</v>
      </c>
      <c r="AQ102" s="486">
        <v>4733</v>
      </c>
      <c r="AR102" s="486">
        <v>4738</v>
      </c>
      <c r="AS102" s="486">
        <v>4744</v>
      </c>
      <c r="AT102" s="486">
        <v>4760</v>
      </c>
      <c r="AU102" s="486">
        <v>4772</v>
      </c>
      <c r="AV102" s="486">
        <v>4781</v>
      </c>
      <c r="AW102" s="486">
        <v>4784</v>
      </c>
      <c r="AX102" s="486">
        <v>4817</v>
      </c>
      <c r="AY102" s="486">
        <v>4820</v>
      </c>
      <c r="AZ102" s="486">
        <v>4821</v>
      </c>
      <c r="BA102" s="486">
        <v>4819</v>
      </c>
      <c r="BB102" s="486">
        <v>4820</v>
      </c>
      <c r="BC102" s="486">
        <v>4731</v>
      </c>
      <c r="BD102" s="486">
        <v>4739</v>
      </c>
      <c r="BE102" s="486">
        <v>4736</v>
      </c>
      <c r="BF102" s="486">
        <v>4737</v>
      </c>
      <c r="BG102" s="486">
        <v>4715</v>
      </c>
      <c r="BH102" s="486">
        <v>4590</v>
      </c>
      <c r="BI102" s="486">
        <v>4592</v>
      </c>
      <c r="BJ102" s="486">
        <v>4528</v>
      </c>
      <c r="BK102" s="486">
        <v>4529</v>
      </c>
      <c r="BL102" s="486">
        <v>4536</v>
      </c>
      <c r="BM102" s="486">
        <v>4543</v>
      </c>
      <c r="BN102" s="486">
        <v>4314</v>
      </c>
      <c r="BO102" s="486">
        <v>4317</v>
      </c>
      <c r="BP102" s="486">
        <v>4319</v>
      </c>
      <c r="BQ102" s="486">
        <v>4322</v>
      </c>
      <c r="BR102" s="486">
        <v>4323</v>
      </c>
      <c r="BS102" s="486">
        <v>4325</v>
      </c>
      <c r="BT102" s="486">
        <v>4325</v>
      </c>
      <c r="BU102" s="486">
        <v>4338</v>
      </c>
      <c r="BV102" s="486">
        <v>4338</v>
      </c>
      <c r="BW102" s="486">
        <v>4345</v>
      </c>
      <c r="BX102" s="486">
        <v>4345</v>
      </c>
      <c r="BY102" s="486">
        <v>4345</v>
      </c>
      <c r="BZ102" s="486">
        <v>4347</v>
      </c>
      <c r="CA102" s="486">
        <v>4349</v>
      </c>
      <c r="CB102" s="486">
        <v>4349</v>
      </c>
      <c r="CC102" s="486">
        <v>4349</v>
      </c>
      <c r="CD102" s="486">
        <v>4385</v>
      </c>
      <c r="CE102" s="486">
        <v>4392</v>
      </c>
      <c r="CF102" s="486">
        <v>4395</v>
      </c>
      <c r="CG102" s="486">
        <v>4394</v>
      </c>
      <c r="CH102" s="486">
        <v>4394</v>
      </c>
      <c r="CI102" s="486">
        <v>4401</v>
      </c>
      <c r="CJ102" s="486">
        <v>4415</v>
      </c>
      <c r="CK102" s="486">
        <v>4416</v>
      </c>
      <c r="CL102" s="486">
        <v>4416</v>
      </c>
      <c r="CM102" s="486">
        <v>4417</v>
      </c>
      <c r="CN102" s="486">
        <v>4419</v>
      </c>
      <c r="CO102" s="486">
        <v>4354</v>
      </c>
      <c r="CP102" s="486">
        <v>4357</v>
      </c>
      <c r="CQ102" s="486">
        <v>4353</v>
      </c>
      <c r="CR102" s="486">
        <v>4362</v>
      </c>
      <c r="CS102" s="486">
        <v>4381</v>
      </c>
      <c r="CT102" s="486">
        <v>4386</v>
      </c>
      <c r="CU102" s="486">
        <v>4387</v>
      </c>
      <c r="CV102" s="486">
        <v>4388</v>
      </c>
      <c r="CW102" s="486">
        <v>4414</v>
      </c>
      <c r="CX102" s="486">
        <v>4416</v>
      </c>
      <c r="CY102" s="486">
        <v>4416</v>
      </c>
      <c r="CZ102" s="486">
        <v>4418</v>
      </c>
      <c r="DA102" s="486">
        <v>4438</v>
      </c>
      <c r="DB102" s="486">
        <v>4440</v>
      </c>
      <c r="DC102" s="486">
        <v>4451</v>
      </c>
      <c r="DD102" s="486">
        <v>4473</v>
      </c>
      <c r="DE102" s="728">
        <v>4474</v>
      </c>
      <c r="DF102" s="483"/>
    </row>
    <row r="103" spans="2:110" x14ac:dyDescent="0.35">
      <c r="B103" s="484" t="s">
        <v>508</v>
      </c>
      <c r="C103" s="485" t="s">
        <v>509</v>
      </c>
      <c r="D103" s="486">
        <v>887</v>
      </c>
      <c r="E103" s="486">
        <v>1274</v>
      </c>
      <c r="F103" s="486">
        <v>1730</v>
      </c>
      <c r="G103" s="486">
        <v>1644</v>
      </c>
      <c r="H103" s="486">
        <v>1412</v>
      </c>
      <c r="I103" s="486">
        <v>1562</v>
      </c>
      <c r="J103" s="486">
        <v>1914</v>
      </c>
      <c r="K103" s="486"/>
      <c r="L103" s="486">
        <v>1904</v>
      </c>
      <c r="M103" s="486">
        <v>2102</v>
      </c>
      <c r="N103" s="486">
        <v>2148</v>
      </c>
      <c r="O103" s="486">
        <v>2147</v>
      </c>
      <c r="P103" s="486">
        <v>2140</v>
      </c>
      <c r="Q103" s="486">
        <v>2416</v>
      </c>
      <c r="R103" s="486">
        <v>2416</v>
      </c>
      <c r="S103" s="486">
        <v>2415</v>
      </c>
      <c r="T103" s="486">
        <v>2465</v>
      </c>
      <c r="U103" s="486">
        <v>2464</v>
      </c>
      <c r="V103" s="486">
        <v>2500</v>
      </c>
      <c r="W103" s="486">
        <v>2557</v>
      </c>
      <c r="X103" s="486">
        <v>2554</v>
      </c>
      <c r="Y103" s="486">
        <v>2554</v>
      </c>
      <c r="Z103" s="486">
        <v>2593</v>
      </c>
      <c r="AA103" s="486">
        <v>2602</v>
      </c>
      <c r="AB103" s="486">
        <v>2602</v>
      </c>
      <c r="AC103" s="486">
        <v>2598</v>
      </c>
      <c r="AD103" s="486">
        <v>2598</v>
      </c>
      <c r="AE103" s="486">
        <v>2588</v>
      </c>
      <c r="AF103" s="486">
        <v>2573</v>
      </c>
      <c r="AG103" s="486">
        <v>2564</v>
      </c>
      <c r="AH103" s="486">
        <v>2607</v>
      </c>
      <c r="AI103" s="486">
        <v>2598</v>
      </c>
      <c r="AJ103" s="486">
        <v>2617</v>
      </c>
      <c r="AK103" s="486">
        <v>2617</v>
      </c>
      <c r="AL103" s="486">
        <v>2617</v>
      </c>
      <c r="AM103" s="486">
        <v>2609</v>
      </c>
      <c r="AN103" s="486">
        <v>2684</v>
      </c>
      <c r="AO103" s="486">
        <v>2689</v>
      </c>
      <c r="AP103" s="486">
        <v>2713</v>
      </c>
      <c r="AQ103" s="486">
        <v>2730</v>
      </c>
      <c r="AR103" s="486">
        <v>2780</v>
      </c>
      <c r="AS103" s="486">
        <v>2780</v>
      </c>
      <c r="AT103" s="486">
        <v>2800</v>
      </c>
      <c r="AU103" s="486">
        <v>2807</v>
      </c>
      <c r="AV103" s="486">
        <v>2843</v>
      </c>
      <c r="AW103" s="486">
        <v>2893</v>
      </c>
      <c r="AX103" s="486">
        <v>2962</v>
      </c>
      <c r="AY103" s="486">
        <v>2962</v>
      </c>
      <c r="AZ103" s="486">
        <v>3012</v>
      </c>
      <c r="BA103" s="486">
        <v>3011</v>
      </c>
      <c r="BB103" s="486">
        <v>3011</v>
      </c>
      <c r="BC103" s="486">
        <v>3011</v>
      </c>
      <c r="BD103" s="486">
        <v>3112</v>
      </c>
      <c r="BE103" s="486">
        <v>3112</v>
      </c>
      <c r="BF103" s="486">
        <v>3111</v>
      </c>
      <c r="BG103" s="486">
        <v>3134</v>
      </c>
      <c r="BH103" s="486">
        <v>3324</v>
      </c>
      <c r="BI103" s="486">
        <v>3394</v>
      </c>
      <c r="BJ103" s="486">
        <v>3424</v>
      </c>
      <c r="BK103" s="486">
        <v>2768</v>
      </c>
      <c r="BL103" s="486">
        <v>2837</v>
      </c>
      <c r="BM103" s="486">
        <v>2836</v>
      </c>
      <c r="BN103" s="486">
        <v>2858</v>
      </c>
      <c r="BO103" s="486">
        <v>3011</v>
      </c>
      <c r="BP103" s="486">
        <v>3123</v>
      </c>
      <c r="BQ103" s="486">
        <v>3117</v>
      </c>
      <c r="BR103" s="486">
        <v>3116</v>
      </c>
      <c r="BS103" s="486">
        <v>3116</v>
      </c>
      <c r="BT103" s="486">
        <v>3239</v>
      </c>
      <c r="BU103" s="486">
        <v>3239</v>
      </c>
      <c r="BV103" s="486">
        <v>3339</v>
      </c>
      <c r="BW103" s="486">
        <v>3419</v>
      </c>
      <c r="BX103" s="486">
        <v>3519</v>
      </c>
      <c r="BY103" s="486">
        <v>3507</v>
      </c>
      <c r="BZ103" s="486">
        <v>3507</v>
      </c>
      <c r="CA103" s="486">
        <v>3720</v>
      </c>
      <c r="CB103" s="486">
        <v>3719</v>
      </c>
      <c r="CC103" s="486">
        <v>3719</v>
      </c>
      <c r="CD103" s="486">
        <v>3919</v>
      </c>
      <c r="CE103" s="486">
        <v>3919</v>
      </c>
      <c r="CF103" s="486">
        <v>3919</v>
      </c>
      <c r="CG103" s="486">
        <v>3919</v>
      </c>
      <c r="CH103" s="486">
        <v>3919</v>
      </c>
      <c r="CI103" s="486">
        <v>4119</v>
      </c>
      <c r="CJ103" s="486">
        <v>4119</v>
      </c>
      <c r="CK103" s="486">
        <v>4117</v>
      </c>
      <c r="CL103" s="486">
        <v>4117</v>
      </c>
      <c r="CM103" s="486">
        <v>4111</v>
      </c>
      <c r="CN103" s="486">
        <v>4111</v>
      </c>
      <c r="CO103" s="486">
        <v>4111</v>
      </c>
      <c r="CP103" s="486">
        <v>4166</v>
      </c>
      <c r="CQ103" s="486">
        <v>3245</v>
      </c>
      <c r="CR103" s="486">
        <v>3345</v>
      </c>
      <c r="CS103" s="486">
        <v>3369</v>
      </c>
      <c r="CT103" s="486">
        <v>3369</v>
      </c>
      <c r="CU103" s="486">
        <v>3369</v>
      </c>
      <c r="CV103" s="486">
        <v>3411</v>
      </c>
      <c r="CW103" s="486">
        <v>3411</v>
      </c>
      <c r="CX103" s="486">
        <v>3551</v>
      </c>
      <c r="CY103" s="486">
        <v>3651</v>
      </c>
      <c r="CZ103" s="486">
        <v>3651</v>
      </c>
      <c r="DA103" s="486">
        <v>3651</v>
      </c>
      <c r="DB103" s="486">
        <v>3651</v>
      </c>
      <c r="DC103" s="486">
        <v>3632</v>
      </c>
      <c r="DD103" s="486">
        <v>3632</v>
      </c>
      <c r="DE103" s="728">
        <v>3638</v>
      </c>
      <c r="DF103" s="483"/>
    </row>
    <row r="104" spans="2:110" x14ac:dyDescent="0.35">
      <c r="B104" s="484" t="s">
        <v>510</v>
      </c>
      <c r="C104" s="485" t="s">
        <v>511</v>
      </c>
      <c r="D104" s="486"/>
      <c r="E104" s="486"/>
      <c r="F104" s="486"/>
      <c r="G104" s="486"/>
      <c r="H104" s="486"/>
      <c r="I104" s="486"/>
      <c r="J104" s="486"/>
      <c r="K104" s="486"/>
      <c r="L104" s="486">
        <v>878</v>
      </c>
      <c r="M104" s="486">
        <v>948</v>
      </c>
      <c r="N104" s="486">
        <v>1029</v>
      </c>
      <c r="O104" s="486">
        <v>1061</v>
      </c>
      <c r="P104" s="486">
        <v>1114</v>
      </c>
      <c r="Q104" s="486">
        <v>1329</v>
      </c>
      <c r="R104" s="486">
        <v>1386</v>
      </c>
      <c r="S104" s="486">
        <v>1411</v>
      </c>
      <c r="T104" s="486">
        <v>1433</v>
      </c>
      <c r="U104" s="486">
        <v>1463</v>
      </c>
      <c r="V104" s="486">
        <v>1484</v>
      </c>
      <c r="W104" s="486">
        <v>1519</v>
      </c>
      <c r="X104" s="486">
        <v>1538</v>
      </c>
      <c r="Y104" s="486">
        <v>1555</v>
      </c>
      <c r="Z104" s="486">
        <v>1670</v>
      </c>
      <c r="AA104" s="486">
        <v>1729</v>
      </c>
      <c r="AB104" s="486">
        <v>1759</v>
      </c>
      <c r="AC104" s="486">
        <v>1784</v>
      </c>
      <c r="AD104" s="486">
        <v>1811</v>
      </c>
      <c r="AE104" s="486">
        <v>1853</v>
      </c>
      <c r="AF104" s="486">
        <v>1938</v>
      </c>
      <c r="AG104" s="486">
        <v>2029</v>
      </c>
      <c r="AH104" s="486">
        <v>2088</v>
      </c>
      <c r="AI104" s="486">
        <v>2063</v>
      </c>
      <c r="AJ104" s="486">
        <v>2143</v>
      </c>
      <c r="AK104" s="486">
        <v>2201</v>
      </c>
      <c r="AL104" s="486">
        <v>2237</v>
      </c>
      <c r="AM104" s="486">
        <v>2241</v>
      </c>
      <c r="AN104" s="486">
        <v>2301</v>
      </c>
      <c r="AO104" s="486">
        <v>2368</v>
      </c>
      <c r="AP104" s="486">
        <v>2419</v>
      </c>
      <c r="AQ104" s="486">
        <v>2479</v>
      </c>
      <c r="AR104" s="486">
        <v>2564</v>
      </c>
      <c r="AS104" s="486">
        <v>2621</v>
      </c>
      <c r="AT104" s="486">
        <v>2711</v>
      </c>
      <c r="AU104" s="486">
        <v>2776</v>
      </c>
      <c r="AV104" s="486">
        <v>2813</v>
      </c>
      <c r="AW104" s="486">
        <v>2864</v>
      </c>
      <c r="AX104" s="486">
        <v>2928</v>
      </c>
      <c r="AY104" s="486">
        <v>2997</v>
      </c>
      <c r="AZ104" s="486">
        <v>3067</v>
      </c>
      <c r="BA104" s="486">
        <v>3155</v>
      </c>
      <c r="BB104" s="486">
        <v>3113</v>
      </c>
      <c r="BC104" s="486">
        <v>3197</v>
      </c>
      <c r="BD104" s="486">
        <v>3253</v>
      </c>
      <c r="BE104" s="486">
        <v>3311</v>
      </c>
      <c r="BF104" s="486">
        <v>3852</v>
      </c>
      <c r="BG104" s="486">
        <v>3872</v>
      </c>
      <c r="BH104" s="486">
        <v>3882</v>
      </c>
      <c r="BI104" s="486">
        <v>3569</v>
      </c>
      <c r="BJ104" s="486">
        <v>3637</v>
      </c>
      <c r="BK104" s="486">
        <v>3713</v>
      </c>
      <c r="BL104" s="486">
        <v>3786</v>
      </c>
      <c r="BM104" s="486">
        <v>3866</v>
      </c>
      <c r="BN104" s="486">
        <v>3855</v>
      </c>
      <c r="BO104" s="486">
        <v>3922</v>
      </c>
      <c r="BP104" s="486">
        <v>3642</v>
      </c>
      <c r="BQ104" s="486">
        <v>3779</v>
      </c>
      <c r="BR104" s="486">
        <v>3846</v>
      </c>
      <c r="BS104" s="486">
        <v>3935</v>
      </c>
      <c r="BT104" s="486">
        <v>3998</v>
      </c>
      <c r="BU104" s="486">
        <v>4044</v>
      </c>
      <c r="BV104" s="486">
        <v>4148</v>
      </c>
      <c r="BW104" s="486">
        <v>4226</v>
      </c>
      <c r="BX104" s="486">
        <v>4297</v>
      </c>
      <c r="BY104" s="486">
        <v>4361</v>
      </c>
      <c r="BZ104" s="486">
        <v>4425</v>
      </c>
      <c r="CA104" s="486">
        <v>4495</v>
      </c>
      <c r="CB104" s="486">
        <v>4557</v>
      </c>
      <c r="CC104" s="486">
        <v>4637</v>
      </c>
      <c r="CD104" s="486">
        <v>4695</v>
      </c>
      <c r="CE104" s="486">
        <v>4733</v>
      </c>
      <c r="CF104" s="486">
        <v>4767</v>
      </c>
      <c r="CG104" s="486">
        <v>4454</v>
      </c>
      <c r="CH104" s="486">
        <v>4345</v>
      </c>
      <c r="CI104" s="486">
        <v>4355</v>
      </c>
      <c r="CJ104" s="486">
        <v>4365</v>
      </c>
      <c r="CK104" s="486">
        <v>4376</v>
      </c>
      <c r="CL104" s="486">
        <v>4382</v>
      </c>
      <c r="CM104" s="486">
        <v>4385</v>
      </c>
      <c r="CN104" s="486">
        <v>4400</v>
      </c>
      <c r="CO104" s="486">
        <v>4405</v>
      </c>
      <c r="CP104" s="486">
        <v>4414</v>
      </c>
      <c r="CQ104" s="486">
        <v>4418</v>
      </c>
      <c r="CR104" s="486">
        <v>4420</v>
      </c>
      <c r="CS104" s="486">
        <v>4422</v>
      </c>
      <c r="CT104" s="486">
        <v>4423</v>
      </c>
      <c r="CU104" s="486">
        <v>4428</v>
      </c>
      <c r="CV104" s="486">
        <v>4428</v>
      </c>
      <c r="CW104" s="486">
        <v>4428</v>
      </c>
      <c r="CX104" s="486">
        <v>4430</v>
      </c>
      <c r="CY104" s="486">
        <v>4429</v>
      </c>
      <c r="CZ104" s="486">
        <v>4430</v>
      </c>
      <c r="DA104" s="486">
        <v>4430</v>
      </c>
      <c r="DB104" s="486">
        <v>4431</v>
      </c>
      <c r="DC104" s="486">
        <v>4432</v>
      </c>
      <c r="DD104" s="486">
        <v>4438</v>
      </c>
      <c r="DE104" s="728">
        <v>4439</v>
      </c>
      <c r="DF104" s="483"/>
    </row>
    <row r="105" spans="2:110" x14ac:dyDescent="0.35">
      <c r="B105" s="484" t="s">
        <v>512</v>
      </c>
      <c r="C105" s="485" t="s">
        <v>513</v>
      </c>
      <c r="D105" s="486"/>
      <c r="E105" s="486"/>
      <c r="F105" s="486"/>
      <c r="G105" s="486"/>
      <c r="H105" s="486"/>
      <c r="I105" s="486"/>
      <c r="J105" s="486"/>
      <c r="K105" s="486"/>
      <c r="L105" s="486"/>
      <c r="M105" s="486"/>
      <c r="N105" s="486"/>
      <c r="O105" s="486"/>
      <c r="P105" s="486"/>
      <c r="Q105" s="486"/>
      <c r="R105" s="486"/>
      <c r="S105" s="486"/>
      <c r="T105" s="486">
        <v>1001</v>
      </c>
      <c r="U105" s="486">
        <v>2601</v>
      </c>
      <c r="V105" s="486">
        <v>2342</v>
      </c>
      <c r="W105" s="486">
        <v>2798</v>
      </c>
      <c r="X105" s="486">
        <v>3219</v>
      </c>
      <c r="Y105" s="486">
        <v>3220</v>
      </c>
      <c r="Z105" s="486">
        <v>3369</v>
      </c>
      <c r="AA105" s="486">
        <v>3374</v>
      </c>
      <c r="AB105" s="486">
        <v>3774</v>
      </c>
      <c r="AC105" s="486">
        <v>3904</v>
      </c>
      <c r="AD105" s="486">
        <v>4648</v>
      </c>
      <c r="AE105" s="486">
        <v>4608</v>
      </c>
      <c r="AF105" s="486">
        <v>4561</v>
      </c>
      <c r="AG105" s="486">
        <v>3705</v>
      </c>
      <c r="AH105" s="486">
        <v>3757</v>
      </c>
      <c r="AI105" s="486">
        <v>3814</v>
      </c>
      <c r="AJ105" s="486">
        <v>2683</v>
      </c>
      <c r="AK105" s="486">
        <v>2725</v>
      </c>
      <c r="AL105" s="486">
        <v>2724</v>
      </c>
      <c r="AM105" s="486">
        <v>2808</v>
      </c>
      <c r="AN105" s="486">
        <v>2810</v>
      </c>
      <c r="AO105" s="486">
        <v>2934</v>
      </c>
      <c r="AP105" s="486">
        <v>3098</v>
      </c>
      <c r="AQ105" s="486">
        <v>3143</v>
      </c>
      <c r="AR105" s="486">
        <v>3143</v>
      </c>
      <c r="AS105" s="486">
        <v>3247</v>
      </c>
      <c r="AT105" s="486">
        <v>3247</v>
      </c>
      <c r="AU105" s="486">
        <v>3246</v>
      </c>
      <c r="AV105" s="486">
        <v>3264</v>
      </c>
      <c r="AW105" s="486">
        <v>3394</v>
      </c>
      <c r="AX105" s="486">
        <v>3393</v>
      </c>
      <c r="AY105" s="486">
        <v>3393</v>
      </c>
      <c r="AZ105" s="486">
        <v>3390</v>
      </c>
      <c r="BA105" s="486">
        <v>3391</v>
      </c>
      <c r="BB105" s="486">
        <v>3395</v>
      </c>
      <c r="BC105" s="486">
        <v>3395</v>
      </c>
      <c r="BD105" s="486">
        <v>3415</v>
      </c>
      <c r="BE105" s="486">
        <v>3415</v>
      </c>
      <c r="BF105" s="486">
        <v>3415</v>
      </c>
      <c r="BG105" s="486">
        <v>3421</v>
      </c>
      <c r="BH105" s="486">
        <v>3436</v>
      </c>
      <c r="BI105" s="486">
        <v>3459</v>
      </c>
      <c r="BJ105" s="486">
        <v>3476</v>
      </c>
      <c r="BK105" s="486">
        <v>3476</v>
      </c>
      <c r="BL105" s="486">
        <v>3476</v>
      </c>
      <c r="BM105" s="486">
        <v>3476</v>
      </c>
      <c r="BN105" s="486">
        <v>3454</v>
      </c>
      <c r="BO105" s="486">
        <v>3454</v>
      </c>
      <c r="BP105" s="486">
        <v>3454</v>
      </c>
      <c r="BQ105" s="486">
        <v>3454</v>
      </c>
      <c r="BR105" s="486">
        <v>3454</v>
      </c>
      <c r="BS105" s="486">
        <v>3455</v>
      </c>
      <c r="BT105" s="486">
        <v>3460</v>
      </c>
      <c r="BU105" s="486">
        <v>3460</v>
      </c>
      <c r="BV105" s="486">
        <v>3534</v>
      </c>
      <c r="BW105" s="486">
        <v>3534</v>
      </c>
      <c r="BX105" s="486">
        <v>3593</v>
      </c>
      <c r="BY105" s="486">
        <v>3593</v>
      </c>
      <c r="BZ105" s="486">
        <v>3703</v>
      </c>
      <c r="CA105" s="486">
        <v>3703</v>
      </c>
      <c r="CB105" s="486">
        <v>3703</v>
      </c>
      <c r="CC105" s="486">
        <v>3703</v>
      </c>
      <c r="CD105" s="486">
        <v>3703</v>
      </c>
      <c r="CE105" s="486">
        <v>3701</v>
      </c>
      <c r="CF105" s="486">
        <v>3701</v>
      </c>
      <c r="CG105" s="486">
        <v>3732</v>
      </c>
      <c r="CH105" s="486">
        <v>3792</v>
      </c>
      <c r="CI105" s="486">
        <v>3791</v>
      </c>
      <c r="CJ105" s="486">
        <v>3851</v>
      </c>
      <c r="CK105" s="486">
        <v>3921</v>
      </c>
      <c r="CL105" s="486">
        <v>3921</v>
      </c>
      <c r="CM105" s="486">
        <v>3921</v>
      </c>
      <c r="CN105" s="486">
        <v>3921</v>
      </c>
      <c r="CO105" s="486">
        <v>3716</v>
      </c>
      <c r="CP105" s="486">
        <v>3716</v>
      </c>
      <c r="CQ105" s="486">
        <v>3716</v>
      </c>
      <c r="CR105" s="486">
        <v>3715</v>
      </c>
      <c r="CS105" s="486">
        <v>3715</v>
      </c>
      <c r="CT105" s="486">
        <v>3718</v>
      </c>
      <c r="CU105" s="486">
        <v>3718</v>
      </c>
      <c r="CV105" s="486">
        <v>3718</v>
      </c>
      <c r="CW105" s="486">
        <v>3718</v>
      </c>
      <c r="CX105" s="486">
        <v>3718</v>
      </c>
      <c r="CY105" s="486">
        <v>3718</v>
      </c>
      <c r="CZ105" s="486">
        <v>3721</v>
      </c>
      <c r="DA105" s="486">
        <v>3740</v>
      </c>
      <c r="DB105" s="486">
        <v>3794</v>
      </c>
      <c r="DC105" s="486">
        <v>3794</v>
      </c>
      <c r="DD105" s="486">
        <v>3844</v>
      </c>
      <c r="DE105" s="728">
        <v>4071</v>
      </c>
      <c r="DF105" s="483"/>
    </row>
    <row r="106" spans="2:110" x14ac:dyDescent="0.35">
      <c r="B106" s="484" t="s">
        <v>514</v>
      </c>
      <c r="C106" s="484" t="s">
        <v>515</v>
      </c>
      <c r="D106" s="486"/>
      <c r="E106" s="486"/>
      <c r="F106" s="486"/>
      <c r="G106" s="486"/>
      <c r="H106" s="486"/>
      <c r="I106" s="486"/>
      <c r="J106" s="486"/>
      <c r="K106" s="486"/>
      <c r="L106" s="486"/>
      <c r="M106" s="486"/>
      <c r="N106" s="486"/>
      <c r="O106" s="486"/>
      <c r="P106" s="486"/>
      <c r="Q106" s="486"/>
      <c r="R106" s="486"/>
      <c r="S106" s="486"/>
      <c r="T106" s="486"/>
      <c r="U106" s="486"/>
      <c r="V106" s="486"/>
      <c r="W106" s="486"/>
      <c r="X106" s="486"/>
      <c r="Y106" s="486"/>
      <c r="Z106" s="486"/>
      <c r="AA106" s="486"/>
      <c r="AB106" s="486"/>
      <c r="AC106" s="486"/>
      <c r="AD106" s="486"/>
      <c r="AE106" s="486"/>
      <c r="AF106" s="486"/>
      <c r="AG106" s="486"/>
      <c r="AH106" s="486"/>
      <c r="AI106" s="486"/>
      <c r="AJ106" s="486"/>
      <c r="AK106" s="486"/>
      <c r="AL106" s="486"/>
      <c r="AM106" s="486"/>
      <c r="AN106" s="486"/>
      <c r="AO106" s="483"/>
      <c r="AP106" s="483"/>
      <c r="AQ106" s="483"/>
      <c r="AR106" s="483"/>
      <c r="AS106" s="486"/>
      <c r="AT106" s="486"/>
      <c r="AU106" s="486"/>
      <c r="AV106" s="486"/>
      <c r="AZ106" s="486"/>
      <c r="BA106" s="486"/>
      <c r="BB106" s="486"/>
      <c r="BC106" s="486"/>
      <c r="BD106" s="486"/>
      <c r="BE106" s="486">
        <v>1045</v>
      </c>
      <c r="BF106" s="486">
        <v>1088</v>
      </c>
      <c r="BG106" s="486">
        <v>1099</v>
      </c>
      <c r="BH106" s="486">
        <v>1137</v>
      </c>
      <c r="BI106" s="486">
        <v>1185</v>
      </c>
      <c r="BJ106" s="486">
        <v>1226</v>
      </c>
      <c r="BK106" s="486">
        <v>1236</v>
      </c>
      <c r="BL106" s="486">
        <v>1258</v>
      </c>
      <c r="BM106" s="486">
        <v>1283</v>
      </c>
      <c r="BN106" s="486">
        <v>1329</v>
      </c>
      <c r="BO106" s="486">
        <v>1367</v>
      </c>
      <c r="BP106" s="486">
        <v>1379</v>
      </c>
      <c r="BQ106" s="486">
        <v>1404</v>
      </c>
      <c r="BR106" s="486">
        <v>1445</v>
      </c>
      <c r="BS106" s="486">
        <v>1472</v>
      </c>
      <c r="BT106" s="486">
        <v>1553</v>
      </c>
      <c r="BU106" s="486">
        <v>1555</v>
      </c>
      <c r="BV106" s="486">
        <v>1617</v>
      </c>
      <c r="BW106" s="486">
        <v>1639</v>
      </c>
      <c r="BX106" s="486">
        <v>1678</v>
      </c>
      <c r="BY106" s="486">
        <v>1726</v>
      </c>
      <c r="BZ106" s="486">
        <v>1742</v>
      </c>
      <c r="CA106" s="486">
        <v>1801</v>
      </c>
      <c r="CB106" s="486">
        <v>1882</v>
      </c>
      <c r="CC106" s="486">
        <v>1964</v>
      </c>
      <c r="CD106" s="486">
        <v>2080</v>
      </c>
      <c r="CE106" s="486">
        <v>2169</v>
      </c>
      <c r="CF106" s="486">
        <v>2253</v>
      </c>
      <c r="CG106" s="486">
        <v>2421</v>
      </c>
      <c r="CH106" s="486">
        <v>2641</v>
      </c>
      <c r="CI106" s="486">
        <v>2785</v>
      </c>
      <c r="CJ106" s="486">
        <v>2947</v>
      </c>
      <c r="CK106" s="486">
        <v>3020</v>
      </c>
      <c r="CL106" s="486">
        <v>3110</v>
      </c>
      <c r="CM106" s="486">
        <v>3140</v>
      </c>
      <c r="CN106" s="486">
        <v>3303</v>
      </c>
      <c r="CO106" s="486">
        <v>3397</v>
      </c>
      <c r="CP106" s="486">
        <v>3468</v>
      </c>
      <c r="CQ106" s="486">
        <v>3522</v>
      </c>
      <c r="CR106" s="486">
        <v>3618</v>
      </c>
      <c r="CS106" s="486">
        <v>3759</v>
      </c>
      <c r="CT106" s="486">
        <v>3945</v>
      </c>
      <c r="CU106" s="486">
        <v>4060</v>
      </c>
      <c r="CV106" s="486">
        <v>4156</v>
      </c>
      <c r="CW106" s="486">
        <v>4246</v>
      </c>
      <c r="CX106" s="486">
        <v>4298</v>
      </c>
      <c r="CY106" s="486">
        <v>4325</v>
      </c>
      <c r="CZ106" s="486">
        <v>4376</v>
      </c>
      <c r="DA106" s="486">
        <v>4387</v>
      </c>
      <c r="DB106" s="486">
        <v>4538</v>
      </c>
      <c r="DC106" s="486">
        <v>4618</v>
      </c>
      <c r="DD106" s="486">
        <v>4803</v>
      </c>
      <c r="DE106" s="728">
        <v>4940</v>
      </c>
      <c r="DF106" s="483"/>
    </row>
    <row r="107" spans="2:110" x14ac:dyDescent="0.35">
      <c r="B107" s="484" t="s">
        <v>516</v>
      </c>
      <c r="C107" s="484" t="s">
        <v>517</v>
      </c>
      <c r="D107" s="486"/>
      <c r="E107" s="486"/>
      <c r="F107" s="486"/>
      <c r="G107" s="486"/>
      <c r="H107" s="486"/>
      <c r="I107" s="486"/>
      <c r="J107" s="486"/>
      <c r="K107" s="486"/>
      <c r="L107" s="486"/>
      <c r="M107" s="486"/>
      <c r="N107" s="486"/>
      <c r="O107" s="486"/>
      <c r="P107" s="486"/>
      <c r="Q107" s="486"/>
      <c r="R107" s="486"/>
      <c r="S107" s="486"/>
      <c r="T107" s="486"/>
      <c r="U107" s="486"/>
      <c r="V107" s="486"/>
      <c r="W107" s="486"/>
      <c r="X107" s="486"/>
      <c r="Y107" s="486"/>
      <c r="Z107" s="486"/>
      <c r="AA107" s="486"/>
      <c r="AB107" s="486"/>
      <c r="AC107" s="486"/>
      <c r="AD107" s="486"/>
      <c r="AE107" s="486"/>
      <c r="AF107" s="486"/>
      <c r="AG107" s="486"/>
      <c r="AH107" s="486"/>
      <c r="AI107" s="486"/>
      <c r="AJ107" s="486"/>
      <c r="AK107" s="486"/>
      <c r="AL107" s="486"/>
      <c r="AM107" s="486"/>
      <c r="AN107" s="486"/>
      <c r="AO107" s="483"/>
      <c r="AP107" s="483"/>
      <c r="AQ107" s="483"/>
      <c r="AR107" s="483"/>
      <c r="AS107" s="486"/>
      <c r="AT107" s="486"/>
      <c r="AU107" s="486"/>
      <c r="AV107" s="486"/>
      <c r="AZ107" s="486"/>
      <c r="BA107" s="486"/>
      <c r="BB107" s="486"/>
      <c r="BC107" s="486"/>
      <c r="BD107" s="486"/>
      <c r="BE107" s="486"/>
      <c r="BF107" s="486">
        <v>1305</v>
      </c>
      <c r="BG107" s="486">
        <v>1399</v>
      </c>
      <c r="BH107" s="486">
        <v>1447</v>
      </c>
      <c r="BI107" s="486">
        <v>1495</v>
      </c>
      <c r="BJ107" s="486">
        <v>1554</v>
      </c>
      <c r="BK107" s="486">
        <v>1614</v>
      </c>
      <c r="BL107" s="486">
        <v>1673</v>
      </c>
      <c r="BM107" s="486">
        <v>1767</v>
      </c>
      <c r="BN107" s="486">
        <v>1834</v>
      </c>
      <c r="BO107" s="486">
        <v>1896</v>
      </c>
      <c r="BP107" s="486">
        <v>1936</v>
      </c>
      <c r="BQ107" s="486">
        <v>1963</v>
      </c>
      <c r="BR107" s="486">
        <v>1997</v>
      </c>
      <c r="BS107" s="486">
        <v>2044</v>
      </c>
      <c r="BT107" s="486">
        <v>2084</v>
      </c>
      <c r="BU107" s="486">
        <v>2113</v>
      </c>
      <c r="BV107" s="486">
        <v>2209</v>
      </c>
      <c r="BW107" s="486">
        <v>2245</v>
      </c>
      <c r="BX107" s="486">
        <v>2405</v>
      </c>
      <c r="BY107" s="486">
        <v>2499</v>
      </c>
      <c r="BZ107" s="486">
        <v>2542</v>
      </c>
      <c r="CA107" s="486">
        <v>2638</v>
      </c>
      <c r="CB107" s="486">
        <v>2697</v>
      </c>
      <c r="CC107" s="486">
        <v>2781</v>
      </c>
      <c r="CD107" s="486">
        <v>2851</v>
      </c>
      <c r="CE107" s="486">
        <v>2925</v>
      </c>
      <c r="CF107" s="486">
        <v>3043</v>
      </c>
      <c r="CG107" s="486">
        <v>3157</v>
      </c>
      <c r="CH107" s="486">
        <v>3250</v>
      </c>
      <c r="CI107" s="486">
        <v>3410</v>
      </c>
      <c r="CJ107" s="486">
        <v>3574</v>
      </c>
      <c r="CK107" s="486">
        <v>3673</v>
      </c>
      <c r="CL107" s="486">
        <v>3753</v>
      </c>
      <c r="CM107" s="486">
        <v>3832</v>
      </c>
      <c r="CN107" s="486">
        <v>3900</v>
      </c>
      <c r="CO107" s="486">
        <v>3962</v>
      </c>
      <c r="CP107" s="486">
        <v>4022</v>
      </c>
      <c r="CQ107" s="486">
        <v>4079</v>
      </c>
      <c r="CR107" s="486">
        <v>4137</v>
      </c>
      <c r="CS107" s="486">
        <v>4208</v>
      </c>
      <c r="CT107" s="486">
        <v>4095</v>
      </c>
      <c r="CU107" s="486">
        <v>4173</v>
      </c>
      <c r="CV107" s="486">
        <v>4322</v>
      </c>
      <c r="CW107" s="486">
        <v>4406</v>
      </c>
      <c r="CX107" s="486">
        <v>4460</v>
      </c>
      <c r="CY107" s="486">
        <v>4529</v>
      </c>
      <c r="CZ107" s="486">
        <v>4582</v>
      </c>
      <c r="DA107" s="486">
        <v>4655</v>
      </c>
      <c r="DB107" s="486">
        <v>4704</v>
      </c>
      <c r="DC107" s="486">
        <v>4682</v>
      </c>
      <c r="DD107" s="486">
        <v>4831</v>
      </c>
      <c r="DE107" s="728">
        <v>4902</v>
      </c>
      <c r="DF107" s="483"/>
    </row>
    <row r="108" spans="2:110" x14ac:dyDescent="0.35">
      <c r="B108" s="484" t="s">
        <v>518</v>
      </c>
      <c r="C108" s="485" t="s">
        <v>519</v>
      </c>
      <c r="D108" s="488"/>
      <c r="E108" s="488"/>
      <c r="F108" s="486"/>
      <c r="G108" s="486"/>
      <c r="H108" s="486">
        <v>1417</v>
      </c>
      <c r="I108" s="486">
        <v>2167</v>
      </c>
      <c r="J108" s="486">
        <v>3168</v>
      </c>
      <c r="K108" s="486"/>
      <c r="L108" s="486">
        <v>3369</v>
      </c>
      <c r="M108" s="486">
        <v>3370</v>
      </c>
      <c r="N108" s="486">
        <v>3671</v>
      </c>
      <c r="O108" s="486">
        <v>3671</v>
      </c>
      <c r="P108" s="486">
        <v>3671</v>
      </c>
      <c r="Q108" s="486">
        <v>3614</v>
      </c>
      <c r="R108" s="486">
        <v>3858</v>
      </c>
      <c r="S108" s="486">
        <v>3856</v>
      </c>
      <c r="T108" s="486">
        <v>3857</v>
      </c>
      <c r="U108" s="486">
        <v>3881</v>
      </c>
      <c r="V108" s="486">
        <v>4127</v>
      </c>
      <c r="W108" s="486">
        <v>4127</v>
      </c>
      <c r="X108" s="486">
        <v>4151</v>
      </c>
      <c r="Y108" s="486">
        <v>4372</v>
      </c>
      <c r="Z108" s="486">
        <v>4380</v>
      </c>
      <c r="AA108" s="486">
        <v>4375</v>
      </c>
      <c r="AB108" s="486">
        <v>4375</v>
      </c>
      <c r="AC108" s="486">
        <v>4626</v>
      </c>
      <c r="AD108" s="486">
        <v>4626</v>
      </c>
      <c r="AE108" s="486">
        <v>4626</v>
      </c>
      <c r="AF108" s="486">
        <v>4883</v>
      </c>
      <c r="AG108" s="486">
        <v>4905</v>
      </c>
      <c r="AH108" s="486">
        <v>5340</v>
      </c>
      <c r="AI108" s="486">
        <v>5590</v>
      </c>
      <c r="AJ108" s="486">
        <v>5590</v>
      </c>
      <c r="AK108" s="486">
        <v>5590</v>
      </c>
      <c r="AL108" s="486">
        <v>5590</v>
      </c>
      <c r="AM108" s="486">
        <v>5840</v>
      </c>
      <c r="AN108" s="486">
        <v>5840</v>
      </c>
      <c r="AO108" s="486">
        <v>5840</v>
      </c>
      <c r="AP108" s="486">
        <v>5840</v>
      </c>
      <c r="AQ108" s="486">
        <v>5840</v>
      </c>
      <c r="AR108" s="486">
        <v>5840</v>
      </c>
      <c r="AS108" s="486">
        <v>6090</v>
      </c>
      <c r="AT108" s="486">
        <v>6090</v>
      </c>
      <c r="AU108" s="486">
        <v>6090</v>
      </c>
      <c r="AV108" s="486">
        <v>6340</v>
      </c>
      <c r="AW108" s="486">
        <v>6340</v>
      </c>
      <c r="AX108" s="486">
        <v>6340</v>
      </c>
      <c r="AY108" s="486">
        <v>6340</v>
      </c>
      <c r="AZ108" s="486">
        <v>6340</v>
      </c>
      <c r="BA108" s="486">
        <v>6340</v>
      </c>
      <c r="BB108" s="486">
        <v>6340</v>
      </c>
      <c r="BC108" s="486">
        <v>6340</v>
      </c>
      <c r="BD108" s="486">
        <v>6340</v>
      </c>
      <c r="BE108" s="486">
        <v>6340</v>
      </c>
      <c r="BF108" s="486">
        <v>6340</v>
      </c>
      <c r="BG108" s="486">
        <v>6340</v>
      </c>
      <c r="BH108" s="486">
        <v>6340</v>
      </c>
      <c r="BI108" s="486">
        <v>6340</v>
      </c>
      <c r="BJ108" s="486">
        <v>6339</v>
      </c>
      <c r="BK108" s="486">
        <v>6339</v>
      </c>
      <c r="BL108" s="486">
        <v>6339</v>
      </c>
      <c r="BM108" s="486">
        <v>6339</v>
      </c>
      <c r="BN108" s="486">
        <v>6336</v>
      </c>
      <c r="BO108" s="486">
        <v>6336</v>
      </c>
      <c r="BP108" s="486">
        <v>6334</v>
      </c>
      <c r="BQ108" s="486">
        <v>6334</v>
      </c>
      <c r="BR108" s="486">
        <v>6334</v>
      </c>
      <c r="BS108" s="486">
        <v>6334</v>
      </c>
      <c r="BT108" s="486">
        <v>2771</v>
      </c>
      <c r="BU108" s="486">
        <v>2771</v>
      </c>
      <c r="BV108" s="486">
        <v>2770</v>
      </c>
      <c r="BW108" s="486">
        <v>2770</v>
      </c>
      <c r="BX108" s="486">
        <v>2770</v>
      </c>
      <c r="BY108" s="486">
        <v>2770</v>
      </c>
      <c r="BZ108" s="486">
        <v>2770</v>
      </c>
      <c r="CA108" s="486">
        <v>2770</v>
      </c>
      <c r="CB108" s="486">
        <v>2757</v>
      </c>
      <c r="CC108" s="486">
        <v>2757</v>
      </c>
      <c r="CD108" s="486">
        <v>2757</v>
      </c>
      <c r="CE108" s="486">
        <v>2757</v>
      </c>
      <c r="CF108" s="486">
        <v>2757</v>
      </c>
      <c r="CG108" s="486">
        <v>2757</v>
      </c>
      <c r="CH108" s="486">
        <v>2757</v>
      </c>
      <c r="CI108" s="486">
        <v>2757</v>
      </c>
      <c r="CJ108" s="486">
        <v>2759</v>
      </c>
      <c r="CK108" s="486">
        <v>2759</v>
      </c>
      <c r="CL108" s="486">
        <v>2772</v>
      </c>
      <c r="CM108" s="486">
        <v>2772</v>
      </c>
      <c r="CN108" s="486">
        <v>2772</v>
      </c>
      <c r="CO108" s="486">
        <v>2772</v>
      </c>
      <c r="CP108" s="486">
        <v>2777</v>
      </c>
      <c r="CQ108" s="486">
        <v>2776</v>
      </c>
      <c r="CR108" s="486">
        <v>3174</v>
      </c>
      <c r="CS108" s="486">
        <v>3176</v>
      </c>
      <c r="CT108" s="486">
        <v>3176</v>
      </c>
      <c r="CU108" s="486">
        <v>3176</v>
      </c>
      <c r="CV108" s="486">
        <v>3176</v>
      </c>
      <c r="CW108" s="486">
        <v>3176</v>
      </c>
      <c r="CX108" s="486">
        <v>3176</v>
      </c>
      <c r="CY108" s="486">
        <v>3671</v>
      </c>
      <c r="CZ108" s="486">
        <v>3671</v>
      </c>
      <c r="DA108" s="486">
        <v>3671</v>
      </c>
      <c r="DB108" s="486">
        <v>3671</v>
      </c>
      <c r="DC108" s="486">
        <v>3671</v>
      </c>
      <c r="DD108" s="486">
        <v>3671</v>
      </c>
      <c r="DE108" s="728">
        <v>1762</v>
      </c>
      <c r="DF108" s="483"/>
    </row>
    <row r="109" spans="2:110" x14ac:dyDescent="0.35">
      <c r="B109" s="484" t="s">
        <v>520</v>
      </c>
      <c r="C109" s="485" t="s">
        <v>521</v>
      </c>
      <c r="D109" s="486"/>
      <c r="E109" s="486"/>
      <c r="F109" s="486"/>
      <c r="G109" s="486"/>
      <c r="H109" s="486"/>
      <c r="I109" s="486"/>
      <c r="J109" s="486"/>
      <c r="K109" s="486"/>
      <c r="L109" s="486">
        <v>374</v>
      </c>
      <c r="M109" s="486">
        <v>914</v>
      </c>
      <c r="N109" s="486">
        <v>1414</v>
      </c>
      <c r="O109" s="486">
        <v>1414</v>
      </c>
      <c r="P109" s="486">
        <v>1913</v>
      </c>
      <c r="Q109" s="486">
        <v>2913</v>
      </c>
      <c r="R109" s="486">
        <v>2913</v>
      </c>
      <c r="S109" s="486">
        <v>4127</v>
      </c>
      <c r="T109" s="486">
        <v>4127</v>
      </c>
      <c r="U109" s="486">
        <v>4122</v>
      </c>
      <c r="V109" s="486">
        <v>4122</v>
      </c>
      <c r="W109" s="486">
        <v>4121</v>
      </c>
      <c r="X109" s="486">
        <v>3921</v>
      </c>
      <c r="Y109" s="486">
        <v>3941</v>
      </c>
      <c r="Z109" s="486">
        <v>3951</v>
      </c>
      <c r="AA109" s="486">
        <v>3951</v>
      </c>
      <c r="AB109" s="486">
        <v>3951</v>
      </c>
      <c r="AC109" s="486">
        <v>3951</v>
      </c>
      <c r="AD109" s="486">
        <v>3757</v>
      </c>
      <c r="AE109" s="486">
        <v>3728</v>
      </c>
      <c r="AF109" s="486">
        <v>3729</v>
      </c>
      <c r="AG109" s="486">
        <v>3729</v>
      </c>
      <c r="AH109" s="486">
        <v>3729</v>
      </c>
      <c r="AI109" s="486">
        <v>3729</v>
      </c>
      <c r="AJ109" s="486">
        <v>4538</v>
      </c>
      <c r="AK109" s="486">
        <v>4538</v>
      </c>
      <c r="AL109" s="486">
        <v>4539</v>
      </c>
      <c r="AM109" s="486">
        <v>4539</v>
      </c>
      <c r="AN109" s="486">
        <v>4539</v>
      </c>
      <c r="AO109" s="486">
        <v>4559</v>
      </c>
      <c r="AP109" s="486">
        <v>4560</v>
      </c>
      <c r="AQ109" s="486">
        <v>4562</v>
      </c>
      <c r="AR109" s="486">
        <v>4562</v>
      </c>
      <c r="AS109" s="486">
        <v>4635</v>
      </c>
      <c r="AT109" s="486">
        <v>4635</v>
      </c>
      <c r="AU109" s="486">
        <v>5065</v>
      </c>
      <c r="AV109" s="486">
        <v>5776</v>
      </c>
      <c r="AW109" s="486">
        <v>5857</v>
      </c>
      <c r="AX109" s="486">
        <v>5980</v>
      </c>
      <c r="AY109" s="486">
        <v>5989</v>
      </c>
      <c r="AZ109" s="486">
        <v>5990</v>
      </c>
      <c r="BA109" s="486">
        <v>5990</v>
      </c>
      <c r="BB109" s="486">
        <v>5990</v>
      </c>
      <c r="BC109" s="486">
        <v>5990</v>
      </c>
      <c r="BD109" s="486">
        <v>5990</v>
      </c>
      <c r="BE109" s="486">
        <v>6251</v>
      </c>
      <c r="BF109" s="486">
        <v>6314</v>
      </c>
      <c r="BG109" s="486">
        <v>6514</v>
      </c>
      <c r="BH109" s="486">
        <v>6714</v>
      </c>
      <c r="BI109" s="486">
        <v>6919</v>
      </c>
      <c r="BJ109" s="486">
        <v>6925</v>
      </c>
      <c r="BK109" s="486">
        <v>7812</v>
      </c>
      <c r="BL109" s="486">
        <v>7813</v>
      </c>
      <c r="BM109" s="486">
        <v>7393</v>
      </c>
      <c r="BN109" s="486">
        <v>7393</v>
      </c>
      <c r="BO109" s="486">
        <v>7993</v>
      </c>
      <c r="BP109" s="486">
        <v>7994</v>
      </c>
      <c r="BQ109" s="486">
        <v>8194</v>
      </c>
      <c r="BR109" s="486">
        <v>8195</v>
      </c>
      <c r="BS109" s="486">
        <v>8394</v>
      </c>
      <c r="BT109" s="486">
        <v>8394</v>
      </c>
      <c r="BU109" s="486">
        <v>8394</v>
      </c>
      <c r="BV109" s="486">
        <v>8394</v>
      </c>
      <c r="BW109" s="486">
        <v>8394</v>
      </c>
      <c r="BX109" s="486">
        <v>8397</v>
      </c>
      <c r="BY109" s="486">
        <v>8397</v>
      </c>
      <c r="BZ109" s="486">
        <v>8347</v>
      </c>
      <c r="CA109" s="486">
        <v>8189</v>
      </c>
      <c r="CB109" s="486">
        <v>6966</v>
      </c>
      <c r="CC109" s="486">
        <v>6967</v>
      </c>
      <c r="CD109" s="486">
        <v>6967</v>
      </c>
      <c r="CE109" s="486">
        <v>6969</v>
      </c>
      <c r="CF109" s="486">
        <v>5695</v>
      </c>
      <c r="CG109" s="486">
        <v>5267</v>
      </c>
      <c r="CH109" s="486">
        <v>4843</v>
      </c>
      <c r="CI109" s="486">
        <v>4843</v>
      </c>
      <c r="CJ109" s="486">
        <v>4851</v>
      </c>
      <c r="CK109" s="486">
        <v>4851</v>
      </c>
      <c r="CL109" s="486">
        <v>4851</v>
      </c>
      <c r="CM109" s="486">
        <v>3529</v>
      </c>
      <c r="CN109" s="486">
        <v>3530</v>
      </c>
      <c r="CO109" s="486">
        <v>3530</v>
      </c>
      <c r="CP109" s="486">
        <v>3477</v>
      </c>
      <c r="CQ109" s="486">
        <v>3354</v>
      </c>
      <c r="CR109" s="486">
        <v>2950</v>
      </c>
      <c r="CS109" s="486">
        <v>2883</v>
      </c>
      <c r="CT109" s="486">
        <v>3152</v>
      </c>
      <c r="CU109" s="486">
        <v>3152</v>
      </c>
      <c r="CV109" s="486">
        <v>3152</v>
      </c>
      <c r="CW109" s="486">
        <v>3073</v>
      </c>
      <c r="CX109" s="486">
        <v>3073</v>
      </c>
      <c r="CY109" s="486">
        <v>3073</v>
      </c>
      <c r="CZ109" s="486">
        <v>3073</v>
      </c>
      <c r="DA109" s="486">
        <v>3073</v>
      </c>
      <c r="DB109" s="486">
        <v>3073</v>
      </c>
      <c r="DC109" s="486">
        <v>3073</v>
      </c>
      <c r="DD109" s="486">
        <v>3073</v>
      </c>
      <c r="DE109" s="728">
        <v>3073</v>
      </c>
      <c r="DF109" s="483"/>
    </row>
    <row r="110" spans="2:110" x14ac:dyDescent="0.35">
      <c r="B110" s="484" t="s">
        <v>522</v>
      </c>
      <c r="C110" s="485" t="s">
        <v>523</v>
      </c>
      <c r="D110" s="486"/>
      <c r="E110" s="486"/>
      <c r="F110" s="486"/>
      <c r="G110" s="486"/>
      <c r="H110" s="486"/>
      <c r="I110" s="486"/>
      <c r="J110" s="486">
        <v>922</v>
      </c>
      <c r="K110" s="486"/>
      <c r="L110" s="486">
        <v>3351</v>
      </c>
      <c r="M110" s="486">
        <v>3378</v>
      </c>
      <c r="N110" s="486">
        <v>3378</v>
      </c>
      <c r="O110" s="486">
        <v>3417</v>
      </c>
      <c r="P110" s="486">
        <v>3417</v>
      </c>
      <c r="Q110" s="486">
        <v>3479</v>
      </c>
      <c r="R110" s="486">
        <v>3478</v>
      </c>
      <c r="S110" s="486">
        <v>3462</v>
      </c>
      <c r="T110" s="486">
        <v>3457</v>
      </c>
      <c r="U110" s="486">
        <v>3516</v>
      </c>
      <c r="V110" s="486">
        <v>3566</v>
      </c>
      <c r="W110" s="486">
        <v>3566</v>
      </c>
      <c r="X110" s="486">
        <v>3624</v>
      </c>
      <c r="Y110" s="486">
        <v>3623</v>
      </c>
      <c r="Z110" s="486">
        <v>3923</v>
      </c>
      <c r="AA110" s="486">
        <v>3923</v>
      </c>
      <c r="AB110" s="486">
        <v>3863</v>
      </c>
      <c r="AC110" s="486">
        <v>3864</v>
      </c>
      <c r="AD110" s="486">
        <v>3864</v>
      </c>
      <c r="AE110" s="486">
        <v>3944</v>
      </c>
      <c r="AF110" s="486">
        <v>3965</v>
      </c>
      <c r="AG110" s="486">
        <v>3909</v>
      </c>
      <c r="AH110" s="486">
        <v>3909</v>
      </c>
      <c r="AI110" s="486">
        <v>3929</v>
      </c>
      <c r="AJ110" s="486">
        <v>3929</v>
      </c>
      <c r="AK110" s="486">
        <v>3929</v>
      </c>
      <c r="AL110" s="486">
        <v>3969</v>
      </c>
      <c r="AM110" s="486">
        <v>3969</v>
      </c>
      <c r="AN110" s="486">
        <v>3969</v>
      </c>
      <c r="AO110" s="486">
        <v>3969</v>
      </c>
      <c r="AP110" s="486">
        <v>3989</v>
      </c>
      <c r="AQ110" s="486">
        <v>3989</v>
      </c>
      <c r="AR110" s="486">
        <v>4038</v>
      </c>
      <c r="AS110" s="486">
        <v>4088</v>
      </c>
      <c r="AT110" s="486">
        <v>4088</v>
      </c>
      <c r="AU110" s="486">
        <v>4088</v>
      </c>
      <c r="AV110" s="486">
        <v>4088</v>
      </c>
      <c r="AW110" s="486">
        <v>4088</v>
      </c>
      <c r="AX110" s="486">
        <v>4093</v>
      </c>
      <c r="AY110" s="486">
        <v>4128</v>
      </c>
      <c r="AZ110" s="486">
        <v>4128</v>
      </c>
      <c r="BA110" s="486">
        <v>4178</v>
      </c>
      <c r="BB110" s="486">
        <v>4258</v>
      </c>
      <c r="BC110" s="486">
        <v>4308</v>
      </c>
      <c r="BD110" s="486">
        <v>4308</v>
      </c>
      <c r="BE110" s="486">
        <v>4308</v>
      </c>
      <c r="BF110" s="486">
        <v>4308</v>
      </c>
      <c r="BG110" s="486">
        <v>4308</v>
      </c>
      <c r="BH110" s="486">
        <v>3825</v>
      </c>
      <c r="BI110" s="486">
        <v>3835</v>
      </c>
      <c r="BJ110" s="486">
        <v>3835</v>
      </c>
      <c r="BK110" s="486">
        <v>3835</v>
      </c>
      <c r="BL110" s="486">
        <v>3870</v>
      </c>
      <c r="BM110" s="486">
        <v>3872</v>
      </c>
      <c r="BN110" s="486">
        <v>3870</v>
      </c>
      <c r="BO110" s="486">
        <v>3880</v>
      </c>
      <c r="BP110" s="486">
        <v>3880</v>
      </c>
      <c r="BQ110" s="486">
        <v>3680</v>
      </c>
      <c r="BR110" s="486">
        <v>3735</v>
      </c>
      <c r="BS110" s="486">
        <v>3139</v>
      </c>
      <c r="BT110" s="486">
        <v>3139</v>
      </c>
      <c r="BU110" s="486">
        <v>3204</v>
      </c>
      <c r="BV110" s="486">
        <v>3204</v>
      </c>
      <c r="BW110" s="486">
        <v>3208</v>
      </c>
      <c r="BX110" s="486">
        <v>3230</v>
      </c>
      <c r="BY110" s="486">
        <v>3260</v>
      </c>
      <c r="BZ110" s="486">
        <v>3260</v>
      </c>
      <c r="CA110" s="486">
        <v>3260</v>
      </c>
      <c r="CB110" s="486">
        <v>3280</v>
      </c>
      <c r="CC110" s="486">
        <v>3280</v>
      </c>
      <c r="CD110" s="486">
        <v>3280</v>
      </c>
      <c r="CE110" s="486">
        <v>3254</v>
      </c>
      <c r="CF110" s="486">
        <v>3254</v>
      </c>
      <c r="CG110" s="486">
        <v>3279</v>
      </c>
      <c r="CH110" s="486">
        <v>3279</v>
      </c>
      <c r="CI110" s="486">
        <v>3289</v>
      </c>
      <c r="CJ110" s="486">
        <v>3289</v>
      </c>
      <c r="CK110" s="486">
        <v>3323</v>
      </c>
      <c r="CL110" s="486">
        <v>3323</v>
      </c>
      <c r="CM110" s="486">
        <v>3323</v>
      </c>
      <c r="CN110" s="486">
        <v>3323</v>
      </c>
      <c r="CO110" s="486">
        <v>2967</v>
      </c>
      <c r="CP110" s="486">
        <v>2988</v>
      </c>
      <c r="CQ110" s="486">
        <v>2988</v>
      </c>
      <c r="CR110" s="486">
        <v>2988</v>
      </c>
      <c r="CS110" s="486">
        <v>2988</v>
      </c>
      <c r="CT110" s="486">
        <v>2989</v>
      </c>
      <c r="CU110" s="486">
        <v>2996</v>
      </c>
      <c r="CV110" s="486">
        <v>2996</v>
      </c>
      <c r="CW110" s="486">
        <v>2997</v>
      </c>
      <c r="CX110" s="486">
        <v>3012</v>
      </c>
      <c r="CY110" s="486">
        <v>3011</v>
      </c>
      <c r="CZ110" s="486">
        <v>3021</v>
      </c>
      <c r="DA110" s="486">
        <v>3021</v>
      </c>
      <c r="DB110" s="486">
        <v>3031</v>
      </c>
      <c r="DC110" s="486">
        <v>3032</v>
      </c>
      <c r="DD110" s="486">
        <v>3042</v>
      </c>
      <c r="DE110" s="728">
        <v>3042</v>
      </c>
      <c r="DF110" s="483"/>
    </row>
    <row r="111" spans="2:110" x14ac:dyDescent="0.35">
      <c r="B111" s="484" t="s">
        <v>524</v>
      </c>
      <c r="C111" s="485" t="s">
        <v>525</v>
      </c>
      <c r="D111" s="486"/>
      <c r="E111" s="486"/>
      <c r="F111" s="486"/>
      <c r="G111" s="486"/>
      <c r="H111" s="486"/>
      <c r="I111" s="486"/>
      <c r="J111" s="486"/>
      <c r="K111" s="486"/>
      <c r="L111" s="486"/>
      <c r="M111" s="486"/>
      <c r="N111" s="486"/>
      <c r="O111" s="486"/>
      <c r="P111" s="486"/>
      <c r="Q111" s="486"/>
      <c r="R111" s="486"/>
      <c r="S111" s="486"/>
      <c r="T111" s="486"/>
      <c r="U111" s="486"/>
      <c r="V111" s="486"/>
      <c r="W111" s="486"/>
      <c r="X111" s="486"/>
      <c r="Y111" s="486"/>
      <c r="Z111" s="486"/>
      <c r="AA111" s="486"/>
      <c r="AB111" s="486">
        <v>1097</v>
      </c>
      <c r="AC111" s="486">
        <v>1099</v>
      </c>
      <c r="AD111" s="486">
        <v>1250</v>
      </c>
      <c r="AE111" s="486">
        <v>1250</v>
      </c>
      <c r="AF111" s="486">
        <v>1298</v>
      </c>
      <c r="AG111" s="486">
        <v>1409</v>
      </c>
      <c r="AH111" s="486">
        <v>1476</v>
      </c>
      <c r="AI111" s="486">
        <v>1549</v>
      </c>
      <c r="AJ111" s="486">
        <v>1565</v>
      </c>
      <c r="AK111" s="486">
        <v>1595</v>
      </c>
      <c r="AL111" s="486">
        <v>1628</v>
      </c>
      <c r="AM111" s="486">
        <v>1638</v>
      </c>
      <c r="AN111" s="486">
        <v>1636</v>
      </c>
      <c r="AO111" s="486">
        <v>1665</v>
      </c>
      <c r="AP111" s="486">
        <v>1740</v>
      </c>
      <c r="AQ111" s="486">
        <v>1865</v>
      </c>
      <c r="AR111" s="486">
        <v>1981</v>
      </c>
      <c r="AS111" s="486">
        <v>2033</v>
      </c>
      <c r="AT111" s="486">
        <v>2037</v>
      </c>
      <c r="AU111" s="486">
        <v>2056</v>
      </c>
      <c r="AV111" s="486">
        <v>2089</v>
      </c>
      <c r="AW111" s="486">
        <v>2093</v>
      </c>
      <c r="AX111" s="486">
        <v>2142</v>
      </c>
      <c r="AY111" s="486">
        <v>2182</v>
      </c>
      <c r="AZ111" s="486">
        <v>2202</v>
      </c>
      <c r="BA111" s="486">
        <v>2226</v>
      </c>
      <c r="BB111" s="486">
        <v>2255</v>
      </c>
      <c r="BC111" s="486">
        <v>2264</v>
      </c>
      <c r="BD111" s="486">
        <v>2296</v>
      </c>
      <c r="BE111" s="486">
        <v>2384</v>
      </c>
      <c r="BF111" s="486">
        <v>2451</v>
      </c>
      <c r="BG111" s="486">
        <v>2480</v>
      </c>
      <c r="BH111" s="486">
        <v>2509</v>
      </c>
      <c r="BI111" s="486">
        <v>2529</v>
      </c>
      <c r="BJ111" s="486">
        <v>2534</v>
      </c>
      <c r="BK111" s="486">
        <v>2561</v>
      </c>
      <c r="BL111" s="486">
        <v>2574</v>
      </c>
      <c r="BM111" s="486">
        <v>2573</v>
      </c>
      <c r="BN111" s="486">
        <v>2510</v>
      </c>
      <c r="BO111" s="486">
        <v>2449</v>
      </c>
      <c r="BP111" s="486">
        <v>2479</v>
      </c>
      <c r="BQ111" s="486">
        <v>2539</v>
      </c>
      <c r="BR111" s="486">
        <v>2548</v>
      </c>
      <c r="BS111" s="486">
        <v>2575</v>
      </c>
      <c r="BT111" s="486">
        <v>2628</v>
      </c>
      <c r="BU111" s="486">
        <v>2620</v>
      </c>
      <c r="BV111" s="486">
        <v>2594</v>
      </c>
      <c r="BW111" s="486">
        <v>2581</v>
      </c>
      <c r="BX111" s="486">
        <v>2618</v>
      </c>
      <c r="BY111" s="486">
        <v>2638</v>
      </c>
      <c r="BZ111" s="486">
        <v>2669</v>
      </c>
      <c r="CA111" s="486">
        <v>2699</v>
      </c>
      <c r="CB111" s="486">
        <v>2724</v>
      </c>
      <c r="CC111" s="486">
        <v>2709</v>
      </c>
      <c r="CD111" s="486">
        <v>2703</v>
      </c>
      <c r="CE111" s="486">
        <v>2715</v>
      </c>
      <c r="CF111" s="486">
        <v>2737</v>
      </c>
      <c r="CG111" s="486">
        <v>2748</v>
      </c>
      <c r="CH111" s="486">
        <v>2734</v>
      </c>
      <c r="CI111" s="486">
        <v>2749</v>
      </c>
      <c r="CJ111" s="486">
        <v>2711</v>
      </c>
      <c r="CK111" s="486">
        <v>2741</v>
      </c>
      <c r="CL111" s="486">
        <v>2791</v>
      </c>
      <c r="CM111" s="486">
        <v>2789</v>
      </c>
      <c r="CN111" s="486">
        <v>2740</v>
      </c>
      <c r="CO111" s="486">
        <v>2779</v>
      </c>
      <c r="CP111" s="486">
        <v>2802</v>
      </c>
      <c r="CQ111" s="486">
        <v>2838</v>
      </c>
      <c r="CR111" s="486">
        <v>2854</v>
      </c>
      <c r="CS111" s="486">
        <v>2879</v>
      </c>
      <c r="CT111" s="486">
        <v>2895</v>
      </c>
      <c r="CU111" s="486">
        <v>2921</v>
      </c>
      <c r="CV111" s="486">
        <v>2893</v>
      </c>
      <c r="CW111" s="486">
        <v>2895</v>
      </c>
      <c r="CX111" s="486">
        <v>2931</v>
      </c>
      <c r="CY111" s="486">
        <v>2932</v>
      </c>
      <c r="CZ111" s="486">
        <v>2944</v>
      </c>
      <c r="DA111" s="486">
        <v>2973</v>
      </c>
      <c r="DB111" s="486">
        <v>2982</v>
      </c>
      <c r="DC111" s="486">
        <v>2991</v>
      </c>
      <c r="DD111" s="486">
        <v>3022</v>
      </c>
      <c r="DE111" s="728">
        <v>3032</v>
      </c>
      <c r="DF111" s="483"/>
    </row>
    <row r="112" spans="2:110" x14ac:dyDescent="0.35">
      <c r="B112" s="484" t="s">
        <v>526</v>
      </c>
      <c r="C112" s="485" t="s">
        <v>527</v>
      </c>
      <c r="D112" s="486"/>
      <c r="E112" s="486"/>
      <c r="F112" s="486"/>
      <c r="G112" s="486"/>
      <c r="H112" s="486"/>
      <c r="I112" s="486"/>
      <c r="J112" s="486"/>
      <c r="K112" s="486"/>
      <c r="L112" s="486"/>
      <c r="M112" s="486"/>
      <c r="N112" s="486"/>
      <c r="O112" s="486"/>
      <c r="P112" s="486"/>
      <c r="Q112" s="486"/>
      <c r="R112" s="486"/>
      <c r="S112" s="486"/>
      <c r="T112" s="486"/>
      <c r="U112" s="486"/>
      <c r="V112" s="486"/>
      <c r="W112" s="486"/>
      <c r="X112" s="486"/>
      <c r="Y112" s="486"/>
      <c r="Z112" s="486"/>
      <c r="AA112" s="486"/>
      <c r="AB112" s="486"/>
      <c r="AC112" s="486"/>
      <c r="AD112" s="486"/>
      <c r="AE112" s="486"/>
      <c r="AF112" s="486"/>
      <c r="AG112" s="486"/>
      <c r="AH112" s="486"/>
      <c r="AI112" s="486">
        <v>1038</v>
      </c>
      <c r="AJ112" s="486">
        <v>1093</v>
      </c>
      <c r="AK112" s="486">
        <v>1105</v>
      </c>
      <c r="AL112" s="486">
        <v>1192</v>
      </c>
      <c r="AM112" s="486">
        <v>1179</v>
      </c>
      <c r="AN112" s="486">
        <v>1180</v>
      </c>
      <c r="AO112" s="486">
        <v>1182</v>
      </c>
      <c r="AP112" s="486">
        <v>1191</v>
      </c>
      <c r="AQ112" s="486">
        <v>1201</v>
      </c>
      <c r="AR112" s="486">
        <v>1214</v>
      </c>
      <c r="AS112" s="486">
        <v>1215</v>
      </c>
      <c r="AT112" s="486">
        <v>1227</v>
      </c>
      <c r="AU112" s="486">
        <v>1326</v>
      </c>
      <c r="AV112" s="486">
        <v>1387</v>
      </c>
      <c r="AW112" s="486">
        <v>1344</v>
      </c>
      <c r="AX112" s="486">
        <v>1375</v>
      </c>
      <c r="AY112" s="486">
        <v>1446</v>
      </c>
      <c r="AZ112" s="486">
        <v>1462</v>
      </c>
      <c r="BA112" s="486">
        <v>1496</v>
      </c>
      <c r="BB112" s="486">
        <v>1516</v>
      </c>
      <c r="BC112" s="486">
        <v>1516</v>
      </c>
      <c r="BD112" s="486">
        <v>1510</v>
      </c>
      <c r="BE112" s="486">
        <v>1508</v>
      </c>
      <c r="BF112" s="486">
        <v>1563</v>
      </c>
      <c r="BG112" s="486">
        <v>1684</v>
      </c>
      <c r="BH112" s="486">
        <v>1591</v>
      </c>
      <c r="BI112" s="486">
        <v>1597</v>
      </c>
      <c r="BJ112" s="486">
        <v>1528</v>
      </c>
      <c r="BK112" s="486">
        <v>1563</v>
      </c>
      <c r="BL112" s="486">
        <v>1594</v>
      </c>
      <c r="BM112" s="486">
        <v>1627</v>
      </c>
      <c r="BN112" s="486">
        <v>1647</v>
      </c>
      <c r="BO112" s="486">
        <v>1724</v>
      </c>
      <c r="BP112" s="486">
        <v>1786</v>
      </c>
      <c r="BQ112" s="486">
        <v>1878</v>
      </c>
      <c r="BR112" s="486">
        <v>1959</v>
      </c>
      <c r="BS112" s="486">
        <v>2082</v>
      </c>
      <c r="BT112" s="486">
        <v>2002</v>
      </c>
      <c r="BU112" s="486">
        <v>2025</v>
      </c>
      <c r="BV112" s="486">
        <v>2059</v>
      </c>
      <c r="BW112" s="486">
        <v>2091</v>
      </c>
      <c r="BX112" s="486">
        <v>2130</v>
      </c>
      <c r="BY112" s="486">
        <v>2148</v>
      </c>
      <c r="BZ112" s="486">
        <v>2193</v>
      </c>
      <c r="CA112" s="486">
        <v>2128</v>
      </c>
      <c r="CB112" s="486">
        <v>2191</v>
      </c>
      <c r="CC112" s="486">
        <v>2242</v>
      </c>
      <c r="CD112" s="486">
        <v>2384</v>
      </c>
      <c r="CE112" s="486">
        <v>2411</v>
      </c>
      <c r="CF112" s="486">
        <v>2451</v>
      </c>
      <c r="CG112" s="486">
        <v>2423</v>
      </c>
      <c r="CH112" s="486">
        <v>2466</v>
      </c>
      <c r="CI112" s="486">
        <v>2501</v>
      </c>
      <c r="CJ112" s="486">
        <v>2533</v>
      </c>
      <c r="CK112" s="486">
        <v>2500</v>
      </c>
      <c r="CL112" s="486">
        <v>2502</v>
      </c>
      <c r="CM112" s="486">
        <v>2523</v>
      </c>
      <c r="CN112" s="486">
        <v>2520</v>
      </c>
      <c r="CO112" s="486">
        <v>2537</v>
      </c>
      <c r="CP112" s="486">
        <v>2604</v>
      </c>
      <c r="CQ112" s="486">
        <v>2679</v>
      </c>
      <c r="CR112" s="486">
        <v>2727</v>
      </c>
      <c r="CS112" s="486">
        <v>2604</v>
      </c>
      <c r="CT112" s="486">
        <v>2627</v>
      </c>
      <c r="CU112" s="486">
        <v>2650</v>
      </c>
      <c r="CV112" s="486">
        <v>2698</v>
      </c>
      <c r="CW112" s="486">
        <v>2711</v>
      </c>
      <c r="CX112" s="486">
        <v>2781</v>
      </c>
      <c r="CY112" s="486">
        <v>2794</v>
      </c>
      <c r="CZ112" s="486">
        <v>2858</v>
      </c>
      <c r="DA112" s="486">
        <v>3007</v>
      </c>
      <c r="DB112" s="486">
        <v>3157</v>
      </c>
      <c r="DC112" s="486">
        <v>3414</v>
      </c>
      <c r="DD112" s="486">
        <v>3490</v>
      </c>
      <c r="DE112" s="728">
        <v>3478</v>
      </c>
      <c r="DF112" s="483"/>
    </row>
    <row r="113" spans="2:110" x14ac:dyDescent="0.35">
      <c r="B113" s="484" t="s">
        <v>528</v>
      </c>
      <c r="C113" s="485" t="s">
        <v>529</v>
      </c>
      <c r="D113" s="486"/>
      <c r="E113" s="486"/>
      <c r="F113" s="486"/>
      <c r="G113" s="486"/>
      <c r="H113" s="486"/>
      <c r="I113" s="486"/>
      <c r="J113" s="486"/>
      <c r="K113" s="486"/>
      <c r="L113" s="486"/>
      <c r="M113" s="486"/>
      <c r="N113" s="486"/>
      <c r="O113" s="486"/>
      <c r="P113" s="486"/>
      <c r="Q113" s="486"/>
      <c r="R113" s="486"/>
      <c r="S113" s="486"/>
      <c r="T113" s="486"/>
      <c r="U113" s="486"/>
      <c r="V113" s="486"/>
      <c r="W113" s="486"/>
      <c r="X113" s="486"/>
      <c r="Y113" s="486"/>
      <c r="Z113" s="486"/>
      <c r="AA113" s="486"/>
      <c r="AB113" s="486"/>
      <c r="AC113" s="486"/>
      <c r="AD113" s="486"/>
      <c r="AE113" s="486"/>
      <c r="AF113" s="486"/>
      <c r="AG113" s="486"/>
      <c r="AH113" s="486"/>
      <c r="AI113" s="486"/>
      <c r="AJ113" s="486"/>
      <c r="AK113" s="486"/>
      <c r="AL113" s="486"/>
      <c r="AM113" s="486"/>
      <c r="AN113" s="486"/>
      <c r="AO113" s="483"/>
      <c r="AP113" s="483"/>
      <c r="AQ113" s="483"/>
      <c r="AR113" s="483"/>
      <c r="AS113" s="486">
        <v>1039</v>
      </c>
      <c r="AT113" s="486">
        <v>1054</v>
      </c>
      <c r="AU113" s="486">
        <v>1085</v>
      </c>
      <c r="AV113" s="486">
        <v>1125</v>
      </c>
      <c r="AW113" s="486">
        <v>1155</v>
      </c>
      <c r="AX113" s="486">
        <v>1201</v>
      </c>
      <c r="AY113" s="486">
        <v>1210</v>
      </c>
      <c r="AZ113" s="486">
        <v>1265</v>
      </c>
      <c r="BA113" s="486">
        <v>1287</v>
      </c>
      <c r="BB113" s="486">
        <v>1306</v>
      </c>
      <c r="BC113" s="486">
        <v>1316</v>
      </c>
      <c r="BD113" s="486">
        <v>1346</v>
      </c>
      <c r="BE113" s="486">
        <v>1379</v>
      </c>
      <c r="BF113" s="486">
        <v>1434</v>
      </c>
      <c r="BG113" s="486">
        <v>1459</v>
      </c>
      <c r="BH113" s="486">
        <v>1510</v>
      </c>
      <c r="BI113" s="486">
        <v>1522</v>
      </c>
      <c r="BJ113" s="486">
        <v>1550</v>
      </c>
      <c r="BK113" s="486">
        <v>1603</v>
      </c>
      <c r="BL113" s="486">
        <v>1628</v>
      </c>
      <c r="BM113" s="486">
        <v>1662</v>
      </c>
      <c r="BN113" s="486">
        <v>1684</v>
      </c>
      <c r="BO113" s="486">
        <v>1717</v>
      </c>
      <c r="BP113" s="486">
        <v>1757</v>
      </c>
      <c r="BQ113" s="486">
        <v>1793</v>
      </c>
      <c r="BR113" s="486">
        <v>1830</v>
      </c>
      <c r="BS113" s="486">
        <v>1841</v>
      </c>
      <c r="BT113" s="486">
        <v>1853</v>
      </c>
      <c r="BU113" s="486">
        <v>1880</v>
      </c>
      <c r="BV113" s="486">
        <v>1869</v>
      </c>
      <c r="BW113" s="486">
        <v>1886</v>
      </c>
      <c r="BX113" s="486">
        <v>1892</v>
      </c>
      <c r="BY113" s="486">
        <v>1896</v>
      </c>
      <c r="BZ113" s="486">
        <v>1919</v>
      </c>
      <c r="CA113" s="486">
        <v>1939</v>
      </c>
      <c r="CB113" s="486">
        <v>1961</v>
      </c>
      <c r="CC113" s="486">
        <v>1984</v>
      </c>
      <c r="CD113" s="486">
        <v>2012</v>
      </c>
      <c r="CE113" s="486">
        <v>2040</v>
      </c>
      <c r="CF113" s="486">
        <v>2080</v>
      </c>
      <c r="CG113" s="486">
        <v>2137</v>
      </c>
      <c r="CH113" s="486">
        <v>2161</v>
      </c>
      <c r="CI113" s="486">
        <v>2190</v>
      </c>
      <c r="CJ113" s="486">
        <v>2221</v>
      </c>
      <c r="CK113" s="486">
        <v>2257</v>
      </c>
      <c r="CL113" s="486">
        <v>2255</v>
      </c>
      <c r="CM113" s="486">
        <v>2310</v>
      </c>
      <c r="CN113" s="486">
        <v>2364</v>
      </c>
      <c r="CO113" s="486">
        <v>2438</v>
      </c>
      <c r="CP113" s="486">
        <v>2472</v>
      </c>
      <c r="CQ113" s="486">
        <v>2489</v>
      </c>
      <c r="CR113" s="486">
        <v>2509</v>
      </c>
      <c r="CS113" s="486">
        <v>2545</v>
      </c>
      <c r="CT113" s="486">
        <v>2606</v>
      </c>
      <c r="CU113" s="486">
        <v>2640</v>
      </c>
      <c r="CV113" s="486">
        <v>2672</v>
      </c>
      <c r="CW113" s="486">
        <v>2674</v>
      </c>
      <c r="CX113" s="486">
        <v>2713</v>
      </c>
      <c r="CY113" s="486">
        <v>2732</v>
      </c>
      <c r="CZ113" s="486">
        <v>2777</v>
      </c>
      <c r="DA113" s="486">
        <v>2811</v>
      </c>
      <c r="DB113" s="486">
        <v>2797</v>
      </c>
      <c r="DC113" s="486">
        <v>2838</v>
      </c>
      <c r="DD113" s="486">
        <v>2833</v>
      </c>
      <c r="DE113" s="728">
        <v>2909</v>
      </c>
      <c r="DF113" s="483"/>
    </row>
    <row r="114" spans="2:110" x14ac:dyDescent="0.35">
      <c r="B114" s="484" t="s">
        <v>530</v>
      </c>
      <c r="C114" s="484" t="s">
        <v>531</v>
      </c>
      <c r="D114" s="486"/>
      <c r="E114" s="486"/>
      <c r="F114" s="486"/>
      <c r="G114" s="486"/>
      <c r="H114" s="486"/>
      <c r="I114" s="486"/>
      <c r="J114" s="486"/>
      <c r="K114" s="486"/>
      <c r="L114" s="486"/>
      <c r="M114" s="486"/>
      <c r="N114" s="486"/>
      <c r="O114" s="486"/>
      <c r="P114" s="486"/>
      <c r="Q114" s="486"/>
      <c r="R114" s="486"/>
      <c r="S114" s="486"/>
      <c r="T114" s="486"/>
      <c r="U114" s="486"/>
      <c r="V114" s="486"/>
      <c r="W114" s="486"/>
      <c r="X114" s="486"/>
      <c r="Y114" s="486"/>
      <c r="Z114" s="486"/>
      <c r="AA114" s="486"/>
      <c r="AB114" s="486"/>
      <c r="AC114" s="486"/>
      <c r="AD114" s="486"/>
      <c r="AE114" s="486"/>
      <c r="AF114" s="486"/>
      <c r="AG114" s="486"/>
      <c r="AH114" s="486"/>
      <c r="AI114" s="486"/>
      <c r="AJ114" s="486"/>
      <c r="AK114" s="486"/>
      <c r="AL114" s="486"/>
      <c r="AM114" s="486"/>
      <c r="AN114" s="486"/>
      <c r="AO114" s="483"/>
      <c r="AP114" s="483"/>
      <c r="AQ114" s="483"/>
      <c r="AR114" s="483"/>
      <c r="AS114" s="486"/>
      <c r="AT114" s="486"/>
      <c r="AU114" s="486"/>
      <c r="AV114" s="486"/>
      <c r="AZ114" s="486"/>
      <c r="BA114" s="486"/>
      <c r="BB114" s="486">
        <v>1023</v>
      </c>
      <c r="BC114" s="486">
        <v>1052</v>
      </c>
      <c r="BD114" s="486">
        <v>1107</v>
      </c>
      <c r="BE114" s="486">
        <v>1144</v>
      </c>
      <c r="BF114" s="486">
        <v>1211</v>
      </c>
      <c r="BG114" s="486">
        <v>1317</v>
      </c>
      <c r="BH114" s="486">
        <v>1342</v>
      </c>
      <c r="BI114" s="486">
        <v>1417</v>
      </c>
      <c r="BJ114" s="486">
        <v>1479</v>
      </c>
      <c r="BK114" s="486">
        <v>1562</v>
      </c>
      <c r="BL114" s="486">
        <v>1603</v>
      </c>
      <c r="BM114" s="486">
        <v>1666</v>
      </c>
      <c r="BN114" s="486">
        <v>1692</v>
      </c>
      <c r="BO114" s="486">
        <v>1727</v>
      </c>
      <c r="BP114" s="486">
        <v>1758</v>
      </c>
      <c r="BQ114" s="486">
        <v>1777</v>
      </c>
      <c r="BR114" s="486">
        <v>1818</v>
      </c>
      <c r="BS114" s="486">
        <v>1847</v>
      </c>
      <c r="BT114" s="486">
        <v>1674</v>
      </c>
      <c r="BU114" s="486">
        <v>1704</v>
      </c>
      <c r="BV114" s="486">
        <v>1789</v>
      </c>
      <c r="BW114" s="486">
        <v>1965</v>
      </c>
      <c r="BX114" s="486">
        <v>2066</v>
      </c>
      <c r="BY114" s="486">
        <v>2208</v>
      </c>
      <c r="BZ114" s="486">
        <v>2303</v>
      </c>
      <c r="CA114" s="486">
        <v>2404</v>
      </c>
      <c r="CB114" s="486">
        <v>2447</v>
      </c>
      <c r="CC114" s="486">
        <v>2523</v>
      </c>
      <c r="CD114" s="486">
        <v>2582</v>
      </c>
      <c r="CE114" s="486">
        <v>2631</v>
      </c>
      <c r="CF114" s="486">
        <v>2658</v>
      </c>
      <c r="CG114" s="486">
        <v>2743</v>
      </c>
      <c r="CH114" s="486">
        <v>2789</v>
      </c>
      <c r="CI114" s="486">
        <v>2873</v>
      </c>
      <c r="CJ114" s="486">
        <v>2982</v>
      </c>
      <c r="CK114" s="486">
        <v>3018</v>
      </c>
      <c r="CL114" s="486">
        <v>3090</v>
      </c>
      <c r="CM114" s="486">
        <v>3111</v>
      </c>
      <c r="CN114" s="486">
        <v>3185</v>
      </c>
      <c r="CO114" s="486">
        <v>3323</v>
      </c>
      <c r="CP114" s="486">
        <v>3078</v>
      </c>
      <c r="CQ114" s="486">
        <v>3105</v>
      </c>
      <c r="CR114" s="486">
        <v>3146</v>
      </c>
      <c r="CS114" s="486">
        <v>3168</v>
      </c>
      <c r="CT114" s="486">
        <v>3201</v>
      </c>
      <c r="CU114" s="486">
        <v>3206</v>
      </c>
      <c r="CV114" s="486">
        <v>3207</v>
      </c>
      <c r="CW114" s="486">
        <v>3208</v>
      </c>
      <c r="CX114" s="486">
        <v>3237</v>
      </c>
      <c r="CY114" s="486">
        <v>3237</v>
      </c>
      <c r="CZ114" s="486">
        <v>3238</v>
      </c>
      <c r="DA114" s="486">
        <v>3239</v>
      </c>
      <c r="DB114" s="486">
        <v>3239</v>
      </c>
      <c r="DC114" s="486">
        <v>3239</v>
      </c>
      <c r="DD114" s="486">
        <v>3239</v>
      </c>
      <c r="DE114" s="728">
        <v>3240</v>
      </c>
      <c r="DF114" s="483"/>
    </row>
    <row r="115" spans="2:110" x14ac:dyDescent="0.35">
      <c r="B115" s="484" t="s">
        <v>532</v>
      </c>
      <c r="C115" s="485" t="s">
        <v>533</v>
      </c>
      <c r="D115" s="486"/>
      <c r="E115" s="486"/>
      <c r="F115" s="486"/>
      <c r="G115" s="486"/>
      <c r="H115" s="486"/>
      <c r="I115" s="486"/>
      <c r="J115" s="486"/>
      <c r="K115" s="486"/>
      <c r="L115" s="486"/>
      <c r="M115" s="486"/>
      <c r="N115" s="486"/>
      <c r="O115" s="486"/>
      <c r="P115" s="486"/>
      <c r="Q115" s="486"/>
      <c r="R115" s="486"/>
      <c r="S115" s="486"/>
      <c r="T115" s="486"/>
      <c r="U115" s="486"/>
      <c r="V115" s="486"/>
      <c r="W115" s="486"/>
      <c r="X115" s="486"/>
      <c r="Y115" s="486"/>
      <c r="Z115" s="486"/>
      <c r="AA115" s="486"/>
      <c r="AB115" s="486"/>
      <c r="AC115" s="486"/>
      <c r="AD115" s="486"/>
      <c r="AE115" s="486"/>
      <c r="AF115" s="486"/>
      <c r="AG115" s="486"/>
      <c r="AH115" s="486"/>
      <c r="AI115" s="486"/>
      <c r="AJ115" s="486"/>
      <c r="AK115" s="486"/>
      <c r="AL115" s="486"/>
      <c r="AM115" s="486"/>
      <c r="AN115" s="486"/>
      <c r="AO115" s="483"/>
      <c r="AP115" s="483"/>
      <c r="AQ115" s="483"/>
      <c r="AR115" s="483"/>
      <c r="AS115" s="486"/>
      <c r="AT115" s="486"/>
      <c r="AU115" s="486">
        <v>6576</v>
      </c>
      <c r="AV115" s="486">
        <v>6686</v>
      </c>
      <c r="AW115" s="486">
        <v>6790</v>
      </c>
      <c r="AX115" s="486">
        <v>6858</v>
      </c>
      <c r="AY115" s="486">
        <v>6992</v>
      </c>
      <c r="AZ115" s="486">
        <v>7058</v>
      </c>
      <c r="BA115" s="486">
        <v>7225</v>
      </c>
      <c r="BB115" s="486">
        <v>6690</v>
      </c>
      <c r="BC115" s="486">
        <v>6558</v>
      </c>
      <c r="BD115" s="486">
        <v>6622</v>
      </c>
      <c r="BE115" s="486">
        <v>6069</v>
      </c>
      <c r="BF115" s="486">
        <v>6104</v>
      </c>
      <c r="BG115" s="486">
        <v>6084</v>
      </c>
      <c r="BH115" s="486">
        <v>6200</v>
      </c>
      <c r="BI115" s="486">
        <v>6246</v>
      </c>
      <c r="BJ115" s="486">
        <v>6249</v>
      </c>
      <c r="BK115" s="486">
        <v>6159</v>
      </c>
      <c r="BL115" s="486">
        <v>6247</v>
      </c>
      <c r="BM115" s="486">
        <v>6263</v>
      </c>
      <c r="BN115" s="486">
        <v>6172</v>
      </c>
      <c r="BO115" s="486">
        <v>5619</v>
      </c>
      <c r="BP115" s="486">
        <v>5642</v>
      </c>
      <c r="BQ115" s="486">
        <v>5598</v>
      </c>
      <c r="BR115" s="486">
        <v>5591</v>
      </c>
      <c r="BS115" s="486">
        <v>5608</v>
      </c>
      <c r="BT115" s="486">
        <v>5648</v>
      </c>
      <c r="BU115" s="486">
        <v>5673</v>
      </c>
      <c r="BV115" s="486">
        <v>5702</v>
      </c>
      <c r="BW115" s="486">
        <v>3610</v>
      </c>
      <c r="BX115" s="486">
        <v>3634</v>
      </c>
      <c r="BY115" s="486">
        <v>3648</v>
      </c>
      <c r="BZ115" s="486">
        <v>3544</v>
      </c>
      <c r="CA115" s="486">
        <v>3550</v>
      </c>
      <c r="CB115" s="486">
        <v>3566</v>
      </c>
      <c r="CC115" s="486">
        <v>3563</v>
      </c>
      <c r="CD115" s="486">
        <v>3574</v>
      </c>
      <c r="CE115" s="486">
        <v>3580</v>
      </c>
      <c r="CF115" s="486">
        <v>3589</v>
      </c>
      <c r="CG115" s="486">
        <v>3590</v>
      </c>
      <c r="CH115" s="486">
        <v>2509</v>
      </c>
      <c r="CI115" s="486">
        <v>2208</v>
      </c>
      <c r="CJ115" s="486">
        <v>2140</v>
      </c>
      <c r="CK115" s="486">
        <v>2132</v>
      </c>
      <c r="CL115" s="486">
        <v>2192</v>
      </c>
      <c r="CM115" s="486">
        <v>2242</v>
      </c>
      <c r="CN115" s="486">
        <v>2340</v>
      </c>
      <c r="CO115" s="486">
        <v>2429</v>
      </c>
      <c r="CP115" s="486">
        <v>2482</v>
      </c>
      <c r="CQ115" s="486">
        <v>2535</v>
      </c>
      <c r="CR115" s="486">
        <v>2593</v>
      </c>
      <c r="CS115" s="486">
        <v>2670</v>
      </c>
      <c r="CT115" s="486">
        <v>2578</v>
      </c>
      <c r="CU115" s="486">
        <v>2650</v>
      </c>
      <c r="CV115" s="486">
        <v>2702</v>
      </c>
      <c r="CW115" s="486">
        <v>2690</v>
      </c>
      <c r="CX115" s="486">
        <v>2643</v>
      </c>
      <c r="CY115" s="486">
        <v>2688</v>
      </c>
      <c r="CZ115" s="486">
        <v>2662</v>
      </c>
      <c r="DA115" s="486">
        <v>2668</v>
      </c>
      <c r="DB115" s="486">
        <v>2695</v>
      </c>
      <c r="DC115" s="486">
        <v>2903</v>
      </c>
      <c r="DD115" s="486">
        <v>2916</v>
      </c>
      <c r="DE115" s="728">
        <v>2905</v>
      </c>
      <c r="DF115" s="483"/>
    </row>
    <row r="116" spans="2:110" x14ac:dyDescent="0.35">
      <c r="B116" s="484" t="s">
        <v>534</v>
      </c>
      <c r="C116" s="484" t="s">
        <v>535</v>
      </c>
      <c r="D116" s="486"/>
      <c r="E116" s="486"/>
      <c r="F116" s="486"/>
      <c r="G116" s="486"/>
      <c r="H116" s="486"/>
      <c r="I116" s="486"/>
      <c r="J116" s="486"/>
      <c r="K116" s="486"/>
      <c r="L116" s="486"/>
      <c r="M116" s="486"/>
      <c r="N116" s="486"/>
      <c r="O116" s="486"/>
      <c r="P116" s="486"/>
      <c r="Q116" s="486"/>
      <c r="R116" s="486"/>
      <c r="S116" s="486"/>
      <c r="T116" s="486"/>
      <c r="U116" s="486"/>
      <c r="V116" s="486"/>
      <c r="W116" s="486"/>
      <c r="X116" s="486"/>
      <c r="Y116" s="486"/>
      <c r="Z116" s="486"/>
      <c r="AA116" s="486"/>
      <c r="AB116" s="486"/>
      <c r="AC116" s="486"/>
      <c r="AD116" s="486"/>
      <c r="AE116" s="486"/>
      <c r="AF116" s="486"/>
      <c r="AG116" s="486"/>
      <c r="AH116" s="486"/>
      <c r="AI116" s="486"/>
      <c r="AJ116" s="486"/>
      <c r="AK116" s="486"/>
      <c r="AL116" s="486"/>
      <c r="AM116" s="486"/>
      <c r="AN116" s="486"/>
      <c r="AO116" s="486"/>
      <c r="AP116" s="486"/>
      <c r="AQ116" s="486"/>
      <c r="AR116" s="486"/>
      <c r="AS116" s="486"/>
      <c r="AT116" s="486"/>
      <c r="AU116" s="486"/>
      <c r="AV116" s="486"/>
      <c r="AZ116" s="486"/>
      <c r="BA116" s="486"/>
      <c r="BB116" s="486"/>
      <c r="BC116" s="486"/>
      <c r="BD116" s="486"/>
      <c r="BE116" s="483"/>
      <c r="BF116" s="483"/>
      <c r="BG116" s="486"/>
      <c r="BH116" s="486"/>
      <c r="BI116" s="486"/>
      <c r="BJ116" s="486"/>
      <c r="BK116" s="486"/>
      <c r="BL116" s="486"/>
      <c r="BM116" s="486"/>
      <c r="BN116" s="486"/>
      <c r="BO116" s="486"/>
      <c r="BP116" s="486"/>
      <c r="BQ116" s="486"/>
      <c r="BR116" s="486"/>
      <c r="BS116" s="486">
        <v>1035</v>
      </c>
      <c r="BT116" s="486">
        <v>1070</v>
      </c>
      <c r="BU116" s="486">
        <v>1131</v>
      </c>
      <c r="BV116" s="486">
        <v>1221</v>
      </c>
      <c r="BW116" s="486">
        <v>1277</v>
      </c>
      <c r="BX116" s="486">
        <v>2093</v>
      </c>
      <c r="BY116" s="486">
        <v>2138</v>
      </c>
      <c r="BZ116" s="486">
        <v>2103</v>
      </c>
      <c r="CA116" s="486">
        <v>2228</v>
      </c>
      <c r="CB116" s="486">
        <v>2363</v>
      </c>
      <c r="CC116" s="486">
        <v>2350</v>
      </c>
      <c r="CD116" s="486">
        <v>2477</v>
      </c>
      <c r="CE116" s="486">
        <v>2592</v>
      </c>
      <c r="CF116" s="486">
        <v>2608</v>
      </c>
      <c r="CG116" s="486">
        <v>2651</v>
      </c>
      <c r="CH116" s="486">
        <v>2786</v>
      </c>
      <c r="CI116" s="486">
        <v>2901</v>
      </c>
      <c r="CJ116" s="486">
        <v>2944</v>
      </c>
      <c r="CK116" s="486">
        <v>2943</v>
      </c>
      <c r="CL116" s="486">
        <v>2963</v>
      </c>
      <c r="CM116" s="486">
        <v>2961</v>
      </c>
      <c r="CN116" s="486">
        <v>2977</v>
      </c>
      <c r="CO116" s="486">
        <v>2972</v>
      </c>
      <c r="CP116" s="486">
        <v>2924</v>
      </c>
      <c r="CQ116" s="486">
        <v>2886</v>
      </c>
      <c r="CR116" s="486">
        <v>3251</v>
      </c>
      <c r="CS116" s="486">
        <v>3206</v>
      </c>
      <c r="CT116" s="486">
        <v>3149</v>
      </c>
      <c r="CU116" s="486">
        <v>3066</v>
      </c>
      <c r="CV116" s="486">
        <v>3010</v>
      </c>
      <c r="CW116" s="486">
        <v>2970</v>
      </c>
      <c r="CX116" s="486">
        <v>2859</v>
      </c>
      <c r="CY116" s="486">
        <v>2792</v>
      </c>
      <c r="CZ116" s="486">
        <v>2761</v>
      </c>
      <c r="DA116" s="486">
        <v>2691</v>
      </c>
      <c r="DB116" s="486">
        <v>2627</v>
      </c>
      <c r="DC116" s="486">
        <v>2841</v>
      </c>
      <c r="DD116" s="486">
        <v>2765</v>
      </c>
      <c r="DE116" s="728">
        <v>2963</v>
      </c>
      <c r="DF116" s="483"/>
    </row>
    <row r="117" spans="2:110" x14ac:dyDescent="0.35">
      <c r="B117" s="484" t="s">
        <v>536</v>
      </c>
      <c r="C117" s="485" t="s">
        <v>537</v>
      </c>
      <c r="D117" s="486"/>
      <c r="E117" s="486"/>
      <c r="F117" s="486"/>
      <c r="G117" s="486"/>
      <c r="H117" s="486"/>
      <c r="I117" s="486"/>
      <c r="J117" s="486"/>
      <c r="K117" s="486"/>
      <c r="L117" s="486"/>
      <c r="M117" s="486"/>
      <c r="N117" s="486"/>
      <c r="O117" s="486"/>
      <c r="P117" s="486"/>
      <c r="Q117" s="486"/>
      <c r="R117" s="486"/>
      <c r="S117" s="486"/>
      <c r="T117" s="486"/>
      <c r="U117" s="486"/>
      <c r="V117" s="486"/>
      <c r="W117" s="486"/>
      <c r="X117" s="486"/>
      <c r="Y117" s="486"/>
      <c r="Z117" s="486"/>
      <c r="AA117" s="486"/>
      <c r="AB117" s="486"/>
      <c r="AC117" s="486"/>
      <c r="AD117" s="486"/>
      <c r="AE117" s="486"/>
      <c r="AF117" s="486"/>
      <c r="AG117" s="486"/>
      <c r="AH117" s="486"/>
      <c r="AI117" s="486"/>
      <c r="AJ117" s="486"/>
      <c r="AK117" s="486"/>
      <c r="AL117" s="486"/>
      <c r="AM117" s="486"/>
      <c r="AN117" s="486"/>
      <c r="AO117" s="486"/>
      <c r="AP117" s="486"/>
      <c r="AQ117" s="486"/>
      <c r="AR117" s="486"/>
      <c r="AS117" s="486"/>
      <c r="AT117" s="483"/>
      <c r="AU117" s="483"/>
      <c r="AV117" s="483"/>
      <c r="BE117" s="483"/>
      <c r="BF117" s="483"/>
      <c r="BG117" s="483"/>
      <c r="BH117" s="483"/>
      <c r="BM117" s="486"/>
      <c r="BN117" s="486"/>
      <c r="BO117" s="486"/>
      <c r="BP117" s="486"/>
      <c r="BQ117" s="486"/>
      <c r="BR117" s="486"/>
      <c r="BS117" s="486"/>
      <c r="BT117" s="486"/>
      <c r="BU117" s="486">
        <v>1080</v>
      </c>
      <c r="BV117" s="486">
        <v>1079</v>
      </c>
      <c r="BW117" s="486">
        <v>1077</v>
      </c>
      <c r="BX117" s="486">
        <v>1200</v>
      </c>
      <c r="BY117" s="486">
        <v>1202</v>
      </c>
      <c r="BZ117" s="486">
        <v>1322</v>
      </c>
      <c r="CA117" s="486">
        <v>1321</v>
      </c>
      <c r="CB117" s="486">
        <v>1368</v>
      </c>
      <c r="CC117" s="486">
        <v>1507</v>
      </c>
      <c r="CD117" s="486">
        <v>1555</v>
      </c>
      <c r="CE117" s="486">
        <v>1802</v>
      </c>
      <c r="CF117" s="486">
        <v>1796</v>
      </c>
      <c r="CG117" s="486">
        <v>1818</v>
      </c>
      <c r="CH117" s="486">
        <v>1894</v>
      </c>
      <c r="CI117" s="486">
        <v>1952</v>
      </c>
      <c r="CJ117" s="486">
        <v>2058</v>
      </c>
      <c r="CK117" s="486">
        <v>2167</v>
      </c>
      <c r="CL117" s="486">
        <v>2245</v>
      </c>
      <c r="CM117" s="486">
        <v>2295</v>
      </c>
      <c r="CN117" s="486">
        <v>2425</v>
      </c>
      <c r="CO117" s="486">
        <v>2455</v>
      </c>
      <c r="CP117" s="486">
        <v>2591</v>
      </c>
      <c r="CQ117" s="486">
        <v>2786</v>
      </c>
      <c r="CR117" s="486">
        <v>2984</v>
      </c>
      <c r="CS117" s="486">
        <v>2971</v>
      </c>
      <c r="CT117" s="486">
        <v>2964</v>
      </c>
      <c r="CU117" s="486">
        <v>3024</v>
      </c>
      <c r="CV117" s="486">
        <v>3178</v>
      </c>
      <c r="CW117" s="486">
        <v>3141</v>
      </c>
      <c r="CX117" s="486">
        <v>3198</v>
      </c>
      <c r="CY117" s="486">
        <v>3275</v>
      </c>
      <c r="CZ117" s="486">
        <v>3372</v>
      </c>
      <c r="DA117" s="486">
        <v>3335</v>
      </c>
      <c r="DB117" s="486">
        <v>3330</v>
      </c>
      <c r="DC117" s="486">
        <v>3528</v>
      </c>
      <c r="DD117" s="486">
        <v>3509</v>
      </c>
      <c r="DE117" s="728">
        <v>3498</v>
      </c>
      <c r="DF117" s="483"/>
    </row>
    <row r="118" spans="2:110" x14ac:dyDescent="0.35">
      <c r="B118" s="484" t="s">
        <v>538</v>
      </c>
      <c r="C118" s="485" t="s">
        <v>539</v>
      </c>
      <c r="D118" s="486">
        <v>91</v>
      </c>
      <c r="E118" s="486">
        <v>164</v>
      </c>
      <c r="F118" s="486">
        <v>652</v>
      </c>
      <c r="G118" s="486">
        <v>1235</v>
      </c>
      <c r="H118" s="486">
        <v>2435</v>
      </c>
      <c r="I118" s="486">
        <v>1126</v>
      </c>
      <c r="J118" s="486">
        <v>1119</v>
      </c>
      <c r="K118" s="486"/>
      <c r="L118" s="486">
        <v>1099</v>
      </c>
      <c r="M118" s="486">
        <v>1072</v>
      </c>
      <c r="N118" s="486">
        <v>1066</v>
      </c>
      <c r="O118" s="486">
        <v>828</v>
      </c>
      <c r="P118" s="486">
        <v>707</v>
      </c>
      <c r="Q118" s="486">
        <v>734</v>
      </c>
      <c r="R118" s="486">
        <v>646</v>
      </c>
      <c r="S118" s="486">
        <v>683</v>
      </c>
      <c r="T118" s="486"/>
      <c r="U118" s="486"/>
      <c r="V118" s="486"/>
      <c r="W118" s="486"/>
      <c r="X118" s="486"/>
      <c r="Y118" s="486"/>
      <c r="Z118" s="486"/>
      <c r="AA118" s="486"/>
      <c r="AB118" s="486"/>
      <c r="AC118" s="486"/>
      <c r="AD118" s="486"/>
      <c r="AE118" s="486"/>
      <c r="AF118" s="486"/>
      <c r="AG118" s="486"/>
      <c r="AH118" s="486"/>
      <c r="AI118" s="486"/>
      <c r="AJ118" s="486"/>
      <c r="AK118" s="486"/>
      <c r="AL118" s="486"/>
      <c r="AM118" s="486"/>
      <c r="AN118" s="486"/>
      <c r="AO118" s="483"/>
      <c r="AP118" s="483"/>
      <c r="AQ118" s="483"/>
      <c r="AR118" s="483"/>
      <c r="AS118" s="486"/>
      <c r="AT118" s="486">
        <v>1003</v>
      </c>
      <c r="AU118" s="486">
        <v>1007</v>
      </c>
      <c r="AV118" s="486">
        <v>1009</v>
      </c>
      <c r="AW118" s="487"/>
      <c r="AX118" s="486">
        <v>1049</v>
      </c>
      <c r="AY118" s="486">
        <v>1067</v>
      </c>
      <c r="AZ118" s="486">
        <v>1080</v>
      </c>
      <c r="BA118" s="486">
        <v>1095</v>
      </c>
      <c r="BB118" s="486">
        <v>1092</v>
      </c>
      <c r="BC118" s="486">
        <v>1117</v>
      </c>
      <c r="BD118" s="486">
        <v>1117</v>
      </c>
      <c r="BE118" s="486">
        <v>1115</v>
      </c>
      <c r="BF118" s="486">
        <v>1111</v>
      </c>
      <c r="BG118" s="486"/>
      <c r="BH118" s="486"/>
      <c r="BI118" s="486">
        <v>1006</v>
      </c>
      <c r="BJ118" s="486">
        <v>1015</v>
      </c>
      <c r="BK118" s="486">
        <v>1025</v>
      </c>
      <c r="BL118" s="486">
        <v>1054</v>
      </c>
      <c r="BM118" s="486">
        <v>1093</v>
      </c>
      <c r="BN118" s="486">
        <v>1127</v>
      </c>
      <c r="BO118" s="486">
        <v>1137</v>
      </c>
      <c r="BP118" s="486">
        <v>1147</v>
      </c>
      <c r="BQ118" s="486">
        <v>1153</v>
      </c>
      <c r="BR118" s="486">
        <v>1168</v>
      </c>
      <c r="BS118" s="486">
        <v>1201</v>
      </c>
      <c r="BT118" s="486">
        <v>1218</v>
      </c>
      <c r="BU118" s="486">
        <v>1226</v>
      </c>
      <c r="BV118" s="486">
        <v>1253</v>
      </c>
      <c r="BW118" s="486">
        <v>1264</v>
      </c>
      <c r="BX118" s="486">
        <v>1284</v>
      </c>
      <c r="BY118" s="486">
        <v>1273</v>
      </c>
      <c r="BZ118" s="486">
        <v>1280</v>
      </c>
      <c r="CA118" s="486">
        <v>1277</v>
      </c>
      <c r="CB118" s="486">
        <v>1277</v>
      </c>
      <c r="CC118" s="486">
        <v>1285</v>
      </c>
      <c r="CD118" s="486">
        <v>1278</v>
      </c>
      <c r="CE118" s="486">
        <v>1276</v>
      </c>
      <c r="CF118" s="486">
        <v>1097</v>
      </c>
      <c r="CG118" s="486">
        <v>970</v>
      </c>
      <c r="CH118" s="486">
        <v>938</v>
      </c>
      <c r="CI118" s="486">
        <v>936</v>
      </c>
      <c r="CJ118" s="486">
        <v>939</v>
      </c>
      <c r="CK118" s="486">
        <v>945</v>
      </c>
      <c r="CL118" s="486">
        <v>951</v>
      </c>
      <c r="CM118" s="486">
        <v>893</v>
      </c>
      <c r="CN118" s="486">
        <v>863</v>
      </c>
      <c r="CO118" s="486">
        <v>864</v>
      </c>
      <c r="CP118" s="486">
        <v>836</v>
      </c>
      <c r="CQ118" s="486">
        <v>832</v>
      </c>
      <c r="CR118" s="486">
        <v>827</v>
      </c>
      <c r="CS118" s="486">
        <v>826</v>
      </c>
      <c r="CT118" s="486">
        <v>831</v>
      </c>
      <c r="CU118" s="486">
        <v>755</v>
      </c>
      <c r="CV118" s="486">
        <v>756</v>
      </c>
      <c r="CW118" s="486">
        <v>758</v>
      </c>
      <c r="CX118" s="486">
        <v>760</v>
      </c>
      <c r="CY118" s="486">
        <v>760</v>
      </c>
      <c r="CZ118" s="486">
        <v>758</v>
      </c>
      <c r="DA118" s="486">
        <v>761</v>
      </c>
      <c r="DB118" s="486">
        <v>757</v>
      </c>
      <c r="DC118" s="486">
        <v>755</v>
      </c>
      <c r="DD118" s="486">
        <v>754</v>
      </c>
      <c r="DE118" s="728">
        <v>375</v>
      </c>
      <c r="DF118" s="483"/>
    </row>
    <row r="119" spans="2:110" x14ac:dyDescent="0.35">
      <c r="B119" s="484" t="s">
        <v>540</v>
      </c>
      <c r="C119" s="485" t="s">
        <v>541</v>
      </c>
      <c r="D119" s="486"/>
      <c r="E119" s="486"/>
      <c r="F119" s="486"/>
      <c r="G119" s="486"/>
      <c r="H119" s="486"/>
      <c r="I119" s="486"/>
      <c r="J119" s="486">
        <v>1032</v>
      </c>
      <c r="K119" s="486"/>
      <c r="L119" s="486">
        <v>1034</v>
      </c>
      <c r="M119" s="486">
        <v>732</v>
      </c>
      <c r="N119" s="486">
        <v>762</v>
      </c>
      <c r="O119" s="486">
        <v>802</v>
      </c>
      <c r="P119" s="486">
        <v>832</v>
      </c>
      <c r="Q119" s="486">
        <v>1100</v>
      </c>
      <c r="R119" s="486">
        <v>1364</v>
      </c>
      <c r="S119" s="486">
        <v>1389</v>
      </c>
      <c r="T119" s="486">
        <v>1393</v>
      </c>
      <c r="U119" s="486">
        <v>1396</v>
      </c>
      <c r="V119" s="486">
        <v>1406</v>
      </c>
      <c r="W119" s="486">
        <v>1353</v>
      </c>
      <c r="X119" s="486">
        <v>1358</v>
      </c>
      <c r="Y119" s="486">
        <v>1372</v>
      </c>
      <c r="Z119" s="486">
        <v>1384</v>
      </c>
      <c r="AA119" s="486">
        <v>1394</v>
      </c>
      <c r="AB119" s="486">
        <v>1423</v>
      </c>
      <c r="AC119" s="486">
        <v>1491</v>
      </c>
      <c r="AD119" s="486">
        <v>1556</v>
      </c>
      <c r="AE119" s="486">
        <v>1595</v>
      </c>
      <c r="AF119" s="486">
        <v>1614</v>
      </c>
      <c r="AG119" s="486">
        <v>1634</v>
      </c>
      <c r="AH119" s="486">
        <v>1645</v>
      </c>
      <c r="AI119" s="486">
        <v>1657</v>
      </c>
      <c r="AJ119" s="486">
        <v>1667</v>
      </c>
      <c r="AK119" s="486">
        <v>1671</v>
      </c>
      <c r="AL119" s="486">
        <v>1690</v>
      </c>
      <c r="AM119" s="486">
        <v>1691</v>
      </c>
      <c r="AN119" s="486">
        <v>1694</v>
      </c>
      <c r="AO119" s="486">
        <v>1709</v>
      </c>
      <c r="AP119" s="486">
        <v>1717</v>
      </c>
      <c r="AQ119" s="486">
        <v>1728</v>
      </c>
      <c r="AR119" s="486">
        <v>1736</v>
      </c>
      <c r="AS119" s="486">
        <v>1740</v>
      </c>
      <c r="AT119" s="486">
        <v>1739</v>
      </c>
      <c r="AU119" s="486">
        <v>1746</v>
      </c>
      <c r="AV119" s="486">
        <v>1749</v>
      </c>
      <c r="AW119" s="486">
        <v>1753</v>
      </c>
      <c r="AX119" s="486">
        <v>1762</v>
      </c>
      <c r="AY119" s="486">
        <v>1765</v>
      </c>
      <c r="AZ119" s="486">
        <v>1771</v>
      </c>
      <c r="BA119" s="486">
        <v>1756</v>
      </c>
      <c r="BB119" s="486">
        <v>1730</v>
      </c>
      <c r="BC119" s="486">
        <v>1650</v>
      </c>
      <c r="BD119" s="486">
        <v>1660</v>
      </c>
      <c r="BE119" s="486">
        <v>1671</v>
      </c>
      <c r="BF119" s="486">
        <v>1681</v>
      </c>
      <c r="BG119" s="486">
        <v>1700</v>
      </c>
      <c r="BH119" s="486">
        <v>1708</v>
      </c>
      <c r="BI119" s="486">
        <v>1714</v>
      </c>
      <c r="BJ119" s="486">
        <v>1696</v>
      </c>
      <c r="BK119" s="486">
        <v>1698</v>
      </c>
      <c r="BL119" s="486">
        <v>1703</v>
      </c>
      <c r="BM119" s="486">
        <v>1711</v>
      </c>
      <c r="BN119" s="486">
        <v>1716</v>
      </c>
      <c r="BO119" s="486">
        <v>1719</v>
      </c>
      <c r="BP119" s="486">
        <v>1720</v>
      </c>
      <c r="BQ119" s="486">
        <v>1722</v>
      </c>
      <c r="BR119" s="486">
        <v>1731</v>
      </c>
      <c r="BS119" s="486">
        <v>1734</v>
      </c>
      <c r="BT119" s="486">
        <v>1735</v>
      </c>
      <c r="BU119" s="486">
        <v>1742</v>
      </c>
      <c r="BV119" s="486">
        <v>1748</v>
      </c>
      <c r="BW119" s="486">
        <v>1751</v>
      </c>
      <c r="BX119" s="486">
        <v>1753</v>
      </c>
      <c r="BY119" s="486">
        <v>1756</v>
      </c>
      <c r="BZ119" s="486">
        <v>1756</v>
      </c>
      <c r="CA119" s="486">
        <v>1758</v>
      </c>
      <c r="CB119" s="486">
        <v>1762</v>
      </c>
      <c r="CC119" s="486">
        <v>1764</v>
      </c>
      <c r="CD119" s="486">
        <v>1769</v>
      </c>
      <c r="CE119" s="486">
        <v>1769</v>
      </c>
      <c r="CF119" s="486">
        <v>1775</v>
      </c>
      <c r="CG119" s="486">
        <v>1778</v>
      </c>
      <c r="CH119" s="486">
        <v>1716</v>
      </c>
      <c r="CI119" s="486">
        <v>1724</v>
      </c>
      <c r="CJ119" s="486">
        <v>1727</v>
      </c>
      <c r="CK119" s="486">
        <v>1732</v>
      </c>
      <c r="CL119" s="486">
        <v>1729</v>
      </c>
      <c r="CM119" s="486">
        <v>1730</v>
      </c>
      <c r="CN119" s="486">
        <v>1734</v>
      </c>
      <c r="CO119" s="486">
        <v>1734</v>
      </c>
      <c r="CP119" s="486">
        <v>1774</v>
      </c>
      <c r="CQ119" s="486">
        <v>1724</v>
      </c>
      <c r="CR119" s="486">
        <v>1727</v>
      </c>
      <c r="CS119" s="486">
        <v>1728</v>
      </c>
      <c r="CT119" s="486">
        <v>1731</v>
      </c>
      <c r="CU119" s="486">
        <v>1734</v>
      </c>
      <c r="CV119" s="486">
        <v>1736</v>
      </c>
      <c r="CW119" s="486">
        <v>1738</v>
      </c>
      <c r="CX119" s="486">
        <v>1743</v>
      </c>
      <c r="CY119" s="486">
        <v>1753</v>
      </c>
      <c r="CZ119" s="486">
        <v>1759</v>
      </c>
      <c r="DA119" s="486">
        <v>1765</v>
      </c>
      <c r="DB119" s="486">
        <v>1768</v>
      </c>
      <c r="DC119" s="486">
        <v>1777</v>
      </c>
      <c r="DD119" s="486">
        <v>1772</v>
      </c>
      <c r="DE119" s="728">
        <v>1774</v>
      </c>
      <c r="DF119" s="483"/>
    </row>
    <row r="120" spans="2:110" x14ac:dyDescent="0.35">
      <c r="B120" s="484" t="s">
        <v>542</v>
      </c>
      <c r="C120" s="485" t="s">
        <v>543</v>
      </c>
      <c r="D120" s="486">
        <v>469</v>
      </c>
      <c r="E120" s="486">
        <v>985</v>
      </c>
      <c r="F120" s="486">
        <v>1409</v>
      </c>
      <c r="G120" s="486">
        <v>2062</v>
      </c>
      <c r="H120" s="486">
        <v>2798</v>
      </c>
      <c r="I120" s="486">
        <v>3220</v>
      </c>
      <c r="J120" s="486">
        <v>3360</v>
      </c>
      <c r="K120" s="486"/>
      <c r="L120" s="486">
        <v>3342</v>
      </c>
      <c r="M120" s="486">
        <v>3303</v>
      </c>
      <c r="N120" s="486">
        <v>3367</v>
      </c>
      <c r="O120" s="486">
        <v>3389</v>
      </c>
      <c r="P120" s="486">
        <v>3421</v>
      </c>
      <c r="Q120" s="486">
        <v>3461</v>
      </c>
      <c r="R120" s="486">
        <v>3547</v>
      </c>
      <c r="S120" s="486">
        <v>3408</v>
      </c>
      <c r="T120" s="486">
        <v>3444</v>
      </c>
      <c r="U120" s="486">
        <v>3491</v>
      </c>
      <c r="V120" s="486">
        <v>3371</v>
      </c>
      <c r="W120" s="486">
        <v>3403</v>
      </c>
      <c r="X120" s="486">
        <v>3482</v>
      </c>
      <c r="Y120" s="486">
        <v>3410</v>
      </c>
      <c r="Z120" s="486">
        <v>3447</v>
      </c>
      <c r="AA120" s="486">
        <v>3486</v>
      </c>
      <c r="AB120" s="486">
        <v>3508</v>
      </c>
      <c r="AC120" s="486">
        <v>3611</v>
      </c>
      <c r="AD120" s="486">
        <v>3580</v>
      </c>
      <c r="AE120" s="486">
        <v>3570</v>
      </c>
      <c r="AF120" s="486">
        <v>3491</v>
      </c>
      <c r="AG120" s="486">
        <v>3440</v>
      </c>
      <c r="AH120" s="486">
        <v>3408</v>
      </c>
      <c r="AI120" s="486">
        <v>3409</v>
      </c>
      <c r="AJ120" s="486">
        <v>3327</v>
      </c>
      <c r="AK120" s="486">
        <v>3319</v>
      </c>
      <c r="AL120" s="486">
        <v>3262</v>
      </c>
      <c r="AM120" s="486">
        <v>3242</v>
      </c>
      <c r="AN120" s="486">
        <v>3219</v>
      </c>
      <c r="AO120" s="486">
        <v>3190</v>
      </c>
      <c r="AP120" s="486">
        <v>3187</v>
      </c>
      <c r="AQ120" s="486">
        <v>3171</v>
      </c>
      <c r="AR120" s="486">
        <v>3110</v>
      </c>
      <c r="AS120" s="486">
        <v>3067</v>
      </c>
      <c r="AT120" s="486">
        <v>3066</v>
      </c>
      <c r="AU120" s="486">
        <v>3031</v>
      </c>
      <c r="AV120" s="486">
        <v>3023</v>
      </c>
      <c r="AW120" s="486">
        <v>2936</v>
      </c>
      <c r="AX120" s="486">
        <v>2934</v>
      </c>
      <c r="AY120" s="486">
        <v>2946</v>
      </c>
      <c r="AZ120" s="486">
        <v>2923</v>
      </c>
      <c r="BA120" s="486">
        <v>2920</v>
      </c>
      <c r="BB120" s="486">
        <v>2908</v>
      </c>
      <c r="BC120" s="486">
        <v>2918</v>
      </c>
      <c r="BD120" s="486">
        <v>2917</v>
      </c>
      <c r="BE120" s="486">
        <v>2919</v>
      </c>
      <c r="BF120" s="486">
        <v>2902</v>
      </c>
      <c r="BG120" s="486">
        <v>2900</v>
      </c>
      <c r="BH120" s="486">
        <v>2902</v>
      </c>
      <c r="BI120" s="486">
        <v>2900</v>
      </c>
      <c r="BJ120" s="486">
        <v>2902</v>
      </c>
      <c r="BK120" s="486">
        <v>2894</v>
      </c>
      <c r="BL120" s="486">
        <v>2825</v>
      </c>
      <c r="BM120" s="486">
        <v>2812</v>
      </c>
      <c r="BN120" s="486">
        <v>2807</v>
      </c>
      <c r="BO120" s="486">
        <v>2787</v>
      </c>
      <c r="BP120" s="486">
        <v>2746</v>
      </c>
      <c r="BQ120" s="486">
        <v>2710</v>
      </c>
      <c r="BR120" s="486">
        <v>2698</v>
      </c>
      <c r="BS120" s="486">
        <v>2689</v>
      </c>
      <c r="BT120" s="486">
        <v>2683</v>
      </c>
      <c r="BU120" s="486">
        <v>2621</v>
      </c>
      <c r="BV120" s="486">
        <v>2604</v>
      </c>
      <c r="BW120" s="486">
        <v>2592</v>
      </c>
      <c r="BX120" s="486">
        <v>2578</v>
      </c>
      <c r="BY120" s="486">
        <v>2554</v>
      </c>
      <c r="BZ120" s="486">
        <v>2502</v>
      </c>
      <c r="CA120" s="486">
        <v>2490</v>
      </c>
      <c r="CB120" s="486">
        <v>2476</v>
      </c>
      <c r="CC120" s="486">
        <v>2462</v>
      </c>
      <c r="CD120" s="486">
        <v>2445</v>
      </c>
      <c r="CE120" s="486">
        <v>2433</v>
      </c>
      <c r="CF120" s="486">
        <v>2411</v>
      </c>
      <c r="CG120" s="486">
        <v>2382</v>
      </c>
      <c r="CH120" s="486">
        <v>2371</v>
      </c>
      <c r="CI120" s="486">
        <v>2364</v>
      </c>
      <c r="CJ120" s="486">
        <v>2352</v>
      </c>
      <c r="CK120" s="486">
        <v>2334</v>
      </c>
      <c r="CL120" s="486">
        <v>2312</v>
      </c>
      <c r="CM120" s="486">
        <v>2296</v>
      </c>
      <c r="CN120" s="486">
        <v>2270</v>
      </c>
      <c r="CO120" s="486">
        <v>2244</v>
      </c>
      <c r="CP120" s="486">
        <v>2198</v>
      </c>
      <c r="CQ120" s="486">
        <v>2190</v>
      </c>
      <c r="CR120" s="486">
        <v>2182</v>
      </c>
      <c r="CS120" s="486">
        <v>2168</v>
      </c>
      <c r="CT120" s="486">
        <v>2141</v>
      </c>
      <c r="CU120" s="486">
        <v>2132</v>
      </c>
      <c r="CV120" s="486">
        <v>2123</v>
      </c>
      <c r="CW120" s="486">
        <v>2112</v>
      </c>
      <c r="CX120" s="486">
        <v>2093</v>
      </c>
      <c r="CY120" s="486">
        <v>2074</v>
      </c>
      <c r="CZ120" s="486">
        <v>2054</v>
      </c>
      <c r="DA120" s="486">
        <v>2042</v>
      </c>
      <c r="DB120" s="486">
        <v>2034</v>
      </c>
      <c r="DC120" s="486">
        <v>1995</v>
      </c>
      <c r="DD120" s="486">
        <v>1987</v>
      </c>
      <c r="DE120" s="728">
        <v>1965</v>
      </c>
      <c r="DF120" s="483"/>
    </row>
    <row r="121" spans="2:110" x14ac:dyDescent="0.35">
      <c r="B121" s="484" t="s">
        <v>544</v>
      </c>
      <c r="C121" s="485" t="s">
        <v>545</v>
      </c>
      <c r="D121" s="486"/>
      <c r="E121" s="486"/>
      <c r="F121" s="486"/>
      <c r="G121" s="486"/>
      <c r="H121" s="486"/>
      <c r="I121" s="486"/>
      <c r="J121" s="486"/>
      <c r="K121" s="486"/>
      <c r="L121" s="486"/>
      <c r="M121" s="486"/>
      <c r="N121" s="486"/>
      <c r="O121" s="486"/>
      <c r="P121" s="486"/>
      <c r="Q121" s="486"/>
      <c r="R121" s="486"/>
      <c r="S121" s="486"/>
      <c r="T121" s="486"/>
      <c r="U121" s="486"/>
      <c r="V121" s="486"/>
      <c r="W121" s="486"/>
      <c r="X121" s="486"/>
      <c r="Y121" s="486"/>
      <c r="Z121" s="486">
        <v>1049</v>
      </c>
      <c r="AA121" s="486">
        <v>1074</v>
      </c>
      <c r="AB121" s="486">
        <v>1084</v>
      </c>
      <c r="AC121" s="486">
        <v>1094</v>
      </c>
      <c r="AD121" s="486">
        <v>1096</v>
      </c>
      <c r="AE121" s="486">
        <v>1096</v>
      </c>
      <c r="AF121" s="486">
        <v>1106</v>
      </c>
      <c r="AG121" s="486">
        <v>1118</v>
      </c>
      <c r="AH121" s="486">
        <v>1121</v>
      </c>
      <c r="AI121" s="486">
        <v>1125</v>
      </c>
      <c r="AJ121" s="486">
        <v>1128</v>
      </c>
      <c r="AK121" s="486">
        <v>1130</v>
      </c>
      <c r="AL121" s="486">
        <v>1134</v>
      </c>
      <c r="AM121" s="486">
        <v>1137</v>
      </c>
      <c r="AN121" s="486">
        <v>1138</v>
      </c>
      <c r="AO121" s="486">
        <v>1146</v>
      </c>
      <c r="AP121" s="486">
        <v>1160</v>
      </c>
      <c r="AQ121" s="486">
        <v>1169</v>
      </c>
      <c r="AR121" s="486">
        <v>1181</v>
      </c>
      <c r="AS121" s="486">
        <v>1182</v>
      </c>
      <c r="AT121" s="486">
        <v>1182</v>
      </c>
      <c r="AU121" s="486">
        <v>1185</v>
      </c>
      <c r="AV121" s="486">
        <v>1190</v>
      </c>
      <c r="AW121" s="486">
        <v>1190</v>
      </c>
      <c r="AX121" s="486">
        <v>1191</v>
      </c>
      <c r="AY121" s="486">
        <v>1192</v>
      </c>
      <c r="AZ121" s="486">
        <v>1191</v>
      </c>
      <c r="BA121" s="486">
        <v>1199</v>
      </c>
      <c r="BB121" s="486">
        <v>1213</v>
      </c>
      <c r="BC121" s="486">
        <v>1207</v>
      </c>
      <c r="BD121" s="486">
        <v>1218</v>
      </c>
      <c r="BE121" s="486">
        <v>1228</v>
      </c>
      <c r="BF121" s="486">
        <v>1227</v>
      </c>
      <c r="BG121" s="486">
        <v>1234</v>
      </c>
      <c r="BH121" s="486">
        <v>1241</v>
      </c>
      <c r="BI121" s="486">
        <v>1241</v>
      </c>
      <c r="BJ121" s="486">
        <v>1242</v>
      </c>
      <c r="BK121" s="486">
        <v>1242</v>
      </c>
      <c r="BL121" s="486">
        <v>1243</v>
      </c>
      <c r="BM121" s="486">
        <v>1245</v>
      </c>
      <c r="BN121" s="486">
        <v>1258</v>
      </c>
      <c r="BO121" s="486">
        <v>1264</v>
      </c>
      <c r="BP121" s="486">
        <v>1271</v>
      </c>
      <c r="BQ121" s="486">
        <v>1302</v>
      </c>
      <c r="BR121" s="486">
        <v>1310</v>
      </c>
      <c r="BS121" s="486">
        <v>1315</v>
      </c>
      <c r="BT121" s="486">
        <v>1329</v>
      </c>
      <c r="BU121" s="486">
        <v>1335</v>
      </c>
      <c r="BV121" s="486">
        <v>1364</v>
      </c>
      <c r="BW121" s="486">
        <v>1375</v>
      </c>
      <c r="BX121" s="486">
        <v>1387</v>
      </c>
      <c r="BY121" s="486">
        <v>1400</v>
      </c>
      <c r="BZ121" s="486">
        <v>1410</v>
      </c>
      <c r="CA121" s="486">
        <v>1419</v>
      </c>
      <c r="CB121" s="486">
        <v>1457</v>
      </c>
      <c r="CC121" s="486">
        <v>1481</v>
      </c>
      <c r="CD121" s="486">
        <v>1492</v>
      </c>
      <c r="CE121" s="486">
        <v>1511</v>
      </c>
      <c r="CF121" s="486">
        <v>1537</v>
      </c>
      <c r="CG121" s="486">
        <v>1545</v>
      </c>
      <c r="CH121" s="486">
        <v>1626</v>
      </c>
      <c r="CI121" s="486">
        <v>1656</v>
      </c>
      <c r="CJ121" s="486">
        <v>1670</v>
      </c>
      <c r="CK121" s="486">
        <v>1689</v>
      </c>
      <c r="CL121" s="486">
        <v>1711</v>
      </c>
      <c r="CM121" s="486">
        <v>1755</v>
      </c>
      <c r="CN121" s="486">
        <v>1773</v>
      </c>
      <c r="CO121" s="486">
        <v>1789</v>
      </c>
      <c r="CP121" s="486">
        <v>1812</v>
      </c>
      <c r="CQ121" s="486">
        <v>1827</v>
      </c>
      <c r="CR121" s="486">
        <v>1857</v>
      </c>
      <c r="CS121" s="486">
        <v>1895</v>
      </c>
      <c r="CT121" s="486">
        <v>1970</v>
      </c>
      <c r="CU121" s="486">
        <v>1989</v>
      </c>
      <c r="CV121" s="486">
        <v>2022</v>
      </c>
      <c r="CW121" s="486">
        <v>2038</v>
      </c>
      <c r="CX121" s="486">
        <v>2083</v>
      </c>
      <c r="CY121" s="486">
        <v>2114</v>
      </c>
      <c r="CZ121" s="486">
        <v>2140</v>
      </c>
      <c r="DA121" s="486">
        <v>2163</v>
      </c>
      <c r="DB121" s="486">
        <v>2177</v>
      </c>
      <c r="DC121" s="486">
        <v>2196</v>
      </c>
      <c r="DD121" s="486">
        <v>2221</v>
      </c>
      <c r="DE121" s="728">
        <v>2250</v>
      </c>
      <c r="DF121" s="483"/>
    </row>
    <row r="122" spans="2:110" x14ac:dyDescent="0.35">
      <c r="B122" s="484" t="s">
        <v>546</v>
      </c>
      <c r="C122" s="485" t="s">
        <v>547</v>
      </c>
      <c r="D122" s="486"/>
      <c r="E122" s="486"/>
      <c r="F122" s="486"/>
      <c r="G122" s="486"/>
      <c r="H122" s="486"/>
      <c r="I122" s="486"/>
      <c r="J122" s="486"/>
      <c r="K122" s="486"/>
      <c r="L122" s="486"/>
      <c r="M122" s="486"/>
      <c r="N122" s="486"/>
      <c r="O122" s="486">
        <v>983</v>
      </c>
      <c r="P122" s="486">
        <v>1013</v>
      </c>
      <c r="Q122" s="486">
        <v>1013</v>
      </c>
      <c r="R122" s="486">
        <v>1083</v>
      </c>
      <c r="S122" s="486">
        <v>1083</v>
      </c>
      <c r="T122" s="486">
        <v>1083</v>
      </c>
      <c r="U122" s="486">
        <v>1133</v>
      </c>
      <c r="V122" s="486">
        <v>1133</v>
      </c>
      <c r="W122" s="486">
        <v>1199</v>
      </c>
      <c r="X122" s="486">
        <v>1199</v>
      </c>
      <c r="Y122" s="486">
        <v>1210</v>
      </c>
      <c r="Z122" s="486">
        <v>1210</v>
      </c>
      <c r="AA122" s="486">
        <v>1304</v>
      </c>
      <c r="AB122" s="486">
        <v>1304</v>
      </c>
      <c r="AC122" s="486">
        <v>1304</v>
      </c>
      <c r="AD122" s="486">
        <v>1352</v>
      </c>
      <c r="AE122" s="486">
        <v>1385</v>
      </c>
      <c r="AF122" s="486">
        <v>1487</v>
      </c>
      <c r="AG122" s="486">
        <v>1493</v>
      </c>
      <c r="AH122" s="486">
        <v>1496</v>
      </c>
      <c r="AI122" s="486">
        <v>1528</v>
      </c>
      <c r="AJ122" s="486">
        <v>1580</v>
      </c>
      <c r="AK122" s="486">
        <v>1580</v>
      </c>
      <c r="AL122" s="486">
        <v>1580</v>
      </c>
      <c r="AM122" s="486">
        <v>1580</v>
      </c>
      <c r="AN122" s="486">
        <v>1580</v>
      </c>
      <c r="AO122" s="486">
        <v>1642</v>
      </c>
      <c r="AP122" s="486">
        <v>1647</v>
      </c>
      <c r="AQ122" s="486">
        <v>1648</v>
      </c>
      <c r="AR122" s="486">
        <v>1644</v>
      </c>
      <c r="AS122" s="486">
        <v>1687</v>
      </c>
      <c r="AT122" s="486">
        <v>1718</v>
      </c>
      <c r="AU122" s="486">
        <v>1720</v>
      </c>
      <c r="AV122" s="486">
        <v>1726</v>
      </c>
      <c r="AW122" s="486">
        <v>1720</v>
      </c>
      <c r="AX122" s="486">
        <v>1734</v>
      </c>
      <c r="AY122" s="486">
        <v>1782</v>
      </c>
      <c r="AZ122" s="486">
        <v>1882</v>
      </c>
      <c r="BA122" s="486">
        <v>1830</v>
      </c>
      <c r="BB122" s="486">
        <v>1791</v>
      </c>
      <c r="BC122" s="486">
        <v>1777</v>
      </c>
      <c r="BD122" s="486">
        <v>1788</v>
      </c>
      <c r="BE122" s="486">
        <v>1788</v>
      </c>
      <c r="BF122" s="486">
        <v>1694</v>
      </c>
      <c r="BG122" s="486">
        <v>1694</v>
      </c>
      <c r="BH122" s="486">
        <v>1724</v>
      </c>
      <c r="BI122" s="486">
        <v>1707</v>
      </c>
      <c r="BJ122" s="486">
        <v>1757</v>
      </c>
      <c r="BK122" s="486">
        <v>1757</v>
      </c>
      <c r="BL122" s="486">
        <v>1758</v>
      </c>
      <c r="BM122" s="486">
        <v>1758</v>
      </c>
      <c r="BN122" s="486">
        <v>1765</v>
      </c>
      <c r="BO122" s="486">
        <v>1765</v>
      </c>
      <c r="BP122" s="486">
        <v>1775</v>
      </c>
      <c r="BQ122" s="486">
        <v>1776</v>
      </c>
      <c r="BR122" s="486">
        <v>1854</v>
      </c>
      <c r="BS122" s="486">
        <v>1864</v>
      </c>
      <c r="BT122" s="486">
        <v>1863</v>
      </c>
      <c r="BU122" s="486">
        <v>1863</v>
      </c>
      <c r="BV122" s="486">
        <v>1863</v>
      </c>
      <c r="BW122" s="486">
        <v>1863</v>
      </c>
      <c r="BX122" s="486">
        <v>1864</v>
      </c>
      <c r="BY122" s="486">
        <v>1870</v>
      </c>
      <c r="BZ122" s="486">
        <v>1870</v>
      </c>
      <c r="CA122" s="486">
        <v>1870</v>
      </c>
      <c r="CB122" s="486">
        <v>1871</v>
      </c>
      <c r="CC122" s="486">
        <v>1880</v>
      </c>
      <c r="CD122" s="486">
        <v>1933</v>
      </c>
      <c r="CE122" s="486">
        <v>1989</v>
      </c>
      <c r="CF122" s="486">
        <v>1994</v>
      </c>
      <c r="CG122" s="486">
        <v>1994</v>
      </c>
      <c r="CH122" s="486">
        <v>1994</v>
      </c>
      <c r="CI122" s="486">
        <v>1995</v>
      </c>
      <c r="CJ122" s="486">
        <v>2000</v>
      </c>
      <c r="CK122" s="486">
        <v>2019</v>
      </c>
      <c r="CL122" s="486">
        <v>2020</v>
      </c>
      <c r="CM122" s="486">
        <v>2022</v>
      </c>
      <c r="CN122" s="486">
        <v>2022</v>
      </c>
      <c r="CO122" s="486">
        <v>2120</v>
      </c>
      <c r="CP122" s="486">
        <v>2162</v>
      </c>
      <c r="CQ122" s="486">
        <v>2162</v>
      </c>
      <c r="CR122" s="486">
        <v>2162</v>
      </c>
      <c r="CS122" s="486">
        <v>1724</v>
      </c>
      <c r="CT122" s="486">
        <v>1727</v>
      </c>
      <c r="CU122" s="486">
        <v>1844</v>
      </c>
      <c r="CV122" s="486">
        <v>1927</v>
      </c>
      <c r="CW122" s="486">
        <v>1937</v>
      </c>
      <c r="CX122" s="486">
        <v>1629</v>
      </c>
      <c r="CY122" s="486">
        <v>1668</v>
      </c>
      <c r="CZ122" s="486">
        <v>1701</v>
      </c>
      <c r="DA122" s="486">
        <v>1724</v>
      </c>
      <c r="DB122" s="486">
        <v>1745</v>
      </c>
      <c r="DC122" s="486">
        <v>1751</v>
      </c>
      <c r="DD122" s="486">
        <v>1869</v>
      </c>
      <c r="DE122" s="728">
        <v>1995</v>
      </c>
      <c r="DF122" s="483"/>
    </row>
    <row r="123" spans="2:110" x14ac:dyDescent="0.35">
      <c r="B123" s="484" t="s">
        <v>548</v>
      </c>
      <c r="C123" s="485" t="s">
        <v>549</v>
      </c>
      <c r="D123" s="486"/>
      <c r="E123" s="486"/>
      <c r="F123" s="486"/>
      <c r="G123" s="486"/>
      <c r="H123" s="486"/>
      <c r="I123" s="486"/>
      <c r="J123" s="486"/>
      <c r="K123" s="486"/>
      <c r="L123" s="486"/>
      <c r="M123" s="486"/>
      <c r="N123" s="486"/>
      <c r="O123" s="486"/>
      <c r="P123" s="486"/>
      <c r="Q123" s="486"/>
      <c r="R123" s="486"/>
      <c r="S123" s="486"/>
      <c r="T123" s="486"/>
      <c r="U123" s="486"/>
      <c r="V123" s="486"/>
      <c r="W123" s="486"/>
      <c r="X123" s="486"/>
      <c r="Y123" s="486"/>
      <c r="Z123" s="486"/>
      <c r="AA123" s="486"/>
      <c r="AB123" s="486"/>
      <c r="AC123" s="486"/>
      <c r="AD123" s="486"/>
      <c r="AE123" s="486"/>
      <c r="AF123" s="486"/>
      <c r="AG123" s="486">
        <v>1045</v>
      </c>
      <c r="AH123" s="486">
        <v>1105</v>
      </c>
      <c r="AI123" s="486">
        <v>1235</v>
      </c>
      <c r="AJ123" s="486">
        <v>1285</v>
      </c>
      <c r="AK123" s="486">
        <v>1335</v>
      </c>
      <c r="AL123" s="486">
        <v>1735</v>
      </c>
      <c r="AM123" s="486">
        <v>1835</v>
      </c>
      <c r="AN123" s="486">
        <v>2185</v>
      </c>
      <c r="AO123" s="486">
        <v>2333</v>
      </c>
      <c r="AP123" s="486">
        <v>2389</v>
      </c>
      <c r="AQ123" s="486">
        <v>2475</v>
      </c>
      <c r="AR123" s="486">
        <v>2534</v>
      </c>
      <c r="AS123" s="486">
        <v>2605</v>
      </c>
      <c r="AT123" s="486">
        <v>2666</v>
      </c>
      <c r="AU123" s="486">
        <v>1918</v>
      </c>
      <c r="AV123" s="486">
        <v>1902</v>
      </c>
      <c r="AW123" s="486">
        <v>1945</v>
      </c>
      <c r="AX123" s="486">
        <v>1988</v>
      </c>
      <c r="AY123" s="486">
        <v>2070</v>
      </c>
      <c r="AZ123" s="486">
        <v>2123</v>
      </c>
      <c r="BA123" s="486">
        <v>2171</v>
      </c>
      <c r="BB123" s="486">
        <v>2206</v>
      </c>
      <c r="BC123" s="486">
        <v>2139</v>
      </c>
      <c r="BD123" s="486">
        <v>2142</v>
      </c>
      <c r="BE123" s="486">
        <v>2128</v>
      </c>
      <c r="BF123" s="486">
        <v>2133</v>
      </c>
      <c r="BG123" s="486">
        <v>2143</v>
      </c>
      <c r="BH123" s="486">
        <v>2149</v>
      </c>
      <c r="BI123" s="486">
        <v>2206</v>
      </c>
      <c r="BJ123" s="486">
        <v>2455</v>
      </c>
      <c r="BK123" s="486">
        <v>2806</v>
      </c>
      <c r="BL123" s="486">
        <v>3122</v>
      </c>
      <c r="BM123" s="486">
        <v>2598</v>
      </c>
      <c r="BN123" s="486">
        <v>2608</v>
      </c>
      <c r="BO123" s="486">
        <v>2701</v>
      </c>
      <c r="BP123" s="486">
        <v>3020</v>
      </c>
      <c r="BQ123" s="486">
        <v>2778</v>
      </c>
      <c r="BR123" s="486">
        <v>3301</v>
      </c>
      <c r="BS123" s="486">
        <v>3315</v>
      </c>
      <c r="BT123" s="486">
        <v>3318</v>
      </c>
      <c r="BU123" s="486">
        <v>3601</v>
      </c>
      <c r="BV123" s="486">
        <v>3690</v>
      </c>
      <c r="BW123" s="486">
        <v>3657</v>
      </c>
      <c r="BX123" s="486">
        <v>3228</v>
      </c>
      <c r="BY123" s="486">
        <v>3129</v>
      </c>
      <c r="BZ123" s="486">
        <v>3285</v>
      </c>
      <c r="CA123" s="486">
        <v>3444</v>
      </c>
      <c r="CB123" s="486">
        <v>3562</v>
      </c>
      <c r="CC123" s="486">
        <v>3509</v>
      </c>
      <c r="CD123" s="486">
        <v>3530</v>
      </c>
      <c r="CE123" s="486">
        <v>3242</v>
      </c>
      <c r="CF123" s="486">
        <v>3239</v>
      </c>
      <c r="CG123" s="486">
        <v>2986</v>
      </c>
      <c r="CH123" s="486">
        <v>2888</v>
      </c>
      <c r="CI123" s="486">
        <v>2863</v>
      </c>
      <c r="CJ123" s="486">
        <v>2884</v>
      </c>
      <c r="CK123" s="486">
        <v>2861</v>
      </c>
      <c r="CL123" s="486">
        <v>2779</v>
      </c>
      <c r="CM123" s="486">
        <v>2738</v>
      </c>
      <c r="CN123" s="486">
        <v>2675</v>
      </c>
      <c r="CO123" s="486">
        <v>2661</v>
      </c>
      <c r="CP123" s="486">
        <v>2629</v>
      </c>
      <c r="CQ123" s="486">
        <v>2586</v>
      </c>
      <c r="CR123" s="486">
        <v>2567</v>
      </c>
      <c r="CS123" s="486">
        <v>2526</v>
      </c>
      <c r="CT123" s="486">
        <v>2486</v>
      </c>
      <c r="CU123" s="486">
        <v>2485</v>
      </c>
      <c r="CV123" s="486">
        <v>2475</v>
      </c>
      <c r="CW123" s="486">
        <v>2439</v>
      </c>
      <c r="CX123" s="486">
        <v>2405</v>
      </c>
      <c r="CY123" s="486">
        <v>2387</v>
      </c>
      <c r="CZ123" s="486">
        <v>2375</v>
      </c>
      <c r="DA123" s="486">
        <v>2371</v>
      </c>
      <c r="DB123" s="486">
        <v>2364</v>
      </c>
      <c r="DC123" s="486">
        <v>2352</v>
      </c>
      <c r="DD123" s="486">
        <v>2324</v>
      </c>
      <c r="DE123" s="728">
        <v>2314</v>
      </c>
      <c r="DF123" s="483"/>
    </row>
    <row r="124" spans="2:110" x14ac:dyDescent="0.35">
      <c r="B124" s="484" t="s">
        <v>550</v>
      </c>
      <c r="C124" s="485" t="s">
        <v>551</v>
      </c>
      <c r="D124" s="486"/>
      <c r="E124" s="486"/>
      <c r="F124" s="486"/>
      <c r="G124" s="486"/>
      <c r="H124" s="486"/>
      <c r="I124" s="486"/>
      <c r="J124" s="486"/>
      <c r="K124" s="486"/>
      <c r="L124" s="486"/>
      <c r="M124" s="486"/>
      <c r="N124" s="486"/>
      <c r="O124" s="486"/>
      <c r="P124" s="486"/>
      <c r="Q124" s="486"/>
      <c r="R124" s="486"/>
      <c r="S124" s="486"/>
      <c r="T124" s="486"/>
      <c r="U124" s="486"/>
      <c r="V124" s="486"/>
      <c r="W124" s="486"/>
      <c r="X124" s="486"/>
      <c r="Y124" s="486"/>
      <c r="Z124" s="486"/>
      <c r="AA124" s="486"/>
      <c r="AB124" s="486"/>
      <c r="AC124" s="486"/>
      <c r="AD124" s="486"/>
      <c r="AE124" s="486"/>
      <c r="AF124" s="486"/>
      <c r="AG124" s="486"/>
      <c r="AH124" s="486"/>
      <c r="AI124" s="486"/>
      <c r="AJ124" s="486"/>
      <c r="AK124" s="486">
        <v>1003</v>
      </c>
      <c r="AL124" s="486">
        <v>1019</v>
      </c>
      <c r="AM124" s="486">
        <v>1034</v>
      </c>
      <c r="AN124" s="486">
        <v>1050</v>
      </c>
      <c r="AO124" s="486">
        <v>1051</v>
      </c>
      <c r="AP124" s="486">
        <v>1051</v>
      </c>
      <c r="AQ124" s="486">
        <v>1069</v>
      </c>
      <c r="AR124" s="486">
        <v>1096</v>
      </c>
      <c r="AS124" s="486">
        <v>1155</v>
      </c>
      <c r="AT124" s="486">
        <v>1181</v>
      </c>
      <c r="AU124" s="486">
        <v>1208</v>
      </c>
      <c r="AV124" s="486">
        <v>1227</v>
      </c>
      <c r="AW124" s="486">
        <v>1259</v>
      </c>
      <c r="AX124" s="486">
        <v>1285</v>
      </c>
      <c r="AY124" s="486">
        <v>1326</v>
      </c>
      <c r="AZ124" s="486">
        <v>1368</v>
      </c>
      <c r="BA124" s="486">
        <v>1418</v>
      </c>
      <c r="BB124" s="486">
        <v>1443</v>
      </c>
      <c r="BC124" s="486">
        <v>1477</v>
      </c>
      <c r="BD124" s="486">
        <v>1492</v>
      </c>
      <c r="BE124" s="486">
        <v>1531</v>
      </c>
      <c r="BF124" s="486">
        <v>1546</v>
      </c>
      <c r="BG124" s="486">
        <v>1561</v>
      </c>
      <c r="BH124" s="486">
        <v>1618</v>
      </c>
      <c r="BI124" s="486">
        <v>1626</v>
      </c>
      <c r="BJ124" s="486">
        <v>1643</v>
      </c>
      <c r="BK124" s="486">
        <v>1660</v>
      </c>
      <c r="BL124" s="486">
        <v>1677</v>
      </c>
      <c r="BM124" s="486">
        <v>1694</v>
      </c>
      <c r="BN124" s="486">
        <v>1727</v>
      </c>
      <c r="BO124" s="486">
        <v>1763</v>
      </c>
      <c r="BP124" s="486">
        <v>1774</v>
      </c>
      <c r="BQ124" s="486">
        <v>1774</v>
      </c>
      <c r="BR124" s="486">
        <v>1792</v>
      </c>
      <c r="BS124" s="486">
        <v>1848</v>
      </c>
      <c r="BT124" s="486">
        <v>1856</v>
      </c>
      <c r="BU124" s="486">
        <v>1866</v>
      </c>
      <c r="BV124" s="486">
        <v>1923</v>
      </c>
      <c r="BW124" s="486">
        <v>1945</v>
      </c>
      <c r="BX124" s="486">
        <v>1942</v>
      </c>
      <c r="BY124" s="486">
        <v>1937</v>
      </c>
      <c r="BZ124" s="486">
        <v>1953</v>
      </c>
      <c r="CA124" s="486">
        <v>1986</v>
      </c>
      <c r="CB124" s="486">
        <v>1985</v>
      </c>
      <c r="CC124" s="486">
        <v>1979</v>
      </c>
      <c r="CD124" s="486">
        <v>1976</v>
      </c>
      <c r="CE124" s="486">
        <v>1975</v>
      </c>
      <c r="CF124" s="486">
        <v>1929</v>
      </c>
      <c r="CG124" s="486">
        <v>1929</v>
      </c>
      <c r="CH124" s="486">
        <v>1919</v>
      </c>
      <c r="CI124" s="486">
        <v>1885</v>
      </c>
      <c r="CJ124" s="486">
        <v>1879</v>
      </c>
      <c r="CK124" s="486">
        <v>1879</v>
      </c>
      <c r="CL124" s="486">
        <v>1845</v>
      </c>
      <c r="CM124" s="486">
        <v>1845</v>
      </c>
      <c r="CN124" s="486">
        <v>1845</v>
      </c>
      <c r="CO124" s="486">
        <v>1783</v>
      </c>
      <c r="CP124" s="486">
        <v>1783</v>
      </c>
      <c r="CQ124" s="486">
        <v>1783</v>
      </c>
      <c r="CR124" s="486">
        <v>1699</v>
      </c>
      <c r="CS124" s="486">
        <v>1680</v>
      </c>
      <c r="CT124" s="486">
        <v>1647</v>
      </c>
      <c r="CU124" s="486">
        <v>1621</v>
      </c>
      <c r="CV124" s="486">
        <v>1609</v>
      </c>
      <c r="CW124" s="486">
        <v>1534</v>
      </c>
      <c r="CX124" s="486">
        <v>1534</v>
      </c>
      <c r="CY124" s="486">
        <v>1493</v>
      </c>
      <c r="CZ124" s="486">
        <v>1460</v>
      </c>
      <c r="DA124" s="486">
        <v>1460</v>
      </c>
      <c r="DB124" s="486">
        <v>1425</v>
      </c>
      <c r="DC124" s="486">
        <v>1407</v>
      </c>
      <c r="DD124" s="486">
        <v>1395</v>
      </c>
      <c r="DE124" s="728">
        <v>1371</v>
      </c>
      <c r="DF124" s="483"/>
    </row>
    <row r="125" spans="2:110" x14ac:dyDescent="0.35">
      <c r="B125" s="484" t="s">
        <v>552</v>
      </c>
      <c r="C125" s="485" t="s">
        <v>553</v>
      </c>
      <c r="D125" s="486"/>
      <c r="E125" s="486"/>
      <c r="F125" s="486"/>
      <c r="G125" s="486"/>
      <c r="H125" s="486"/>
      <c r="I125" s="486"/>
      <c r="J125" s="486"/>
      <c r="K125" s="486"/>
      <c r="L125" s="486"/>
      <c r="M125" s="486"/>
      <c r="N125" s="486"/>
      <c r="O125" s="486"/>
      <c r="P125" s="486"/>
      <c r="Q125" s="486"/>
      <c r="R125" s="486"/>
      <c r="S125" s="486"/>
      <c r="T125" s="486"/>
      <c r="U125" s="486"/>
      <c r="V125" s="486"/>
      <c r="W125" s="486"/>
      <c r="X125" s="486"/>
      <c r="Y125" s="486"/>
      <c r="Z125" s="486"/>
      <c r="AA125" s="486"/>
      <c r="AB125" s="486"/>
      <c r="AC125" s="486"/>
      <c r="AD125" s="486"/>
      <c r="AE125" s="486"/>
      <c r="AF125" s="486"/>
      <c r="AG125" s="486"/>
      <c r="AH125" s="486"/>
      <c r="AI125" s="486"/>
      <c r="AJ125" s="486">
        <v>1000</v>
      </c>
      <c r="AK125" s="486">
        <v>1024</v>
      </c>
      <c r="AL125" s="486">
        <v>1031</v>
      </c>
      <c r="AM125" s="486">
        <v>1026</v>
      </c>
      <c r="AN125" s="486"/>
      <c r="AO125" s="483"/>
      <c r="AP125" s="486">
        <v>1054</v>
      </c>
      <c r="AQ125" s="486">
        <v>1120</v>
      </c>
      <c r="AR125" s="486">
        <v>1215</v>
      </c>
      <c r="AS125" s="486">
        <v>1278</v>
      </c>
      <c r="AT125" s="486">
        <v>1305</v>
      </c>
      <c r="AU125" s="486">
        <v>1367</v>
      </c>
      <c r="AV125" s="486">
        <v>1426</v>
      </c>
      <c r="AW125" s="486">
        <v>1457</v>
      </c>
      <c r="AX125" s="486">
        <v>1495</v>
      </c>
      <c r="AY125" s="486">
        <v>1612</v>
      </c>
      <c r="AZ125" s="486">
        <v>1641</v>
      </c>
      <c r="BA125" s="486">
        <v>1750</v>
      </c>
      <c r="BB125" s="486">
        <v>1795</v>
      </c>
      <c r="BC125" s="486">
        <v>1868</v>
      </c>
      <c r="BD125" s="486">
        <v>1986</v>
      </c>
      <c r="BE125" s="486">
        <v>2087</v>
      </c>
      <c r="BF125" s="486">
        <v>2191</v>
      </c>
      <c r="BG125" s="486">
        <v>2336</v>
      </c>
      <c r="BH125" s="486">
        <v>2394</v>
      </c>
      <c r="BI125" s="486">
        <v>2464</v>
      </c>
      <c r="BJ125" s="486">
        <v>2523</v>
      </c>
      <c r="BK125" s="486">
        <v>2562</v>
      </c>
      <c r="BL125" s="486">
        <v>2671</v>
      </c>
      <c r="BM125" s="486">
        <v>2735</v>
      </c>
      <c r="BN125" s="486">
        <v>2785</v>
      </c>
      <c r="BO125" s="486">
        <v>2873</v>
      </c>
      <c r="BP125" s="486">
        <v>2939</v>
      </c>
      <c r="BQ125" s="486">
        <v>2982</v>
      </c>
      <c r="BR125" s="486">
        <v>3022</v>
      </c>
      <c r="BS125" s="486">
        <v>3149</v>
      </c>
      <c r="BT125" s="486">
        <v>3175</v>
      </c>
      <c r="BU125" s="486">
        <v>3211</v>
      </c>
      <c r="BV125" s="486">
        <v>3395</v>
      </c>
      <c r="BW125" s="486">
        <v>3383</v>
      </c>
      <c r="BX125" s="486">
        <v>3403</v>
      </c>
      <c r="BY125" s="486">
        <v>3464</v>
      </c>
      <c r="BZ125" s="486">
        <v>3560</v>
      </c>
      <c r="CA125" s="486">
        <v>3597</v>
      </c>
      <c r="CB125" s="486">
        <v>3638</v>
      </c>
      <c r="CC125" s="486">
        <v>3661</v>
      </c>
      <c r="CD125" s="486">
        <v>3708</v>
      </c>
      <c r="CE125" s="486">
        <v>3757</v>
      </c>
      <c r="CF125" s="486">
        <v>3789</v>
      </c>
      <c r="CG125" s="486">
        <v>3570</v>
      </c>
      <c r="CH125" s="486">
        <v>3610</v>
      </c>
      <c r="CI125" s="486">
        <v>3583</v>
      </c>
      <c r="CJ125" s="486">
        <v>3643</v>
      </c>
      <c r="CK125" s="486">
        <v>3642</v>
      </c>
      <c r="CL125" s="486">
        <v>3575</v>
      </c>
      <c r="CM125" s="486">
        <v>3516</v>
      </c>
      <c r="CN125" s="486">
        <v>3348</v>
      </c>
      <c r="CO125" s="486">
        <v>3293</v>
      </c>
      <c r="CP125" s="486">
        <v>3283</v>
      </c>
      <c r="CQ125" s="486">
        <v>3269</v>
      </c>
      <c r="CR125" s="486">
        <v>2856</v>
      </c>
      <c r="CS125" s="486">
        <v>2527</v>
      </c>
      <c r="CT125" s="486">
        <v>2530</v>
      </c>
      <c r="CU125" s="486">
        <v>2501</v>
      </c>
      <c r="CV125" s="486">
        <v>2503</v>
      </c>
      <c r="CW125" s="486">
        <v>2432</v>
      </c>
      <c r="CX125" s="486">
        <v>2408</v>
      </c>
      <c r="CY125" s="486">
        <v>2070</v>
      </c>
      <c r="CZ125" s="486">
        <v>1978</v>
      </c>
      <c r="DA125" s="486">
        <v>1924</v>
      </c>
      <c r="DB125" s="486">
        <v>1876</v>
      </c>
      <c r="DC125" s="486">
        <v>1857</v>
      </c>
      <c r="DD125" s="486">
        <v>1824</v>
      </c>
      <c r="DE125" s="728">
        <v>1791</v>
      </c>
      <c r="DF125" s="483"/>
    </row>
    <row r="126" spans="2:110" x14ac:dyDescent="0.35">
      <c r="B126" s="484" t="s">
        <v>554</v>
      </c>
      <c r="C126" s="485" t="s">
        <v>555</v>
      </c>
      <c r="D126" s="486"/>
      <c r="E126" s="486"/>
      <c r="F126" s="486"/>
      <c r="G126" s="486"/>
      <c r="H126" s="486"/>
      <c r="I126" s="486"/>
      <c r="J126" s="486"/>
      <c r="K126" s="486"/>
      <c r="L126" s="486"/>
      <c r="M126" s="486"/>
      <c r="N126" s="486"/>
      <c r="O126" s="486"/>
      <c r="P126" s="486"/>
      <c r="Q126" s="486"/>
      <c r="R126" s="486"/>
      <c r="S126" s="486"/>
      <c r="T126" s="486"/>
      <c r="U126" s="486"/>
      <c r="V126" s="486"/>
      <c r="W126" s="486"/>
      <c r="X126" s="486"/>
      <c r="Y126" s="486"/>
      <c r="Z126" s="486"/>
      <c r="AA126" s="486"/>
      <c r="AB126" s="486"/>
      <c r="AC126" s="486"/>
      <c r="AD126" s="486"/>
      <c r="AE126" s="486"/>
      <c r="AF126" s="486"/>
      <c r="AG126" s="486"/>
      <c r="AH126" s="486"/>
      <c r="AI126" s="486"/>
      <c r="AJ126" s="486"/>
      <c r="AK126" s="486"/>
      <c r="AL126" s="486"/>
      <c r="AM126" s="486"/>
      <c r="AN126" s="486"/>
      <c r="AO126" s="483"/>
      <c r="AP126" s="486">
        <v>1019</v>
      </c>
      <c r="AQ126" s="486">
        <v>1074</v>
      </c>
      <c r="AR126" s="486">
        <v>1122</v>
      </c>
      <c r="AS126" s="486">
        <v>1153</v>
      </c>
      <c r="AT126" s="486">
        <v>1157</v>
      </c>
      <c r="AU126" s="486">
        <v>1163</v>
      </c>
      <c r="AV126" s="486">
        <v>1159</v>
      </c>
      <c r="AW126" s="486">
        <v>1153</v>
      </c>
      <c r="AX126" s="486">
        <v>1127</v>
      </c>
      <c r="AY126" s="486">
        <v>1118</v>
      </c>
      <c r="AZ126" s="486">
        <v>1097</v>
      </c>
      <c r="BA126" s="486">
        <v>1080</v>
      </c>
      <c r="BB126" s="486">
        <v>1079</v>
      </c>
      <c r="BC126" s="486">
        <v>1078</v>
      </c>
      <c r="BD126" s="486">
        <v>1092</v>
      </c>
      <c r="BE126" s="486">
        <v>1110</v>
      </c>
      <c r="BF126" s="486">
        <v>1126</v>
      </c>
      <c r="BG126" s="486">
        <v>1143</v>
      </c>
      <c r="BH126" s="486">
        <v>1166</v>
      </c>
      <c r="BI126" s="486">
        <v>1182</v>
      </c>
      <c r="BJ126" s="486">
        <v>1218</v>
      </c>
      <c r="BK126" s="486">
        <v>1232</v>
      </c>
      <c r="BL126" s="486">
        <v>1231</v>
      </c>
      <c r="BM126" s="486">
        <v>1252</v>
      </c>
      <c r="BN126" s="486">
        <v>1287</v>
      </c>
      <c r="BO126" s="486">
        <v>1309</v>
      </c>
      <c r="BP126" s="486">
        <v>1360</v>
      </c>
      <c r="BQ126" s="486">
        <v>1384</v>
      </c>
      <c r="BR126" s="486">
        <v>1397</v>
      </c>
      <c r="BS126" s="486">
        <v>1427</v>
      </c>
      <c r="BT126" s="486">
        <v>1433</v>
      </c>
      <c r="BU126" s="486">
        <v>1438</v>
      </c>
      <c r="BV126" s="486">
        <v>1472</v>
      </c>
      <c r="BW126" s="486">
        <v>1558</v>
      </c>
      <c r="BX126" s="486">
        <v>1616</v>
      </c>
      <c r="BY126" s="486">
        <v>1628</v>
      </c>
      <c r="BZ126" s="486">
        <v>1669</v>
      </c>
      <c r="CA126" s="486">
        <v>1719</v>
      </c>
      <c r="CB126" s="486">
        <v>1731</v>
      </c>
      <c r="CC126" s="486">
        <v>1750</v>
      </c>
      <c r="CD126" s="486">
        <v>1803</v>
      </c>
      <c r="CE126" s="486">
        <v>1822</v>
      </c>
      <c r="CF126" s="486">
        <v>1828</v>
      </c>
      <c r="CG126" s="486">
        <v>1852</v>
      </c>
      <c r="CH126" s="486">
        <v>1878</v>
      </c>
      <c r="CI126" s="486">
        <v>1918</v>
      </c>
      <c r="CJ126" s="486">
        <v>1916</v>
      </c>
      <c r="CK126" s="486">
        <v>1930</v>
      </c>
      <c r="CL126" s="486">
        <v>1938</v>
      </c>
      <c r="CM126" s="486">
        <v>1928</v>
      </c>
      <c r="CN126" s="486">
        <v>1945</v>
      </c>
      <c r="CO126" s="486">
        <v>1946</v>
      </c>
      <c r="CP126" s="486">
        <v>1926</v>
      </c>
      <c r="CQ126" s="486">
        <v>1918</v>
      </c>
      <c r="CR126" s="486">
        <v>1902</v>
      </c>
      <c r="CS126" s="486">
        <v>1891</v>
      </c>
      <c r="CT126" s="486">
        <v>1866</v>
      </c>
      <c r="CU126" s="486">
        <v>1833</v>
      </c>
      <c r="CV126" s="486">
        <v>1800</v>
      </c>
      <c r="CW126" s="486">
        <v>1776</v>
      </c>
      <c r="CX126" s="486">
        <v>1737</v>
      </c>
      <c r="CY126" s="486">
        <v>1677</v>
      </c>
      <c r="CZ126" s="486">
        <v>1651</v>
      </c>
      <c r="DA126" s="486">
        <v>1589</v>
      </c>
      <c r="DB126" s="486">
        <v>1549</v>
      </c>
      <c r="DC126" s="486">
        <v>1506</v>
      </c>
      <c r="DD126" s="486">
        <v>1480</v>
      </c>
      <c r="DE126" s="728">
        <v>1452</v>
      </c>
      <c r="DF126" s="483"/>
    </row>
    <row r="127" spans="2:110" x14ac:dyDescent="0.35">
      <c r="B127" s="484" t="s">
        <v>556</v>
      </c>
      <c r="C127" s="485" t="s">
        <v>557</v>
      </c>
      <c r="D127" s="486"/>
      <c r="E127" s="486"/>
      <c r="F127" s="486"/>
      <c r="G127" s="486"/>
      <c r="H127" s="486">
        <v>784</v>
      </c>
      <c r="I127" s="486">
        <v>1244</v>
      </c>
      <c r="J127" s="486">
        <v>2255</v>
      </c>
      <c r="K127" s="486"/>
      <c r="L127" s="486">
        <v>2254</v>
      </c>
      <c r="M127" s="486">
        <v>1793</v>
      </c>
      <c r="N127" s="486">
        <v>1793</v>
      </c>
      <c r="O127" s="486">
        <v>1792</v>
      </c>
      <c r="P127" s="486">
        <v>1828</v>
      </c>
      <c r="Q127" s="486">
        <v>1828</v>
      </c>
      <c r="R127" s="486">
        <v>1828</v>
      </c>
      <c r="S127" s="486">
        <v>1828</v>
      </c>
      <c r="T127" s="486">
        <v>1828</v>
      </c>
      <c r="U127" s="486">
        <v>1828</v>
      </c>
      <c r="V127" s="486">
        <v>1828</v>
      </c>
      <c r="W127" s="486">
        <v>1828</v>
      </c>
      <c r="X127" s="486">
        <v>1828</v>
      </c>
      <c r="Y127" s="486">
        <v>1833</v>
      </c>
      <c r="Z127" s="486">
        <v>1834</v>
      </c>
      <c r="AA127" s="486">
        <v>1834</v>
      </c>
      <c r="AB127" s="486">
        <v>1834</v>
      </c>
      <c r="AC127" s="486">
        <v>1834</v>
      </c>
      <c r="AD127" s="486">
        <v>1834</v>
      </c>
      <c r="AE127" s="486">
        <v>1834</v>
      </c>
      <c r="AF127" s="486">
        <v>2633</v>
      </c>
      <c r="AG127" s="486">
        <v>2632</v>
      </c>
      <c r="AH127" s="486">
        <v>1646</v>
      </c>
      <c r="AI127" s="486">
        <v>1646</v>
      </c>
      <c r="AJ127" s="486">
        <v>1646</v>
      </c>
      <c r="AK127" s="486">
        <v>1646</v>
      </c>
      <c r="AL127" s="486">
        <v>1646</v>
      </c>
      <c r="AM127" s="486">
        <v>1646</v>
      </c>
      <c r="AN127" s="486"/>
      <c r="AO127" s="483"/>
      <c r="AP127" s="483"/>
      <c r="AQ127" s="483"/>
      <c r="AR127" s="483"/>
      <c r="AS127" s="486"/>
      <c r="AT127" s="486"/>
      <c r="AU127" s="486"/>
      <c r="AV127" s="486">
        <v>1034</v>
      </c>
      <c r="AW127" s="486">
        <v>1042</v>
      </c>
      <c r="AX127" s="486">
        <v>1097</v>
      </c>
      <c r="AY127" s="486">
        <v>1362</v>
      </c>
      <c r="AZ127" s="486">
        <v>1607</v>
      </c>
      <c r="BA127" s="486">
        <v>1614</v>
      </c>
      <c r="BB127" s="486">
        <v>1614</v>
      </c>
      <c r="BC127" s="486">
        <v>1614</v>
      </c>
      <c r="BD127" s="486">
        <v>1614</v>
      </c>
      <c r="BE127" s="486">
        <v>1614</v>
      </c>
      <c r="BF127" s="486">
        <v>1614</v>
      </c>
      <c r="BG127" s="486">
        <v>1614</v>
      </c>
      <c r="BH127" s="486">
        <v>1614</v>
      </c>
      <c r="BI127" s="486">
        <v>1614</v>
      </c>
      <c r="BJ127" s="486">
        <v>1612</v>
      </c>
      <c r="BK127" s="486">
        <v>1612</v>
      </c>
      <c r="BL127" s="486">
        <v>1615</v>
      </c>
      <c r="BM127" s="486">
        <v>1619</v>
      </c>
      <c r="BN127" s="486">
        <v>1490</v>
      </c>
      <c r="BO127" s="486">
        <v>1490</v>
      </c>
      <c r="BP127" s="486">
        <v>1490</v>
      </c>
      <c r="BQ127" s="486">
        <v>1490</v>
      </c>
      <c r="BR127" s="486">
        <v>1490</v>
      </c>
      <c r="BS127" s="486">
        <v>1490</v>
      </c>
      <c r="BT127" s="486">
        <v>1490</v>
      </c>
      <c r="BU127" s="486">
        <v>1491</v>
      </c>
      <c r="BV127" s="486">
        <v>1528</v>
      </c>
      <c r="BW127" s="486">
        <v>1535</v>
      </c>
      <c r="BX127" s="486">
        <v>1546</v>
      </c>
      <c r="BY127" s="486">
        <v>1546</v>
      </c>
      <c r="BZ127" s="486">
        <v>1546</v>
      </c>
      <c r="CA127" s="486">
        <v>1546</v>
      </c>
      <c r="CB127" s="486">
        <v>1546</v>
      </c>
      <c r="CC127" s="486">
        <v>1546</v>
      </c>
      <c r="CD127" s="486">
        <v>1546</v>
      </c>
      <c r="CE127" s="486">
        <v>1546</v>
      </c>
      <c r="CF127" s="486">
        <v>1555</v>
      </c>
      <c r="CG127" s="486">
        <v>1555</v>
      </c>
      <c r="CH127" s="486">
        <v>1555</v>
      </c>
      <c r="CI127" s="486">
        <v>1557</v>
      </c>
      <c r="CJ127" s="486">
        <v>1557</v>
      </c>
      <c r="CK127" s="486">
        <v>1557</v>
      </c>
      <c r="CL127" s="486">
        <v>1570</v>
      </c>
      <c r="CM127" s="486">
        <v>1586</v>
      </c>
      <c r="CN127" s="486">
        <v>1586</v>
      </c>
      <c r="CO127" s="486">
        <v>1586</v>
      </c>
      <c r="CP127" s="486">
        <v>1591</v>
      </c>
      <c r="CQ127" s="486">
        <v>1590</v>
      </c>
      <c r="CR127" s="486">
        <v>1598</v>
      </c>
      <c r="CS127" s="486">
        <v>1598</v>
      </c>
      <c r="CT127" s="486">
        <v>1598</v>
      </c>
      <c r="CU127" s="486">
        <v>1598</v>
      </c>
      <c r="CV127" s="486">
        <v>1598</v>
      </c>
      <c r="CW127" s="486">
        <v>1598</v>
      </c>
      <c r="CX127" s="486">
        <v>1598</v>
      </c>
      <c r="CY127" s="486">
        <v>1598</v>
      </c>
      <c r="CZ127" s="486">
        <v>1598</v>
      </c>
      <c r="DA127" s="486">
        <v>1598</v>
      </c>
      <c r="DB127" s="486">
        <v>1598</v>
      </c>
      <c r="DC127" s="486">
        <v>1598</v>
      </c>
      <c r="DD127" s="486">
        <v>1598</v>
      </c>
      <c r="DE127" s="728">
        <v>1597</v>
      </c>
      <c r="DF127" s="483"/>
    </row>
    <row r="128" spans="2:110" x14ac:dyDescent="0.35">
      <c r="B128" s="484" t="s">
        <v>558</v>
      </c>
      <c r="C128" s="485" t="s">
        <v>559</v>
      </c>
      <c r="D128" s="486"/>
      <c r="E128" s="486"/>
      <c r="F128" s="486"/>
      <c r="G128" s="486"/>
      <c r="H128" s="486"/>
      <c r="I128" s="486"/>
      <c r="J128" s="486"/>
      <c r="K128" s="486"/>
      <c r="L128" s="486"/>
      <c r="M128" s="486"/>
      <c r="N128" s="486"/>
      <c r="O128" s="486"/>
      <c r="P128" s="486"/>
      <c r="Q128" s="486"/>
      <c r="R128" s="486"/>
      <c r="S128" s="486"/>
      <c r="T128" s="486"/>
      <c r="U128" s="486"/>
      <c r="V128" s="486"/>
      <c r="W128" s="486"/>
      <c r="X128" s="486"/>
      <c r="Y128" s="486"/>
      <c r="Z128" s="486"/>
      <c r="AA128" s="486"/>
      <c r="AB128" s="486"/>
      <c r="AC128" s="486"/>
      <c r="AD128" s="486"/>
      <c r="AE128" s="486">
        <v>1022</v>
      </c>
      <c r="AF128" s="486">
        <v>1077</v>
      </c>
      <c r="AG128" s="486">
        <v>1082</v>
      </c>
      <c r="AH128" s="486">
        <v>1090</v>
      </c>
      <c r="AI128" s="486">
        <v>1094</v>
      </c>
      <c r="AJ128" s="486">
        <v>1163</v>
      </c>
      <c r="AK128" s="486">
        <v>1163</v>
      </c>
      <c r="AL128" s="486">
        <v>1169</v>
      </c>
      <c r="AM128" s="486">
        <v>1169</v>
      </c>
      <c r="AN128" s="486">
        <v>1169</v>
      </c>
      <c r="AO128" s="486">
        <v>1169</v>
      </c>
      <c r="AP128" s="486">
        <v>1169</v>
      </c>
      <c r="AQ128" s="486">
        <v>1275</v>
      </c>
      <c r="AR128" s="486"/>
      <c r="BB128" s="486">
        <v>955</v>
      </c>
      <c r="BC128" s="486">
        <v>1247</v>
      </c>
      <c r="BD128" s="486">
        <v>1369</v>
      </c>
      <c r="BE128" s="486">
        <v>1369</v>
      </c>
      <c r="BF128" s="486">
        <v>1379</v>
      </c>
      <c r="BG128" s="486">
        <v>1379</v>
      </c>
      <c r="BH128" s="486">
        <v>1381</v>
      </c>
      <c r="BI128" s="486">
        <v>1381</v>
      </c>
      <c r="BJ128" s="486">
        <v>1381</v>
      </c>
      <c r="BK128" s="486">
        <v>1381</v>
      </c>
      <c r="BL128" s="486">
        <v>1419</v>
      </c>
      <c r="BM128" s="486">
        <v>1485</v>
      </c>
      <c r="BN128" s="486">
        <v>1522</v>
      </c>
      <c r="BO128" s="486">
        <v>1522</v>
      </c>
      <c r="BP128" s="486">
        <v>1522</v>
      </c>
      <c r="BQ128" s="486">
        <v>1522</v>
      </c>
      <c r="BR128" s="486">
        <v>1522</v>
      </c>
      <c r="BS128" s="486">
        <v>1522</v>
      </c>
      <c r="BT128" s="486">
        <v>1794</v>
      </c>
      <c r="BU128" s="486">
        <v>1583</v>
      </c>
      <c r="BV128" s="486">
        <v>2116</v>
      </c>
      <c r="BW128" s="486">
        <v>2142</v>
      </c>
      <c r="BX128" s="486">
        <v>2013</v>
      </c>
      <c r="BY128" s="486">
        <v>2104</v>
      </c>
      <c r="BZ128" s="486">
        <v>1913</v>
      </c>
      <c r="CA128" s="486">
        <v>1922</v>
      </c>
      <c r="CB128" s="486">
        <v>1954</v>
      </c>
      <c r="CC128" s="486">
        <v>1979</v>
      </c>
      <c r="CD128" s="486">
        <v>1918</v>
      </c>
      <c r="CE128" s="486">
        <v>2320</v>
      </c>
      <c r="CF128" s="486">
        <v>2266</v>
      </c>
      <c r="CG128" s="486">
        <v>1673</v>
      </c>
      <c r="CH128" s="486">
        <v>1206</v>
      </c>
      <c r="CI128" s="486">
        <v>1560</v>
      </c>
      <c r="CJ128" s="486">
        <v>1651</v>
      </c>
      <c r="CK128" s="486">
        <v>1510</v>
      </c>
      <c r="CL128" s="486">
        <v>1671</v>
      </c>
      <c r="CM128" s="486">
        <v>1725</v>
      </c>
      <c r="CN128" s="486">
        <v>1700</v>
      </c>
      <c r="CO128" s="486">
        <v>1878</v>
      </c>
      <c r="CP128" s="486">
        <v>1226</v>
      </c>
      <c r="CQ128" s="486">
        <v>1258</v>
      </c>
      <c r="CR128" s="486">
        <v>1318</v>
      </c>
      <c r="CS128" s="486">
        <v>1607</v>
      </c>
      <c r="CT128" s="486">
        <v>1060</v>
      </c>
      <c r="CU128" s="486">
        <v>1531</v>
      </c>
      <c r="CV128" s="486">
        <v>1558</v>
      </c>
      <c r="CW128" s="486">
        <v>1861</v>
      </c>
      <c r="CX128" s="486">
        <v>1884</v>
      </c>
      <c r="CY128" s="486">
        <v>2010</v>
      </c>
      <c r="CZ128" s="486">
        <v>1740</v>
      </c>
      <c r="DA128" s="486">
        <v>1575</v>
      </c>
      <c r="DB128" s="486">
        <v>2101</v>
      </c>
      <c r="DC128" s="486">
        <v>1952</v>
      </c>
      <c r="DD128" s="486">
        <v>1676</v>
      </c>
      <c r="DE128" s="728">
        <v>1779</v>
      </c>
      <c r="DF128" s="483"/>
    </row>
    <row r="129" spans="2:110" x14ac:dyDescent="0.35">
      <c r="B129" s="484" t="s">
        <v>560</v>
      </c>
      <c r="C129" s="485" t="s">
        <v>561</v>
      </c>
      <c r="D129" s="486"/>
      <c r="E129" s="486"/>
      <c r="F129" s="486"/>
      <c r="G129" s="486"/>
      <c r="H129" s="486"/>
      <c r="I129" s="486"/>
      <c r="J129" s="486"/>
      <c r="K129" s="486"/>
      <c r="L129" s="486"/>
      <c r="M129" s="486"/>
      <c r="N129" s="486"/>
      <c r="O129" s="486"/>
      <c r="P129" s="486"/>
      <c r="Q129" s="486"/>
      <c r="R129" s="486"/>
      <c r="S129" s="486"/>
      <c r="T129" s="486"/>
      <c r="U129" s="486"/>
      <c r="V129" s="486"/>
      <c r="W129" s="486"/>
      <c r="X129" s="486"/>
      <c r="Y129" s="486"/>
      <c r="Z129" s="486"/>
      <c r="AA129" s="486"/>
      <c r="AB129" s="486"/>
      <c r="AC129" s="486"/>
      <c r="AD129" s="486"/>
      <c r="AE129" s="486"/>
      <c r="AF129" s="486"/>
      <c r="AG129" s="486"/>
      <c r="AH129" s="486"/>
      <c r="AI129" s="486"/>
      <c r="AJ129" s="486"/>
      <c r="AK129" s="486"/>
      <c r="AL129" s="486"/>
      <c r="AM129" s="486"/>
      <c r="AN129" s="486"/>
      <c r="AO129" s="483"/>
      <c r="AP129" s="483"/>
      <c r="AQ129" s="483"/>
      <c r="AR129" s="483"/>
      <c r="AS129" s="486"/>
      <c r="AT129" s="486">
        <v>1012</v>
      </c>
      <c r="AU129" s="486">
        <v>1012</v>
      </c>
      <c r="AV129" s="486">
        <v>1012</v>
      </c>
      <c r="AW129" s="486">
        <v>1012</v>
      </c>
      <c r="AX129" s="486">
        <v>1062</v>
      </c>
      <c r="AY129" s="486">
        <v>1097</v>
      </c>
      <c r="AZ129" s="486">
        <v>1127</v>
      </c>
      <c r="BA129" s="486"/>
      <c r="BB129" s="486"/>
      <c r="BC129" s="486"/>
      <c r="BD129" s="486">
        <v>1001</v>
      </c>
      <c r="BE129" s="486">
        <v>1001</v>
      </c>
      <c r="BF129" s="486">
        <v>1081</v>
      </c>
      <c r="BG129" s="486">
        <v>1111</v>
      </c>
      <c r="BH129" s="486">
        <v>1181</v>
      </c>
      <c r="BI129" s="486">
        <v>1181</v>
      </c>
      <c r="BJ129" s="486">
        <v>1281</v>
      </c>
      <c r="BK129" s="486">
        <v>1316</v>
      </c>
      <c r="BL129" s="486">
        <v>1362</v>
      </c>
      <c r="BM129" s="486">
        <v>1492</v>
      </c>
      <c r="BN129" s="486">
        <v>1512</v>
      </c>
      <c r="BO129" s="486">
        <v>1516</v>
      </c>
      <c r="BP129" s="486">
        <v>1816</v>
      </c>
      <c r="BQ129" s="486">
        <v>1826</v>
      </c>
      <c r="BR129" s="486">
        <v>2451</v>
      </c>
      <c r="BS129" s="486">
        <v>2477</v>
      </c>
      <c r="BT129" s="486">
        <v>2488</v>
      </c>
      <c r="BU129" s="486">
        <v>2502</v>
      </c>
      <c r="BV129" s="486">
        <v>2523</v>
      </c>
      <c r="BW129" s="486">
        <v>2453</v>
      </c>
      <c r="BX129" s="486">
        <v>2453</v>
      </c>
      <c r="BY129" s="486">
        <v>2456</v>
      </c>
      <c r="BZ129" s="486">
        <v>2193</v>
      </c>
      <c r="CA129" s="486">
        <v>2594</v>
      </c>
      <c r="CB129" s="486">
        <v>2876</v>
      </c>
      <c r="CC129" s="486">
        <v>3180</v>
      </c>
      <c r="CD129" s="486">
        <v>1680</v>
      </c>
      <c r="CE129" s="486">
        <v>1700</v>
      </c>
      <c r="CF129" s="486">
        <v>1585</v>
      </c>
      <c r="CG129" s="486">
        <v>1399</v>
      </c>
      <c r="CH129" s="486">
        <v>1399</v>
      </c>
      <c r="CI129" s="486">
        <v>1274</v>
      </c>
      <c r="CJ129" s="486">
        <v>1220</v>
      </c>
      <c r="CK129" s="486">
        <v>1236</v>
      </c>
      <c r="CL129" s="486">
        <v>1232</v>
      </c>
      <c r="CM129" s="486">
        <v>1279</v>
      </c>
      <c r="CN129" s="486">
        <v>1346</v>
      </c>
      <c r="CO129" s="486">
        <v>1312</v>
      </c>
      <c r="CP129" s="486">
        <v>1424</v>
      </c>
      <c r="CQ129" s="486">
        <v>1480</v>
      </c>
      <c r="CR129" s="486">
        <v>1530</v>
      </c>
      <c r="CS129" s="486">
        <v>1575</v>
      </c>
      <c r="CT129" s="486">
        <v>1632</v>
      </c>
      <c r="CU129" s="486">
        <v>1721</v>
      </c>
      <c r="CV129" s="486">
        <v>1555</v>
      </c>
      <c r="CW129" s="486">
        <v>1681</v>
      </c>
      <c r="CX129" s="486">
        <v>1818</v>
      </c>
      <c r="CY129" s="486">
        <v>2002</v>
      </c>
      <c r="CZ129" s="486">
        <v>2142</v>
      </c>
      <c r="DA129" s="486">
        <v>2184</v>
      </c>
      <c r="DB129" s="486">
        <v>2066</v>
      </c>
      <c r="DC129" s="486">
        <v>2176</v>
      </c>
      <c r="DD129" s="486">
        <v>2215</v>
      </c>
      <c r="DE129" s="728">
        <v>2238</v>
      </c>
      <c r="DF129" s="483"/>
    </row>
    <row r="130" spans="2:110" x14ac:dyDescent="0.35">
      <c r="B130" s="484" t="s">
        <v>562</v>
      </c>
      <c r="C130" s="485" t="s">
        <v>563</v>
      </c>
      <c r="D130" s="486"/>
      <c r="E130" s="486"/>
      <c r="F130" s="486"/>
      <c r="G130" s="486"/>
      <c r="H130" s="486"/>
      <c r="I130" s="486"/>
      <c r="J130" s="486"/>
      <c r="K130" s="486"/>
      <c r="L130" s="486"/>
      <c r="M130" s="486"/>
      <c r="N130" s="486"/>
      <c r="O130" s="486"/>
      <c r="P130" s="486"/>
      <c r="Q130" s="486"/>
      <c r="R130" s="486"/>
      <c r="S130" s="486"/>
      <c r="T130" s="486"/>
      <c r="U130" s="486"/>
      <c r="V130" s="486"/>
      <c r="W130" s="486"/>
      <c r="X130" s="486"/>
      <c r="Y130" s="486"/>
      <c r="Z130" s="486"/>
      <c r="AA130" s="486"/>
      <c r="AB130" s="486"/>
      <c r="AC130" s="486"/>
      <c r="AD130" s="486"/>
      <c r="AE130" s="486"/>
      <c r="AF130" s="486"/>
      <c r="AG130" s="486"/>
      <c r="AH130" s="486"/>
      <c r="AI130" s="486"/>
      <c r="AJ130" s="486"/>
      <c r="AK130" s="486"/>
      <c r="AL130" s="486"/>
      <c r="AM130" s="486"/>
      <c r="AN130" s="486"/>
      <c r="AO130" s="483"/>
      <c r="AP130" s="483"/>
      <c r="AQ130" s="483"/>
      <c r="AR130" s="483"/>
      <c r="AS130" s="486"/>
      <c r="AT130" s="486"/>
      <c r="AU130" s="486"/>
      <c r="AV130" s="486"/>
      <c r="AW130" s="487"/>
      <c r="AX130" s="486"/>
      <c r="AY130" s="486"/>
      <c r="AZ130" s="486"/>
      <c r="BA130" s="486"/>
      <c r="BB130" s="486"/>
      <c r="BC130" s="486"/>
      <c r="BD130" s="486"/>
      <c r="BE130" s="486"/>
      <c r="BF130" s="486"/>
      <c r="BG130" s="486"/>
      <c r="BH130" s="486"/>
      <c r="BI130" s="486"/>
      <c r="BJ130" s="486"/>
      <c r="BK130" s="486"/>
      <c r="BL130" s="486">
        <v>1097</v>
      </c>
      <c r="BM130" s="486">
        <v>1126</v>
      </c>
      <c r="BN130" s="486">
        <v>1165</v>
      </c>
      <c r="BO130" s="486">
        <v>1190</v>
      </c>
      <c r="BP130" s="486">
        <v>1268</v>
      </c>
      <c r="BQ130" s="486">
        <v>1298</v>
      </c>
      <c r="BR130" s="486">
        <v>1499</v>
      </c>
      <c r="BS130" s="486">
        <v>1592</v>
      </c>
      <c r="BT130" s="486">
        <v>1610</v>
      </c>
      <c r="BU130" s="486">
        <v>1662</v>
      </c>
      <c r="BV130" s="486">
        <v>1696</v>
      </c>
      <c r="BW130" s="486">
        <v>1733</v>
      </c>
      <c r="BX130" s="486">
        <v>1801</v>
      </c>
      <c r="BY130" s="486">
        <v>1956</v>
      </c>
      <c r="BZ130" s="486">
        <v>1993</v>
      </c>
      <c r="CA130" s="486">
        <v>2017</v>
      </c>
      <c r="CB130" s="486">
        <v>2065</v>
      </c>
      <c r="CC130" s="486">
        <v>2075</v>
      </c>
      <c r="CD130" s="486">
        <v>2161</v>
      </c>
      <c r="CE130" s="486">
        <v>2224</v>
      </c>
      <c r="CF130" s="486">
        <v>2267</v>
      </c>
      <c r="CG130" s="486">
        <v>2266</v>
      </c>
      <c r="CH130" s="486">
        <v>2290</v>
      </c>
      <c r="CI130" s="486">
        <v>2286</v>
      </c>
      <c r="CJ130" s="486">
        <v>2267</v>
      </c>
      <c r="CK130" s="486">
        <v>2252</v>
      </c>
      <c r="CL130" s="486">
        <v>2250</v>
      </c>
      <c r="CM130" s="486">
        <v>2251</v>
      </c>
      <c r="CN130" s="486">
        <v>2182</v>
      </c>
      <c r="CO130" s="486">
        <v>2178</v>
      </c>
      <c r="CP130" s="486">
        <v>2154</v>
      </c>
      <c r="CQ130" s="486">
        <v>2153</v>
      </c>
      <c r="CR130" s="486">
        <v>2007</v>
      </c>
      <c r="CS130" s="486">
        <v>1983</v>
      </c>
      <c r="CT130" s="486">
        <v>1927</v>
      </c>
      <c r="CU130" s="486">
        <v>1925</v>
      </c>
      <c r="CV130" s="486">
        <v>1925</v>
      </c>
      <c r="CW130" s="486">
        <v>1906</v>
      </c>
      <c r="CX130" s="486">
        <v>1852</v>
      </c>
      <c r="CY130" s="486">
        <v>1804</v>
      </c>
      <c r="CZ130" s="486">
        <v>1741</v>
      </c>
      <c r="DA130" s="486">
        <v>1593</v>
      </c>
      <c r="DB130" s="486">
        <v>1592</v>
      </c>
      <c r="DC130" s="486">
        <v>1572</v>
      </c>
      <c r="DD130" s="486">
        <v>1534</v>
      </c>
      <c r="DE130" s="728">
        <v>1514</v>
      </c>
      <c r="DF130" s="483"/>
    </row>
    <row r="131" spans="2:110" x14ac:dyDescent="0.35">
      <c r="B131" s="484" t="s">
        <v>564</v>
      </c>
      <c r="C131" s="485" t="s">
        <v>565</v>
      </c>
      <c r="D131" s="486"/>
      <c r="E131" s="486"/>
      <c r="F131" s="486"/>
      <c r="G131" s="486"/>
      <c r="H131" s="486"/>
      <c r="I131" s="486"/>
      <c r="J131" s="486"/>
      <c r="K131" s="486"/>
      <c r="L131" s="486"/>
      <c r="M131" s="486"/>
      <c r="N131" s="486"/>
      <c r="O131" s="486"/>
      <c r="P131" s="486"/>
      <c r="Q131" s="486"/>
      <c r="R131" s="486"/>
      <c r="S131" s="486"/>
      <c r="T131" s="486"/>
      <c r="U131" s="486"/>
      <c r="V131" s="486"/>
      <c r="W131" s="486"/>
      <c r="X131" s="486"/>
      <c r="Y131" s="486"/>
      <c r="Z131" s="486"/>
      <c r="AA131" s="486"/>
      <c r="AB131" s="486"/>
      <c r="AC131" s="486"/>
      <c r="AD131" s="486"/>
      <c r="AE131" s="486"/>
      <c r="AF131" s="486"/>
      <c r="AG131" s="486"/>
      <c r="AH131" s="486"/>
      <c r="AI131" s="486"/>
      <c r="AJ131" s="486"/>
      <c r="AK131" s="486"/>
      <c r="AL131" s="486"/>
      <c r="AM131" s="486"/>
      <c r="AN131" s="486"/>
      <c r="AO131" s="483"/>
      <c r="AP131" s="483"/>
      <c r="AQ131" s="483"/>
      <c r="AR131" s="483"/>
      <c r="AS131" s="486"/>
      <c r="AT131" s="486"/>
      <c r="AU131" s="486"/>
      <c r="AV131" s="486"/>
      <c r="AW131" s="487"/>
      <c r="AX131" s="486"/>
      <c r="AY131" s="486"/>
      <c r="AZ131" s="486"/>
      <c r="BA131" s="486"/>
      <c r="BB131" s="486"/>
      <c r="BC131" s="486"/>
      <c r="BD131" s="486"/>
      <c r="BE131" s="486"/>
      <c r="BF131" s="486"/>
      <c r="BG131" s="486"/>
      <c r="BH131" s="486"/>
      <c r="BI131" s="486"/>
      <c r="BJ131" s="486"/>
      <c r="BK131" s="486"/>
      <c r="BL131" s="486">
        <v>1005</v>
      </c>
      <c r="BM131" s="486">
        <v>1084</v>
      </c>
      <c r="BN131" s="486">
        <v>1109</v>
      </c>
      <c r="BO131" s="486">
        <v>1101</v>
      </c>
      <c r="BP131" s="486">
        <v>1147</v>
      </c>
      <c r="BQ131" s="486">
        <v>1196</v>
      </c>
      <c r="BR131" s="486">
        <v>1243</v>
      </c>
      <c r="BS131" s="486">
        <v>1325</v>
      </c>
      <c r="BT131" s="486">
        <v>1388</v>
      </c>
      <c r="BU131" s="486">
        <v>1427</v>
      </c>
      <c r="BV131" s="486">
        <v>1479</v>
      </c>
      <c r="BW131" s="486">
        <v>1489</v>
      </c>
      <c r="BX131" s="486">
        <v>1535</v>
      </c>
      <c r="BY131" s="486">
        <v>1589</v>
      </c>
      <c r="BZ131" s="486">
        <v>1654</v>
      </c>
      <c r="CA131" s="486">
        <v>1673</v>
      </c>
      <c r="CB131" s="486">
        <v>1722</v>
      </c>
      <c r="CC131" s="486">
        <v>1753</v>
      </c>
      <c r="CD131" s="486">
        <v>1840</v>
      </c>
      <c r="CE131" s="486">
        <v>1852</v>
      </c>
      <c r="CF131" s="486">
        <v>1883</v>
      </c>
      <c r="CG131" s="486">
        <v>1940</v>
      </c>
      <c r="CH131" s="486">
        <v>1974</v>
      </c>
      <c r="CI131" s="486">
        <v>2016</v>
      </c>
      <c r="CJ131" s="486">
        <v>2054</v>
      </c>
      <c r="CK131" s="486">
        <v>2099</v>
      </c>
      <c r="CL131" s="486">
        <v>2158</v>
      </c>
      <c r="CM131" s="486">
        <v>2183</v>
      </c>
      <c r="CN131" s="486">
        <v>2196</v>
      </c>
      <c r="CO131" s="486">
        <v>2184</v>
      </c>
      <c r="CP131" s="486">
        <v>2231</v>
      </c>
      <c r="CQ131" s="486">
        <v>2301</v>
      </c>
      <c r="CR131" s="486">
        <v>2308</v>
      </c>
      <c r="CS131" s="486">
        <v>2332</v>
      </c>
      <c r="CT131" s="486">
        <v>2355</v>
      </c>
      <c r="CU131" s="486">
        <v>2372</v>
      </c>
      <c r="CV131" s="486">
        <v>2395</v>
      </c>
      <c r="CW131" s="486">
        <v>2429</v>
      </c>
      <c r="CX131" s="486">
        <v>2450</v>
      </c>
      <c r="CY131" s="486">
        <v>2458</v>
      </c>
      <c r="CZ131" s="486">
        <v>2459</v>
      </c>
      <c r="DA131" s="486">
        <v>2469</v>
      </c>
      <c r="DB131" s="486">
        <v>2440</v>
      </c>
      <c r="DC131" s="486">
        <v>2437</v>
      </c>
      <c r="DD131" s="486">
        <v>2399</v>
      </c>
      <c r="DE131" s="728">
        <v>2377</v>
      </c>
      <c r="DF131" s="483"/>
    </row>
    <row r="132" spans="2:110" x14ac:dyDescent="0.35">
      <c r="B132" s="484" t="s">
        <v>566</v>
      </c>
      <c r="C132" s="484" t="s">
        <v>567</v>
      </c>
      <c r="D132" s="486"/>
      <c r="E132" s="486"/>
      <c r="F132" s="486"/>
      <c r="G132" s="486"/>
      <c r="H132" s="486"/>
      <c r="I132" s="486"/>
      <c r="J132" s="486"/>
      <c r="K132" s="486"/>
      <c r="L132" s="486"/>
      <c r="M132" s="486"/>
      <c r="N132" s="486"/>
      <c r="O132" s="486"/>
      <c r="P132" s="486"/>
      <c r="Q132" s="486"/>
      <c r="R132" s="486"/>
      <c r="S132" s="486"/>
      <c r="T132" s="486"/>
      <c r="U132" s="486"/>
      <c r="V132" s="486"/>
      <c r="W132" s="486"/>
      <c r="X132" s="486"/>
      <c r="Y132" s="486"/>
      <c r="Z132" s="486"/>
      <c r="AA132" s="486"/>
      <c r="AB132" s="486"/>
      <c r="AC132" s="486"/>
      <c r="AD132" s="486"/>
      <c r="AE132" s="486"/>
      <c r="AF132" s="486"/>
      <c r="AG132" s="486"/>
      <c r="AH132" s="486"/>
      <c r="AI132" s="486"/>
      <c r="AJ132" s="486"/>
      <c r="AK132" s="486"/>
      <c r="AL132" s="486"/>
      <c r="AM132" s="486"/>
      <c r="AN132" s="486"/>
      <c r="AO132" s="486"/>
      <c r="AP132" s="486"/>
      <c r="AQ132" s="486"/>
      <c r="AR132" s="486"/>
      <c r="AS132" s="486"/>
      <c r="AT132" s="486"/>
      <c r="AU132" s="486"/>
      <c r="AV132" s="486"/>
      <c r="AZ132" s="486"/>
      <c r="BA132" s="486"/>
      <c r="BB132" s="486"/>
      <c r="BC132" s="486"/>
      <c r="BD132" s="486"/>
      <c r="BE132" s="483"/>
      <c r="BF132" s="483"/>
      <c r="BG132" s="486"/>
      <c r="BH132" s="486"/>
      <c r="BI132" s="486"/>
      <c r="BJ132" s="486"/>
      <c r="BK132" s="486"/>
      <c r="BL132" s="486"/>
      <c r="BM132" s="486">
        <v>1003</v>
      </c>
      <c r="BN132" s="486">
        <v>1065</v>
      </c>
      <c r="BO132" s="486">
        <v>1221</v>
      </c>
      <c r="BP132" s="486">
        <v>1303</v>
      </c>
      <c r="BQ132" s="486">
        <v>1394</v>
      </c>
      <c r="BR132" s="486">
        <v>1498</v>
      </c>
      <c r="BS132" s="486">
        <v>1607</v>
      </c>
      <c r="BT132" s="486">
        <v>1756</v>
      </c>
      <c r="BU132" s="486">
        <v>1846</v>
      </c>
      <c r="BV132" s="486">
        <v>2108</v>
      </c>
      <c r="BW132" s="486">
        <v>2172</v>
      </c>
      <c r="BX132" s="486">
        <v>2329</v>
      </c>
      <c r="BY132" s="486">
        <v>2405</v>
      </c>
      <c r="BZ132" s="486">
        <v>2507</v>
      </c>
      <c r="CA132" s="486">
        <v>2680</v>
      </c>
      <c r="CB132" s="486">
        <v>2715</v>
      </c>
      <c r="CC132" s="486">
        <v>2612</v>
      </c>
      <c r="CD132" s="486">
        <v>2586</v>
      </c>
      <c r="CE132" s="486">
        <v>2569</v>
      </c>
      <c r="CF132" s="486">
        <v>2556</v>
      </c>
      <c r="CG132" s="486">
        <v>2518</v>
      </c>
      <c r="CH132" s="486">
        <v>2479</v>
      </c>
      <c r="CI132" s="486">
        <v>2365</v>
      </c>
      <c r="CJ132" s="486">
        <v>2287</v>
      </c>
      <c r="CK132" s="486">
        <v>2246</v>
      </c>
      <c r="CL132" s="486">
        <v>2136</v>
      </c>
      <c r="CM132" s="486">
        <v>2136</v>
      </c>
      <c r="CN132" s="486">
        <v>2044</v>
      </c>
      <c r="CO132" s="486">
        <v>2044</v>
      </c>
      <c r="CP132" s="486">
        <v>2044</v>
      </c>
      <c r="CQ132" s="486">
        <v>2045</v>
      </c>
      <c r="CR132" s="486">
        <v>2045</v>
      </c>
      <c r="CS132" s="486">
        <v>2045</v>
      </c>
      <c r="CT132" s="486">
        <v>2045</v>
      </c>
      <c r="CU132" s="486">
        <v>2045</v>
      </c>
      <c r="CV132" s="486">
        <v>2045</v>
      </c>
      <c r="CW132" s="486">
        <v>2185</v>
      </c>
      <c r="CX132" s="486">
        <v>2197</v>
      </c>
      <c r="CY132" s="486">
        <v>2265</v>
      </c>
      <c r="CZ132" s="486">
        <v>2425</v>
      </c>
      <c r="DA132" s="486">
        <v>2425</v>
      </c>
      <c r="DB132" s="486">
        <v>2425</v>
      </c>
      <c r="DC132" s="486">
        <v>2425</v>
      </c>
      <c r="DD132" s="486">
        <v>2425</v>
      </c>
      <c r="DE132" s="728">
        <v>2425</v>
      </c>
      <c r="DF132" s="483"/>
    </row>
    <row r="133" spans="2:110" x14ac:dyDescent="0.35">
      <c r="B133" s="484" t="s">
        <v>568</v>
      </c>
      <c r="C133" s="484" t="s">
        <v>569</v>
      </c>
      <c r="D133" s="486"/>
      <c r="E133" s="486"/>
      <c r="F133" s="486"/>
      <c r="G133" s="486"/>
      <c r="H133" s="486"/>
      <c r="I133" s="486"/>
      <c r="J133" s="486"/>
      <c r="K133" s="486"/>
      <c r="L133" s="486"/>
      <c r="M133" s="486"/>
      <c r="N133" s="486"/>
      <c r="O133" s="486"/>
      <c r="P133" s="486"/>
      <c r="Q133" s="486"/>
      <c r="R133" s="486"/>
      <c r="S133" s="486"/>
      <c r="T133" s="486"/>
      <c r="U133" s="486"/>
      <c r="V133" s="486"/>
      <c r="W133" s="486"/>
      <c r="X133" s="486"/>
      <c r="Y133" s="486"/>
      <c r="Z133" s="486"/>
      <c r="AA133" s="486"/>
      <c r="AB133" s="486"/>
      <c r="AC133" s="486"/>
      <c r="AD133" s="486"/>
      <c r="AE133" s="486"/>
      <c r="AF133" s="486"/>
      <c r="AG133" s="486"/>
      <c r="AH133" s="486"/>
      <c r="AI133" s="486"/>
      <c r="AJ133" s="486"/>
      <c r="AK133" s="486"/>
      <c r="AL133" s="486"/>
      <c r="AM133" s="486"/>
      <c r="AN133" s="486"/>
      <c r="AO133" s="486"/>
      <c r="AP133" s="486"/>
      <c r="AQ133" s="486"/>
      <c r="AR133" s="486"/>
      <c r="AS133" s="486"/>
      <c r="AT133" s="486"/>
      <c r="AU133" s="486"/>
      <c r="AV133" s="486"/>
      <c r="AZ133" s="486"/>
      <c r="BA133" s="486"/>
      <c r="BB133" s="486"/>
      <c r="BC133" s="486"/>
      <c r="BD133" s="486"/>
      <c r="BE133" s="483"/>
      <c r="BF133" s="483"/>
      <c r="BG133" s="486"/>
      <c r="BH133" s="486"/>
      <c r="BI133" s="486"/>
      <c r="BJ133" s="486"/>
      <c r="BK133" s="486"/>
      <c r="BL133" s="486"/>
      <c r="BM133" s="486"/>
      <c r="BN133" s="486"/>
      <c r="BO133" s="486"/>
      <c r="BP133" s="486"/>
      <c r="BQ133" s="486"/>
      <c r="BR133" s="486"/>
      <c r="BS133" s="486">
        <v>1263</v>
      </c>
      <c r="BT133" s="486">
        <v>1263</v>
      </c>
      <c r="BU133" s="486">
        <v>1262</v>
      </c>
      <c r="BV133" s="486">
        <v>1262</v>
      </c>
      <c r="BW133" s="486">
        <v>1598</v>
      </c>
      <c r="BX133" s="486">
        <v>1764</v>
      </c>
      <c r="BY133" s="486">
        <v>1856</v>
      </c>
      <c r="BZ133" s="486">
        <v>1632</v>
      </c>
      <c r="CA133" s="486">
        <v>1631</v>
      </c>
      <c r="CB133" s="486">
        <v>1895</v>
      </c>
      <c r="CC133" s="486">
        <v>1895</v>
      </c>
      <c r="CD133" s="486">
        <v>1895</v>
      </c>
      <c r="CE133" s="486">
        <v>1895</v>
      </c>
      <c r="CF133" s="486">
        <v>1900</v>
      </c>
      <c r="CG133" s="486">
        <v>1902</v>
      </c>
      <c r="CH133" s="486">
        <v>2062</v>
      </c>
      <c r="CI133" s="486">
        <v>2062</v>
      </c>
      <c r="CJ133" s="486">
        <v>2062</v>
      </c>
      <c r="CK133" s="486">
        <v>2063</v>
      </c>
      <c r="CL133" s="486">
        <v>2127</v>
      </c>
      <c r="CM133" s="486">
        <v>2127</v>
      </c>
      <c r="CN133" s="486">
        <v>2137</v>
      </c>
      <c r="CO133" s="486">
        <v>2136</v>
      </c>
      <c r="CP133" s="486">
        <v>2136</v>
      </c>
      <c r="CQ133" s="486">
        <v>2136</v>
      </c>
      <c r="CR133" s="486">
        <v>2136</v>
      </c>
      <c r="CS133" s="486">
        <v>2176</v>
      </c>
      <c r="CT133" s="486">
        <v>2176</v>
      </c>
      <c r="CU133" s="486">
        <v>2184</v>
      </c>
      <c r="CV133" s="486">
        <v>2196</v>
      </c>
      <c r="CW133" s="486">
        <v>2196</v>
      </c>
      <c r="CX133" s="486">
        <v>2215</v>
      </c>
      <c r="CY133" s="486">
        <v>2216</v>
      </c>
      <c r="CZ133" s="486">
        <v>2222</v>
      </c>
      <c r="DA133" s="486">
        <v>2225</v>
      </c>
      <c r="DB133" s="486">
        <v>2225</v>
      </c>
      <c r="DC133" s="486">
        <v>2229</v>
      </c>
      <c r="DD133" s="486">
        <v>2229</v>
      </c>
      <c r="DE133" s="728">
        <v>2240</v>
      </c>
      <c r="DF133" s="483"/>
    </row>
    <row r="134" spans="2:110" x14ac:dyDescent="0.35">
      <c r="B134" s="484" t="s">
        <v>570</v>
      </c>
      <c r="C134" s="485" t="s">
        <v>571</v>
      </c>
      <c r="D134" s="486"/>
      <c r="E134" s="486"/>
      <c r="F134" s="486"/>
      <c r="G134" s="486"/>
      <c r="H134" s="486"/>
      <c r="I134" s="486"/>
      <c r="J134" s="486"/>
      <c r="K134" s="486"/>
      <c r="L134" s="486"/>
      <c r="M134" s="486"/>
      <c r="N134" s="486"/>
      <c r="O134" s="486"/>
      <c r="P134" s="486"/>
      <c r="Q134" s="486"/>
      <c r="R134" s="486"/>
      <c r="S134" s="486"/>
      <c r="T134" s="486"/>
      <c r="U134" s="486"/>
      <c r="V134" s="486"/>
      <c r="W134" s="486"/>
      <c r="X134" s="486"/>
      <c r="Y134" s="486"/>
      <c r="Z134" s="486"/>
      <c r="AA134" s="486"/>
      <c r="AB134" s="486"/>
      <c r="AC134" s="486"/>
      <c r="AD134" s="486"/>
      <c r="AE134" s="486"/>
      <c r="AF134" s="486"/>
      <c r="AG134" s="486"/>
      <c r="AH134" s="486"/>
      <c r="AI134" s="486"/>
      <c r="AJ134" s="486"/>
      <c r="AK134" s="486"/>
      <c r="AL134" s="486"/>
      <c r="AM134" s="486"/>
      <c r="AN134" s="486"/>
      <c r="AO134" s="486"/>
      <c r="AP134" s="486"/>
      <c r="AQ134" s="486"/>
      <c r="AR134" s="486"/>
      <c r="AS134" s="486"/>
      <c r="AT134" s="486"/>
      <c r="AU134" s="486"/>
      <c r="AV134" s="486"/>
      <c r="AZ134" s="486"/>
      <c r="BA134" s="486"/>
      <c r="BB134" s="486"/>
      <c r="BC134" s="486"/>
      <c r="BD134" s="486"/>
      <c r="BE134" s="483"/>
      <c r="BF134" s="483"/>
      <c r="BG134" s="486"/>
      <c r="BH134" s="486"/>
      <c r="BI134" s="486"/>
      <c r="BJ134" s="486"/>
      <c r="BK134" s="486"/>
      <c r="BL134" s="486"/>
      <c r="BM134" s="486"/>
      <c r="BN134" s="486"/>
      <c r="BO134" s="486"/>
      <c r="BP134" s="486"/>
      <c r="BQ134" s="486"/>
      <c r="BR134" s="486"/>
      <c r="BS134" s="486"/>
      <c r="BT134" s="486"/>
      <c r="BU134" s="486">
        <v>964</v>
      </c>
      <c r="BV134" s="486">
        <v>1051</v>
      </c>
      <c r="BW134" s="486">
        <v>1061</v>
      </c>
      <c r="BX134" s="486">
        <v>1101</v>
      </c>
      <c r="BY134" s="486">
        <v>1201</v>
      </c>
      <c r="BZ134" s="486">
        <v>1291</v>
      </c>
      <c r="CA134" s="486">
        <v>1381</v>
      </c>
      <c r="CB134" s="486">
        <v>1471</v>
      </c>
      <c r="CC134" s="486">
        <v>1481</v>
      </c>
      <c r="CD134" s="486">
        <v>1551</v>
      </c>
      <c r="CE134" s="486">
        <v>1591</v>
      </c>
      <c r="CF134" s="486">
        <v>1630</v>
      </c>
      <c r="CG134" s="486">
        <v>1718</v>
      </c>
      <c r="CH134" s="486">
        <v>1738</v>
      </c>
      <c r="CI134" s="486">
        <v>1823</v>
      </c>
      <c r="CJ134" s="486">
        <v>1873</v>
      </c>
      <c r="CK134" s="486">
        <v>1943</v>
      </c>
      <c r="CL134" s="486">
        <v>1943</v>
      </c>
      <c r="CM134" s="486">
        <v>2072</v>
      </c>
      <c r="CN134" s="486">
        <v>2141</v>
      </c>
      <c r="CO134" s="486">
        <v>2231</v>
      </c>
      <c r="CP134" s="486">
        <v>2241</v>
      </c>
      <c r="CQ134" s="486">
        <v>2240</v>
      </c>
      <c r="CR134" s="486">
        <v>2238</v>
      </c>
      <c r="CS134" s="486">
        <v>2238</v>
      </c>
      <c r="CT134" s="486">
        <v>2237</v>
      </c>
      <c r="CU134" s="486">
        <v>2299</v>
      </c>
      <c r="CV134" s="486">
        <v>2299</v>
      </c>
      <c r="CW134" s="486">
        <v>2396</v>
      </c>
      <c r="CX134" s="486">
        <v>2396</v>
      </c>
      <c r="CY134" s="486">
        <v>2395</v>
      </c>
      <c r="CZ134" s="486">
        <v>2394</v>
      </c>
      <c r="DA134" s="486">
        <v>2396</v>
      </c>
      <c r="DB134" s="486">
        <v>2396</v>
      </c>
      <c r="DC134" s="486">
        <v>2380</v>
      </c>
      <c r="DD134" s="486">
        <v>2237</v>
      </c>
      <c r="DE134" s="728">
        <v>1956</v>
      </c>
      <c r="DF134" s="483"/>
    </row>
    <row r="135" spans="2:110" x14ac:dyDescent="0.35">
      <c r="B135" s="484" t="s">
        <v>572</v>
      </c>
      <c r="C135" s="485" t="s">
        <v>573</v>
      </c>
      <c r="D135" s="486"/>
      <c r="E135" s="486"/>
      <c r="F135" s="486"/>
      <c r="G135" s="486"/>
      <c r="H135" s="486"/>
      <c r="I135" s="486"/>
      <c r="J135" s="486"/>
      <c r="K135" s="486"/>
      <c r="L135" s="486"/>
      <c r="M135" s="486"/>
      <c r="N135" s="486"/>
      <c r="O135" s="486"/>
      <c r="P135" s="486"/>
      <c r="Q135" s="486"/>
      <c r="R135" s="486"/>
      <c r="S135" s="486"/>
      <c r="T135" s="486"/>
      <c r="U135" s="486"/>
      <c r="V135" s="486"/>
      <c r="W135" s="486"/>
      <c r="X135" s="486"/>
      <c r="Y135" s="486"/>
      <c r="Z135" s="486"/>
      <c r="AA135" s="486"/>
      <c r="AB135" s="486"/>
      <c r="AC135" s="486"/>
      <c r="AD135" s="486"/>
      <c r="AE135" s="486"/>
      <c r="AF135" s="486"/>
      <c r="AG135" s="486"/>
      <c r="AH135" s="486"/>
      <c r="AI135" s="486"/>
      <c r="AJ135" s="486"/>
      <c r="AK135" s="486"/>
      <c r="AL135" s="486"/>
      <c r="AM135" s="486"/>
      <c r="AN135" s="486"/>
      <c r="AO135" s="486"/>
      <c r="AP135" s="486"/>
      <c r="AQ135" s="486"/>
      <c r="AR135" s="486"/>
      <c r="AS135" s="486"/>
      <c r="AT135" s="486"/>
      <c r="AU135" s="486"/>
      <c r="AV135" s="486"/>
      <c r="AZ135" s="486"/>
      <c r="BA135" s="486"/>
      <c r="BB135" s="486"/>
      <c r="BC135" s="486"/>
      <c r="BD135" s="486"/>
      <c r="BE135" s="483"/>
      <c r="BF135" s="483"/>
      <c r="BG135" s="486"/>
      <c r="BH135" s="486"/>
      <c r="BI135" s="486"/>
      <c r="BJ135" s="486"/>
      <c r="BK135" s="486"/>
      <c r="BL135" s="486"/>
      <c r="BM135" s="486"/>
      <c r="BN135" s="486"/>
      <c r="BO135" s="486"/>
      <c r="BP135" s="486"/>
      <c r="BQ135" s="486"/>
      <c r="BR135" s="486"/>
      <c r="BS135" s="486"/>
      <c r="BT135" s="486"/>
      <c r="BU135" s="486">
        <v>928</v>
      </c>
      <c r="BV135" s="486">
        <v>930</v>
      </c>
      <c r="BW135" s="486">
        <v>950</v>
      </c>
      <c r="BX135" s="486">
        <v>1009</v>
      </c>
      <c r="BY135" s="486">
        <v>1050</v>
      </c>
      <c r="BZ135" s="486">
        <v>1125</v>
      </c>
      <c r="CA135" s="486">
        <v>1188</v>
      </c>
      <c r="CB135" s="486">
        <v>1227</v>
      </c>
      <c r="CC135" s="486">
        <v>1295</v>
      </c>
      <c r="CD135" s="486">
        <v>1310</v>
      </c>
      <c r="CE135" s="486">
        <v>1335</v>
      </c>
      <c r="CF135" s="486">
        <v>1349</v>
      </c>
      <c r="CG135" s="486">
        <v>1413</v>
      </c>
      <c r="CH135" s="486">
        <v>1430</v>
      </c>
      <c r="CI135" s="486">
        <v>1436</v>
      </c>
      <c r="CJ135" s="486">
        <v>1463</v>
      </c>
      <c r="CK135" s="486">
        <v>1435</v>
      </c>
      <c r="CL135" s="486">
        <v>1457</v>
      </c>
      <c r="CM135" s="486">
        <v>1489</v>
      </c>
      <c r="CN135" s="486">
        <v>1552</v>
      </c>
      <c r="CO135" s="486">
        <v>1568</v>
      </c>
      <c r="CP135" s="486">
        <v>1584</v>
      </c>
      <c r="CQ135" s="486">
        <v>1624</v>
      </c>
      <c r="CR135" s="486">
        <v>1594</v>
      </c>
      <c r="CS135" s="486">
        <v>1589</v>
      </c>
      <c r="CT135" s="486">
        <v>1607</v>
      </c>
      <c r="CU135" s="486">
        <v>1623</v>
      </c>
      <c r="CV135" s="486">
        <v>1628</v>
      </c>
      <c r="CW135" s="486">
        <v>1639</v>
      </c>
      <c r="CX135" s="486">
        <v>1718</v>
      </c>
      <c r="CY135" s="486">
        <v>1760</v>
      </c>
      <c r="CZ135" s="486">
        <v>1794</v>
      </c>
      <c r="DA135" s="486">
        <v>1878</v>
      </c>
      <c r="DB135" s="486">
        <v>1890</v>
      </c>
      <c r="DC135" s="486">
        <v>1893</v>
      </c>
      <c r="DD135" s="486">
        <v>1887</v>
      </c>
      <c r="DE135" s="728">
        <v>1897</v>
      </c>
      <c r="DF135" s="483"/>
    </row>
    <row r="136" spans="2:110" x14ac:dyDescent="0.35">
      <c r="B136" s="484" t="s">
        <v>574</v>
      </c>
      <c r="C136" s="484" t="s">
        <v>575</v>
      </c>
      <c r="D136" s="486"/>
      <c r="E136" s="486"/>
      <c r="F136" s="486"/>
      <c r="G136" s="486"/>
      <c r="H136" s="486"/>
      <c r="I136" s="486"/>
      <c r="J136" s="486"/>
      <c r="K136" s="486"/>
      <c r="L136" s="486"/>
      <c r="M136" s="486"/>
      <c r="N136" s="486"/>
      <c r="O136" s="486"/>
      <c r="P136" s="486"/>
      <c r="Q136" s="486"/>
      <c r="R136" s="486"/>
      <c r="S136" s="486"/>
      <c r="T136" s="486"/>
      <c r="U136" s="486"/>
      <c r="V136" s="486"/>
      <c r="W136" s="486"/>
      <c r="X136" s="486"/>
      <c r="Y136" s="486"/>
      <c r="Z136" s="486"/>
      <c r="AA136" s="486"/>
      <c r="AB136" s="486"/>
      <c r="AC136" s="486"/>
      <c r="AD136" s="486"/>
      <c r="AE136" s="486"/>
      <c r="AF136" s="486"/>
      <c r="AG136" s="486"/>
      <c r="AH136" s="486"/>
      <c r="AI136" s="486"/>
      <c r="AJ136" s="486"/>
      <c r="AK136" s="486"/>
      <c r="AL136" s="486"/>
      <c r="AM136" s="486"/>
      <c r="AN136" s="486"/>
      <c r="AO136" s="483"/>
      <c r="AP136" s="483"/>
      <c r="AQ136" s="483"/>
      <c r="AR136" s="483"/>
      <c r="AS136" s="486"/>
      <c r="AT136" s="486"/>
      <c r="AU136" s="486"/>
      <c r="AV136" s="486"/>
      <c r="AZ136" s="486"/>
      <c r="BA136" s="486"/>
      <c r="BB136" s="486"/>
      <c r="BC136" s="486"/>
      <c r="BD136" s="486"/>
      <c r="BE136" s="486"/>
      <c r="BF136" s="486"/>
      <c r="BG136" s="486">
        <v>1016</v>
      </c>
      <c r="BH136" s="486">
        <v>1147</v>
      </c>
      <c r="BI136" s="486">
        <v>1220</v>
      </c>
      <c r="BJ136" s="486">
        <v>1285</v>
      </c>
      <c r="BK136" s="486">
        <v>1303</v>
      </c>
      <c r="BL136" s="486">
        <v>1335</v>
      </c>
      <c r="BM136" s="486">
        <v>1350</v>
      </c>
      <c r="BN136" s="486">
        <v>1347</v>
      </c>
      <c r="BO136" s="486">
        <v>1352</v>
      </c>
      <c r="BP136" s="486">
        <v>1354</v>
      </c>
      <c r="BQ136" s="486">
        <v>1354</v>
      </c>
      <c r="BR136" s="486">
        <v>1354</v>
      </c>
      <c r="BS136" s="486">
        <v>1357</v>
      </c>
      <c r="BT136" s="486"/>
      <c r="BU136" s="486">
        <v>958</v>
      </c>
      <c r="BV136" s="486">
        <v>969</v>
      </c>
      <c r="BW136" s="486">
        <v>976</v>
      </c>
      <c r="BX136" s="486">
        <v>980</v>
      </c>
      <c r="BY136" s="486">
        <v>989</v>
      </c>
      <c r="BZ136" s="486">
        <v>1012</v>
      </c>
      <c r="CA136" s="486">
        <v>1034</v>
      </c>
      <c r="CB136" s="486"/>
      <c r="CC136" s="486">
        <v>972</v>
      </c>
      <c r="CD136" s="486">
        <v>982</v>
      </c>
      <c r="CE136" s="486">
        <v>994</v>
      </c>
      <c r="CF136" s="486">
        <v>994</v>
      </c>
      <c r="CG136" s="486">
        <v>998</v>
      </c>
      <c r="CH136" s="486">
        <v>1000</v>
      </c>
      <c r="CI136" s="486">
        <v>1032</v>
      </c>
      <c r="CJ136" s="486">
        <v>1089</v>
      </c>
      <c r="CK136" s="486">
        <v>1112</v>
      </c>
      <c r="CL136" s="486">
        <v>1121</v>
      </c>
      <c r="CM136" s="486">
        <v>1123</v>
      </c>
      <c r="CN136" s="486">
        <v>1181</v>
      </c>
      <c r="CO136" s="486">
        <v>1186</v>
      </c>
      <c r="CP136" s="486">
        <v>1190</v>
      </c>
      <c r="CQ136" s="486">
        <v>1192</v>
      </c>
      <c r="CR136" s="486">
        <v>1256</v>
      </c>
      <c r="CS136" s="486">
        <v>1308</v>
      </c>
      <c r="CT136" s="486">
        <v>1350</v>
      </c>
      <c r="CU136" s="486">
        <v>1365</v>
      </c>
      <c r="CV136" s="486">
        <v>1418</v>
      </c>
      <c r="CW136" s="486">
        <v>1494</v>
      </c>
      <c r="CX136" s="486">
        <v>1556</v>
      </c>
      <c r="CY136" s="486">
        <v>1567</v>
      </c>
      <c r="CZ136" s="486">
        <v>1610</v>
      </c>
      <c r="DA136" s="486">
        <v>1651</v>
      </c>
      <c r="DB136" s="486">
        <v>1578</v>
      </c>
      <c r="DC136" s="486">
        <v>1638</v>
      </c>
      <c r="DD136" s="486">
        <v>1733</v>
      </c>
      <c r="DE136" s="728">
        <v>1803</v>
      </c>
      <c r="DF136" s="483"/>
    </row>
    <row r="137" spans="2:110" x14ac:dyDescent="0.35">
      <c r="B137" s="484" t="s">
        <v>576</v>
      </c>
      <c r="C137" s="485" t="s">
        <v>577</v>
      </c>
      <c r="D137" s="486"/>
      <c r="E137" s="486"/>
      <c r="F137" s="486"/>
      <c r="G137" s="486"/>
      <c r="H137" s="486"/>
      <c r="I137" s="486"/>
      <c r="J137" s="486"/>
      <c r="K137" s="486"/>
      <c r="L137" s="486"/>
      <c r="M137" s="486"/>
      <c r="N137" s="486"/>
      <c r="O137" s="486"/>
      <c r="P137" s="486"/>
      <c r="Q137" s="486"/>
      <c r="R137" s="486"/>
      <c r="S137" s="486"/>
      <c r="T137" s="486"/>
      <c r="U137" s="486"/>
      <c r="V137" s="486"/>
      <c r="W137" s="486"/>
      <c r="X137" s="486"/>
      <c r="Y137" s="486"/>
      <c r="Z137" s="486"/>
      <c r="AA137" s="486"/>
      <c r="AB137" s="486"/>
      <c r="AC137" s="486"/>
      <c r="AD137" s="486"/>
      <c r="AE137" s="486"/>
      <c r="AF137" s="486"/>
      <c r="AG137" s="486"/>
      <c r="AH137" s="486"/>
      <c r="AI137" s="486"/>
      <c r="AJ137" s="486">
        <v>1081</v>
      </c>
      <c r="AK137" s="486">
        <v>1151</v>
      </c>
      <c r="AL137" s="486">
        <v>1230</v>
      </c>
      <c r="AM137" s="486">
        <v>1244</v>
      </c>
      <c r="AN137" s="486">
        <v>1278</v>
      </c>
      <c r="AO137" s="486">
        <v>1333</v>
      </c>
      <c r="AP137" s="486">
        <v>1441</v>
      </c>
      <c r="AQ137" s="486">
        <v>1345</v>
      </c>
      <c r="AR137" s="486">
        <v>1429</v>
      </c>
      <c r="AS137" s="486">
        <v>1509</v>
      </c>
      <c r="AT137" s="486">
        <v>1668</v>
      </c>
      <c r="AU137" s="486">
        <v>1794</v>
      </c>
      <c r="AV137" s="486">
        <v>1852</v>
      </c>
      <c r="AW137" s="486">
        <v>2093</v>
      </c>
      <c r="AX137" s="486">
        <v>2188</v>
      </c>
      <c r="AY137" s="486">
        <v>2253</v>
      </c>
      <c r="AZ137" s="486">
        <v>1771</v>
      </c>
      <c r="BA137" s="486">
        <v>1994</v>
      </c>
      <c r="BB137" s="486">
        <v>2228</v>
      </c>
      <c r="BC137" s="486">
        <v>2547</v>
      </c>
      <c r="BD137" s="486">
        <v>2819</v>
      </c>
      <c r="BE137" s="486">
        <v>3127</v>
      </c>
      <c r="BF137" s="486">
        <v>3502</v>
      </c>
      <c r="BG137" s="486">
        <v>3813</v>
      </c>
      <c r="BH137" s="486">
        <v>4021</v>
      </c>
      <c r="BI137" s="486">
        <v>4419</v>
      </c>
      <c r="BJ137" s="486">
        <v>4975</v>
      </c>
      <c r="BK137" s="486">
        <v>5126</v>
      </c>
      <c r="BL137" s="486">
        <v>5550</v>
      </c>
      <c r="BM137" s="486">
        <v>5918</v>
      </c>
      <c r="BN137" s="486">
        <v>6468</v>
      </c>
      <c r="BO137" s="486">
        <v>6803</v>
      </c>
      <c r="BP137" s="486">
        <v>7082</v>
      </c>
      <c r="BQ137" s="486">
        <v>7516</v>
      </c>
      <c r="BR137" s="486">
        <v>8088</v>
      </c>
      <c r="BS137" s="486">
        <v>8409</v>
      </c>
      <c r="BT137" s="486">
        <v>8778</v>
      </c>
      <c r="BU137" s="486">
        <v>9181</v>
      </c>
      <c r="BV137" s="486">
        <v>9636</v>
      </c>
      <c r="BW137" s="486">
        <v>9645</v>
      </c>
      <c r="BX137" s="486">
        <v>10116</v>
      </c>
      <c r="BY137" s="486">
        <v>9542</v>
      </c>
      <c r="BZ137" s="486">
        <v>9101</v>
      </c>
      <c r="CA137" s="486">
        <v>8865</v>
      </c>
      <c r="CB137" s="486">
        <v>8193</v>
      </c>
      <c r="CC137" s="486">
        <v>6937</v>
      </c>
      <c r="CD137" s="486">
        <v>7000</v>
      </c>
      <c r="CE137" s="486">
        <v>6977</v>
      </c>
      <c r="CF137" s="486">
        <v>6983</v>
      </c>
      <c r="CG137" s="486">
        <v>6995</v>
      </c>
      <c r="CH137" s="486">
        <v>6084</v>
      </c>
      <c r="CI137" s="486">
        <v>6091</v>
      </c>
      <c r="CJ137" s="486">
        <v>4975</v>
      </c>
      <c r="CK137" s="486">
        <v>4980</v>
      </c>
      <c r="CL137" s="486">
        <v>4090</v>
      </c>
      <c r="CM137" s="486">
        <v>4077</v>
      </c>
      <c r="CN137" s="486">
        <v>3372</v>
      </c>
      <c r="CO137" s="486">
        <v>2042</v>
      </c>
      <c r="CP137" s="486">
        <v>1859</v>
      </c>
      <c r="CQ137" s="486">
        <v>1683</v>
      </c>
      <c r="CR137" s="486">
        <v>1413</v>
      </c>
      <c r="CS137" s="486">
        <v>1327</v>
      </c>
      <c r="CT137" s="486">
        <v>1220</v>
      </c>
      <c r="CU137" s="486">
        <v>1222</v>
      </c>
      <c r="CV137" s="486">
        <v>977</v>
      </c>
      <c r="CW137" s="486">
        <v>985</v>
      </c>
      <c r="CX137" s="486">
        <v>625</v>
      </c>
      <c r="CY137" s="486">
        <v>482</v>
      </c>
      <c r="CZ137" s="486">
        <v>405</v>
      </c>
      <c r="DA137" s="486">
        <v>2</v>
      </c>
      <c r="DB137" s="486">
        <v>2</v>
      </c>
      <c r="DC137" s="486">
        <v>2</v>
      </c>
      <c r="DD137" s="486">
        <v>1</v>
      </c>
      <c r="DE137" s="728">
        <v>1</v>
      </c>
      <c r="DF137" s="483"/>
    </row>
    <row r="138" spans="2:110" x14ac:dyDescent="0.35">
      <c r="B138" s="484" t="s">
        <v>578</v>
      </c>
      <c r="C138" s="485" t="s">
        <v>579</v>
      </c>
      <c r="D138" s="486"/>
      <c r="E138" s="486"/>
      <c r="F138" s="486"/>
      <c r="G138" s="486"/>
      <c r="H138" s="486">
        <v>686</v>
      </c>
      <c r="I138" s="486">
        <v>1068</v>
      </c>
      <c r="J138" s="486">
        <v>1142</v>
      </c>
      <c r="K138" s="486"/>
      <c r="L138" s="486">
        <v>1142</v>
      </c>
      <c r="M138" s="486">
        <v>1144</v>
      </c>
      <c r="N138" s="486">
        <v>1144</v>
      </c>
      <c r="O138" s="486">
        <v>1144</v>
      </c>
      <c r="P138" s="486">
        <v>1144</v>
      </c>
      <c r="Q138" s="486">
        <v>1144</v>
      </c>
      <c r="R138" s="486">
        <v>1144</v>
      </c>
      <c r="S138" s="486">
        <v>1144</v>
      </c>
      <c r="T138" s="486">
        <v>1144</v>
      </c>
      <c r="U138" s="486">
        <v>1144</v>
      </c>
      <c r="V138" s="486">
        <v>1144</v>
      </c>
      <c r="W138" s="486">
        <v>1144</v>
      </c>
      <c r="X138" s="486">
        <v>1144</v>
      </c>
      <c r="Y138" s="486">
        <v>1144</v>
      </c>
      <c r="Z138" s="486">
        <v>1144</v>
      </c>
      <c r="AA138" s="486">
        <v>1144</v>
      </c>
      <c r="AB138" s="486">
        <v>1144</v>
      </c>
      <c r="AC138" s="486">
        <v>1143</v>
      </c>
      <c r="AD138" s="486">
        <v>1143</v>
      </c>
      <c r="AE138" s="486">
        <v>1143</v>
      </c>
      <c r="AF138" s="486">
        <v>1143</v>
      </c>
      <c r="AG138" s="486">
        <v>1143</v>
      </c>
      <c r="AH138" s="486">
        <v>1143</v>
      </c>
      <c r="AI138" s="486">
        <v>1143</v>
      </c>
      <c r="AJ138" s="486">
        <v>1143</v>
      </c>
      <c r="AK138" s="486">
        <v>1143</v>
      </c>
      <c r="AL138" s="486">
        <v>1143</v>
      </c>
      <c r="AM138" s="486">
        <v>1143</v>
      </c>
      <c r="AN138" s="486">
        <v>1143</v>
      </c>
      <c r="AO138" s="486">
        <v>1143</v>
      </c>
      <c r="AP138" s="486">
        <v>1143</v>
      </c>
      <c r="AQ138" s="486">
        <v>1143</v>
      </c>
      <c r="AR138" s="486">
        <v>1143</v>
      </c>
      <c r="AS138" s="486">
        <v>1143</v>
      </c>
      <c r="AT138" s="486">
        <v>1143</v>
      </c>
      <c r="AU138" s="486">
        <v>1143</v>
      </c>
      <c r="AV138" s="486">
        <v>1143</v>
      </c>
      <c r="AW138" s="486">
        <v>1143</v>
      </c>
      <c r="AX138" s="486">
        <v>1143</v>
      </c>
      <c r="AY138" s="486">
        <v>1143</v>
      </c>
      <c r="AZ138" s="486">
        <v>1143</v>
      </c>
      <c r="BA138" s="486">
        <v>1143</v>
      </c>
      <c r="BB138" s="486">
        <v>1143</v>
      </c>
      <c r="BC138" s="486">
        <v>1143</v>
      </c>
      <c r="BD138" s="486">
        <v>1143</v>
      </c>
      <c r="BE138" s="486">
        <v>1143</v>
      </c>
      <c r="BF138" s="486">
        <v>1143</v>
      </c>
      <c r="BG138" s="486">
        <v>1143</v>
      </c>
      <c r="BH138" s="486">
        <v>1143</v>
      </c>
      <c r="BI138" s="486">
        <v>1143</v>
      </c>
      <c r="BJ138" s="486">
        <v>1143</v>
      </c>
      <c r="BK138" s="486">
        <v>1143</v>
      </c>
      <c r="BL138" s="486">
        <v>1143</v>
      </c>
      <c r="BM138" s="486">
        <v>1143</v>
      </c>
      <c r="BN138" s="486">
        <v>1060</v>
      </c>
      <c r="BO138" s="486">
        <v>1060</v>
      </c>
      <c r="BP138" s="486">
        <v>1060</v>
      </c>
      <c r="BQ138" s="486">
        <v>1059</v>
      </c>
      <c r="BR138" s="486">
        <v>1059</v>
      </c>
      <c r="BS138" s="486">
        <v>1059</v>
      </c>
      <c r="BT138" s="486">
        <v>1059</v>
      </c>
      <c r="BU138" s="486">
        <v>1059</v>
      </c>
      <c r="BV138" s="486">
        <v>1059</v>
      </c>
      <c r="BW138" s="486">
        <v>1059</v>
      </c>
      <c r="BX138" s="486">
        <v>1059</v>
      </c>
      <c r="BY138" s="486">
        <v>1059</v>
      </c>
      <c r="BZ138" s="486">
        <v>1059</v>
      </c>
      <c r="CA138" s="486">
        <v>1059</v>
      </c>
      <c r="CB138" s="486">
        <v>1059</v>
      </c>
      <c r="CC138" s="486">
        <v>1059</v>
      </c>
      <c r="CD138" s="486">
        <v>1059</v>
      </c>
      <c r="CE138" s="486">
        <v>1059</v>
      </c>
      <c r="CF138" s="486">
        <v>1059</v>
      </c>
      <c r="CG138" s="486">
        <v>1059</v>
      </c>
      <c r="CH138" s="486">
        <v>1059</v>
      </c>
      <c r="CI138" s="486">
        <v>1059</v>
      </c>
      <c r="CJ138" s="486">
        <v>1059</v>
      </c>
      <c r="CK138" s="486">
        <v>1059</v>
      </c>
      <c r="CL138" s="486">
        <v>1059</v>
      </c>
      <c r="CM138" s="486">
        <v>1059</v>
      </c>
      <c r="CN138" s="486">
        <v>1059</v>
      </c>
      <c r="CO138" s="486">
        <v>1059</v>
      </c>
      <c r="CP138" s="486">
        <v>1059</v>
      </c>
      <c r="CQ138" s="486">
        <v>1059</v>
      </c>
      <c r="CR138" s="486">
        <v>1059</v>
      </c>
      <c r="CS138" s="486">
        <v>1059</v>
      </c>
      <c r="CT138" s="486">
        <v>1059</v>
      </c>
      <c r="CU138" s="486">
        <v>1059</v>
      </c>
      <c r="CV138" s="486">
        <v>1059</v>
      </c>
      <c r="CW138" s="486">
        <v>1059</v>
      </c>
      <c r="CX138" s="486">
        <v>1059</v>
      </c>
      <c r="CY138" s="486">
        <v>1059</v>
      </c>
      <c r="CZ138" s="486">
        <v>1059</v>
      </c>
      <c r="DA138" s="486">
        <v>1059</v>
      </c>
      <c r="DB138" s="486">
        <v>1059</v>
      </c>
      <c r="DC138" s="486">
        <v>1059</v>
      </c>
      <c r="DD138" s="486">
        <v>1059</v>
      </c>
      <c r="DE138" s="728">
        <v>1059</v>
      </c>
      <c r="DF138" s="483"/>
    </row>
    <row r="139" spans="2:110" x14ac:dyDescent="0.35">
      <c r="B139" s="484" t="s">
        <v>580</v>
      </c>
      <c r="C139" s="485" t="s">
        <v>581</v>
      </c>
      <c r="D139" s="486"/>
      <c r="E139" s="486"/>
      <c r="F139" s="486"/>
      <c r="G139" s="486"/>
      <c r="H139" s="486"/>
      <c r="I139" s="486"/>
      <c r="J139" s="486">
        <v>905</v>
      </c>
      <c r="K139" s="486"/>
      <c r="L139" s="486">
        <v>1105</v>
      </c>
      <c r="M139" s="486">
        <v>1105</v>
      </c>
      <c r="N139" s="486">
        <v>1105</v>
      </c>
      <c r="O139" s="486">
        <v>1105</v>
      </c>
      <c r="P139" s="486">
        <v>1105</v>
      </c>
      <c r="Q139" s="486">
        <v>1105</v>
      </c>
      <c r="R139" s="486">
        <v>1105</v>
      </c>
      <c r="S139" s="486">
        <v>1105</v>
      </c>
      <c r="T139" s="486">
        <v>1105</v>
      </c>
      <c r="U139" s="486">
        <v>1105</v>
      </c>
      <c r="V139" s="486">
        <v>1105</v>
      </c>
      <c r="W139" s="486">
        <v>1105</v>
      </c>
      <c r="X139" s="486">
        <v>1105</v>
      </c>
      <c r="Y139" s="486">
        <v>1105</v>
      </c>
      <c r="Z139" s="486">
        <v>1105</v>
      </c>
      <c r="AA139" s="486">
        <v>1105</v>
      </c>
      <c r="AB139" s="486">
        <v>1105</v>
      </c>
      <c r="AC139" s="486">
        <v>1105</v>
      </c>
      <c r="AD139" s="486">
        <v>1105</v>
      </c>
      <c r="AE139" s="486">
        <v>1105</v>
      </c>
      <c r="AF139" s="486">
        <v>1105</v>
      </c>
      <c r="AG139" s="486">
        <v>1105</v>
      </c>
      <c r="AH139" s="486">
        <v>1105</v>
      </c>
      <c r="AI139" s="486">
        <v>1105</v>
      </c>
      <c r="AJ139" s="486">
        <v>1105</v>
      </c>
      <c r="AK139" s="486">
        <v>1105</v>
      </c>
      <c r="AL139" s="486">
        <v>1090</v>
      </c>
      <c r="AM139" s="486">
        <v>1090</v>
      </c>
      <c r="AN139" s="486">
        <v>1090</v>
      </c>
      <c r="AO139" s="486">
        <v>1090</v>
      </c>
      <c r="AP139" s="486">
        <v>1090</v>
      </c>
      <c r="AQ139" s="486">
        <v>1290</v>
      </c>
      <c r="AR139" s="486">
        <v>1290</v>
      </c>
      <c r="AS139" s="486">
        <v>1290</v>
      </c>
      <c r="AT139" s="486">
        <v>1290</v>
      </c>
      <c r="AU139" s="486">
        <v>1290</v>
      </c>
      <c r="AV139" s="486">
        <v>1290</v>
      </c>
      <c r="AW139" s="486">
        <v>1290</v>
      </c>
      <c r="AX139" s="486">
        <v>1290</v>
      </c>
      <c r="AY139" s="486">
        <v>1290</v>
      </c>
      <c r="AZ139" s="486">
        <v>1290</v>
      </c>
      <c r="BA139" s="486">
        <v>1290</v>
      </c>
      <c r="BB139" s="486">
        <v>1290</v>
      </c>
      <c r="BC139" s="486">
        <v>1290</v>
      </c>
      <c r="BD139" s="486">
        <v>1290</v>
      </c>
      <c r="BE139" s="486">
        <v>1290</v>
      </c>
      <c r="BF139" s="486">
        <v>1290</v>
      </c>
      <c r="BG139" s="486">
        <v>1290</v>
      </c>
      <c r="BH139" s="486">
        <v>1290</v>
      </c>
      <c r="BI139" s="486">
        <v>1290</v>
      </c>
      <c r="BJ139" s="486">
        <v>1290</v>
      </c>
      <c r="BK139" s="486">
        <v>1290</v>
      </c>
      <c r="BL139" s="486">
        <v>1290</v>
      </c>
      <c r="BM139" s="486">
        <v>1290</v>
      </c>
      <c r="BN139" s="486">
        <v>1290</v>
      </c>
      <c r="BO139" s="486">
        <v>1290</v>
      </c>
      <c r="BP139" s="486">
        <v>1290</v>
      </c>
      <c r="BQ139" s="486">
        <v>1290</v>
      </c>
      <c r="BR139" s="486">
        <v>1290</v>
      </c>
      <c r="BS139" s="486">
        <v>1290</v>
      </c>
      <c r="BT139" s="486">
        <v>1290</v>
      </c>
      <c r="BU139" s="486">
        <v>1290</v>
      </c>
      <c r="BV139" s="486">
        <v>1290</v>
      </c>
      <c r="BW139" s="486">
        <v>1290</v>
      </c>
      <c r="BX139" s="486">
        <v>1290</v>
      </c>
      <c r="BY139" s="486">
        <v>1290</v>
      </c>
      <c r="BZ139" s="486">
        <v>1290</v>
      </c>
      <c r="CA139" s="486">
        <v>1290</v>
      </c>
      <c r="CB139" s="486">
        <v>1290</v>
      </c>
      <c r="CC139" s="486">
        <v>1289</v>
      </c>
      <c r="CD139" s="486">
        <v>1289</v>
      </c>
      <c r="CE139" s="486">
        <v>1289</v>
      </c>
      <c r="CF139" s="486">
        <v>1289</v>
      </c>
      <c r="CG139" s="486">
        <v>1289</v>
      </c>
      <c r="CH139" s="486">
        <v>1289</v>
      </c>
      <c r="CI139" s="486">
        <v>1289</v>
      </c>
      <c r="CJ139" s="486">
        <v>1289</v>
      </c>
      <c r="CK139" s="486">
        <v>1289</v>
      </c>
      <c r="CL139" s="486">
        <v>1289</v>
      </c>
      <c r="CM139" s="486">
        <v>1289</v>
      </c>
      <c r="CN139" s="486">
        <v>1289</v>
      </c>
      <c r="CO139" s="486">
        <v>1289</v>
      </c>
      <c r="CP139" s="486">
        <v>1289</v>
      </c>
      <c r="CQ139" s="486">
        <v>1289</v>
      </c>
      <c r="CR139" s="486">
        <v>1289</v>
      </c>
      <c r="CS139" s="486">
        <v>1289</v>
      </c>
      <c r="CT139" s="486">
        <v>1289</v>
      </c>
      <c r="CU139" s="486">
        <v>1289</v>
      </c>
      <c r="CV139" s="486">
        <v>1289</v>
      </c>
      <c r="CW139" s="486">
        <v>1289</v>
      </c>
      <c r="CX139" s="486">
        <v>1289</v>
      </c>
      <c r="CY139" s="486">
        <v>1289</v>
      </c>
      <c r="CZ139" s="486">
        <v>1289</v>
      </c>
      <c r="DA139" s="486">
        <v>1289</v>
      </c>
      <c r="DB139" s="486">
        <v>1289</v>
      </c>
      <c r="DC139" s="486">
        <v>5</v>
      </c>
      <c r="DD139" s="486">
        <v>0</v>
      </c>
      <c r="DE139" s="728">
        <v>0</v>
      </c>
      <c r="DF139" s="483"/>
    </row>
    <row r="140" spans="2:110" x14ac:dyDescent="0.35">
      <c r="B140" s="484" t="s">
        <v>582</v>
      </c>
      <c r="C140" s="485" t="s">
        <v>583</v>
      </c>
      <c r="D140" s="486"/>
      <c r="E140" s="486"/>
      <c r="F140" s="486"/>
      <c r="G140" s="486"/>
      <c r="H140" s="486"/>
      <c r="I140" s="486"/>
      <c r="J140" s="486"/>
      <c r="K140" s="486"/>
      <c r="L140" s="486"/>
      <c r="M140" s="486"/>
      <c r="N140" s="486"/>
      <c r="O140" s="486"/>
      <c r="P140" s="486"/>
      <c r="Q140" s="486">
        <v>1015</v>
      </c>
      <c r="R140" s="486">
        <v>2213</v>
      </c>
      <c r="S140" s="486">
        <v>2413</v>
      </c>
      <c r="T140" s="486">
        <v>2413</v>
      </c>
      <c r="U140" s="486">
        <v>2813</v>
      </c>
      <c r="V140" s="486">
        <v>3412</v>
      </c>
      <c r="W140" s="486">
        <v>3413</v>
      </c>
      <c r="X140" s="486">
        <v>3413</v>
      </c>
      <c r="Y140" s="486">
        <v>3413</v>
      </c>
      <c r="Z140" s="486">
        <v>3413</v>
      </c>
      <c r="AA140" s="486">
        <v>3412</v>
      </c>
      <c r="AB140" s="486">
        <v>3412</v>
      </c>
      <c r="AC140" s="486">
        <v>3612</v>
      </c>
      <c r="AD140" s="486">
        <v>3813</v>
      </c>
      <c r="AE140" s="486">
        <v>4613</v>
      </c>
      <c r="AF140" s="486">
        <v>5013</v>
      </c>
      <c r="AG140" s="486">
        <v>6612</v>
      </c>
      <c r="AH140" s="486">
        <v>7212</v>
      </c>
      <c r="AI140" s="486">
        <v>7811</v>
      </c>
      <c r="AJ140" s="486">
        <v>8210</v>
      </c>
      <c r="AK140" s="486">
        <v>8178</v>
      </c>
      <c r="AL140" s="486">
        <v>8293</v>
      </c>
      <c r="AM140" s="486">
        <v>8082</v>
      </c>
      <c r="AN140" s="486">
        <v>5565</v>
      </c>
      <c r="AO140" s="486">
        <v>5902</v>
      </c>
      <c r="AP140" s="486">
        <v>6665</v>
      </c>
      <c r="AQ140" s="486">
        <v>6891</v>
      </c>
      <c r="AR140" s="486">
        <v>7280</v>
      </c>
      <c r="AS140" s="486">
        <v>7597</v>
      </c>
      <c r="AT140" s="486">
        <v>7345</v>
      </c>
      <c r="AU140" s="486">
        <v>7252</v>
      </c>
      <c r="AV140" s="486">
        <v>6632</v>
      </c>
      <c r="AW140" s="486">
        <v>6501</v>
      </c>
      <c r="AX140" s="486">
        <v>6364</v>
      </c>
      <c r="AY140" s="486">
        <v>6138</v>
      </c>
      <c r="AZ140" s="486">
        <v>5865</v>
      </c>
      <c r="BA140" s="486">
        <v>5735</v>
      </c>
      <c r="BB140" s="486">
        <v>5585</v>
      </c>
      <c r="BC140" s="486">
        <v>5534</v>
      </c>
      <c r="BD140" s="486">
        <v>5542</v>
      </c>
      <c r="BE140" s="486">
        <v>5024</v>
      </c>
      <c r="BF140" s="486">
        <v>4826</v>
      </c>
      <c r="BG140" s="486">
        <v>4883</v>
      </c>
      <c r="BH140" s="486">
        <v>4883</v>
      </c>
      <c r="BI140" s="486">
        <v>4883</v>
      </c>
      <c r="BJ140" s="486">
        <v>4908</v>
      </c>
      <c r="BK140" s="486">
        <v>4972</v>
      </c>
      <c r="BL140" s="486">
        <v>4969</v>
      </c>
      <c r="BM140" s="486">
        <v>4696</v>
      </c>
      <c r="BN140" s="486">
        <v>4248</v>
      </c>
      <c r="BO140" s="486">
        <v>4197</v>
      </c>
      <c r="BP140" s="486">
        <v>3999</v>
      </c>
      <c r="BQ140" s="486">
        <v>3999</v>
      </c>
      <c r="BR140" s="486">
        <v>3733</v>
      </c>
      <c r="BS140" s="486">
        <v>3689</v>
      </c>
      <c r="BT140" s="486">
        <v>3005</v>
      </c>
      <c r="BU140" s="486">
        <v>2967</v>
      </c>
      <c r="BV140" s="486">
        <v>2638</v>
      </c>
      <c r="BW140" s="486">
        <v>2606</v>
      </c>
      <c r="BX140" s="486">
        <v>2536</v>
      </c>
      <c r="BY140" s="486">
        <v>2536</v>
      </c>
      <c r="BZ140" s="486">
        <v>2481</v>
      </c>
      <c r="CA140" s="486">
        <v>2464</v>
      </c>
      <c r="CB140" s="486">
        <v>2464</v>
      </c>
      <c r="CC140" s="486">
        <v>2188</v>
      </c>
      <c r="CD140" s="486">
        <v>2177</v>
      </c>
      <c r="CE140" s="486">
        <v>2170</v>
      </c>
      <c r="CF140" s="486">
        <v>2141</v>
      </c>
      <c r="CG140" s="486">
        <v>2119</v>
      </c>
      <c r="CH140" s="486">
        <v>2119</v>
      </c>
      <c r="CI140" s="486">
        <v>2119</v>
      </c>
      <c r="CJ140" s="486">
        <v>2119</v>
      </c>
      <c r="CK140" s="486">
        <v>2027</v>
      </c>
      <c r="CL140" s="486">
        <v>2027</v>
      </c>
      <c r="CM140" s="486">
        <v>2027</v>
      </c>
      <c r="CN140" s="486">
        <v>1983</v>
      </c>
      <c r="CO140" s="486">
        <v>1978</v>
      </c>
      <c r="CP140" s="486">
        <v>1525</v>
      </c>
      <c r="CQ140" s="486">
        <v>1500</v>
      </c>
      <c r="CR140" s="486">
        <v>1494</v>
      </c>
      <c r="CS140" s="486">
        <v>1494</v>
      </c>
      <c r="CT140" s="486">
        <v>1389</v>
      </c>
      <c r="CU140" s="486">
        <v>1279</v>
      </c>
      <c r="CV140" s="486">
        <v>1261</v>
      </c>
      <c r="CW140" s="486">
        <v>1206</v>
      </c>
      <c r="CX140" s="486">
        <v>1192</v>
      </c>
      <c r="CY140" s="486">
        <v>1139</v>
      </c>
      <c r="CZ140" s="486">
        <v>1123</v>
      </c>
      <c r="DA140" s="486">
        <v>1090</v>
      </c>
      <c r="DB140" s="486">
        <v>1090</v>
      </c>
      <c r="DC140" s="486">
        <v>1051</v>
      </c>
      <c r="DD140" s="486">
        <v>1036</v>
      </c>
      <c r="DE140" s="728">
        <v>998</v>
      </c>
      <c r="DF140" s="483"/>
    </row>
    <row r="141" spans="2:110" x14ac:dyDescent="0.35">
      <c r="B141" s="484" t="s">
        <v>584</v>
      </c>
      <c r="C141" s="485" t="s">
        <v>585</v>
      </c>
      <c r="D141" s="486"/>
      <c r="E141" s="486"/>
      <c r="F141" s="486"/>
      <c r="G141" s="486"/>
      <c r="H141" s="486"/>
      <c r="I141" s="486"/>
      <c r="J141" s="486"/>
      <c r="K141" s="486"/>
      <c r="L141" s="486"/>
      <c r="M141" s="486"/>
      <c r="N141" s="486"/>
      <c r="O141" s="486"/>
      <c r="P141" s="486"/>
      <c r="Q141" s="486"/>
      <c r="R141" s="486"/>
      <c r="S141" s="486"/>
      <c r="T141" s="486"/>
      <c r="U141" s="486"/>
      <c r="V141" s="486"/>
      <c r="W141" s="486"/>
      <c r="X141" s="486"/>
      <c r="Y141" s="486"/>
      <c r="Z141" s="486"/>
      <c r="AA141" s="486"/>
      <c r="AB141" s="486"/>
      <c r="AC141" s="486"/>
      <c r="AD141" s="486"/>
      <c r="AE141" s="486"/>
      <c r="AF141" s="486"/>
      <c r="AG141" s="486"/>
      <c r="AH141" s="486"/>
      <c r="AI141" s="486"/>
      <c r="AJ141" s="486"/>
      <c r="AK141" s="486"/>
      <c r="AL141" s="486"/>
      <c r="AM141" s="486"/>
      <c r="AN141" s="486"/>
      <c r="AO141" s="486"/>
      <c r="AP141" s="486"/>
      <c r="AQ141" s="486"/>
      <c r="AR141" s="486"/>
      <c r="AS141" s="486"/>
      <c r="AT141" s="486"/>
      <c r="AU141" s="486"/>
      <c r="AV141" s="486"/>
      <c r="AW141" s="486"/>
      <c r="AX141" s="486"/>
      <c r="AY141" s="486"/>
      <c r="AZ141" s="486"/>
      <c r="BA141" s="486"/>
      <c r="BB141" s="486"/>
      <c r="BC141" s="486"/>
      <c r="BD141" s="486"/>
      <c r="BE141" s="483"/>
      <c r="BF141" s="483"/>
      <c r="BG141" s="483"/>
      <c r="BH141" s="483"/>
      <c r="BM141" s="486"/>
      <c r="BN141" s="486"/>
      <c r="BO141" s="486">
        <v>1061</v>
      </c>
      <c r="BP141" s="486">
        <v>1061</v>
      </c>
      <c r="BQ141" s="486">
        <v>1069</v>
      </c>
      <c r="BR141" s="486">
        <v>1102</v>
      </c>
      <c r="BS141" s="486">
        <v>1133</v>
      </c>
      <c r="BT141" s="486">
        <v>1161</v>
      </c>
      <c r="BU141" s="486">
        <v>1190</v>
      </c>
      <c r="BV141" s="486">
        <v>1197</v>
      </c>
      <c r="BW141" s="486">
        <v>1252</v>
      </c>
      <c r="BX141" s="486">
        <v>1329</v>
      </c>
      <c r="BY141" s="486">
        <v>1390</v>
      </c>
      <c r="BZ141" s="486">
        <v>1410</v>
      </c>
      <c r="CA141" s="486">
        <v>1497</v>
      </c>
      <c r="CB141" s="486">
        <v>1527</v>
      </c>
      <c r="CC141" s="486">
        <v>1557</v>
      </c>
      <c r="CD141" s="486">
        <v>1662</v>
      </c>
      <c r="CE141" s="486">
        <v>1662</v>
      </c>
      <c r="CF141" s="486">
        <v>1651</v>
      </c>
      <c r="CG141" s="486">
        <v>1689</v>
      </c>
      <c r="CH141" s="486">
        <v>1709</v>
      </c>
      <c r="CI141" s="486">
        <v>1712</v>
      </c>
      <c r="CJ141" s="486">
        <v>1730</v>
      </c>
      <c r="CK141" s="486">
        <v>1730</v>
      </c>
      <c r="CL141" s="486">
        <v>1730</v>
      </c>
      <c r="CM141" s="486">
        <v>1730</v>
      </c>
      <c r="CN141" s="486">
        <v>1730</v>
      </c>
      <c r="CO141" s="486">
        <v>1730</v>
      </c>
      <c r="CP141" s="486">
        <v>1730</v>
      </c>
      <c r="CQ141" s="486">
        <v>1730</v>
      </c>
      <c r="CR141" s="486">
        <v>1582</v>
      </c>
      <c r="CS141" s="486">
        <v>1582</v>
      </c>
      <c r="CT141" s="486">
        <v>1582</v>
      </c>
      <c r="CU141" s="486">
        <v>1529</v>
      </c>
      <c r="CV141" s="486">
        <v>1529</v>
      </c>
      <c r="CW141" s="486">
        <v>1529</v>
      </c>
      <c r="CX141" s="486">
        <v>1475</v>
      </c>
      <c r="CY141" s="486">
        <v>1475</v>
      </c>
      <c r="CZ141" s="486">
        <v>1475</v>
      </c>
      <c r="DA141" s="486">
        <v>1475</v>
      </c>
      <c r="DB141" s="486">
        <v>1475</v>
      </c>
      <c r="DC141" s="486">
        <v>1475</v>
      </c>
      <c r="DD141" s="486">
        <v>1475</v>
      </c>
      <c r="DE141" s="728">
        <v>1475</v>
      </c>
      <c r="DF141" s="483"/>
    </row>
    <row r="142" spans="2:110" x14ac:dyDescent="0.35">
      <c r="B142" s="484" t="s">
        <v>586</v>
      </c>
      <c r="C142" s="485" t="s">
        <v>587</v>
      </c>
      <c r="D142" s="486"/>
      <c r="E142" s="486"/>
      <c r="F142" s="486"/>
      <c r="G142" s="486"/>
      <c r="H142" s="486"/>
      <c r="I142" s="486"/>
      <c r="J142" s="486"/>
      <c r="K142" s="486"/>
      <c r="L142" s="486"/>
      <c r="M142" s="486"/>
      <c r="N142" s="486"/>
      <c r="O142" s="486"/>
      <c r="P142" s="486"/>
      <c r="Q142" s="486"/>
      <c r="R142" s="486"/>
      <c r="S142" s="486"/>
      <c r="T142" s="486"/>
      <c r="U142" s="486"/>
      <c r="V142" s="486"/>
      <c r="W142" s="486"/>
      <c r="X142" s="486"/>
      <c r="Y142" s="486"/>
      <c r="Z142" s="486"/>
      <c r="AA142" s="486"/>
      <c r="AB142" s="486"/>
      <c r="AC142" s="486"/>
      <c r="AD142" s="486"/>
      <c r="AE142" s="486"/>
      <c r="AF142" s="486"/>
      <c r="AG142" s="486"/>
      <c r="AH142" s="486"/>
      <c r="AI142" s="486"/>
      <c r="AJ142" s="486"/>
      <c r="AK142" s="486"/>
      <c r="AL142" s="486"/>
      <c r="AM142" s="486"/>
      <c r="AN142" s="486"/>
      <c r="AO142" s="486"/>
      <c r="AP142" s="486"/>
      <c r="AQ142" s="486"/>
      <c r="AR142" s="486"/>
      <c r="AS142" s="486"/>
      <c r="AT142" s="486"/>
      <c r="AU142" s="486"/>
      <c r="AV142" s="486"/>
      <c r="AW142" s="486"/>
      <c r="AX142" s="486"/>
      <c r="AY142" s="486"/>
      <c r="AZ142" s="486"/>
      <c r="BA142" s="486"/>
      <c r="BB142" s="486"/>
      <c r="BC142" s="486"/>
      <c r="BD142" s="486"/>
      <c r="BE142" s="483"/>
      <c r="BF142" s="483"/>
      <c r="BG142" s="483"/>
      <c r="BH142" s="483"/>
      <c r="BM142" s="486"/>
      <c r="BN142" s="486"/>
      <c r="BO142" s="486">
        <v>1047</v>
      </c>
      <c r="BP142" s="486">
        <v>1086</v>
      </c>
      <c r="BQ142" s="486">
        <v>1137</v>
      </c>
      <c r="BR142" s="486">
        <v>1275</v>
      </c>
      <c r="BS142" s="486">
        <v>1266</v>
      </c>
      <c r="BT142" s="486">
        <v>1229</v>
      </c>
      <c r="BU142" s="486">
        <v>1205</v>
      </c>
      <c r="BV142" s="486">
        <v>1193</v>
      </c>
      <c r="BW142" s="486">
        <v>1193</v>
      </c>
      <c r="BX142" s="486">
        <v>1191</v>
      </c>
      <c r="BY142" s="486">
        <v>1133</v>
      </c>
      <c r="BZ142" s="486">
        <v>1132</v>
      </c>
      <c r="CA142" s="486">
        <v>1100</v>
      </c>
      <c r="CB142" s="486">
        <v>1071</v>
      </c>
      <c r="CC142" s="486">
        <v>1071</v>
      </c>
      <c r="CD142" s="486">
        <v>1071</v>
      </c>
      <c r="CE142" s="486">
        <v>1071</v>
      </c>
      <c r="CF142" s="486">
        <v>1070</v>
      </c>
      <c r="CG142" s="486">
        <v>1026</v>
      </c>
      <c r="CH142" s="486">
        <v>1005</v>
      </c>
      <c r="CI142" s="486">
        <v>980</v>
      </c>
      <c r="CJ142" s="486">
        <v>919</v>
      </c>
      <c r="CK142" s="486">
        <v>906</v>
      </c>
      <c r="CL142" s="486">
        <v>885</v>
      </c>
      <c r="CM142" s="486">
        <v>864</v>
      </c>
      <c r="CN142" s="486">
        <v>840</v>
      </c>
      <c r="CO142" s="486">
        <v>832</v>
      </c>
      <c r="CP142" s="486">
        <v>819</v>
      </c>
      <c r="CQ142" s="486">
        <v>802</v>
      </c>
      <c r="CR142" s="486">
        <v>754</v>
      </c>
      <c r="CS142" s="486">
        <v>747</v>
      </c>
      <c r="CT142" s="486">
        <v>728</v>
      </c>
      <c r="CU142" s="486">
        <v>719</v>
      </c>
      <c r="CV142" s="486">
        <v>705</v>
      </c>
      <c r="CW142" s="486">
        <v>689</v>
      </c>
      <c r="CX142" s="486">
        <v>683</v>
      </c>
      <c r="CY142" s="486">
        <v>441</v>
      </c>
      <c r="CZ142" s="486">
        <v>438</v>
      </c>
      <c r="DA142" s="486">
        <v>433</v>
      </c>
      <c r="DB142" s="486">
        <v>416</v>
      </c>
      <c r="DC142" s="486">
        <v>372</v>
      </c>
      <c r="DD142" s="486">
        <v>365</v>
      </c>
      <c r="DE142" s="728">
        <v>367</v>
      </c>
      <c r="DF142" s="483"/>
    </row>
    <row r="143" spans="2:110" x14ac:dyDescent="0.35">
      <c r="B143" s="484" t="s">
        <v>588</v>
      </c>
      <c r="C143" s="484" t="s">
        <v>589</v>
      </c>
      <c r="D143" s="486"/>
      <c r="E143" s="486"/>
      <c r="F143" s="486"/>
      <c r="G143" s="486"/>
      <c r="H143" s="486"/>
      <c r="I143" s="486"/>
      <c r="J143" s="486"/>
      <c r="K143" s="486"/>
      <c r="L143" s="486"/>
      <c r="M143" s="486"/>
      <c r="N143" s="486"/>
      <c r="O143" s="486"/>
      <c r="P143" s="486"/>
      <c r="Q143" s="486"/>
      <c r="R143" s="486"/>
      <c r="S143" s="486"/>
      <c r="T143" s="486"/>
      <c r="U143" s="486"/>
      <c r="V143" s="486"/>
      <c r="W143" s="486"/>
      <c r="X143" s="486"/>
      <c r="Y143" s="486"/>
      <c r="Z143" s="486"/>
      <c r="AA143" s="486"/>
      <c r="AB143" s="486"/>
      <c r="AC143" s="486"/>
      <c r="AD143" s="486"/>
      <c r="AE143" s="486"/>
      <c r="AF143" s="486"/>
      <c r="AG143" s="486"/>
      <c r="AH143" s="486"/>
      <c r="AI143" s="486"/>
      <c r="AJ143" s="486"/>
      <c r="AK143" s="486"/>
      <c r="AL143" s="486"/>
      <c r="AM143" s="486"/>
      <c r="AN143" s="486"/>
      <c r="AO143" s="486"/>
      <c r="AP143" s="486"/>
      <c r="AQ143" s="486"/>
      <c r="AR143" s="486"/>
      <c r="AS143" s="486"/>
      <c r="AT143" s="486"/>
      <c r="AU143" s="486"/>
      <c r="AV143" s="486"/>
      <c r="AZ143" s="486"/>
      <c r="BA143" s="486"/>
      <c r="BB143" s="486"/>
      <c r="BC143" s="486"/>
      <c r="BD143" s="486"/>
      <c r="BE143" s="483"/>
      <c r="BF143" s="483"/>
      <c r="BG143" s="486"/>
      <c r="BH143" s="486"/>
      <c r="BI143" s="486"/>
      <c r="BJ143" s="486"/>
      <c r="BK143" s="486"/>
      <c r="BL143" s="486"/>
      <c r="BM143" s="486"/>
      <c r="BN143" s="486"/>
      <c r="BO143" s="486"/>
      <c r="BP143" s="486">
        <v>1046</v>
      </c>
      <c r="BQ143" s="486">
        <v>1068</v>
      </c>
      <c r="BR143" s="486">
        <v>1083</v>
      </c>
      <c r="BS143" s="486">
        <v>1109</v>
      </c>
      <c r="BT143" s="486">
        <v>1131</v>
      </c>
      <c r="BU143" s="486">
        <v>1144</v>
      </c>
      <c r="BV143" s="486">
        <v>1176</v>
      </c>
      <c r="BW143" s="486">
        <v>1119</v>
      </c>
      <c r="BX143" s="486">
        <v>1105</v>
      </c>
      <c r="BY143" s="486">
        <v>1103</v>
      </c>
      <c r="BZ143" s="486">
        <v>1107</v>
      </c>
      <c r="CA143" s="486">
        <v>1099</v>
      </c>
      <c r="CB143" s="486">
        <v>1109</v>
      </c>
      <c r="CC143" s="486">
        <v>1107</v>
      </c>
      <c r="CD143" s="486">
        <v>1102</v>
      </c>
      <c r="CE143" s="486">
        <v>1092</v>
      </c>
      <c r="CF143" s="486">
        <v>1006</v>
      </c>
      <c r="CG143" s="486">
        <v>994</v>
      </c>
      <c r="CH143" s="486">
        <v>957</v>
      </c>
      <c r="CI143" s="486">
        <v>941</v>
      </c>
      <c r="CJ143" s="486">
        <v>941</v>
      </c>
      <c r="CK143" s="486">
        <v>940</v>
      </c>
      <c r="CL143" s="486">
        <v>935</v>
      </c>
      <c r="CM143" s="486">
        <v>923</v>
      </c>
      <c r="CN143" s="486">
        <v>871</v>
      </c>
      <c r="CO143" s="486">
        <v>869</v>
      </c>
      <c r="CP143" s="486">
        <v>856</v>
      </c>
      <c r="CQ143" s="486">
        <v>850</v>
      </c>
      <c r="CR143" s="486">
        <v>811</v>
      </c>
      <c r="CS143" s="486">
        <v>799</v>
      </c>
      <c r="CT143" s="486">
        <v>809</v>
      </c>
      <c r="CU143" s="486">
        <v>873</v>
      </c>
      <c r="CV143" s="486">
        <v>882</v>
      </c>
      <c r="CW143" s="486">
        <v>850</v>
      </c>
      <c r="CX143" s="486">
        <v>903</v>
      </c>
      <c r="CY143" s="486">
        <v>941</v>
      </c>
      <c r="CZ143" s="486">
        <v>951</v>
      </c>
      <c r="DA143" s="486">
        <v>998</v>
      </c>
      <c r="DB143" s="486">
        <v>1024</v>
      </c>
      <c r="DC143" s="486">
        <v>1023</v>
      </c>
      <c r="DD143" s="486">
        <v>996</v>
      </c>
      <c r="DE143" s="728">
        <v>990</v>
      </c>
      <c r="DF143" s="483"/>
    </row>
    <row r="144" spans="2:110" x14ac:dyDescent="0.35">
      <c r="B144" s="484" t="s">
        <v>590</v>
      </c>
      <c r="C144" s="484" t="s">
        <v>591</v>
      </c>
      <c r="D144" s="486"/>
      <c r="E144" s="486"/>
      <c r="F144" s="486"/>
      <c r="G144" s="486"/>
      <c r="H144" s="486"/>
      <c r="I144" s="486"/>
      <c r="J144" s="486"/>
      <c r="K144" s="486"/>
      <c r="L144" s="486"/>
      <c r="M144" s="486"/>
      <c r="N144" s="486"/>
      <c r="O144" s="486"/>
      <c r="P144" s="486"/>
      <c r="Q144" s="486"/>
      <c r="R144" s="486"/>
      <c r="S144" s="486"/>
      <c r="T144" s="486"/>
      <c r="U144" s="486"/>
      <c r="V144" s="486"/>
      <c r="W144" s="486"/>
      <c r="X144" s="486"/>
      <c r="Y144" s="486"/>
      <c r="Z144" s="486"/>
      <c r="AA144" s="486"/>
      <c r="AB144" s="486"/>
      <c r="AC144" s="486"/>
      <c r="AD144" s="486"/>
      <c r="AE144" s="486"/>
      <c r="AF144" s="486"/>
      <c r="AG144" s="486"/>
      <c r="AH144" s="486"/>
      <c r="AI144" s="486"/>
      <c r="AJ144" s="486"/>
      <c r="AK144" s="486"/>
      <c r="AL144" s="486"/>
      <c r="AM144" s="486"/>
      <c r="AN144" s="486"/>
      <c r="AO144" s="486"/>
      <c r="AP144" s="486"/>
      <c r="AQ144" s="486"/>
      <c r="AR144" s="486"/>
      <c r="AS144" s="486"/>
      <c r="AT144" s="486"/>
      <c r="AU144" s="486"/>
      <c r="AV144" s="486"/>
      <c r="AZ144" s="486"/>
      <c r="BA144" s="486"/>
      <c r="BB144" s="486"/>
      <c r="BC144" s="486"/>
      <c r="BD144" s="486"/>
      <c r="BE144" s="483"/>
      <c r="BF144" s="483"/>
      <c r="BG144" s="486"/>
      <c r="BH144" s="486"/>
      <c r="BI144" s="486"/>
      <c r="BJ144" s="486"/>
      <c r="BK144" s="486"/>
      <c r="BL144" s="486"/>
      <c r="BM144" s="486"/>
      <c r="BN144" s="486"/>
      <c r="BO144" s="486"/>
      <c r="BP144" s="486"/>
      <c r="BQ144" s="486">
        <v>1018</v>
      </c>
      <c r="BR144" s="486">
        <v>1098</v>
      </c>
      <c r="BS144" s="486">
        <v>1258</v>
      </c>
      <c r="BT144" s="486">
        <v>1283</v>
      </c>
      <c r="BU144" s="486">
        <v>1363</v>
      </c>
      <c r="BV144" s="486">
        <v>1355</v>
      </c>
      <c r="BW144" s="486">
        <v>1327</v>
      </c>
      <c r="BX144" s="486">
        <v>1345</v>
      </c>
      <c r="BY144" s="486">
        <v>1345</v>
      </c>
      <c r="BZ144" s="486">
        <v>1341</v>
      </c>
      <c r="CA144" s="486">
        <v>1340</v>
      </c>
      <c r="CB144" s="486">
        <v>1335</v>
      </c>
      <c r="CC144" s="486">
        <v>1329</v>
      </c>
      <c r="CD144" s="486">
        <v>1329</v>
      </c>
      <c r="CE144" s="486">
        <v>1314</v>
      </c>
      <c r="CF144" s="486">
        <v>1314</v>
      </c>
      <c r="CG144" s="486">
        <v>1314</v>
      </c>
      <c r="CH144" s="486">
        <v>1159</v>
      </c>
      <c r="CI144" s="486">
        <v>1159</v>
      </c>
      <c r="CJ144" s="486">
        <v>1159</v>
      </c>
      <c r="CK144" s="486">
        <v>1159</v>
      </c>
      <c r="CL144" s="486">
        <v>1159</v>
      </c>
      <c r="CM144" s="486">
        <v>1159</v>
      </c>
      <c r="CN144" s="486">
        <v>1159</v>
      </c>
      <c r="CO144" s="486">
        <v>1159</v>
      </c>
      <c r="CP144" s="486">
        <v>1159</v>
      </c>
      <c r="CQ144" s="486">
        <v>1159</v>
      </c>
      <c r="CR144" s="486">
        <v>1159</v>
      </c>
      <c r="CS144" s="486">
        <v>1159</v>
      </c>
      <c r="CT144" s="486">
        <v>1159</v>
      </c>
      <c r="CU144" s="486">
        <v>1159</v>
      </c>
      <c r="CV144" s="486">
        <v>1159</v>
      </c>
      <c r="CW144" s="486">
        <v>913</v>
      </c>
      <c r="CX144" s="486">
        <v>902</v>
      </c>
      <c r="CY144" s="486">
        <v>797</v>
      </c>
      <c r="CZ144" s="486">
        <v>750</v>
      </c>
      <c r="DA144" s="486">
        <v>750</v>
      </c>
      <c r="DB144" s="486">
        <v>671</v>
      </c>
      <c r="DC144" s="486">
        <v>671</v>
      </c>
      <c r="DD144" s="486">
        <v>668</v>
      </c>
      <c r="DE144" s="728">
        <v>193</v>
      </c>
      <c r="DF144" s="483"/>
    </row>
    <row r="145" spans="2:110" x14ac:dyDescent="0.35">
      <c r="B145" s="484" t="s">
        <v>592</v>
      </c>
      <c r="C145" s="485" t="s">
        <v>593</v>
      </c>
      <c r="D145" s="486"/>
      <c r="E145" s="486"/>
      <c r="F145" s="486"/>
      <c r="G145" s="486"/>
      <c r="H145" s="486"/>
      <c r="I145" s="486"/>
      <c r="J145" s="486"/>
      <c r="K145" s="486"/>
      <c r="L145" s="486"/>
      <c r="M145" s="486"/>
      <c r="N145" s="486"/>
      <c r="O145" s="486"/>
      <c r="P145" s="486"/>
      <c r="Q145" s="486"/>
      <c r="R145" s="486"/>
      <c r="S145" s="486"/>
      <c r="T145" s="486"/>
      <c r="U145" s="486"/>
      <c r="V145" s="486"/>
      <c r="W145" s="486"/>
      <c r="X145" s="486"/>
      <c r="Y145" s="486"/>
      <c r="Z145" s="486"/>
      <c r="AA145" s="486"/>
      <c r="AB145" s="486"/>
      <c r="AC145" s="486"/>
      <c r="AD145" s="486"/>
      <c r="AE145" s="486"/>
      <c r="AF145" s="486"/>
      <c r="AG145" s="486"/>
      <c r="AH145" s="486">
        <v>1050</v>
      </c>
      <c r="AI145" s="486">
        <v>1050</v>
      </c>
      <c r="AJ145" s="486">
        <v>1050</v>
      </c>
      <c r="AK145" s="486">
        <v>1048</v>
      </c>
      <c r="AL145" s="486">
        <v>1148</v>
      </c>
      <c r="AM145" s="486">
        <v>1148</v>
      </c>
      <c r="AN145" s="486">
        <v>1148</v>
      </c>
      <c r="AO145" s="486">
        <v>1148</v>
      </c>
      <c r="AP145" s="486">
        <v>1158</v>
      </c>
      <c r="AQ145" s="486">
        <v>1248</v>
      </c>
      <c r="AR145" s="486">
        <v>1248</v>
      </c>
      <c r="AS145" s="486">
        <v>1248</v>
      </c>
      <c r="AT145" s="486">
        <v>1248</v>
      </c>
      <c r="AU145" s="486">
        <v>1213</v>
      </c>
      <c r="AV145" s="486">
        <v>1212</v>
      </c>
      <c r="AW145" s="486">
        <v>1212</v>
      </c>
      <c r="AX145" s="486">
        <v>1212</v>
      </c>
      <c r="AY145" s="486">
        <v>1213</v>
      </c>
      <c r="AZ145" s="486">
        <v>1213</v>
      </c>
      <c r="BA145" s="486">
        <v>1213</v>
      </c>
      <c r="BB145" s="486">
        <v>1213</v>
      </c>
      <c r="BC145" s="486">
        <v>1213</v>
      </c>
      <c r="BD145" s="486">
        <v>1213</v>
      </c>
      <c r="BE145" s="486">
        <v>1213</v>
      </c>
      <c r="BF145" s="486">
        <v>1213</v>
      </c>
      <c r="BG145" s="486">
        <v>1121</v>
      </c>
      <c r="BH145" s="486">
        <v>1112</v>
      </c>
      <c r="BI145" s="486">
        <v>1112</v>
      </c>
      <c r="BJ145" s="486">
        <v>1110</v>
      </c>
      <c r="BK145" s="486">
        <v>1110</v>
      </c>
      <c r="BL145" s="486">
        <v>1110</v>
      </c>
      <c r="BM145" s="486">
        <v>1110</v>
      </c>
      <c r="BN145" s="486">
        <v>1061</v>
      </c>
      <c r="BO145" s="486">
        <v>1071</v>
      </c>
      <c r="BP145" s="486">
        <v>1101</v>
      </c>
      <c r="BQ145" s="486">
        <v>1111</v>
      </c>
      <c r="BR145" s="486">
        <v>1116</v>
      </c>
      <c r="BS145" s="486">
        <v>1116</v>
      </c>
      <c r="BT145" s="486">
        <v>1118</v>
      </c>
      <c r="BU145" s="486">
        <v>1212</v>
      </c>
      <c r="BV145" s="486">
        <v>1211</v>
      </c>
      <c r="BW145" s="486">
        <v>1211</v>
      </c>
      <c r="BX145" s="486">
        <v>1211</v>
      </c>
      <c r="BY145" s="486">
        <v>1211</v>
      </c>
      <c r="BZ145" s="486">
        <v>1211</v>
      </c>
      <c r="CA145" s="486">
        <v>1211</v>
      </c>
      <c r="CB145" s="486">
        <v>1211</v>
      </c>
      <c r="CC145" s="486">
        <v>1211</v>
      </c>
      <c r="CD145" s="486">
        <v>1211</v>
      </c>
      <c r="CE145" s="486">
        <v>1211</v>
      </c>
      <c r="CF145" s="486">
        <v>1211</v>
      </c>
      <c r="CG145" s="486">
        <v>1211</v>
      </c>
      <c r="CH145" s="486">
        <v>1211</v>
      </c>
      <c r="CI145" s="486">
        <v>1215</v>
      </c>
      <c r="CJ145" s="486">
        <v>1233</v>
      </c>
      <c r="CK145" s="486">
        <v>1238</v>
      </c>
      <c r="CL145" s="486">
        <v>1246</v>
      </c>
      <c r="CM145" s="486">
        <v>1058</v>
      </c>
      <c r="CN145" s="486">
        <v>1057</v>
      </c>
      <c r="CO145" s="486">
        <v>1057</v>
      </c>
      <c r="CP145" s="486">
        <v>1055</v>
      </c>
      <c r="CQ145" s="486">
        <v>1055</v>
      </c>
      <c r="CR145" s="486">
        <v>1057</v>
      </c>
      <c r="CS145" s="486">
        <v>1059</v>
      </c>
      <c r="CT145" s="486">
        <v>1059</v>
      </c>
      <c r="CU145" s="486">
        <v>1061</v>
      </c>
      <c r="CV145" s="486">
        <v>1060</v>
      </c>
      <c r="CW145" s="486">
        <v>1060</v>
      </c>
      <c r="CX145" s="486">
        <v>1060</v>
      </c>
      <c r="CY145" s="486">
        <v>1063</v>
      </c>
      <c r="CZ145" s="486">
        <v>1071</v>
      </c>
      <c r="DA145" s="486">
        <v>1073</v>
      </c>
      <c r="DB145" s="486">
        <v>1081</v>
      </c>
      <c r="DC145" s="486">
        <v>1082</v>
      </c>
      <c r="DD145" s="486">
        <v>974</v>
      </c>
      <c r="DE145" s="728">
        <v>1033</v>
      </c>
      <c r="DF145" s="483"/>
    </row>
    <row r="146" spans="2:110" x14ac:dyDescent="0.35">
      <c r="B146" s="484" t="s">
        <v>594</v>
      </c>
      <c r="C146" s="485" t="s">
        <v>595</v>
      </c>
      <c r="D146" s="486"/>
      <c r="E146" s="486"/>
      <c r="F146" s="486"/>
      <c r="G146" s="486"/>
      <c r="H146" s="486"/>
      <c r="I146" s="486"/>
      <c r="J146" s="486"/>
      <c r="K146" s="486"/>
      <c r="L146" s="486"/>
      <c r="M146" s="486"/>
      <c r="N146" s="486"/>
      <c r="O146" s="486"/>
      <c r="P146" s="486"/>
      <c r="Q146" s="486"/>
      <c r="R146" s="486"/>
      <c r="S146" s="486"/>
      <c r="T146" s="486"/>
      <c r="U146" s="486"/>
      <c r="V146" s="486"/>
      <c r="W146" s="486"/>
      <c r="X146" s="486"/>
      <c r="Y146" s="486"/>
      <c r="Z146" s="486"/>
      <c r="AA146" s="486"/>
      <c r="AB146" s="486"/>
      <c r="AC146" s="486"/>
      <c r="AD146" s="486"/>
      <c r="AE146" s="486"/>
      <c r="AF146" s="486"/>
      <c r="AG146" s="486"/>
      <c r="AH146" s="486">
        <v>2702</v>
      </c>
      <c r="AI146" s="486">
        <v>2702</v>
      </c>
      <c r="AJ146" s="486">
        <v>2702</v>
      </c>
      <c r="AK146" s="486">
        <v>2702</v>
      </c>
      <c r="AL146" s="486">
        <v>2702</v>
      </c>
      <c r="AM146" s="486"/>
      <c r="AN146" s="486"/>
      <c r="AO146" s="483"/>
      <c r="AP146" s="486">
        <v>2702</v>
      </c>
      <c r="AQ146" s="486">
        <v>2702</v>
      </c>
      <c r="AR146" s="486">
        <v>2702</v>
      </c>
      <c r="AS146" s="486">
        <v>2702</v>
      </c>
      <c r="AT146" s="486">
        <v>2702</v>
      </c>
      <c r="AU146" s="486">
        <v>2702</v>
      </c>
      <c r="AV146" s="486">
        <v>2704</v>
      </c>
      <c r="AW146" s="486">
        <v>3041</v>
      </c>
      <c r="AX146" s="486">
        <v>3042</v>
      </c>
      <c r="AY146" s="486">
        <v>3042</v>
      </c>
      <c r="AZ146" s="486">
        <v>3042</v>
      </c>
      <c r="BA146" s="486">
        <v>3042</v>
      </c>
      <c r="BB146" s="486">
        <v>3106</v>
      </c>
      <c r="BC146" s="486">
        <v>3046</v>
      </c>
      <c r="BD146" s="486">
        <v>3046</v>
      </c>
      <c r="BE146" s="486">
        <v>3046</v>
      </c>
      <c r="BF146" s="486">
        <v>3103</v>
      </c>
      <c r="BG146" s="486">
        <v>3103</v>
      </c>
      <c r="BH146" s="486">
        <v>3220</v>
      </c>
      <c r="BI146" s="486">
        <v>3526</v>
      </c>
      <c r="BJ146" s="486">
        <v>3540</v>
      </c>
      <c r="BK146" s="486">
        <v>3540</v>
      </c>
      <c r="BL146" s="486">
        <v>3540</v>
      </c>
      <c r="BM146" s="486">
        <v>3540</v>
      </c>
      <c r="BN146" s="486">
        <v>3371</v>
      </c>
      <c r="BO146" s="486">
        <v>3369</v>
      </c>
      <c r="BP146" s="486">
        <v>3369</v>
      </c>
      <c r="BQ146" s="486">
        <v>3365</v>
      </c>
      <c r="BR146" s="486">
        <v>3380</v>
      </c>
      <c r="BS146" s="486">
        <v>3379</v>
      </c>
      <c r="BT146" s="486">
        <v>3383</v>
      </c>
      <c r="BU146" s="486">
        <v>3385</v>
      </c>
      <c r="BV146" s="486">
        <v>3241</v>
      </c>
      <c r="BW146" s="486">
        <v>3241</v>
      </c>
      <c r="BX146" s="486">
        <v>3250</v>
      </c>
      <c r="BY146" s="486">
        <v>3250</v>
      </c>
      <c r="BZ146" s="486">
        <v>3250</v>
      </c>
      <c r="CA146" s="486">
        <v>3131</v>
      </c>
      <c r="CB146" s="486">
        <v>3131</v>
      </c>
      <c r="CC146" s="486">
        <v>3113</v>
      </c>
      <c r="CD146" s="486">
        <v>3113</v>
      </c>
      <c r="CE146" s="486">
        <v>3113</v>
      </c>
      <c r="CF146" s="486">
        <v>3113</v>
      </c>
      <c r="CG146" s="486">
        <v>3114</v>
      </c>
      <c r="CH146" s="486">
        <v>3114</v>
      </c>
      <c r="CI146" s="486">
        <v>3114</v>
      </c>
      <c r="CJ146" s="486">
        <v>3114</v>
      </c>
      <c r="CK146" s="486">
        <v>3114</v>
      </c>
      <c r="CL146" s="486">
        <v>3114</v>
      </c>
      <c r="CM146" s="486">
        <v>3114</v>
      </c>
      <c r="CN146" s="486">
        <v>3114</v>
      </c>
      <c r="CO146" s="486">
        <v>3114</v>
      </c>
      <c r="CP146" s="486">
        <v>2386</v>
      </c>
      <c r="CQ146" s="486">
        <v>2270</v>
      </c>
      <c r="CR146" s="486">
        <v>2268</v>
      </c>
      <c r="CS146" s="486">
        <v>1469</v>
      </c>
      <c r="CT146" s="486">
        <v>1469</v>
      </c>
      <c r="CU146" s="486">
        <v>1469</v>
      </c>
      <c r="CV146" s="486">
        <v>1069</v>
      </c>
      <c r="CW146" s="486">
        <v>1069</v>
      </c>
      <c r="CX146" s="486">
        <v>1069</v>
      </c>
      <c r="CY146" s="486">
        <v>1069</v>
      </c>
      <c r="CZ146" s="486">
        <v>328</v>
      </c>
      <c r="DA146" s="486">
        <v>328</v>
      </c>
      <c r="DB146" s="486">
        <v>328</v>
      </c>
      <c r="DC146" s="486">
        <v>328</v>
      </c>
      <c r="DD146" s="486">
        <v>328</v>
      </c>
      <c r="DE146" s="728">
        <v>328</v>
      </c>
      <c r="DF146" s="483"/>
    </row>
    <row r="147" spans="2:110" x14ac:dyDescent="0.35">
      <c r="B147" s="484" t="s">
        <v>596</v>
      </c>
      <c r="C147" s="485" t="s">
        <v>597</v>
      </c>
      <c r="D147" s="486"/>
      <c r="E147" s="486"/>
      <c r="F147" s="486"/>
      <c r="G147" s="486"/>
      <c r="H147" s="486"/>
      <c r="I147" s="486"/>
      <c r="J147" s="486"/>
      <c r="K147" s="486"/>
      <c r="L147" s="486"/>
      <c r="M147" s="486"/>
      <c r="N147" s="486"/>
      <c r="O147" s="486"/>
      <c r="P147" s="486"/>
      <c r="Q147" s="486"/>
      <c r="R147" s="486"/>
      <c r="S147" s="486"/>
      <c r="T147" s="486"/>
      <c r="U147" s="486"/>
      <c r="V147" s="486"/>
      <c r="W147" s="486"/>
      <c r="X147" s="486"/>
      <c r="Y147" s="486"/>
      <c r="Z147" s="486"/>
      <c r="AA147" s="486"/>
      <c r="AB147" s="486"/>
      <c r="AC147" s="486"/>
      <c r="AD147" s="486"/>
      <c r="AE147" s="486"/>
      <c r="AF147" s="486"/>
      <c r="AG147" s="486"/>
      <c r="AH147" s="486"/>
      <c r="AI147" s="486"/>
      <c r="AJ147" s="486"/>
      <c r="AK147" s="486"/>
      <c r="AL147" s="486"/>
      <c r="AM147" s="486"/>
      <c r="AN147" s="486"/>
      <c r="AO147" s="483"/>
      <c r="AP147" s="486">
        <v>1724</v>
      </c>
      <c r="AQ147" s="486">
        <v>1747</v>
      </c>
      <c r="AR147" s="486">
        <v>1748</v>
      </c>
      <c r="AS147" s="486">
        <v>1774</v>
      </c>
      <c r="AT147" s="486">
        <v>1768</v>
      </c>
      <c r="AU147" s="486">
        <v>1783</v>
      </c>
      <c r="AV147" s="486">
        <v>1788</v>
      </c>
      <c r="AW147" s="486">
        <v>1787</v>
      </c>
      <c r="AX147" s="486">
        <v>1797</v>
      </c>
      <c r="AY147" s="486">
        <v>1831</v>
      </c>
      <c r="AZ147" s="486">
        <v>1835</v>
      </c>
      <c r="BA147" s="486">
        <v>1855</v>
      </c>
      <c r="BB147" s="486">
        <v>1805</v>
      </c>
      <c r="BC147" s="486">
        <v>1981</v>
      </c>
      <c r="BD147" s="486">
        <v>2133</v>
      </c>
      <c r="BE147" s="486">
        <v>2128</v>
      </c>
      <c r="BF147" s="486">
        <v>2146</v>
      </c>
      <c r="BG147" s="486">
        <v>2192</v>
      </c>
      <c r="BH147" s="486">
        <v>2191</v>
      </c>
      <c r="BI147" s="486">
        <v>2192</v>
      </c>
      <c r="BJ147" s="486">
        <v>2195</v>
      </c>
      <c r="BK147" s="486">
        <v>1874</v>
      </c>
      <c r="BL147" s="486">
        <v>1868</v>
      </c>
      <c r="BM147" s="486">
        <v>1883</v>
      </c>
      <c r="BN147" s="486">
        <v>1896</v>
      </c>
      <c r="BO147" s="486">
        <v>1898</v>
      </c>
      <c r="BP147" s="486">
        <v>1732</v>
      </c>
      <c r="BQ147" s="486">
        <v>1727</v>
      </c>
      <c r="BR147" s="486">
        <v>1723</v>
      </c>
      <c r="BS147" s="486">
        <v>1608</v>
      </c>
      <c r="BT147" s="486">
        <v>1663</v>
      </c>
      <c r="BU147" s="486">
        <v>1638</v>
      </c>
      <c r="BV147" s="486">
        <v>1648</v>
      </c>
      <c r="BW147" s="486">
        <v>1675</v>
      </c>
      <c r="BX147" s="486">
        <v>1686</v>
      </c>
      <c r="BY147" s="486">
        <v>1693</v>
      </c>
      <c r="BZ147" s="486">
        <v>1712</v>
      </c>
      <c r="CA147" s="486">
        <v>1712</v>
      </c>
      <c r="CB147" s="486">
        <v>1718</v>
      </c>
      <c r="CC147" s="486">
        <v>1722</v>
      </c>
      <c r="CD147" s="486">
        <v>1735</v>
      </c>
      <c r="CE147" s="486">
        <v>1725</v>
      </c>
      <c r="CF147" s="486">
        <v>1739</v>
      </c>
      <c r="CG147" s="486">
        <v>1770</v>
      </c>
      <c r="CH147" s="486">
        <v>1778</v>
      </c>
      <c r="CI147" s="486">
        <v>1471</v>
      </c>
      <c r="CJ147" s="486">
        <v>1493</v>
      </c>
      <c r="CK147" s="486">
        <v>1501</v>
      </c>
      <c r="CL147" s="486">
        <v>1506</v>
      </c>
      <c r="CM147" s="486">
        <v>1506</v>
      </c>
      <c r="CN147" s="486">
        <v>1204</v>
      </c>
      <c r="CO147" s="486">
        <v>1123</v>
      </c>
      <c r="CP147" s="486">
        <v>1121</v>
      </c>
      <c r="CQ147" s="486">
        <v>1116</v>
      </c>
      <c r="CR147" s="486">
        <v>1121</v>
      </c>
      <c r="CS147" s="486">
        <v>1119</v>
      </c>
      <c r="CT147" s="486">
        <v>752</v>
      </c>
      <c r="CU147" s="486">
        <v>758</v>
      </c>
      <c r="CV147" s="486">
        <v>742</v>
      </c>
      <c r="CW147" s="486">
        <v>756</v>
      </c>
      <c r="CX147" s="486">
        <v>777</v>
      </c>
      <c r="CY147" s="486">
        <v>775</v>
      </c>
      <c r="CZ147" s="486">
        <v>781</v>
      </c>
      <c r="DA147" s="486">
        <v>772</v>
      </c>
      <c r="DB147" s="486">
        <v>778</v>
      </c>
      <c r="DC147" s="486">
        <v>775</v>
      </c>
      <c r="DD147" s="486">
        <v>796</v>
      </c>
      <c r="DE147" s="728">
        <v>803</v>
      </c>
      <c r="DF147" s="483"/>
    </row>
    <row r="148" spans="2:110" x14ac:dyDescent="0.35">
      <c r="B148" s="484" t="s">
        <v>598</v>
      </c>
      <c r="C148" s="485" t="s">
        <v>599</v>
      </c>
      <c r="D148" s="486"/>
      <c r="E148" s="486"/>
      <c r="F148" s="486"/>
      <c r="G148" s="486"/>
      <c r="H148" s="486"/>
      <c r="I148" s="486"/>
      <c r="J148" s="486"/>
      <c r="K148" s="486"/>
      <c r="L148" s="486"/>
      <c r="M148" s="486"/>
      <c r="N148" s="486"/>
      <c r="O148" s="486"/>
      <c r="P148" s="486"/>
      <c r="Q148" s="486"/>
      <c r="R148" s="486"/>
      <c r="S148" s="486"/>
      <c r="T148" s="486"/>
      <c r="U148" s="486"/>
      <c r="V148" s="486"/>
      <c r="W148" s="486"/>
      <c r="X148" s="486"/>
      <c r="Y148" s="486"/>
      <c r="Z148" s="486"/>
      <c r="AA148" s="486"/>
      <c r="AB148" s="486"/>
      <c r="AC148" s="486"/>
      <c r="AD148" s="486"/>
      <c r="AE148" s="486"/>
      <c r="AF148" s="486"/>
      <c r="AG148" s="486"/>
      <c r="AH148" s="486"/>
      <c r="AI148" s="486"/>
      <c r="AJ148" s="486"/>
      <c r="AK148" s="486"/>
      <c r="AL148" s="486"/>
      <c r="AM148" s="486"/>
      <c r="AN148" s="486"/>
      <c r="AO148" s="483"/>
      <c r="AP148" s="483"/>
      <c r="AQ148" s="483"/>
      <c r="AR148" s="483"/>
      <c r="AS148" s="486">
        <v>1015</v>
      </c>
      <c r="AT148" s="486">
        <v>1015</v>
      </c>
      <c r="AU148" s="486">
        <v>1065</v>
      </c>
      <c r="AV148" s="486">
        <v>1090</v>
      </c>
      <c r="AW148" s="486">
        <v>1091</v>
      </c>
      <c r="AX148" s="486">
        <v>1163</v>
      </c>
      <c r="AY148" s="486">
        <v>1163</v>
      </c>
      <c r="AZ148" s="486">
        <v>1162</v>
      </c>
      <c r="BA148" s="486">
        <v>1216</v>
      </c>
      <c r="BB148" s="486">
        <v>1226</v>
      </c>
      <c r="BC148" s="486">
        <v>1278</v>
      </c>
      <c r="BD148" s="486">
        <v>1308</v>
      </c>
      <c r="BE148" s="486">
        <v>1300</v>
      </c>
      <c r="BF148" s="486">
        <v>1297</v>
      </c>
      <c r="BG148" s="486">
        <v>1287</v>
      </c>
      <c r="BH148" s="486">
        <v>1292</v>
      </c>
      <c r="BI148" s="486">
        <v>1376</v>
      </c>
      <c r="BJ148" s="486">
        <v>1439</v>
      </c>
      <c r="BK148" s="486">
        <v>1488</v>
      </c>
      <c r="BL148" s="486">
        <v>1488</v>
      </c>
      <c r="BM148" s="486">
        <v>1548</v>
      </c>
      <c r="BN148" s="486">
        <v>1563</v>
      </c>
      <c r="BO148" s="486">
        <v>1585</v>
      </c>
      <c r="BP148" s="486">
        <v>1584</v>
      </c>
      <c r="BQ148" s="486">
        <v>1618</v>
      </c>
      <c r="BR148" s="486">
        <v>1623</v>
      </c>
      <c r="BS148" s="486">
        <v>1641</v>
      </c>
      <c r="BT148" s="486">
        <v>1653</v>
      </c>
      <c r="BU148" s="486">
        <v>1692</v>
      </c>
      <c r="BV148" s="486">
        <v>1729</v>
      </c>
      <c r="BW148" s="486">
        <v>1711</v>
      </c>
      <c r="BX148" s="486">
        <v>1720</v>
      </c>
      <c r="BY148" s="486">
        <v>1695</v>
      </c>
      <c r="BZ148" s="486">
        <v>1672</v>
      </c>
      <c r="CA148" s="486">
        <v>1663</v>
      </c>
      <c r="CB148" s="486">
        <v>1705</v>
      </c>
      <c r="CC148" s="486">
        <v>1698</v>
      </c>
      <c r="CD148" s="486">
        <v>1706</v>
      </c>
      <c r="CE148" s="486">
        <v>1705</v>
      </c>
      <c r="CF148" s="486">
        <v>1706</v>
      </c>
      <c r="CG148" s="486">
        <v>1704</v>
      </c>
      <c r="CH148" s="486">
        <v>1703</v>
      </c>
      <c r="CI148" s="486">
        <v>1783</v>
      </c>
      <c r="CJ148" s="486">
        <v>1784</v>
      </c>
      <c r="CK148" s="486">
        <v>1777</v>
      </c>
      <c r="CL148" s="486">
        <v>1775</v>
      </c>
      <c r="CM148" s="486">
        <v>1764</v>
      </c>
      <c r="CN148" s="486">
        <v>1758</v>
      </c>
      <c r="CO148" s="486">
        <v>1758</v>
      </c>
      <c r="CP148" s="486">
        <v>1757</v>
      </c>
      <c r="CQ148" s="486">
        <v>1756</v>
      </c>
      <c r="CR148" s="486">
        <v>1756</v>
      </c>
      <c r="CS148" s="486">
        <v>1757</v>
      </c>
      <c r="CT148" s="486">
        <v>1725</v>
      </c>
      <c r="CU148" s="486">
        <v>1720</v>
      </c>
      <c r="CV148" s="486">
        <v>1472</v>
      </c>
      <c r="CW148" s="486">
        <v>1392</v>
      </c>
      <c r="CX148" s="486">
        <v>1466</v>
      </c>
      <c r="CY148" s="486">
        <v>1324</v>
      </c>
      <c r="CZ148" s="486">
        <v>1444</v>
      </c>
      <c r="DA148" s="486">
        <v>1430</v>
      </c>
      <c r="DB148" s="486">
        <v>1402</v>
      </c>
      <c r="DC148" s="486">
        <v>1408</v>
      </c>
      <c r="DD148" s="486">
        <v>1434</v>
      </c>
      <c r="DE148" s="728">
        <v>1424</v>
      </c>
      <c r="DF148" s="483"/>
    </row>
    <row r="149" spans="2:110" s="113" customFormat="1" x14ac:dyDescent="0.35">
      <c r="B149" s="484" t="s">
        <v>600</v>
      </c>
      <c r="C149" s="485" t="s">
        <v>601</v>
      </c>
      <c r="D149" s="486"/>
      <c r="E149" s="486"/>
      <c r="F149" s="486"/>
      <c r="G149" s="486"/>
      <c r="H149" s="486"/>
      <c r="I149" s="486"/>
      <c r="J149" s="486"/>
      <c r="K149" s="486"/>
      <c r="L149" s="486"/>
      <c r="M149" s="486"/>
      <c r="N149" s="486"/>
      <c r="O149" s="486"/>
      <c r="P149" s="486"/>
      <c r="Q149" s="486"/>
      <c r="R149" s="486"/>
      <c r="S149" s="486"/>
      <c r="T149" s="486"/>
      <c r="U149" s="486"/>
      <c r="V149" s="486"/>
      <c r="W149" s="486"/>
      <c r="X149" s="486"/>
      <c r="Y149" s="486"/>
      <c r="Z149" s="486"/>
      <c r="AA149" s="486"/>
      <c r="AB149" s="486"/>
      <c r="AC149" s="486"/>
      <c r="AD149" s="486"/>
      <c r="AE149" s="486"/>
      <c r="AF149" s="486"/>
      <c r="AG149" s="486"/>
      <c r="AH149" s="486"/>
      <c r="AI149" s="486"/>
      <c r="AJ149" s="486"/>
      <c r="AK149" s="486"/>
      <c r="AL149" s="486"/>
      <c r="AM149" s="486"/>
      <c r="AN149" s="486"/>
      <c r="AO149" s="483"/>
      <c r="AP149" s="483"/>
      <c r="AQ149" s="483"/>
      <c r="AR149" s="483"/>
      <c r="AS149" s="486"/>
      <c r="AT149" s="483"/>
      <c r="AU149" s="483"/>
      <c r="AV149" s="486">
        <v>1030</v>
      </c>
      <c r="AW149" s="486">
        <v>2037</v>
      </c>
      <c r="AX149" s="486">
        <v>2064</v>
      </c>
      <c r="AY149" s="486">
        <v>2068</v>
      </c>
      <c r="AZ149" s="486">
        <v>2079</v>
      </c>
      <c r="BA149" s="486">
        <v>2081</v>
      </c>
      <c r="BB149" s="486">
        <v>2081</v>
      </c>
      <c r="BC149" s="486">
        <v>2087</v>
      </c>
      <c r="BD149" s="486">
        <v>2089</v>
      </c>
      <c r="BE149" s="486">
        <v>1141</v>
      </c>
      <c r="BF149" s="486">
        <v>1156</v>
      </c>
      <c r="BG149" s="486">
        <v>1172</v>
      </c>
      <c r="BH149" s="486">
        <v>1186</v>
      </c>
      <c r="BI149" s="486">
        <v>1201</v>
      </c>
      <c r="BJ149" s="486">
        <v>1279</v>
      </c>
      <c r="BK149" s="486">
        <v>1295</v>
      </c>
      <c r="BL149" s="486">
        <v>1332</v>
      </c>
      <c r="BM149" s="486">
        <v>1356</v>
      </c>
      <c r="BN149" s="486">
        <v>1359</v>
      </c>
      <c r="BO149" s="486">
        <v>1368</v>
      </c>
      <c r="BP149" s="486">
        <v>1374</v>
      </c>
      <c r="BQ149" s="486">
        <v>1377</v>
      </c>
      <c r="BR149" s="486">
        <v>1533</v>
      </c>
      <c r="BS149" s="486">
        <v>1549</v>
      </c>
      <c r="BT149" s="486">
        <v>1551</v>
      </c>
      <c r="BU149" s="486">
        <v>1563</v>
      </c>
      <c r="BV149" s="486">
        <v>1085</v>
      </c>
      <c r="BW149" s="486">
        <v>1091</v>
      </c>
      <c r="BX149" s="486">
        <v>1093</v>
      </c>
      <c r="BY149" s="486">
        <v>1190</v>
      </c>
      <c r="BZ149" s="486">
        <v>1194</v>
      </c>
      <c r="CA149" s="486">
        <v>1207</v>
      </c>
      <c r="CB149" s="486">
        <v>1208</v>
      </c>
      <c r="CC149" s="486">
        <v>1208</v>
      </c>
      <c r="CD149" s="486">
        <v>1210</v>
      </c>
      <c r="CE149" s="486">
        <v>1162</v>
      </c>
      <c r="CF149" s="486">
        <v>1170</v>
      </c>
      <c r="CG149" s="486">
        <v>1170</v>
      </c>
      <c r="CH149" s="486">
        <v>1170</v>
      </c>
      <c r="CI149" s="486">
        <v>1170</v>
      </c>
      <c r="CJ149" s="486">
        <v>1173</v>
      </c>
      <c r="CK149" s="486">
        <v>1176</v>
      </c>
      <c r="CL149" s="486">
        <v>1180</v>
      </c>
      <c r="CM149" s="486">
        <v>1184</v>
      </c>
      <c r="CN149" s="486">
        <v>1188</v>
      </c>
      <c r="CO149" s="486">
        <v>1190</v>
      </c>
      <c r="CP149" s="486">
        <v>1192</v>
      </c>
      <c r="CQ149" s="486">
        <v>1189</v>
      </c>
      <c r="CR149" s="486">
        <v>1094</v>
      </c>
      <c r="CS149" s="486">
        <v>1096</v>
      </c>
      <c r="CT149" s="486">
        <v>1096</v>
      </c>
      <c r="CU149" s="486">
        <v>1098</v>
      </c>
      <c r="CV149" s="486">
        <v>1098</v>
      </c>
      <c r="CW149" s="486">
        <v>1097</v>
      </c>
      <c r="CX149" s="486">
        <v>1097</v>
      </c>
      <c r="CY149" s="486">
        <v>1097</v>
      </c>
      <c r="CZ149" s="486">
        <v>1097</v>
      </c>
      <c r="DA149" s="486">
        <v>1097</v>
      </c>
      <c r="DB149" s="486">
        <v>1097</v>
      </c>
      <c r="DC149" s="486">
        <v>1097</v>
      </c>
      <c r="DD149" s="486">
        <v>806</v>
      </c>
      <c r="DE149" s="728">
        <v>723</v>
      </c>
      <c r="DF149" s="483"/>
    </row>
    <row r="150" spans="2:110" x14ac:dyDescent="0.35">
      <c r="B150" s="484" t="s">
        <v>602</v>
      </c>
      <c r="C150" s="484" t="s">
        <v>603</v>
      </c>
      <c r="D150" s="486"/>
      <c r="E150" s="486"/>
      <c r="F150" s="486"/>
      <c r="G150" s="486"/>
      <c r="H150" s="486"/>
      <c r="I150" s="486"/>
      <c r="J150" s="486"/>
      <c r="K150" s="486"/>
      <c r="L150" s="486"/>
      <c r="M150" s="486"/>
      <c r="N150" s="486"/>
      <c r="O150" s="486"/>
      <c r="P150" s="486"/>
      <c r="Q150" s="486"/>
      <c r="R150" s="486"/>
      <c r="S150" s="486"/>
      <c r="T150" s="486"/>
      <c r="U150" s="486"/>
      <c r="V150" s="486"/>
      <c r="W150" s="486"/>
      <c r="X150" s="486"/>
      <c r="Y150" s="486"/>
      <c r="Z150" s="486"/>
      <c r="AA150" s="486"/>
      <c r="AB150" s="486"/>
      <c r="AC150" s="486"/>
      <c r="AD150" s="486"/>
      <c r="AE150" s="486"/>
      <c r="AF150" s="486"/>
      <c r="AG150" s="486"/>
      <c r="AH150" s="486"/>
      <c r="AI150" s="486"/>
      <c r="AJ150" s="486"/>
      <c r="AK150" s="486"/>
      <c r="AL150" s="486"/>
      <c r="AM150" s="486"/>
      <c r="AN150" s="486"/>
      <c r="AO150" s="483"/>
      <c r="AP150" s="483"/>
      <c r="AQ150" s="483"/>
      <c r="AR150" s="483"/>
      <c r="AS150" s="486"/>
      <c r="AT150" s="486"/>
      <c r="AU150" s="486"/>
      <c r="AV150" s="486"/>
      <c r="AY150" s="486">
        <v>4422</v>
      </c>
      <c r="AZ150" s="486">
        <v>4422</v>
      </c>
      <c r="BA150" s="486">
        <v>4422</v>
      </c>
      <c r="BB150" s="486">
        <v>4422</v>
      </c>
      <c r="BC150" s="486">
        <v>4422</v>
      </c>
      <c r="BD150" s="486">
        <v>4422</v>
      </c>
      <c r="BE150" s="486">
        <v>4422</v>
      </c>
      <c r="BF150" s="486">
        <v>4422</v>
      </c>
      <c r="BG150" s="486">
        <v>4422</v>
      </c>
      <c r="BH150" s="486">
        <v>4422</v>
      </c>
      <c r="BI150" s="486">
        <v>4422</v>
      </c>
      <c r="BJ150" s="486">
        <v>4289</v>
      </c>
      <c r="BK150" s="486">
        <v>4289</v>
      </c>
      <c r="BL150" s="486">
        <v>4289</v>
      </c>
      <c r="BM150" s="486">
        <v>4289</v>
      </c>
      <c r="BN150" s="486">
        <v>4223</v>
      </c>
      <c r="BO150" s="486">
        <v>4223</v>
      </c>
      <c r="BP150" s="486">
        <v>4221</v>
      </c>
      <c r="BQ150" s="486">
        <v>4221</v>
      </c>
      <c r="BR150" s="486">
        <v>4221</v>
      </c>
      <c r="BS150" s="486">
        <v>4341</v>
      </c>
      <c r="BT150" s="486">
        <v>4341</v>
      </c>
      <c r="BU150" s="486">
        <v>4341</v>
      </c>
      <c r="BV150" s="486">
        <v>4341</v>
      </c>
      <c r="BW150" s="486">
        <v>4341</v>
      </c>
      <c r="BX150" s="486">
        <v>4341</v>
      </c>
      <c r="BY150" s="486">
        <v>4341</v>
      </c>
      <c r="BZ150" s="486">
        <v>3756</v>
      </c>
      <c r="CA150" s="486">
        <v>3754</v>
      </c>
      <c r="CB150" s="486">
        <v>3754</v>
      </c>
      <c r="CC150" s="486">
        <v>3754</v>
      </c>
      <c r="CD150" s="486">
        <v>3754</v>
      </c>
      <c r="CE150" s="486">
        <v>3754</v>
      </c>
      <c r="CF150" s="486">
        <v>3359</v>
      </c>
      <c r="CG150" s="486">
        <v>3359</v>
      </c>
      <c r="CH150" s="486">
        <v>3359</v>
      </c>
      <c r="CI150" s="486">
        <v>3359</v>
      </c>
      <c r="CJ150" s="486">
        <v>3165</v>
      </c>
      <c r="CK150" s="486">
        <v>3096</v>
      </c>
      <c r="CL150" s="486">
        <v>2997</v>
      </c>
      <c r="CM150" s="486">
        <v>2901</v>
      </c>
      <c r="CN150" s="486">
        <v>2782</v>
      </c>
      <c r="CO150" s="486">
        <v>2719</v>
      </c>
      <c r="CP150" s="486">
        <v>2599</v>
      </c>
      <c r="CQ150" s="486">
        <v>2368</v>
      </c>
      <c r="CR150" s="486">
        <v>2303</v>
      </c>
      <c r="CS150" s="486">
        <v>2208</v>
      </c>
      <c r="CT150" s="486">
        <v>1932</v>
      </c>
      <c r="CU150" s="486">
        <v>1659</v>
      </c>
      <c r="CV150" s="486">
        <v>1399</v>
      </c>
      <c r="CW150" s="486">
        <v>1198</v>
      </c>
      <c r="CX150" s="486">
        <v>602</v>
      </c>
      <c r="CY150" s="486">
        <v>511</v>
      </c>
      <c r="CZ150" s="486">
        <v>320</v>
      </c>
      <c r="DA150" s="486">
        <v>303</v>
      </c>
      <c r="DB150" s="486">
        <v>303</v>
      </c>
      <c r="DC150" s="486">
        <v>0</v>
      </c>
      <c r="DD150" s="486">
        <v>0</v>
      </c>
      <c r="DE150" s="728">
        <v>0</v>
      </c>
      <c r="DF150" s="483"/>
    </row>
    <row r="151" spans="2:110" x14ac:dyDescent="0.35">
      <c r="B151" s="484" t="s">
        <v>604</v>
      </c>
      <c r="C151" s="485" t="s">
        <v>605</v>
      </c>
      <c r="D151" s="486"/>
      <c r="E151" s="486"/>
      <c r="F151" s="486"/>
      <c r="G151" s="486"/>
      <c r="H151" s="486"/>
      <c r="I151" s="486"/>
      <c r="J151" s="486"/>
      <c r="K151" s="486"/>
      <c r="L151" s="486"/>
      <c r="M151" s="486"/>
      <c r="N151" s="486"/>
      <c r="O151" s="486"/>
      <c r="P151" s="486"/>
      <c r="Q151" s="486"/>
      <c r="R151" s="486"/>
      <c r="S151" s="486"/>
      <c r="T151" s="486"/>
      <c r="U151" s="486"/>
      <c r="V151" s="486"/>
      <c r="W151" s="486"/>
      <c r="X151" s="486"/>
      <c r="Y151" s="486"/>
      <c r="Z151" s="486"/>
      <c r="AA151" s="486"/>
      <c r="AB151" s="486"/>
      <c r="AC151" s="486"/>
      <c r="AD151" s="486">
        <v>1017</v>
      </c>
      <c r="AE151" s="486">
        <v>1024</v>
      </c>
      <c r="AF151" s="486">
        <v>1049</v>
      </c>
      <c r="AG151" s="486">
        <v>1042</v>
      </c>
      <c r="AH151" s="486">
        <v>1077</v>
      </c>
      <c r="AI151" s="486">
        <v>1077</v>
      </c>
      <c r="AJ151" s="486">
        <v>1088</v>
      </c>
      <c r="AK151" s="486">
        <v>1091</v>
      </c>
      <c r="AL151" s="486">
        <v>1067</v>
      </c>
      <c r="AM151" s="486">
        <v>1011</v>
      </c>
      <c r="AN151" s="483"/>
      <c r="BB151" s="486">
        <v>990</v>
      </c>
      <c r="BC151" s="486"/>
      <c r="BD151" s="486">
        <v>1000</v>
      </c>
      <c r="BE151" s="486">
        <v>1007</v>
      </c>
      <c r="BF151" s="486">
        <v>1023</v>
      </c>
      <c r="BG151" s="486">
        <v>1042</v>
      </c>
      <c r="BH151" s="486">
        <v>1053</v>
      </c>
      <c r="BI151" s="486">
        <v>1058</v>
      </c>
      <c r="BJ151" s="486">
        <v>1076</v>
      </c>
      <c r="BK151" s="486">
        <v>1085</v>
      </c>
      <c r="BL151" s="486">
        <v>1087</v>
      </c>
      <c r="BM151" s="486">
        <v>1088</v>
      </c>
      <c r="BN151" s="486">
        <v>1094</v>
      </c>
      <c r="BO151" s="486">
        <v>1101</v>
      </c>
      <c r="BP151" s="486">
        <v>1121</v>
      </c>
      <c r="BQ151" s="486">
        <v>1143</v>
      </c>
      <c r="BR151" s="486">
        <v>1151</v>
      </c>
      <c r="BS151" s="486">
        <v>1160</v>
      </c>
      <c r="BT151" s="486">
        <v>1170</v>
      </c>
      <c r="BU151" s="486">
        <v>1181</v>
      </c>
      <c r="BV151" s="486">
        <v>1181</v>
      </c>
      <c r="BW151" s="486">
        <v>1187</v>
      </c>
      <c r="BX151" s="486">
        <v>1191</v>
      </c>
      <c r="BY151" s="486">
        <v>1205</v>
      </c>
      <c r="BZ151" s="486">
        <v>1196</v>
      </c>
      <c r="CA151" s="486">
        <v>1194</v>
      </c>
      <c r="CB151" s="486">
        <v>1198</v>
      </c>
      <c r="CC151" s="486">
        <v>1203</v>
      </c>
      <c r="CD151" s="486">
        <v>1180</v>
      </c>
      <c r="CE151" s="486">
        <v>1175</v>
      </c>
      <c r="CF151" s="486">
        <v>1183</v>
      </c>
      <c r="CG151" s="486">
        <v>1203</v>
      </c>
      <c r="CH151" s="486">
        <v>1216</v>
      </c>
      <c r="CI151" s="486">
        <v>1217</v>
      </c>
      <c r="CJ151" s="486">
        <v>1226</v>
      </c>
      <c r="CK151" s="486">
        <v>1231</v>
      </c>
      <c r="CL151" s="486">
        <v>1234</v>
      </c>
      <c r="CM151" s="486">
        <v>1237</v>
      </c>
      <c r="CN151" s="486">
        <v>1236</v>
      </c>
      <c r="CO151" s="486">
        <v>1271</v>
      </c>
      <c r="CP151" s="486">
        <v>1275</v>
      </c>
      <c r="CQ151" s="486">
        <v>1251</v>
      </c>
      <c r="CR151" s="486">
        <v>1265</v>
      </c>
      <c r="CS151" s="486">
        <v>1265</v>
      </c>
      <c r="CT151" s="486">
        <v>1272</v>
      </c>
      <c r="CU151" s="486">
        <v>1278</v>
      </c>
      <c r="CV151" s="486">
        <v>1293</v>
      </c>
      <c r="CW151" s="486">
        <v>1311</v>
      </c>
      <c r="CX151" s="486">
        <v>1314</v>
      </c>
      <c r="CY151" s="486">
        <v>1316</v>
      </c>
      <c r="CZ151" s="486">
        <v>1326</v>
      </c>
      <c r="DA151" s="486">
        <v>1331</v>
      </c>
      <c r="DB151" s="486">
        <v>1338</v>
      </c>
      <c r="DC151" s="486">
        <v>1348</v>
      </c>
      <c r="DD151" s="486">
        <v>1354</v>
      </c>
      <c r="DE151" s="728">
        <v>1347</v>
      </c>
      <c r="DF151" s="483"/>
    </row>
    <row r="152" spans="2:110" x14ac:dyDescent="0.35">
      <c r="B152" s="484" t="s">
        <v>606</v>
      </c>
      <c r="C152" s="485" t="s">
        <v>607</v>
      </c>
      <c r="D152" s="486"/>
      <c r="E152" s="486"/>
      <c r="F152" s="486"/>
      <c r="G152" s="486"/>
      <c r="H152" s="486"/>
      <c r="I152" s="486"/>
      <c r="J152" s="486"/>
      <c r="K152" s="486"/>
      <c r="L152" s="486"/>
      <c r="M152" s="486"/>
      <c r="N152" s="486"/>
      <c r="O152" s="486"/>
      <c r="P152" s="486"/>
      <c r="Q152" s="486"/>
      <c r="R152" s="486"/>
      <c r="S152" s="486"/>
      <c r="T152" s="486"/>
      <c r="U152" s="486"/>
      <c r="V152" s="486"/>
      <c r="W152" s="486"/>
      <c r="X152" s="486"/>
      <c r="Y152" s="486"/>
      <c r="Z152" s="486"/>
      <c r="AA152" s="486"/>
      <c r="AB152" s="486"/>
      <c r="AC152" s="486"/>
      <c r="AD152" s="486"/>
      <c r="AE152" s="486"/>
      <c r="AF152" s="486"/>
      <c r="AG152" s="486"/>
      <c r="AH152" s="486"/>
      <c r="AI152" s="486"/>
      <c r="AJ152" s="486"/>
      <c r="AK152" s="486"/>
      <c r="AL152" s="486"/>
      <c r="AM152" s="486"/>
      <c r="AN152" s="486"/>
      <c r="AO152" s="483"/>
      <c r="AP152" s="483"/>
      <c r="AQ152" s="483"/>
      <c r="AR152" s="483"/>
      <c r="AS152" s="486"/>
      <c r="AT152" s="483"/>
      <c r="AU152" s="483"/>
      <c r="AV152" s="486">
        <v>1166</v>
      </c>
      <c r="AW152" s="486">
        <v>1358</v>
      </c>
      <c r="AX152" s="486">
        <v>1492</v>
      </c>
      <c r="AY152" s="486">
        <v>1465</v>
      </c>
      <c r="AZ152" s="486">
        <v>1502</v>
      </c>
      <c r="BA152" s="486">
        <v>1432</v>
      </c>
      <c r="BB152" s="486">
        <v>1429</v>
      </c>
      <c r="BC152" s="486">
        <v>1457</v>
      </c>
      <c r="BD152" s="486">
        <v>1458</v>
      </c>
      <c r="BE152" s="486">
        <v>1452</v>
      </c>
      <c r="BF152" s="486">
        <v>1451</v>
      </c>
      <c r="BG152" s="486">
        <v>1452</v>
      </c>
      <c r="BH152" s="486">
        <v>1290</v>
      </c>
      <c r="BI152" s="486">
        <v>1179</v>
      </c>
      <c r="BJ152" s="486">
        <v>1094</v>
      </c>
      <c r="BK152" s="486">
        <v>1108</v>
      </c>
      <c r="BL152" s="486">
        <v>1108</v>
      </c>
      <c r="BM152" s="486">
        <v>1138</v>
      </c>
      <c r="BN152" s="486">
        <v>620</v>
      </c>
      <c r="BO152" s="486"/>
      <c r="BP152" s="486"/>
      <c r="BQ152" s="486"/>
      <c r="BR152" s="486"/>
      <c r="BS152" s="486">
        <v>893</v>
      </c>
      <c r="BT152" s="486"/>
      <c r="BU152" s="486">
        <v>935</v>
      </c>
      <c r="BV152" s="486">
        <v>756</v>
      </c>
      <c r="BW152" s="486">
        <v>780</v>
      </c>
      <c r="BX152" s="486">
        <v>782</v>
      </c>
      <c r="BY152" s="486">
        <v>799</v>
      </c>
      <c r="BZ152" s="486">
        <v>854</v>
      </c>
      <c r="CA152" s="486">
        <v>867</v>
      </c>
      <c r="CB152" s="486"/>
      <c r="CC152" s="486">
        <v>927</v>
      </c>
      <c r="CD152" s="486">
        <v>946</v>
      </c>
      <c r="CE152" s="486">
        <v>980</v>
      </c>
      <c r="CF152" s="486">
        <v>969</v>
      </c>
      <c r="CG152" s="486">
        <v>977</v>
      </c>
      <c r="CH152" s="486">
        <v>956</v>
      </c>
      <c r="CI152" s="486">
        <v>874</v>
      </c>
      <c r="CJ152" s="486">
        <v>881</v>
      </c>
      <c r="CK152" s="486">
        <v>880</v>
      </c>
      <c r="CL152" s="486">
        <v>887</v>
      </c>
      <c r="CM152" s="486">
        <v>890</v>
      </c>
      <c r="CN152" s="486">
        <v>891</v>
      </c>
      <c r="CO152" s="486">
        <v>905</v>
      </c>
      <c r="CP152" s="486">
        <v>905</v>
      </c>
      <c r="CQ152" s="486">
        <v>905</v>
      </c>
      <c r="CR152" s="486">
        <v>909</v>
      </c>
      <c r="CS152" s="486">
        <v>909</v>
      </c>
      <c r="CT152" s="486">
        <v>910</v>
      </c>
      <c r="CU152" s="486">
        <v>910</v>
      </c>
      <c r="CV152" s="486">
        <v>953</v>
      </c>
      <c r="CW152" s="486">
        <v>953</v>
      </c>
      <c r="CX152" s="486">
        <v>953</v>
      </c>
      <c r="CY152" s="486">
        <v>953</v>
      </c>
      <c r="CZ152" s="486">
        <v>953</v>
      </c>
      <c r="DA152" s="486">
        <v>953</v>
      </c>
      <c r="DB152" s="486">
        <v>953</v>
      </c>
      <c r="DC152" s="486">
        <v>952</v>
      </c>
      <c r="DD152" s="486">
        <v>1</v>
      </c>
      <c r="DE152" s="728">
        <v>1</v>
      </c>
      <c r="DF152" s="483"/>
    </row>
    <row r="153" spans="2:110" x14ac:dyDescent="0.35">
      <c r="B153" s="484" t="s">
        <v>608</v>
      </c>
      <c r="C153" s="485" t="s">
        <v>609</v>
      </c>
      <c r="D153" s="486"/>
      <c r="E153" s="486"/>
      <c r="F153" s="486"/>
      <c r="G153" s="486"/>
      <c r="H153" s="486"/>
      <c r="I153" s="486"/>
      <c r="J153" s="486"/>
      <c r="K153" s="486"/>
      <c r="L153" s="486"/>
      <c r="M153" s="486"/>
      <c r="N153" s="486"/>
      <c r="O153" s="486"/>
      <c r="P153" s="486"/>
      <c r="Q153" s="486"/>
      <c r="R153" s="486"/>
      <c r="S153" s="486"/>
      <c r="T153" s="486"/>
      <c r="U153" s="486"/>
      <c r="V153" s="486"/>
      <c r="W153" s="486"/>
      <c r="X153" s="486"/>
      <c r="Y153" s="486"/>
      <c r="Z153" s="486"/>
      <c r="AA153" s="486"/>
      <c r="AB153" s="486"/>
      <c r="AC153" s="486"/>
      <c r="AD153" s="486"/>
      <c r="AE153" s="486"/>
      <c r="AF153" s="486"/>
      <c r="AG153" s="486"/>
      <c r="AH153" s="486"/>
      <c r="AI153" s="486"/>
      <c r="AJ153" s="486"/>
      <c r="AK153" s="486"/>
      <c r="AL153" s="486"/>
      <c r="AM153" s="486"/>
      <c r="AN153" s="486"/>
      <c r="AO153" s="486"/>
      <c r="AP153" s="486"/>
      <c r="AQ153" s="486"/>
      <c r="AR153" s="486"/>
      <c r="AS153" s="486"/>
      <c r="AT153" s="486"/>
      <c r="AU153" s="486"/>
      <c r="AV153" s="486"/>
      <c r="AZ153" s="486"/>
      <c r="BA153" s="486"/>
      <c r="BB153" s="486"/>
      <c r="BC153" s="486"/>
      <c r="BD153" s="486"/>
      <c r="BE153" s="483"/>
      <c r="BF153" s="483"/>
      <c r="BG153" s="486"/>
      <c r="BH153" s="486"/>
      <c r="BI153" s="486"/>
      <c r="BJ153" s="486"/>
      <c r="BK153" s="486"/>
      <c r="BL153" s="486"/>
      <c r="BM153" s="486"/>
      <c r="BN153" s="486"/>
      <c r="BO153" s="486"/>
      <c r="BP153" s="486"/>
      <c r="BQ153" s="486"/>
      <c r="BR153" s="486"/>
      <c r="BS153" s="486"/>
      <c r="BT153" s="486"/>
      <c r="BU153" s="486">
        <v>954</v>
      </c>
      <c r="BV153" s="486">
        <v>961</v>
      </c>
      <c r="BW153" s="486">
        <v>992</v>
      </c>
      <c r="BX153" s="486">
        <v>1001</v>
      </c>
      <c r="BY153" s="486">
        <v>1028</v>
      </c>
      <c r="BZ153" s="486">
        <v>1017</v>
      </c>
      <c r="CA153" s="486">
        <v>1018</v>
      </c>
      <c r="CB153" s="486">
        <v>1018</v>
      </c>
      <c r="CC153" s="486">
        <v>1017</v>
      </c>
      <c r="CD153" s="486">
        <v>1033</v>
      </c>
      <c r="CE153" s="486">
        <v>1033</v>
      </c>
      <c r="CF153" s="486">
        <v>1039</v>
      </c>
      <c r="CG153" s="486">
        <v>1047</v>
      </c>
      <c r="CH153" s="486">
        <v>1044</v>
      </c>
      <c r="CI153" s="486">
        <v>1059</v>
      </c>
      <c r="CJ153" s="486">
        <v>1058</v>
      </c>
      <c r="CK153" s="486">
        <v>1056</v>
      </c>
      <c r="CL153" s="486">
        <v>1084</v>
      </c>
      <c r="CM153" s="486">
        <v>1125</v>
      </c>
      <c r="CN153" s="486">
        <v>1138</v>
      </c>
      <c r="CO153" s="486">
        <v>1175</v>
      </c>
      <c r="CP153" s="486">
        <v>1188</v>
      </c>
      <c r="CQ153" s="486">
        <v>1191</v>
      </c>
      <c r="CR153" s="486">
        <v>1189</v>
      </c>
      <c r="CS153" s="486">
        <v>1231</v>
      </c>
      <c r="CT153" s="486">
        <v>1271</v>
      </c>
      <c r="CU153" s="486">
        <v>1270</v>
      </c>
      <c r="CV153" s="486">
        <v>1291</v>
      </c>
      <c r="CW153" s="486">
        <v>1328</v>
      </c>
      <c r="CX153" s="486">
        <v>1359</v>
      </c>
      <c r="CY153" s="486">
        <v>1382</v>
      </c>
      <c r="CZ153" s="486">
        <v>1399</v>
      </c>
      <c r="DA153" s="486">
        <v>1446</v>
      </c>
      <c r="DB153" s="486">
        <v>1442</v>
      </c>
      <c r="DC153" s="486">
        <v>1405</v>
      </c>
      <c r="DD153" s="486">
        <v>1422</v>
      </c>
      <c r="DE153" s="728">
        <v>1422</v>
      </c>
      <c r="DF153" s="483"/>
    </row>
    <row r="154" spans="2:110" x14ac:dyDescent="0.35">
      <c r="B154" s="484" t="s">
        <v>610</v>
      </c>
      <c r="C154" s="485" t="s">
        <v>611</v>
      </c>
      <c r="D154" s="486"/>
      <c r="E154" s="486"/>
      <c r="F154" s="486"/>
      <c r="G154" s="486"/>
      <c r="H154" s="486"/>
      <c r="I154" s="486"/>
      <c r="J154" s="486"/>
      <c r="K154" s="486"/>
      <c r="L154" s="486"/>
      <c r="M154" s="486"/>
      <c r="N154" s="486"/>
      <c r="O154" s="486"/>
      <c r="P154" s="486"/>
      <c r="Q154" s="486"/>
      <c r="R154" s="486"/>
      <c r="S154" s="486"/>
      <c r="T154" s="486"/>
      <c r="U154" s="486"/>
      <c r="V154" s="486">
        <v>1091</v>
      </c>
      <c r="W154" s="486">
        <v>1139</v>
      </c>
      <c r="X154" s="486">
        <v>1186</v>
      </c>
      <c r="Y154" s="486">
        <v>1258</v>
      </c>
      <c r="Z154" s="486">
        <v>1303</v>
      </c>
      <c r="AA154" s="486">
        <v>1300</v>
      </c>
      <c r="AB154" s="486">
        <v>1314</v>
      </c>
      <c r="AC154" s="486">
        <v>1374</v>
      </c>
      <c r="AD154" s="486">
        <v>1401</v>
      </c>
      <c r="AE154" s="486">
        <v>1436</v>
      </c>
      <c r="AF154" s="486">
        <v>1508</v>
      </c>
      <c r="AG154" s="486">
        <v>1575</v>
      </c>
      <c r="AH154" s="486">
        <v>1652</v>
      </c>
      <c r="AI154" s="486">
        <v>1663</v>
      </c>
      <c r="AJ154" s="486">
        <v>1687</v>
      </c>
      <c r="AK154" s="486">
        <v>1742</v>
      </c>
      <c r="AL154" s="486">
        <v>1752</v>
      </c>
      <c r="AM154" s="486">
        <v>1787</v>
      </c>
      <c r="AN154" s="486">
        <v>1820</v>
      </c>
      <c r="AO154" s="486">
        <v>1821</v>
      </c>
      <c r="AP154" s="486">
        <v>1818</v>
      </c>
      <c r="AQ154" s="486">
        <v>1860</v>
      </c>
      <c r="AR154" s="486">
        <v>1904</v>
      </c>
      <c r="AS154" s="486">
        <v>1407</v>
      </c>
      <c r="AT154" s="486">
        <v>1491</v>
      </c>
      <c r="AU154" s="486">
        <v>1539</v>
      </c>
      <c r="AV154" s="486">
        <v>1558</v>
      </c>
      <c r="AW154">
        <v>1568</v>
      </c>
      <c r="AX154">
        <v>1568</v>
      </c>
      <c r="AY154">
        <v>1566</v>
      </c>
      <c r="AZ154" s="486">
        <v>1523</v>
      </c>
      <c r="BA154" s="486">
        <v>1452</v>
      </c>
      <c r="BB154" s="486">
        <v>1446</v>
      </c>
      <c r="BC154" s="486">
        <v>1469</v>
      </c>
      <c r="BD154" s="486">
        <v>1511</v>
      </c>
      <c r="BE154" s="483">
        <v>1550</v>
      </c>
      <c r="BF154" s="483">
        <v>1605</v>
      </c>
      <c r="BG154" s="486">
        <v>1574</v>
      </c>
      <c r="BH154" s="486">
        <v>1547</v>
      </c>
      <c r="BI154" s="486">
        <v>1492</v>
      </c>
      <c r="BJ154" s="486">
        <v>1415</v>
      </c>
      <c r="BK154" s="486">
        <v>1357</v>
      </c>
      <c r="BL154" s="486">
        <v>1289</v>
      </c>
      <c r="BM154" s="486">
        <v>1231</v>
      </c>
      <c r="BN154" s="486">
        <v>1177</v>
      </c>
      <c r="BO154" s="486">
        <v>1165</v>
      </c>
      <c r="BP154" s="486">
        <v>1157</v>
      </c>
      <c r="BQ154" s="486">
        <v>1202</v>
      </c>
      <c r="BR154" s="486">
        <v>1248</v>
      </c>
      <c r="BS154" s="486">
        <v>1230</v>
      </c>
      <c r="BT154" s="486">
        <v>1208</v>
      </c>
      <c r="BU154" s="486">
        <v>1191</v>
      </c>
      <c r="BV154" s="486">
        <v>1165</v>
      </c>
      <c r="BW154" s="486">
        <v>1109</v>
      </c>
      <c r="BX154" s="486">
        <v>1074</v>
      </c>
      <c r="BY154" s="486">
        <v>1036</v>
      </c>
      <c r="BZ154" s="486">
        <v>1014</v>
      </c>
      <c r="CA154" s="486">
        <v>987</v>
      </c>
      <c r="CB154" s="486">
        <v>990</v>
      </c>
      <c r="CC154" s="486">
        <v>1047</v>
      </c>
      <c r="CD154" s="486">
        <v>1061</v>
      </c>
      <c r="CE154" s="486">
        <v>1049</v>
      </c>
      <c r="CF154" s="486">
        <v>1054</v>
      </c>
      <c r="CG154" s="486">
        <v>1029</v>
      </c>
      <c r="CH154" s="486">
        <v>993</v>
      </c>
      <c r="CI154" s="486">
        <v>958</v>
      </c>
      <c r="CJ154" s="486">
        <v>915</v>
      </c>
      <c r="CK154" s="486">
        <v>876</v>
      </c>
      <c r="CL154" s="486">
        <v>847</v>
      </c>
      <c r="CM154" s="486">
        <v>840</v>
      </c>
      <c r="CN154" s="486">
        <v>857</v>
      </c>
      <c r="CO154" s="486">
        <v>880</v>
      </c>
      <c r="CP154" s="486">
        <v>906</v>
      </c>
      <c r="CQ154" s="486">
        <v>912</v>
      </c>
      <c r="CR154" s="486">
        <v>905</v>
      </c>
      <c r="CS154" s="486">
        <v>883</v>
      </c>
      <c r="CT154" s="486">
        <v>852</v>
      </c>
      <c r="CU154" s="486">
        <v>820</v>
      </c>
      <c r="CV154" s="486">
        <v>787</v>
      </c>
      <c r="CW154" s="486">
        <v>768</v>
      </c>
      <c r="CX154" s="486">
        <v>740</v>
      </c>
      <c r="CY154" s="486">
        <v>738</v>
      </c>
      <c r="CZ154" s="486">
        <v>744</v>
      </c>
      <c r="DA154" s="486">
        <v>765</v>
      </c>
      <c r="DB154" s="486">
        <v>797</v>
      </c>
      <c r="DC154" s="486">
        <v>802</v>
      </c>
      <c r="DD154" s="486">
        <v>802</v>
      </c>
      <c r="DE154" s="728">
        <v>786</v>
      </c>
      <c r="DF154" s="483"/>
    </row>
    <row r="155" spans="2:110" x14ac:dyDescent="0.35">
      <c r="B155" s="484" t="s">
        <v>612</v>
      </c>
      <c r="C155" s="485" t="s">
        <v>613</v>
      </c>
      <c r="D155" s="486"/>
      <c r="E155" s="486"/>
      <c r="F155" s="486"/>
      <c r="G155" s="486"/>
      <c r="H155" s="486"/>
      <c r="I155" s="486"/>
      <c r="J155" s="486"/>
      <c r="K155" s="486"/>
      <c r="L155" s="486"/>
      <c r="M155" s="486"/>
      <c r="N155" s="486"/>
      <c r="O155" s="486"/>
      <c r="P155" s="486"/>
      <c r="Q155" s="486"/>
      <c r="R155" s="486"/>
      <c r="S155" s="486"/>
      <c r="T155" s="486"/>
      <c r="U155" s="486"/>
      <c r="V155" s="486"/>
      <c r="W155" s="486"/>
      <c r="X155" s="486"/>
      <c r="Y155" s="486"/>
      <c r="Z155" s="486"/>
      <c r="AA155" s="486"/>
      <c r="AB155" s="486"/>
      <c r="AC155" s="486"/>
      <c r="AD155" s="486"/>
      <c r="AE155" s="486"/>
      <c r="AF155" s="486"/>
      <c r="AG155" s="486"/>
      <c r="AH155" s="486"/>
      <c r="AI155" s="486"/>
      <c r="AJ155" s="486"/>
      <c r="AK155" s="486"/>
      <c r="AL155" s="486"/>
      <c r="AM155" s="486"/>
      <c r="AN155" s="486"/>
      <c r="AO155" s="486"/>
      <c r="AP155" s="486"/>
      <c r="AQ155" s="486"/>
      <c r="AR155" s="486"/>
      <c r="AS155" s="486"/>
      <c r="AT155" s="486"/>
      <c r="AU155" s="486"/>
      <c r="AV155" s="486"/>
      <c r="AZ155" s="486"/>
      <c r="BA155" s="486"/>
      <c r="BB155" s="486"/>
      <c r="BC155" s="486"/>
      <c r="BD155" s="486"/>
      <c r="BE155" s="483"/>
      <c r="BF155" s="483"/>
      <c r="BG155" s="486"/>
      <c r="BH155" s="486"/>
      <c r="BI155" s="486"/>
      <c r="BJ155" s="486"/>
      <c r="BK155" s="486"/>
      <c r="BL155" s="486"/>
      <c r="BM155" s="486"/>
      <c r="BN155" s="486"/>
      <c r="BO155" s="486"/>
      <c r="BP155" s="486"/>
      <c r="BQ155" s="486"/>
      <c r="BR155" s="486"/>
      <c r="BS155" s="486"/>
      <c r="BT155" s="486"/>
      <c r="BU155" s="486">
        <v>826</v>
      </c>
      <c r="BV155" s="486">
        <v>874</v>
      </c>
      <c r="BW155" s="486">
        <v>936</v>
      </c>
      <c r="BX155" s="486">
        <v>1033</v>
      </c>
      <c r="BY155" s="486">
        <v>1083</v>
      </c>
      <c r="BZ155" s="486">
        <v>1117</v>
      </c>
      <c r="CA155" s="486">
        <v>984</v>
      </c>
      <c r="CB155" s="486">
        <v>992</v>
      </c>
      <c r="CC155" s="486">
        <v>1082</v>
      </c>
      <c r="CD155" s="486">
        <v>1125</v>
      </c>
      <c r="CE155" s="486">
        <v>1157</v>
      </c>
      <c r="CF155" s="486">
        <v>1102</v>
      </c>
      <c r="CG155" s="486">
        <v>1063</v>
      </c>
      <c r="CH155" s="486">
        <v>1108</v>
      </c>
      <c r="CI155" s="486">
        <v>1114</v>
      </c>
      <c r="CJ155" s="486">
        <v>1104</v>
      </c>
      <c r="CK155" s="486">
        <v>1076</v>
      </c>
      <c r="CL155" s="486">
        <v>986</v>
      </c>
      <c r="CM155" s="486">
        <v>950</v>
      </c>
      <c r="CN155" s="486">
        <v>931</v>
      </c>
      <c r="CO155" s="486">
        <v>925</v>
      </c>
      <c r="CP155" s="486">
        <v>926</v>
      </c>
      <c r="CQ155" s="486">
        <v>846</v>
      </c>
      <c r="CR155" s="486">
        <v>892</v>
      </c>
      <c r="CS155" s="486">
        <v>946</v>
      </c>
      <c r="CT155" s="486">
        <v>992</v>
      </c>
      <c r="CU155" s="486">
        <v>1018</v>
      </c>
      <c r="CV155" s="486">
        <v>1069</v>
      </c>
      <c r="CW155" s="486">
        <v>978</v>
      </c>
      <c r="CX155" s="486">
        <v>1023</v>
      </c>
      <c r="CY155" s="486">
        <v>1083</v>
      </c>
      <c r="CZ155" s="486">
        <v>1044</v>
      </c>
      <c r="DA155" s="486">
        <v>1063</v>
      </c>
      <c r="DB155" s="486">
        <v>1019</v>
      </c>
      <c r="DC155" s="486">
        <v>1051</v>
      </c>
      <c r="DD155" s="486">
        <v>1097</v>
      </c>
      <c r="DE155" s="728">
        <v>1097</v>
      </c>
      <c r="DF155" s="483"/>
    </row>
    <row r="156" spans="2:110" x14ac:dyDescent="0.35">
      <c r="B156" s="484" t="s">
        <v>614</v>
      </c>
      <c r="C156" s="485" t="s">
        <v>615</v>
      </c>
      <c r="D156" s="486"/>
      <c r="E156" s="486"/>
      <c r="F156" s="486"/>
      <c r="G156" s="486"/>
      <c r="H156" s="486"/>
      <c r="I156" s="486"/>
      <c r="J156" s="486"/>
      <c r="K156" s="486"/>
      <c r="L156" s="486"/>
      <c r="M156" s="486"/>
      <c r="N156" s="486"/>
      <c r="O156" s="486"/>
      <c r="P156" s="486"/>
      <c r="Q156" s="486"/>
      <c r="R156" s="486"/>
      <c r="S156" s="486"/>
      <c r="T156" s="486"/>
      <c r="U156" s="486"/>
      <c r="V156" s="486"/>
      <c r="W156" s="486"/>
      <c r="X156" s="486"/>
      <c r="Y156" s="486"/>
      <c r="Z156" s="486"/>
      <c r="AA156" s="486"/>
      <c r="AB156" s="486"/>
      <c r="AC156" s="486"/>
      <c r="AD156" s="486"/>
      <c r="AE156" s="486"/>
      <c r="AF156" s="486"/>
      <c r="AG156" s="486">
        <v>1106</v>
      </c>
      <c r="AH156" s="486">
        <v>1404</v>
      </c>
      <c r="AI156" s="486">
        <v>1524</v>
      </c>
      <c r="AJ156" s="486">
        <v>1449</v>
      </c>
      <c r="AK156" s="486">
        <v>1640</v>
      </c>
      <c r="AL156" s="486">
        <v>2421</v>
      </c>
      <c r="AM156" s="486">
        <v>2317</v>
      </c>
      <c r="AN156" s="486">
        <v>1699</v>
      </c>
      <c r="AO156" s="486">
        <v>1702</v>
      </c>
      <c r="AP156" s="486">
        <v>1152</v>
      </c>
      <c r="AQ156" s="486">
        <v>1022</v>
      </c>
      <c r="AR156" s="486">
        <v>1218</v>
      </c>
      <c r="AS156" s="486">
        <v>1167</v>
      </c>
      <c r="AT156" s="483"/>
      <c r="AU156" s="483"/>
      <c r="AV156" s="483"/>
      <c r="BE156" s="483"/>
      <c r="BF156" s="483"/>
      <c r="BG156" s="483"/>
      <c r="BH156" s="483"/>
      <c r="BM156" s="486"/>
      <c r="BN156" s="486">
        <v>911</v>
      </c>
      <c r="BO156" s="486"/>
      <c r="BP156" s="486"/>
      <c r="BQ156" s="486">
        <v>1036</v>
      </c>
      <c r="BR156" s="486">
        <v>856</v>
      </c>
      <c r="BS156" s="486">
        <v>1104</v>
      </c>
      <c r="BT156" s="486">
        <v>2174</v>
      </c>
      <c r="BU156" s="486">
        <v>3103</v>
      </c>
      <c r="BV156" s="486">
        <v>4141</v>
      </c>
      <c r="BW156" s="486">
        <v>4157</v>
      </c>
      <c r="BX156" s="486">
        <v>3486</v>
      </c>
      <c r="BY156" s="486">
        <v>2564</v>
      </c>
      <c r="BZ156" s="486">
        <v>1637</v>
      </c>
      <c r="CA156" s="486">
        <v>1427</v>
      </c>
      <c r="CB156" s="486">
        <v>1077</v>
      </c>
      <c r="CC156" s="486">
        <v>1012</v>
      </c>
      <c r="CD156" s="486">
        <v>1031</v>
      </c>
      <c r="CE156" s="486">
        <v>982</v>
      </c>
      <c r="CF156" s="486">
        <v>989</v>
      </c>
      <c r="CG156" s="486">
        <v>908</v>
      </c>
      <c r="CH156" s="486">
        <v>897</v>
      </c>
      <c r="CI156" s="486">
        <v>897</v>
      </c>
      <c r="CJ156" s="486">
        <v>900</v>
      </c>
      <c r="CK156" s="486">
        <v>917</v>
      </c>
      <c r="CL156" s="486">
        <v>829</v>
      </c>
      <c r="CM156" s="486">
        <v>829</v>
      </c>
      <c r="CN156" s="486">
        <v>833</v>
      </c>
      <c r="CO156" s="486">
        <v>804</v>
      </c>
      <c r="CP156" s="486">
        <v>760</v>
      </c>
      <c r="CQ156" s="486">
        <v>760</v>
      </c>
      <c r="CR156" s="486">
        <v>760</v>
      </c>
      <c r="CS156" s="486">
        <v>760</v>
      </c>
      <c r="CT156" s="486">
        <v>528</v>
      </c>
      <c r="CU156" s="486">
        <v>531</v>
      </c>
      <c r="CV156" s="486">
        <v>729</v>
      </c>
      <c r="CW156" s="486">
        <v>730</v>
      </c>
      <c r="CX156" s="486">
        <v>829</v>
      </c>
      <c r="CY156" s="486">
        <v>829</v>
      </c>
      <c r="CZ156" s="486">
        <v>831</v>
      </c>
      <c r="DA156" s="486">
        <v>831</v>
      </c>
      <c r="DB156" s="486">
        <v>615</v>
      </c>
      <c r="DC156" s="486">
        <v>495</v>
      </c>
      <c r="DD156" s="486">
        <v>334</v>
      </c>
      <c r="DE156" s="728">
        <v>365</v>
      </c>
      <c r="DF156" s="483"/>
    </row>
    <row r="157" spans="2:110" x14ac:dyDescent="0.35">
      <c r="B157" s="484" t="s">
        <v>616</v>
      </c>
      <c r="C157" s="485" t="s">
        <v>617</v>
      </c>
      <c r="D157" s="486"/>
      <c r="E157" s="486"/>
      <c r="F157" s="486"/>
      <c r="G157" s="486"/>
      <c r="H157" s="486"/>
      <c r="I157" s="486"/>
      <c r="J157" s="486"/>
      <c r="K157" s="486"/>
      <c r="L157" s="486"/>
      <c r="M157" s="486"/>
      <c r="N157" s="486"/>
      <c r="O157" s="486"/>
      <c r="P157" s="486"/>
      <c r="Q157" s="486"/>
      <c r="R157" s="486">
        <v>1009</v>
      </c>
      <c r="S157" s="486">
        <v>1093</v>
      </c>
      <c r="T157" s="486">
        <v>1093</v>
      </c>
      <c r="U157" s="486">
        <v>1093</v>
      </c>
      <c r="V157" s="486">
        <v>1093</v>
      </c>
      <c r="W157" s="486">
        <v>1167</v>
      </c>
      <c r="X157" s="486">
        <v>1231</v>
      </c>
      <c r="Y157" s="486">
        <v>1276</v>
      </c>
      <c r="Z157" s="486">
        <v>1303</v>
      </c>
      <c r="AA157" s="486">
        <v>1323</v>
      </c>
      <c r="AB157" s="486">
        <v>1337</v>
      </c>
      <c r="AC157" s="486">
        <v>1342</v>
      </c>
      <c r="AD157" s="486">
        <v>1353</v>
      </c>
      <c r="AE157" s="486">
        <v>1365</v>
      </c>
      <c r="AF157" s="486">
        <v>1477</v>
      </c>
      <c r="AG157" s="486">
        <v>1488</v>
      </c>
      <c r="AH157" s="486">
        <v>1498</v>
      </c>
      <c r="AI157" s="486">
        <v>1514</v>
      </c>
      <c r="AJ157" s="486">
        <v>1532</v>
      </c>
      <c r="AK157" s="486">
        <v>1537</v>
      </c>
      <c r="AL157" s="486">
        <v>1540</v>
      </c>
      <c r="AM157" s="486">
        <v>1540</v>
      </c>
      <c r="AN157" s="486">
        <v>1545</v>
      </c>
      <c r="AO157" s="486">
        <v>1545</v>
      </c>
      <c r="AP157" s="486">
        <v>1545</v>
      </c>
      <c r="AQ157" s="486">
        <v>1156</v>
      </c>
      <c r="AR157" s="486">
        <v>1160</v>
      </c>
      <c r="AS157" s="486">
        <v>1162</v>
      </c>
      <c r="AT157" s="486">
        <v>1203</v>
      </c>
      <c r="AU157" s="486">
        <v>1323</v>
      </c>
      <c r="AV157" s="486">
        <v>1343</v>
      </c>
      <c r="AW157" s="486">
        <v>1343</v>
      </c>
      <c r="AX157" s="486">
        <v>1343</v>
      </c>
      <c r="AY157" s="486">
        <v>1367</v>
      </c>
      <c r="AZ157" s="486">
        <v>1382</v>
      </c>
      <c r="BA157" s="486">
        <v>1383</v>
      </c>
      <c r="BB157" s="486">
        <v>1408</v>
      </c>
      <c r="BC157" s="486">
        <v>1410</v>
      </c>
      <c r="BD157" s="486">
        <v>1419</v>
      </c>
      <c r="BE157" s="486">
        <v>1420</v>
      </c>
      <c r="BF157" s="486">
        <v>1477</v>
      </c>
      <c r="BG157" s="486">
        <v>1480</v>
      </c>
      <c r="BH157" s="486">
        <v>1481</v>
      </c>
      <c r="BI157" s="486">
        <v>1488</v>
      </c>
      <c r="BJ157" s="486">
        <v>1523</v>
      </c>
      <c r="BK157" s="486">
        <v>1545</v>
      </c>
      <c r="BL157" s="486">
        <v>1568</v>
      </c>
      <c r="BM157" s="486">
        <v>1490</v>
      </c>
      <c r="BN157" s="486">
        <v>1487</v>
      </c>
      <c r="BO157" s="486">
        <v>1397</v>
      </c>
      <c r="BP157" s="486">
        <v>1396</v>
      </c>
      <c r="BQ157" s="486">
        <v>1398</v>
      </c>
      <c r="BR157" s="486">
        <v>1398</v>
      </c>
      <c r="BS157" s="486">
        <v>1396</v>
      </c>
      <c r="BT157" s="486"/>
      <c r="BU157" s="486">
        <v>935</v>
      </c>
      <c r="BV157" s="486">
        <v>942</v>
      </c>
      <c r="BW157" s="486">
        <v>973</v>
      </c>
      <c r="BX157" s="486">
        <v>973</v>
      </c>
      <c r="BY157" s="486">
        <v>973</v>
      </c>
      <c r="BZ157" s="486">
        <v>974</v>
      </c>
      <c r="CA157" s="486">
        <v>974</v>
      </c>
      <c r="CB157" s="486"/>
      <c r="CC157" s="486">
        <v>982</v>
      </c>
      <c r="CD157" s="486">
        <v>985</v>
      </c>
      <c r="CE157" s="486">
        <v>985</v>
      </c>
      <c r="CF157" s="486">
        <v>986</v>
      </c>
      <c r="CG157" s="486">
        <v>714</v>
      </c>
      <c r="CH157" s="486">
        <v>713</v>
      </c>
      <c r="CI157" s="486">
        <v>713</v>
      </c>
      <c r="CJ157" s="486">
        <v>724</v>
      </c>
      <c r="CK157" s="486">
        <v>727</v>
      </c>
      <c r="CL157" s="486">
        <v>730</v>
      </c>
      <c r="CM157" s="486">
        <v>736</v>
      </c>
      <c r="CN157" s="486">
        <v>736</v>
      </c>
      <c r="CO157" s="486">
        <v>736</v>
      </c>
      <c r="CP157" s="486">
        <v>736</v>
      </c>
      <c r="CQ157" s="486">
        <v>738</v>
      </c>
      <c r="CR157" s="486">
        <v>742</v>
      </c>
      <c r="CS157" s="486">
        <v>751</v>
      </c>
      <c r="CT157" s="486">
        <v>753</v>
      </c>
      <c r="CU157" s="486">
        <v>767</v>
      </c>
      <c r="CV157" s="486">
        <v>770</v>
      </c>
      <c r="CW157" s="486">
        <v>789</v>
      </c>
      <c r="CX157" s="486">
        <v>789</v>
      </c>
      <c r="CY157" s="486">
        <v>789</v>
      </c>
      <c r="CZ157" s="486">
        <v>789</v>
      </c>
      <c r="DA157" s="486">
        <v>789</v>
      </c>
      <c r="DB157" s="486">
        <v>789</v>
      </c>
      <c r="DC157" s="486">
        <v>789</v>
      </c>
      <c r="DD157" s="486">
        <v>789</v>
      </c>
      <c r="DE157" s="728">
        <v>789</v>
      </c>
      <c r="DF157" s="483"/>
    </row>
    <row r="158" spans="2:110" x14ac:dyDescent="0.35">
      <c r="B158" s="484" t="s">
        <v>618</v>
      </c>
      <c r="C158" s="485" t="s">
        <v>619</v>
      </c>
      <c r="D158" s="486"/>
      <c r="E158" s="486"/>
      <c r="F158" s="486"/>
      <c r="G158" s="486"/>
      <c r="H158" s="486"/>
      <c r="I158" s="486"/>
      <c r="J158" s="486"/>
      <c r="K158" s="486"/>
      <c r="L158" s="486"/>
      <c r="M158" s="486"/>
      <c r="N158" s="486"/>
      <c r="O158" s="486"/>
      <c r="P158" s="486"/>
      <c r="Q158" s="486"/>
      <c r="R158" s="486"/>
      <c r="S158" s="486"/>
      <c r="T158" s="486"/>
      <c r="U158" s="486"/>
      <c r="V158" s="486"/>
      <c r="W158" s="486"/>
      <c r="X158" s="486"/>
      <c r="Y158" s="486"/>
      <c r="Z158" s="486"/>
      <c r="AA158" s="486"/>
      <c r="AB158" s="486"/>
      <c r="AC158" s="486"/>
      <c r="AD158" s="486"/>
      <c r="AE158" s="486"/>
      <c r="AF158" s="486">
        <v>1091</v>
      </c>
      <c r="AG158" s="486">
        <v>1091</v>
      </c>
      <c r="AH158" s="486">
        <v>1091</v>
      </c>
      <c r="AI158" s="486">
        <v>1091</v>
      </c>
      <c r="AJ158" s="486">
        <v>1091</v>
      </c>
      <c r="AK158" s="486">
        <v>1091</v>
      </c>
      <c r="AL158" s="486"/>
      <c r="AM158" s="486"/>
      <c r="AN158" s="486"/>
      <c r="AO158" s="483"/>
      <c r="AP158" s="486">
        <v>1061</v>
      </c>
      <c r="AQ158" s="486">
        <v>1076</v>
      </c>
      <c r="AR158" s="486">
        <v>1156</v>
      </c>
      <c r="AS158" s="486">
        <v>1156</v>
      </c>
      <c r="AT158" s="486">
        <v>1162</v>
      </c>
      <c r="AU158" s="486">
        <v>1162</v>
      </c>
      <c r="AV158" s="486">
        <v>1190</v>
      </c>
      <c r="AW158" s="486">
        <v>1190</v>
      </c>
      <c r="AX158" s="486">
        <v>1216</v>
      </c>
      <c r="AY158" s="486">
        <v>1240</v>
      </c>
      <c r="AZ158" s="486">
        <v>1269</v>
      </c>
      <c r="BA158" s="486">
        <v>1279</v>
      </c>
      <c r="BB158" s="486">
        <v>1135</v>
      </c>
      <c r="BC158" s="486">
        <v>1167</v>
      </c>
      <c r="BD158" s="486">
        <v>1188</v>
      </c>
      <c r="BE158" s="486">
        <v>1212</v>
      </c>
      <c r="BF158" s="486">
        <v>1224</v>
      </c>
      <c r="BG158" s="486">
        <v>1242</v>
      </c>
      <c r="BH158" s="486">
        <v>1264</v>
      </c>
      <c r="BI158" s="486">
        <v>1296</v>
      </c>
      <c r="BJ158" s="486">
        <v>1331</v>
      </c>
      <c r="BK158" s="486">
        <v>1349</v>
      </c>
      <c r="BL158" s="486">
        <v>1348</v>
      </c>
      <c r="BM158" s="486">
        <v>1354</v>
      </c>
      <c r="BN158" s="486">
        <v>1332</v>
      </c>
      <c r="BO158" s="486">
        <v>1317</v>
      </c>
      <c r="BP158" s="486">
        <v>1361</v>
      </c>
      <c r="BQ158" s="486">
        <v>1256</v>
      </c>
      <c r="BR158" s="486">
        <v>1275</v>
      </c>
      <c r="BS158" s="486">
        <v>1272</v>
      </c>
      <c r="BT158" s="486">
        <v>1279</v>
      </c>
      <c r="BU158" s="486">
        <v>1292</v>
      </c>
      <c r="BV158" s="486">
        <v>1297</v>
      </c>
      <c r="BW158" s="486">
        <v>1294</v>
      </c>
      <c r="BX158" s="486">
        <v>1343</v>
      </c>
      <c r="BY158" s="486">
        <v>1343</v>
      </c>
      <c r="BZ158" s="486">
        <v>1343</v>
      </c>
      <c r="CA158" s="486">
        <v>1202</v>
      </c>
      <c r="CB158" s="486">
        <v>1201</v>
      </c>
      <c r="CC158" s="486">
        <v>1201</v>
      </c>
      <c r="CD158" s="486">
        <v>1201</v>
      </c>
      <c r="CE158" s="486">
        <v>1201</v>
      </c>
      <c r="CF158" s="486">
        <v>1201</v>
      </c>
      <c r="CG158" s="486">
        <v>1201</v>
      </c>
      <c r="CH158" s="486">
        <v>607</v>
      </c>
      <c r="CI158" s="486">
        <v>586</v>
      </c>
      <c r="CJ158" s="486">
        <v>580</v>
      </c>
      <c r="CK158" s="486">
        <v>570</v>
      </c>
      <c r="CL158" s="486">
        <v>564</v>
      </c>
      <c r="CM158" s="486">
        <v>353</v>
      </c>
      <c r="CN158" s="486">
        <v>349</v>
      </c>
      <c r="CO158" s="486">
        <v>341</v>
      </c>
      <c r="CP158" s="486">
        <v>336</v>
      </c>
      <c r="CQ158" s="486">
        <v>329</v>
      </c>
      <c r="CR158" s="486">
        <v>318</v>
      </c>
      <c r="CS158" s="486">
        <v>315</v>
      </c>
      <c r="CT158" s="486">
        <v>298</v>
      </c>
      <c r="CU158" s="486">
        <v>280</v>
      </c>
      <c r="CV158" s="486">
        <v>268</v>
      </c>
      <c r="CW158" s="486">
        <v>266</v>
      </c>
      <c r="CX158" s="486">
        <v>255</v>
      </c>
      <c r="CY158" s="486">
        <v>253</v>
      </c>
      <c r="CZ158" s="486">
        <v>249</v>
      </c>
      <c r="DA158" s="486">
        <v>245</v>
      </c>
      <c r="DB158" s="486">
        <v>240</v>
      </c>
      <c r="DC158" s="486">
        <v>237</v>
      </c>
      <c r="DD158" s="486">
        <v>230</v>
      </c>
      <c r="DE158" s="728">
        <v>226</v>
      </c>
      <c r="DF158" s="483"/>
    </row>
    <row r="159" spans="2:110" x14ac:dyDescent="0.35">
      <c r="B159" s="484" t="s">
        <v>620</v>
      </c>
      <c r="C159" s="485" t="s">
        <v>621</v>
      </c>
      <c r="D159" s="488"/>
      <c r="E159" s="488"/>
      <c r="F159" s="486"/>
      <c r="G159" s="486"/>
      <c r="H159" s="486">
        <v>687</v>
      </c>
      <c r="I159" s="486">
        <v>1134</v>
      </c>
      <c r="J159" s="486">
        <v>1284</v>
      </c>
      <c r="K159" s="486"/>
      <c r="L159" s="486">
        <v>1299</v>
      </c>
      <c r="M159" s="486">
        <v>1438</v>
      </c>
      <c r="N159" s="486">
        <v>1430</v>
      </c>
      <c r="O159" s="486">
        <v>1641</v>
      </c>
      <c r="P159" s="486">
        <v>1785</v>
      </c>
      <c r="Q159" s="486">
        <v>1891</v>
      </c>
      <c r="R159" s="486">
        <v>2030</v>
      </c>
      <c r="S159" s="486">
        <v>2022</v>
      </c>
      <c r="T159" s="486">
        <v>2483</v>
      </c>
      <c r="U159" s="486">
        <v>3005</v>
      </c>
      <c r="V159" s="486">
        <v>3123</v>
      </c>
      <c r="W159" s="486">
        <v>3559</v>
      </c>
      <c r="X159" s="486">
        <v>3794</v>
      </c>
      <c r="Y159" s="486">
        <v>3869</v>
      </c>
      <c r="Z159" s="486">
        <v>4098</v>
      </c>
      <c r="AA159" s="486">
        <v>4225</v>
      </c>
      <c r="AB159" s="486">
        <v>4366</v>
      </c>
      <c r="AC159" s="486">
        <v>4021</v>
      </c>
      <c r="AD159" s="486">
        <v>4086</v>
      </c>
      <c r="AE159" s="486">
        <v>4230</v>
      </c>
      <c r="AF159" s="486">
        <v>4354</v>
      </c>
      <c r="AG159" s="486">
        <v>4458</v>
      </c>
      <c r="AH159" s="486">
        <v>4517</v>
      </c>
      <c r="AI159" s="486">
        <v>4464</v>
      </c>
      <c r="AJ159" s="486">
        <v>4498</v>
      </c>
      <c r="AK159" s="486">
        <v>4564</v>
      </c>
      <c r="AL159" s="486">
        <v>4300</v>
      </c>
      <c r="AM159" s="486">
        <v>4427</v>
      </c>
      <c r="AN159" s="486">
        <v>4480</v>
      </c>
      <c r="AO159" s="486">
        <v>4466</v>
      </c>
      <c r="AP159" s="486">
        <v>4448</v>
      </c>
      <c r="AQ159" s="486">
        <v>4427</v>
      </c>
      <c r="AR159" s="486">
        <v>4412</v>
      </c>
      <c r="AS159" s="486">
        <v>4219</v>
      </c>
      <c r="AT159" s="486">
        <v>4221</v>
      </c>
      <c r="AU159" s="486">
        <v>4192</v>
      </c>
      <c r="AV159" s="486">
        <v>3318</v>
      </c>
      <c r="AW159" s="486">
        <v>3273</v>
      </c>
      <c r="AX159" s="486">
        <v>3393</v>
      </c>
      <c r="AY159" s="486">
        <v>3353</v>
      </c>
      <c r="AZ159" s="486">
        <v>3354</v>
      </c>
      <c r="BA159" s="486">
        <v>3344</v>
      </c>
      <c r="BB159" s="486">
        <v>2754</v>
      </c>
      <c r="BC159" s="486">
        <v>2615</v>
      </c>
      <c r="BD159" s="486">
        <v>2615</v>
      </c>
      <c r="BE159" s="486">
        <v>2572</v>
      </c>
      <c r="BF159" s="486">
        <v>2568</v>
      </c>
      <c r="BG159" s="486">
        <v>2571</v>
      </c>
      <c r="BH159" s="486">
        <v>2498</v>
      </c>
      <c r="BI159" s="486">
        <v>2504</v>
      </c>
      <c r="BJ159" s="486">
        <v>2197</v>
      </c>
      <c r="BK159" s="486">
        <v>2197</v>
      </c>
      <c r="BL159" s="486">
        <v>2202</v>
      </c>
      <c r="BM159" s="486">
        <v>2202</v>
      </c>
      <c r="BN159" s="486">
        <v>2194</v>
      </c>
      <c r="BO159" s="486">
        <v>2186</v>
      </c>
      <c r="BP159" s="486">
        <v>2044</v>
      </c>
      <c r="BQ159" s="486">
        <v>1517</v>
      </c>
      <c r="BR159" s="486">
        <v>1517</v>
      </c>
      <c r="BS159" s="486">
        <v>1517</v>
      </c>
      <c r="BT159" s="486">
        <v>1518</v>
      </c>
      <c r="BU159" s="486">
        <v>1494</v>
      </c>
      <c r="BV159" s="486">
        <v>1494</v>
      </c>
      <c r="BW159" s="486">
        <v>1494</v>
      </c>
      <c r="BX159" s="486">
        <v>1494</v>
      </c>
      <c r="BY159" s="486">
        <v>1494</v>
      </c>
      <c r="BZ159" s="486">
        <v>1494</v>
      </c>
      <c r="CA159" s="486">
        <v>1494</v>
      </c>
      <c r="CB159" s="486">
        <v>1494</v>
      </c>
      <c r="CC159" s="486">
        <v>1494</v>
      </c>
      <c r="CD159" s="486">
        <v>1494</v>
      </c>
      <c r="CE159" s="486">
        <v>1494</v>
      </c>
      <c r="CF159" s="486">
        <v>1494</v>
      </c>
      <c r="CG159" s="486">
        <v>1494</v>
      </c>
      <c r="CH159" s="486">
        <v>1252</v>
      </c>
      <c r="CI159" s="486">
        <v>1252</v>
      </c>
      <c r="CJ159" s="486">
        <v>1252</v>
      </c>
      <c r="CK159" s="486">
        <v>1252</v>
      </c>
      <c r="CL159" s="486">
        <v>1251</v>
      </c>
      <c r="CM159" s="486">
        <v>1250</v>
      </c>
      <c r="CN159" s="486">
        <v>640</v>
      </c>
      <c r="CO159" s="486">
        <v>640</v>
      </c>
      <c r="CP159" s="486">
        <v>636</v>
      </c>
      <c r="CQ159" s="486">
        <v>75</v>
      </c>
      <c r="CR159" s="486">
        <v>75</v>
      </c>
      <c r="CS159" s="486">
        <v>75</v>
      </c>
      <c r="CT159" s="486">
        <v>75</v>
      </c>
      <c r="CU159" s="486">
        <v>75</v>
      </c>
      <c r="CV159" s="486">
        <v>53</v>
      </c>
      <c r="CW159" s="486">
        <v>53</v>
      </c>
      <c r="CX159" s="486">
        <v>53</v>
      </c>
      <c r="CY159" s="486">
        <v>53</v>
      </c>
      <c r="CZ159" s="486">
        <v>52</v>
      </c>
      <c r="DA159" s="486">
        <v>49</v>
      </c>
      <c r="DB159" s="486">
        <v>47</v>
      </c>
      <c r="DC159" s="486">
        <v>47</v>
      </c>
      <c r="DD159" s="486">
        <v>47</v>
      </c>
      <c r="DE159" s="728">
        <v>47</v>
      </c>
      <c r="DF159" s="483"/>
    </row>
    <row r="160" spans="2:110" x14ac:dyDescent="0.35">
      <c r="B160" s="484" t="s">
        <v>622</v>
      </c>
      <c r="C160" s="484" t="s">
        <v>623</v>
      </c>
      <c r="D160" s="486"/>
      <c r="E160" s="486"/>
      <c r="F160" s="486"/>
      <c r="G160" s="486"/>
      <c r="H160" s="486"/>
      <c r="I160" s="486"/>
      <c r="J160" s="486"/>
      <c r="K160" s="486"/>
      <c r="L160" s="486"/>
      <c r="M160" s="486"/>
      <c r="N160" s="486"/>
      <c r="O160" s="486"/>
      <c r="P160" s="486"/>
      <c r="Q160" s="486"/>
      <c r="R160" s="486"/>
      <c r="S160" s="486"/>
      <c r="T160" s="486"/>
      <c r="U160" s="486"/>
      <c r="V160" s="486"/>
      <c r="W160" s="486"/>
      <c r="X160" s="486"/>
      <c r="Y160" s="486"/>
      <c r="Z160" s="486"/>
      <c r="AA160" s="486"/>
      <c r="AB160" s="486"/>
      <c r="AC160" s="486"/>
      <c r="AD160" s="486"/>
      <c r="AE160" s="486"/>
      <c r="AF160" s="486"/>
      <c r="AG160" s="486"/>
      <c r="AH160" s="486"/>
      <c r="AI160" s="486"/>
      <c r="AJ160" s="486"/>
      <c r="AK160" s="486"/>
      <c r="AL160" s="486"/>
      <c r="AM160" s="486"/>
      <c r="AN160" s="486"/>
      <c r="AO160" s="486"/>
      <c r="AP160" s="486"/>
      <c r="AQ160" s="486"/>
      <c r="AR160" s="486"/>
      <c r="AS160" s="486"/>
      <c r="AT160" s="486"/>
      <c r="AU160" s="486"/>
      <c r="AV160" s="486"/>
      <c r="AZ160" s="486"/>
      <c r="BA160" s="486"/>
      <c r="BB160" s="486"/>
      <c r="BC160" s="486"/>
      <c r="BD160" s="486"/>
      <c r="BE160" s="483"/>
      <c r="BF160" s="483"/>
      <c r="BG160" s="486"/>
      <c r="BH160" s="486"/>
      <c r="BI160" s="486"/>
      <c r="BJ160" s="486"/>
      <c r="BK160" s="486"/>
      <c r="BL160" s="486"/>
      <c r="BM160" s="486">
        <v>1092</v>
      </c>
      <c r="BN160" s="486">
        <v>1233</v>
      </c>
      <c r="BO160" s="486">
        <v>1328</v>
      </c>
      <c r="BP160" s="486">
        <v>1439</v>
      </c>
      <c r="BQ160" s="486">
        <v>1543</v>
      </c>
      <c r="BR160" s="486">
        <v>1605</v>
      </c>
      <c r="BS160" s="486">
        <v>1645</v>
      </c>
      <c r="BT160" s="486">
        <v>1716</v>
      </c>
      <c r="BU160" s="486">
        <v>1809</v>
      </c>
      <c r="BV160" s="486">
        <v>1871</v>
      </c>
      <c r="BW160" s="486">
        <v>1853</v>
      </c>
      <c r="BX160" s="486">
        <v>1836</v>
      </c>
      <c r="BY160" s="486">
        <v>1724</v>
      </c>
      <c r="BZ160" s="486">
        <v>1750</v>
      </c>
      <c r="CA160" s="486">
        <v>1712</v>
      </c>
      <c r="CB160" s="486">
        <v>1685</v>
      </c>
      <c r="CC160" s="486">
        <v>1623</v>
      </c>
      <c r="CD160" s="486">
        <v>1419</v>
      </c>
      <c r="CE160" s="486">
        <v>1300</v>
      </c>
      <c r="CF160" s="486">
        <v>1176</v>
      </c>
      <c r="CG160" s="486">
        <v>1090</v>
      </c>
      <c r="CH160" s="486">
        <v>1021</v>
      </c>
      <c r="CI160" s="486">
        <v>939</v>
      </c>
      <c r="CJ160" s="486">
        <v>891</v>
      </c>
      <c r="CK160" s="486">
        <v>785</v>
      </c>
      <c r="CL160" s="486">
        <v>750</v>
      </c>
      <c r="CM160" s="486">
        <v>706</v>
      </c>
      <c r="CN160" s="486">
        <v>661</v>
      </c>
      <c r="CO160" s="486">
        <v>621</v>
      </c>
      <c r="CP160" s="486">
        <v>596</v>
      </c>
      <c r="CQ160" s="486">
        <v>569</v>
      </c>
      <c r="CR160" s="486">
        <v>540</v>
      </c>
      <c r="CS160" s="486">
        <v>512</v>
      </c>
      <c r="CT160" s="486">
        <v>484</v>
      </c>
      <c r="CU160" s="486">
        <v>469</v>
      </c>
      <c r="CV160" s="486">
        <v>454</v>
      </c>
      <c r="CW160" s="486">
        <v>430</v>
      </c>
      <c r="CX160" s="486">
        <v>408</v>
      </c>
      <c r="CY160" s="486">
        <v>394</v>
      </c>
      <c r="CZ160" s="486">
        <v>381</v>
      </c>
      <c r="DA160" s="486">
        <v>325</v>
      </c>
      <c r="DB160" s="486">
        <v>301</v>
      </c>
      <c r="DC160" s="486">
        <v>290</v>
      </c>
      <c r="DD160" s="486">
        <v>286</v>
      </c>
      <c r="DE160" s="728">
        <v>272</v>
      </c>
      <c r="DF160" s="483"/>
    </row>
    <row r="161" spans="2:110" x14ac:dyDescent="0.35">
      <c r="B161" s="484" t="s">
        <v>624</v>
      </c>
      <c r="C161" s="484" t="s">
        <v>625</v>
      </c>
      <c r="D161" s="486"/>
      <c r="E161" s="486"/>
      <c r="F161" s="486"/>
      <c r="G161" s="486"/>
      <c r="H161" s="486"/>
      <c r="I161" s="486"/>
      <c r="J161" s="486"/>
      <c r="K161" s="486"/>
      <c r="L161" s="486"/>
      <c r="M161" s="486"/>
      <c r="N161" s="486"/>
      <c r="O161" s="486"/>
      <c r="P161" s="486"/>
      <c r="Q161" s="486"/>
      <c r="R161" s="486"/>
      <c r="S161" s="486"/>
      <c r="T161" s="486"/>
      <c r="U161" s="486"/>
      <c r="V161" s="486"/>
      <c r="W161" s="486"/>
      <c r="X161" s="486"/>
      <c r="Y161" s="486"/>
      <c r="Z161" s="486"/>
      <c r="AA161" s="486"/>
      <c r="AB161" s="486"/>
      <c r="AC161" s="486"/>
      <c r="AD161" s="486"/>
      <c r="AE161" s="486"/>
      <c r="AF161" s="486"/>
      <c r="AG161" s="486"/>
      <c r="AH161" s="486"/>
      <c r="AI161" s="486"/>
      <c r="AJ161" s="486"/>
      <c r="AK161" s="486"/>
      <c r="AL161" s="486"/>
      <c r="AM161" s="486"/>
      <c r="AN161" s="486"/>
      <c r="AO161" s="486"/>
      <c r="AP161" s="486"/>
      <c r="AQ161" s="486"/>
      <c r="AR161" s="486"/>
      <c r="AS161" s="486"/>
      <c r="AT161" s="486"/>
      <c r="AU161" s="486"/>
      <c r="AV161" s="486"/>
      <c r="AZ161" s="486"/>
      <c r="BA161" s="486"/>
      <c r="BB161" s="486"/>
      <c r="BC161" s="486"/>
      <c r="BD161" s="486"/>
      <c r="BE161" s="483"/>
      <c r="BF161" s="483"/>
      <c r="BG161" s="486"/>
      <c r="BH161" s="486"/>
      <c r="BI161" s="486"/>
      <c r="BJ161" s="486"/>
      <c r="BK161" s="486"/>
      <c r="BL161" s="486"/>
      <c r="BM161" s="486"/>
      <c r="BN161" s="486"/>
      <c r="BO161" s="486"/>
      <c r="BP161" s="486"/>
      <c r="BQ161" s="486"/>
      <c r="BR161" s="486">
        <v>1066</v>
      </c>
      <c r="BS161" s="486">
        <v>1084</v>
      </c>
      <c r="BT161" s="486">
        <v>1144</v>
      </c>
      <c r="BU161" s="486">
        <v>1171</v>
      </c>
      <c r="BV161" s="486">
        <v>1155</v>
      </c>
      <c r="BW161" s="486">
        <v>1152</v>
      </c>
      <c r="BX161" s="486">
        <v>1150</v>
      </c>
      <c r="BY161" s="486">
        <v>1151</v>
      </c>
      <c r="BZ161" s="486">
        <v>1207</v>
      </c>
      <c r="CA161" s="486">
        <v>1194</v>
      </c>
      <c r="CB161" s="486">
        <v>1184</v>
      </c>
      <c r="CC161" s="486">
        <v>1178</v>
      </c>
      <c r="CD161" s="486">
        <v>1187</v>
      </c>
      <c r="CE161" s="486">
        <v>1305</v>
      </c>
      <c r="CF161" s="486">
        <v>1296</v>
      </c>
      <c r="CG161" s="486">
        <v>1290</v>
      </c>
      <c r="CH161" s="486">
        <v>1280</v>
      </c>
      <c r="CI161" s="486">
        <v>1303</v>
      </c>
      <c r="CJ161" s="486">
        <v>1282</v>
      </c>
      <c r="CK161" s="486">
        <v>1167</v>
      </c>
      <c r="CL161" s="486">
        <v>980</v>
      </c>
      <c r="CM161" s="486">
        <v>805</v>
      </c>
      <c r="CN161" s="486">
        <v>774</v>
      </c>
      <c r="CO161" s="486">
        <v>703</v>
      </c>
      <c r="CP161" s="486">
        <v>646</v>
      </c>
      <c r="CQ161" s="486">
        <v>605</v>
      </c>
      <c r="CR161" s="486">
        <v>557</v>
      </c>
      <c r="CS161" s="486">
        <v>528</v>
      </c>
      <c r="CT161" s="486">
        <v>491</v>
      </c>
      <c r="CU161" s="486">
        <v>466</v>
      </c>
      <c r="CV161" s="486">
        <v>446</v>
      </c>
      <c r="CW161" s="486">
        <v>427</v>
      </c>
      <c r="CX161" s="486">
        <v>410</v>
      </c>
      <c r="CY161" s="486">
        <v>384</v>
      </c>
      <c r="CZ161" s="486">
        <v>362</v>
      </c>
      <c r="DA161" s="486">
        <v>341</v>
      </c>
      <c r="DB161" s="486">
        <v>329</v>
      </c>
      <c r="DC161" s="486">
        <v>325</v>
      </c>
      <c r="DD161" s="486">
        <v>317</v>
      </c>
      <c r="DE161" s="728">
        <v>315</v>
      </c>
      <c r="DF161" s="483"/>
    </row>
    <row r="162" spans="2:110" x14ac:dyDescent="0.35">
      <c r="B162" s="484" t="s">
        <v>626</v>
      </c>
      <c r="C162" s="485" t="s">
        <v>627</v>
      </c>
      <c r="E162" s="486"/>
      <c r="F162" s="486"/>
      <c r="G162" s="486"/>
      <c r="H162" s="486"/>
      <c r="I162" s="486"/>
      <c r="J162" s="486"/>
      <c r="K162" s="486"/>
      <c r="L162" s="486"/>
      <c r="M162" s="486"/>
      <c r="N162" s="486"/>
      <c r="O162" s="486"/>
      <c r="P162" s="486"/>
      <c r="Q162" s="486"/>
      <c r="R162" s="486"/>
      <c r="S162" s="486"/>
      <c r="T162" s="486"/>
      <c r="U162" s="486"/>
      <c r="V162" s="486"/>
      <c r="W162" s="486"/>
      <c r="X162" s="486"/>
      <c r="Y162" s="486"/>
      <c r="Z162" s="486">
        <v>1151</v>
      </c>
      <c r="AA162" s="486">
        <v>1563</v>
      </c>
      <c r="AB162" s="486">
        <v>1833</v>
      </c>
      <c r="AC162" s="486">
        <v>2228</v>
      </c>
      <c r="AD162" s="486">
        <v>2574</v>
      </c>
      <c r="AE162" s="486">
        <v>3058</v>
      </c>
      <c r="AF162" s="486">
        <v>3321</v>
      </c>
      <c r="AG162" s="486">
        <v>3390</v>
      </c>
      <c r="AH162" s="486">
        <v>3408</v>
      </c>
      <c r="AI162" s="486">
        <v>3420</v>
      </c>
      <c r="AJ162" s="486">
        <v>3438</v>
      </c>
      <c r="AK162" s="486">
        <v>3446</v>
      </c>
      <c r="AL162" s="486">
        <v>3449</v>
      </c>
      <c r="AM162" s="486">
        <v>3450</v>
      </c>
      <c r="AN162" s="486">
        <v>3451</v>
      </c>
      <c r="AO162" s="486">
        <v>3456</v>
      </c>
      <c r="AP162" s="486">
        <v>3461</v>
      </c>
      <c r="AQ162" s="486">
        <v>3461</v>
      </c>
      <c r="AR162" s="486">
        <v>3465</v>
      </c>
      <c r="AS162" s="486">
        <v>3470</v>
      </c>
      <c r="AT162" s="486">
        <v>3472</v>
      </c>
      <c r="AU162" s="486">
        <v>3474</v>
      </c>
      <c r="AV162" s="486">
        <v>3473</v>
      </c>
      <c r="AW162" s="486">
        <v>3474</v>
      </c>
      <c r="AX162" s="486">
        <v>3473</v>
      </c>
      <c r="AY162" s="486">
        <v>3474</v>
      </c>
      <c r="AZ162" s="486">
        <v>3475</v>
      </c>
      <c r="BA162" s="486">
        <v>3475</v>
      </c>
      <c r="BB162" s="486">
        <v>3476</v>
      </c>
      <c r="BC162" s="486">
        <v>3476</v>
      </c>
      <c r="BD162" s="486">
        <v>3476</v>
      </c>
      <c r="BE162" s="486">
        <v>3476</v>
      </c>
      <c r="BF162" s="486">
        <v>3476</v>
      </c>
      <c r="BG162" s="486">
        <v>3476</v>
      </c>
      <c r="BH162" s="486">
        <v>3476</v>
      </c>
      <c r="BI162" s="486">
        <v>3481</v>
      </c>
      <c r="BJ162" s="486">
        <v>3481</v>
      </c>
      <c r="BK162" s="486">
        <v>3481</v>
      </c>
      <c r="BL162" s="486">
        <v>3481</v>
      </c>
      <c r="BM162" s="486">
        <v>3481</v>
      </c>
      <c r="BN162" s="486">
        <v>2504</v>
      </c>
      <c r="BO162" s="486">
        <v>2503</v>
      </c>
      <c r="BP162" s="486">
        <v>2503</v>
      </c>
      <c r="BQ162" s="486">
        <v>2503</v>
      </c>
      <c r="BR162" s="486">
        <v>2503</v>
      </c>
      <c r="BS162" s="486">
        <v>2503</v>
      </c>
      <c r="BT162" s="486">
        <v>2503</v>
      </c>
      <c r="BU162" s="486">
        <v>2503</v>
      </c>
      <c r="BV162" s="486">
        <v>2503</v>
      </c>
      <c r="BW162" s="486">
        <v>1422</v>
      </c>
      <c r="BX162" s="486">
        <v>1422</v>
      </c>
      <c r="BY162" s="486">
        <v>1422</v>
      </c>
      <c r="BZ162" s="486">
        <v>1422</v>
      </c>
      <c r="CA162" s="102">
        <v>1422</v>
      </c>
      <c r="CB162" s="486">
        <v>604</v>
      </c>
      <c r="CC162" s="486">
        <v>604</v>
      </c>
      <c r="CD162" s="486">
        <v>604</v>
      </c>
      <c r="CE162" s="486">
        <v>604</v>
      </c>
      <c r="CF162" s="486">
        <v>604</v>
      </c>
      <c r="CG162" s="486">
        <v>604</v>
      </c>
      <c r="CH162" s="486">
        <v>604</v>
      </c>
      <c r="CI162" s="486">
        <v>604</v>
      </c>
      <c r="CJ162" s="486">
        <v>192</v>
      </c>
      <c r="CK162" s="486">
        <v>192</v>
      </c>
      <c r="CL162" s="486">
        <v>192</v>
      </c>
      <c r="CM162" s="486">
        <v>192</v>
      </c>
      <c r="CN162" s="486">
        <v>192</v>
      </c>
      <c r="CO162" s="486">
        <v>192</v>
      </c>
      <c r="CP162" s="486">
        <v>192</v>
      </c>
      <c r="CQ162" s="486">
        <v>192</v>
      </c>
      <c r="CR162" s="486">
        <v>192</v>
      </c>
      <c r="CS162" s="486">
        <v>66</v>
      </c>
      <c r="CT162" s="486">
        <v>66</v>
      </c>
      <c r="CU162" s="486">
        <v>66</v>
      </c>
      <c r="CV162" s="486">
        <v>66</v>
      </c>
      <c r="CW162" s="486">
        <v>66</v>
      </c>
      <c r="CX162" s="486">
        <v>66</v>
      </c>
      <c r="CY162" s="486">
        <v>66</v>
      </c>
      <c r="CZ162" s="486">
        <v>0</v>
      </c>
      <c r="DA162" s="486">
        <v>0</v>
      </c>
      <c r="DB162" s="486">
        <v>0</v>
      </c>
      <c r="DC162" s="486">
        <v>0</v>
      </c>
      <c r="DD162" s="486">
        <v>0</v>
      </c>
      <c r="DE162" s="728">
        <v>0</v>
      </c>
      <c r="DF162" s="483"/>
    </row>
    <row r="163" spans="2:110" x14ac:dyDescent="0.35">
      <c r="B163" s="484" t="s">
        <v>628</v>
      </c>
      <c r="C163" s="485" t="s">
        <v>629</v>
      </c>
      <c r="D163" s="486"/>
      <c r="E163" s="486"/>
      <c r="F163" s="486"/>
      <c r="G163" s="486"/>
      <c r="H163" s="486"/>
      <c r="I163" s="486"/>
      <c r="J163" s="486"/>
      <c r="K163" s="486"/>
      <c r="L163" s="486"/>
      <c r="M163" s="486"/>
      <c r="N163" s="486"/>
      <c r="O163" s="486"/>
      <c r="P163" s="486"/>
      <c r="Q163" s="486"/>
      <c r="R163" s="486"/>
      <c r="S163" s="486"/>
      <c r="T163" s="486"/>
      <c r="U163" s="486"/>
      <c r="V163" s="486"/>
      <c r="W163" s="486"/>
      <c r="X163" s="486"/>
      <c r="Y163" s="486"/>
      <c r="Z163" s="486"/>
      <c r="AA163" s="486"/>
      <c r="AB163" s="486"/>
      <c r="AC163" s="486"/>
      <c r="AD163" s="486"/>
      <c r="AE163" s="486"/>
      <c r="AF163" s="486"/>
      <c r="AG163" s="486"/>
      <c r="AH163" s="486"/>
      <c r="AI163" s="486"/>
      <c r="AJ163" s="486"/>
      <c r="AK163" s="486"/>
      <c r="AL163" s="486"/>
      <c r="AM163" s="486"/>
      <c r="AN163" s="486">
        <v>1035</v>
      </c>
      <c r="AO163" s="486">
        <v>1099</v>
      </c>
      <c r="AP163" s="486">
        <v>1202</v>
      </c>
      <c r="AQ163" s="486">
        <v>1275</v>
      </c>
      <c r="AR163" s="486">
        <v>1350</v>
      </c>
      <c r="AS163" s="486">
        <v>1398</v>
      </c>
      <c r="AT163" s="486">
        <v>1395</v>
      </c>
      <c r="AU163" s="486">
        <v>1395</v>
      </c>
      <c r="AV163" s="486">
        <v>1381</v>
      </c>
      <c r="AW163" s="486">
        <v>1380</v>
      </c>
      <c r="AX163" s="486">
        <v>1380</v>
      </c>
      <c r="AY163" s="486">
        <v>1379</v>
      </c>
      <c r="AZ163" s="486">
        <v>1377</v>
      </c>
      <c r="BA163" s="486">
        <v>1377</v>
      </c>
      <c r="BB163" s="486">
        <v>1376</v>
      </c>
      <c r="BC163" s="486">
        <v>1363</v>
      </c>
      <c r="BD163" s="486">
        <v>1359</v>
      </c>
      <c r="BE163" s="486">
        <v>1359</v>
      </c>
      <c r="BF163" s="486">
        <v>1359</v>
      </c>
      <c r="BG163" s="486">
        <v>1359</v>
      </c>
      <c r="BH163" s="486">
        <v>1359</v>
      </c>
      <c r="BI163" s="486">
        <v>1358</v>
      </c>
      <c r="BJ163" s="486">
        <v>1282</v>
      </c>
      <c r="BK163" s="486">
        <v>1281</v>
      </c>
      <c r="BL163" s="486">
        <v>1280</v>
      </c>
      <c r="BM163" s="486">
        <v>1013</v>
      </c>
      <c r="BN163" s="486">
        <v>922</v>
      </c>
      <c r="BO163" s="486"/>
      <c r="BP163" s="486"/>
      <c r="BQ163" s="486"/>
      <c r="BR163" s="486"/>
      <c r="BS163" s="486">
        <v>852</v>
      </c>
      <c r="BT163" s="486"/>
      <c r="BU163" s="486">
        <v>834</v>
      </c>
      <c r="BV163" s="486">
        <v>835</v>
      </c>
      <c r="BW163" s="486">
        <v>773</v>
      </c>
      <c r="BX163" s="486">
        <v>743</v>
      </c>
      <c r="BY163" s="486">
        <v>743</v>
      </c>
      <c r="BZ163" s="486">
        <v>728</v>
      </c>
      <c r="CA163" s="486">
        <v>712</v>
      </c>
      <c r="CB163" s="486"/>
      <c r="CC163" s="486">
        <v>664</v>
      </c>
      <c r="CD163" s="486">
        <v>646</v>
      </c>
      <c r="CE163" s="486">
        <v>627</v>
      </c>
      <c r="CF163" s="486">
        <v>604</v>
      </c>
      <c r="CG163" s="486">
        <v>586</v>
      </c>
      <c r="CH163" s="486">
        <v>568</v>
      </c>
      <c r="CI163" s="486">
        <v>556</v>
      </c>
      <c r="CJ163" s="486">
        <v>540</v>
      </c>
      <c r="CK163" s="486">
        <v>518</v>
      </c>
      <c r="CL163" s="486">
        <v>491</v>
      </c>
      <c r="CM163" s="486">
        <v>466</v>
      </c>
      <c r="CN163" s="486">
        <v>458</v>
      </c>
      <c r="CO163" s="486">
        <v>426</v>
      </c>
      <c r="CP163" s="486">
        <v>423</v>
      </c>
      <c r="CQ163" s="486">
        <v>420</v>
      </c>
      <c r="CR163" s="486">
        <v>402</v>
      </c>
      <c r="CS163" s="486">
        <v>400</v>
      </c>
      <c r="CT163" s="486">
        <v>395</v>
      </c>
      <c r="CU163" s="486">
        <v>395</v>
      </c>
      <c r="CV163" s="486">
        <v>393</v>
      </c>
      <c r="CW163" s="486">
        <v>363</v>
      </c>
      <c r="CX163" s="486">
        <v>364</v>
      </c>
      <c r="CY163" s="486">
        <v>364</v>
      </c>
      <c r="CZ163" s="486">
        <v>364</v>
      </c>
      <c r="DA163" s="486">
        <v>364</v>
      </c>
      <c r="DB163" s="486">
        <v>364</v>
      </c>
      <c r="DC163" s="486">
        <v>364</v>
      </c>
      <c r="DD163" s="486">
        <v>364</v>
      </c>
      <c r="DE163" s="728">
        <v>364</v>
      </c>
      <c r="DF163" s="483"/>
    </row>
    <row r="164" spans="2:110" x14ac:dyDescent="0.35">
      <c r="B164" s="484" t="s">
        <v>630</v>
      </c>
      <c r="C164" s="485" t="s">
        <v>631</v>
      </c>
      <c r="D164" s="486"/>
      <c r="E164" s="486"/>
      <c r="F164" s="486"/>
      <c r="G164" s="486"/>
      <c r="H164" s="486"/>
      <c r="I164" s="486"/>
      <c r="J164" s="486"/>
      <c r="K164" s="486"/>
      <c r="L164" s="486"/>
      <c r="M164" s="486"/>
      <c r="N164" s="486"/>
      <c r="O164" s="486"/>
      <c r="P164" s="486"/>
      <c r="Q164" s="486"/>
      <c r="R164" s="486"/>
      <c r="S164" s="486"/>
      <c r="T164" s="486"/>
      <c r="U164" s="486"/>
      <c r="V164" s="486"/>
      <c r="W164" s="486"/>
      <c r="X164" s="486"/>
      <c r="Y164" s="486"/>
      <c r="Z164" s="486"/>
      <c r="AA164" s="486"/>
      <c r="AB164" s="486">
        <v>1038</v>
      </c>
      <c r="AC164" s="486">
        <v>1043</v>
      </c>
      <c r="AD164" s="486">
        <v>1105</v>
      </c>
      <c r="AE164" s="486">
        <v>1174</v>
      </c>
      <c r="AF164" s="486">
        <v>1256</v>
      </c>
      <c r="AG164" s="486">
        <v>1266</v>
      </c>
      <c r="AH164" s="486">
        <v>1254</v>
      </c>
      <c r="AI164" s="486">
        <v>1255</v>
      </c>
      <c r="AJ164" s="486">
        <v>1250</v>
      </c>
      <c r="AK164" s="486">
        <v>1244</v>
      </c>
      <c r="AL164" s="486">
        <v>1240</v>
      </c>
      <c r="AM164" s="486">
        <v>1238</v>
      </c>
      <c r="AN164" s="486">
        <v>1238</v>
      </c>
      <c r="AO164" s="486">
        <v>1229</v>
      </c>
      <c r="AP164" s="486">
        <v>1186</v>
      </c>
      <c r="AQ164" s="486">
        <v>1185</v>
      </c>
      <c r="AR164" s="486">
        <v>1179</v>
      </c>
      <c r="AS164" s="486">
        <v>1163</v>
      </c>
      <c r="AT164" s="486">
        <v>1152</v>
      </c>
      <c r="AU164" s="486">
        <v>1143</v>
      </c>
      <c r="AV164" s="486">
        <v>1135</v>
      </c>
      <c r="AW164" s="486">
        <v>1115</v>
      </c>
      <c r="AX164" s="486">
        <v>1092</v>
      </c>
      <c r="AY164" s="486">
        <v>1055</v>
      </c>
      <c r="AZ164" s="486">
        <v>1023</v>
      </c>
      <c r="BA164" s="486"/>
      <c r="BB164" s="486"/>
      <c r="BC164" s="486"/>
      <c r="BD164" s="486"/>
      <c r="BE164" s="483"/>
      <c r="BF164" s="483"/>
      <c r="BG164" s="483"/>
      <c r="BH164" s="483"/>
      <c r="BM164" s="486"/>
      <c r="BN164" s="486">
        <v>727</v>
      </c>
      <c r="BO164" s="486"/>
      <c r="BP164" s="486"/>
      <c r="BQ164" s="486"/>
      <c r="BR164" s="486"/>
      <c r="BS164" s="486">
        <v>665</v>
      </c>
      <c r="BT164" s="486"/>
      <c r="BU164" s="486">
        <v>679</v>
      </c>
      <c r="BV164" s="486">
        <v>671</v>
      </c>
      <c r="BW164" s="486">
        <v>665</v>
      </c>
      <c r="BX164" s="486">
        <v>660</v>
      </c>
      <c r="BY164" s="486">
        <v>637</v>
      </c>
      <c r="BZ164" s="486">
        <v>627</v>
      </c>
      <c r="CA164" s="486">
        <v>611</v>
      </c>
      <c r="CB164" s="486"/>
      <c r="CC164" s="486">
        <v>574</v>
      </c>
      <c r="CD164" s="486">
        <v>565</v>
      </c>
      <c r="CE164" s="486">
        <v>551</v>
      </c>
      <c r="CF164" s="486">
        <v>547</v>
      </c>
      <c r="CG164" s="486">
        <v>540</v>
      </c>
      <c r="CH164" s="486">
        <v>534</v>
      </c>
      <c r="CI164" s="486">
        <v>524</v>
      </c>
      <c r="CJ164" s="486">
        <v>482</v>
      </c>
      <c r="CK164" s="486">
        <v>468</v>
      </c>
      <c r="CL164" s="486">
        <v>459</v>
      </c>
      <c r="CM164" s="486">
        <v>413</v>
      </c>
      <c r="CN164" s="486">
        <v>410</v>
      </c>
      <c r="CO164" s="486">
        <v>379</v>
      </c>
      <c r="CP164" s="486">
        <v>367</v>
      </c>
      <c r="CQ164" s="486">
        <v>362</v>
      </c>
      <c r="CR164" s="486">
        <v>362</v>
      </c>
      <c r="CS164" s="486">
        <v>360</v>
      </c>
      <c r="CT164" s="486">
        <v>360</v>
      </c>
      <c r="CU164" s="486">
        <v>305</v>
      </c>
      <c r="CV164" s="486">
        <v>290</v>
      </c>
      <c r="CW164" s="486">
        <v>277</v>
      </c>
      <c r="CX164" s="486">
        <v>263</v>
      </c>
      <c r="CY164" s="486">
        <v>258</v>
      </c>
      <c r="CZ164" s="486">
        <v>253</v>
      </c>
      <c r="DA164" s="486">
        <v>248</v>
      </c>
      <c r="DB164" s="486">
        <v>231</v>
      </c>
      <c r="DC164" s="486">
        <v>227</v>
      </c>
      <c r="DD164" s="486">
        <v>223</v>
      </c>
      <c r="DE164" s="728">
        <v>220</v>
      </c>
      <c r="DF164" s="483"/>
    </row>
    <row r="165" spans="2:110" x14ac:dyDescent="0.35">
      <c r="B165" s="484" t="s">
        <v>632</v>
      </c>
      <c r="C165" s="485" t="s">
        <v>633</v>
      </c>
      <c r="D165" s="486"/>
      <c r="E165" s="486"/>
      <c r="F165" s="486"/>
      <c r="G165" s="486"/>
      <c r="H165" s="486"/>
      <c r="I165" s="486"/>
      <c r="J165" s="486"/>
      <c r="K165" s="486"/>
      <c r="L165" s="486"/>
      <c r="M165" s="486"/>
      <c r="N165" s="486"/>
      <c r="O165" s="486"/>
      <c r="P165" s="486"/>
      <c r="Q165" s="486"/>
      <c r="R165" s="486"/>
      <c r="S165" s="486"/>
      <c r="T165" s="486"/>
      <c r="U165" s="486"/>
      <c r="V165" s="486"/>
      <c r="W165" s="486"/>
      <c r="X165" s="486"/>
      <c r="Y165" s="486">
        <v>1006</v>
      </c>
      <c r="Z165" s="486">
        <v>1029</v>
      </c>
      <c r="AA165" s="486">
        <v>1053</v>
      </c>
      <c r="AB165" s="486">
        <v>1083</v>
      </c>
      <c r="AC165" s="486">
        <v>1092</v>
      </c>
      <c r="AD165" s="486">
        <v>1110</v>
      </c>
      <c r="AE165" s="486">
        <v>1117</v>
      </c>
      <c r="AF165" s="486">
        <v>1144</v>
      </c>
      <c r="AG165" s="486">
        <v>1127</v>
      </c>
      <c r="AH165" s="486">
        <v>1136</v>
      </c>
      <c r="AI165" s="486">
        <v>1140</v>
      </c>
      <c r="AJ165" s="486">
        <v>1153</v>
      </c>
      <c r="AK165" s="486">
        <v>1173</v>
      </c>
      <c r="AL165" s="486">
        <v>1145</v>
      </c>
      <c r="AM165" s="486">
        <v>1145</v>
      </c>
      <c r="AN165" s="486">
        <v>1145</v>
      </c>
      <c r="AO165" s="486">
        <v>1148</v>
      </c>
      <c r="AP165" s="486">
        <v>1150</v>
      </c>
      <c r="AQ165" s="486">
        <v>1125</v>
      </c>
      <c r="AR165" s="486">
        <v>1130</v>
      </c>
      <c r="AS165" s="486">
        <v>1092</v>
      </c>
      <c r="AT165" s="486">
        <v>1091</v>
      </c>
      <c r="AU165" s="486">
        <v>1084</v>
      </c>
      <c r="AV165" s="486">
        <v>1074</v>
      </c>
      <c r="AW165" s="486">
        <v>1067</v>
      </c>
      <c r="AX165" s="486">
        <v>1034</v>
      </c>
      <c r="AY165" s="486">
        <v>1030</v>
      </c>
      <c r="AZ165" s="486">
        <v>1031</v>
      </c>
      <c r="BA165" s="486">
        <v>1035</v>
      </c>
      <c r="BB165" s="486">
        <v>1034</v>
      </c>
      <c r="BC165" s="486">
        <v>1023</v>
      </c>
      <c r="BD165" s="486">
        <v>1006</v>
      </c>
      <c r="BE165" s="486">
        <v>1013</v>
      </c>
      <c r="BF165" s="486"/>
      <c r="BG165" s="486"/>
      <c r="BH165" s="486"/>
      <c r="BM165" s="486"/>
      <c r="BN165" s="486">
        <v>797</v>
      </c>
      <c r="BO165" s="486"/>
      <c r="BP165" s="486"/>
      <c r="BQ165" s="486"/>
      <c r="BR165" s="486"/>
      <c r="BS165" s="486">
        <v>712</v>
      </c>
      <c r="BT165" s="486"/>
      <c r="BU165" s="486">
        <v>704</v>
      </c>
      <c r="BV165" s="486">
        <v>703</v>
      </c>
      <c r="BW165" s="486">
        <v>702</v>
      </c>
      <c r="BX165" s="486">
        <v>701</v>
      </c>
      <c r="BY165" s="486">
        <v>701</v>
      </c>
      <c r="BZ165" s="486">
        <v>700</v>
      </c>
      <c r="CA165" s="102">
        <v>698</v>
      </c>
      <c r="CB165" s="486"/>
      <c r="CC165" s="486">
        <v>688</v>
      </c>
      <c r="CD165" s="486">
        <v>688</v>
      </c>
      <c r="CE165" s="486">
        <v>688</v>
      </c>
      <c r="CF165" s="486">
        <v>688</v>
      </c>
      <c r="CG165" s="486">
        <v>688</v>
      </c>
      <c r="CH165" s="486">
        <v>688</v>
      </c>
      <c r="CI165" s="486">
        <v>688</v>
      </c>
      <c r="CJ165" s="486">
        <v>688</v>
      </c>
      <c r="CK165" s="486">
        <v>688</v>
      </c>
      <c r="CL165" s="486">
        <v>688</v>
      </c>
      <c r="CM165" s="486">
        <v>688</v>
      </c>
      <c r="CN165" s="486">
        <v>688</v>
      </c>
      <c r="CO165" s="486">
        <v>688</v>
      </c>
      <c r="CP165" s="486">
        <v>688</v>
      </c>
      <c r="CQ165" s="486">
        <v>688</v>
      </c>
      <c r="CR165" s="486">
        <v>205</v>
      </c>
      <c r="CS165" s="486">
        <v>205</v>
      </c>
      <c r="CT165" s="486">
        <v>207</v>
      </c>
      <c r="CU165" s="486">
        <v>207</v>
      </c>
      <c r="CV165" s="486">
        <v>207</v>
      </c>
      <c r="CW165" s="486">
        <v>207</v>
      </c>
      <c r="CX165" s="486">
        <v>207</v>
      </c>
      <c r="CY165" s="486">
        <v>207</v>
      </c>
      <c r="CZ165" s="486">
        <v>207</v>
      </c>
      <c r="DA165" s="486">
        <v>207</v>
      </c>
      <c r="DB165" s="486">
        <v>207</v>
      </c>
      <c r="DC165" s="486">
        <v>207</v>
      </c>
      <c r="DD165" s="486">
        <v>101</v>
      </c>
      <c r="DE165" s="728">
        <v>54</v>
      </c>
      <c r="DF165" s="483"/>
    </row>
    <row r="166" spans="2:110" x14ac:dyDescent="0.35">
      <c r="B166" s="484" t="s">
        <v>634</v>
      </c>
      <c r="C166" s="484" t="s">
        <v>635</v>
      </c>
      <c r="D166" s="486"/>
      <c r="E166" s="486"/>
      <c r="F166" s="486"/>
      <c r="G166" s="486"/>
      <c r="H166" s="486"/>
      <c r="I166" s="486"/>
      <c r="J166" s="486"/>
      <c r="K166" s="486"/>
      <c r="L166" s="486"/>
      <c r="M166" s="486"/>
      <c r="N166" s="486"/>
      <c r="O166" s="486"/>
      <c r="P166" s="486"/>
      <c r="Q166" s="486"/>
      <c r="R166" s="486"/>
      <c r="S166" s="486"/>
      <c r="T166" s="486"/>
      <c r="U166" s="486"/>
      <c r="V166" s="486"/>
      <c r="W166" s="486"/>
      <c r="X166" s="486"/>
      <c r="Y166" s="486"/>
      <c r="Z166" s="486"/>
      <c r="AA166" s="486"/>
      <c r="AB166" s="486"/>
      <c r="AC166" s="486"/>
      <c r="AD166" s="486"/>
      <c r="AE166" s="486"/>
      <c r="AF166" s="486"/>
      <c r="AG166" s="486"/>
      <c r="AH166" s="486"/>
      <c r="AI166" s="486"/>
      <c r="AJ166" s="486"/>
      <c r="AK166" s="486"/>
      <c r="AL166" s="486"/>
      <c r="AM166" s="486"/>
      <c r="AN166" s="486"/>
      <c r="AO166" s="483"/>
      <c r="AP166" s="483"/>
      <c r="AQ166" s="483"/>
      <c r="AR166" s="483"/>
      <c r="AS166" s="486"/>
      <c r="AT166" s="486"/>
      <c r="AU166" s="486"/>
      <c r="AV166" s="486"/>
      <c r="AZ166" s="486"/>
      <c r="BA166" s="486"/>
      <c r="BB166" s="486"/>
      <c r="BC166" s="486"/>
      <c r="BD166" s="486"/>
      <c r="BE166" s="486"/>
      <c r="BF166" s="486">
        <v>1021</v>
      </c>
      <c r="BG166" s="486">
        <v>1057</v>
      </c>
      <c r="BH166" s="486">
        <v>1057</v>
      </c>
      <c r="BI166" s="486">
        <v>1067</v>
      </c>
      <c r="BJ166" s="486">
        <v>1070</v>
      </c>
      <c r="BK166" s="486">
        <v>1078</v>
      </c>
      <c r="BL166" s="486">
        <v>1081</v>
      </c>
      <c r="BM166" s="486">
        <v>1084</v>
      </c>
      <c r="BN166" s="486">
        <v>1084</v>
      </c>
      <c r="BO166" s="486">
        <v>1111</v>
      </c>
      <c r="BP166" s="486">
        <v>1153</v>
      </c>
      <c r="BQ166" s="486">
        <v>1170</v>
      </c>
      <c r="BR166" s="486">
        <v>1175</v>
      </c>
      <c r="BS166" s="486">
        <v>1175</v>
      </c>
      <c r="BT166" s="486">
        <v>1362</v>
      </c>
      <c r="BU166" s="486">
        <v>1434</v>
      </c>
      <c r="BV166" s="486">
        <v>2081</v>
      </c>
      <c r="BW166" s="486">
        <v>2127</v>
      </c>
      <c r="BX166" s="486">
        <v>2053</v>
      </c>
      <c r="BY166" s="486">
        <v>2051</v>
      </c>
      <c r="BZ166" s="486">
        <v>1529</v>
      </c>
      <c r="CA166" s="486">
        <v>1529</v>
      </c>
      <c r="CB166" s="486">
        <v>1083</v>
      </c>
      <c r="CC166" s="486">
        <v>874</v>
      </c>
      <c r="CD166" s="486">
        <v>874</v>
      </c>
      <c r="CE166" s="486">
        <v>874</v>
      </c>
      <c r="CF166" s="486">
        <v>874</v>
      </c>
      <c r="CG166" s="486">
        <v>874</v>
      </c>
      <c r="CH166" s="486">
        <v>874</v>
      </c>
      <c r="CI166" s="486">
        <v>864</v>
      </c>
      <c r="CJ166" s="486">
        <v>864</v>
      </c>
      <c r="CK166" s="486">
        <v>864</v>
      </c>
      <c r="CL166" s="486">
        <v>474</v>
      </c>
      <c r="CM166" s="486">
        <v>474</v>
      </c>
      <c r="CN166" s="486">
        <v>474</v>
      </c>
      <c r="CO166" s="486">
        <v>474</v>
      </c>
      <c r="CP166" s="486">
        <v>474</v>
      </c>
      <c r="CQ166" s="486">
        <v>474</v>
      </c>
      <c r="CR166" s="486">
        <v>361</v>
      </c>
      <c r="CS166" s="486">
        <v>361</v>
      </c>
      <c r="CT166" s="486">
        <v>361</v>
      </c>
      <c r="CU166" s="486">
        <v>247</v>
      </c>
      <c r="CV166" s="486">
        <v>247</v>
      </c>
      <c r="CW166" s="486">
        <v>247</v>
      </c>
      <c r="CX166" s="486">
        <v>247</v>
      </c>
      <c r="CY166" s="486">
        <v>247</v>
      </c>
      <c r="CZ166" s="486">
        <v>247</v>
      </c>
      <c r="DA166" s="486">
        <v>142</v>
      </c>
      <c r="DB166" s="486">
        <v>142</v>
      </c>
      <c r="DC166" s="486">
        <v>142</v>
      </c>
      <c r="DD166" s="486">
        <v>142</v>
      </c>
      <c r="DE166" s="728">
        <v>91</v>
      </c>
      <c r="DF166" s="483"/>
    </row>
    <row r="167" spans="2:110" x14ac:dyDescent="0.35">
      <c r="B167" s="484" t="s">
        <v>636</v>
      </c>
      <c r="C167" s="485" t="s">
        <v>637</v>
      </c>
      <c r="D167" s="486"/>
      <c r="E167" s="486"/>
      <c r="F167" s="486"/>
      <c r="G167" s="486"/>
      <c r="H167" s="486"/>
      <c r="I167" s="486"/>
      <c r="J167" s="486"/>
      <c r="K167" s="486"/>
      <c r="L167" s="486"/>
      <c r="M167" s="486"/>
      <c r="N167" s="486"/>
      <c r="O167" s="486"/>
      <c r="P167" s="486"/>
      <c r="Q167" s="486"/>
      <c r="R167" s="486"/>
      <c r="S167" s="486"/>
      <c r="T167" s="486"/>
      <c r="U167" s="486"/>
      <c r="V167" s="486"/>
      <c r="W167" s="486">
        <v>1050</v>
      </c>
      <c r="X167" s="486">
        <v>1050</v>
      </c>
      <c r="Y167" s="486">
        <v>1050</v>
      </c>
      <c r="Z167" s="486">
        <v>1050</v>
      </c>
      <c r="AA167" s="486">
        <v>1150</v>
      </c>
      <c r="AB167" s="486">
        <v>1350</v>
      </c>
      <c r="AC167" s="486">
        <v>1550</v>
      </c>
      <c r="AD167" s="486">
        <v>1550</v>
      </c>
      <c r="AE167" s="486">
        <v>1750</v>
      </c>
      <c r="AF167" s="486">
        <v>1750</v>
      </c>
      <c r="AG167" s="486">
        <v>1950</v>
      </c>
      <c r="AH167" s="486">
        <v>1950</v>
      </c>
      <c r="AI167" s="486">
        <v>2150</v>
      </c>
      <c r="AJ167" s="486">
        <v>2150</v>
      </c>
      <c r="AK167" s="486">
        <v>2350</v>
      </c>
      <c r="AL167" s="486">
        <v>2550</v>
      </c>
      <c r="AM167" s="486">
        <v>2550</v>
      </c>
      <c r="AN167" s="486">
        <v>2550</v>
      </c>
      <c r="AO167" s="486">
        <v>2950</v>
      </c>
      <c r="AP167" s="486">
        <v>2950</v>
      </c>
      <c r="AQ167" s="486">
        <v>2950</v>
      </c>
      <c r="AR167" s="486">
        <v>2950</v>
      </c>
      <c r="AS167" s="486">
        <v>2950</v>
      </c>
      <c r="AT167" s="486">
        <v>3150</v>
      </c>
      <c r="AU167" s="486">
        <v>3150</v>
      </c>
      <c r="AV167" s="486">
        <v>3150</v>
      </c>
      <c r="AW167" s="486">
        <v>3150</v>
      </c>
      <c r="AX167" s="486">
        <v>3149</v>
      </c>
      <c r="AY167" s="486">
        <v>3150</v>
      </c>
      <c r="AZ167" s="486">
        <v>3150</v>
      </c>
      <c r="BA167" s="486">
        <v>3150</v>
      </c>
      <c r="BB167" s="486">
        <v>3350</v>
      </c>
      <c r="BC167" s="486">
        <v>3350</v>
      </c>
      <c r="BD167" s="486">
        <v>3550</v>
      </c>
      <c r="BE167" s="486">
        <v>3550</v>
      </c>
      <c r="BF167" s="486">
        <v>3550</v>
      </c>
      <c r="BG167" s="486">
        <v>3550</v>
      </c>
      <c r="BH167" s="486">
        <v>3550</v>
      </c>
      <c r="BI167" s="486">
        <v>3550</v>
      </c>
      <c r="BJ167" s="486">
        <v>3650</v>
      </c>
      <c r="BK167" s="486">
        <v>3650</v>
      </c>
      <c r="BL167" s="486">
        <v>3750</v>
      </c>
      <c r="BM167" s="486">
        <v>3750</v>
      </c>
      <c r="BN167" s="486">
        <v>3748</v>
      </c>
      <c r="BO167" s="486">
        <v>3948</v>
      </c>
      <c r="BP167" s="486">
        <v>3947</v>
      </c>
      <c r="BQ167" s="486">
        <v>4147</v>
      </c>
      <c r="BR167" s="486">
        <v>4147</v>
      </c>
      <c r="BS167" s="486">
        <v>4146</v>
      </c>
      <c r="BT167" s="486">
        <v>4145</v>
      </c>
      <c r="BU167" s="486">
        <v>4145</v>
      </c>
      <c r="BV167" s="486">
        <v>4145</v>
      </c>
      <c r="BW167" s="486">
        <v>4145</v>
      </c>
      <c r="BX167" s="486">
        <v>4089</v>
      </c>
      <c r="BY167" s="486">
        <v>3732</v>
      </c>
      <c r="BZ167" s="486">
        <v>3510</v>
      </c>
      <c r="CA167" s="486">
        <v>2446</v>
      </c>
      <c r="CB167" s="486">
        <v>2008</v>
      </c>
      <c r="CC167" s="486">
        <v>1280</v>
      </c>
      <c r="CD167" s="486">
        <v>958</v>
      </c>
      <c r="CE167" s="486">
        <v>501</v>
      </c>
      <c r="CF167" s="486">
        <v>482</v>
      </c>
      <c r="CG167" s="486">
        <v>461</v>
      </c>
      <c r="CH167" s="486">
        <v>424</v>
      </c>
      <c r="CI167" s="486">
        <v>424</v>
      </c>
      <c r="CJ167" s="486">
        <v>424</v>
      </c>
      <c r="CK167" s="486">
        <v>372</v>
      </c>
      <c r="CL167" s="486">
        <v>367</v>
      </c>
      <c r="CM167" s="486">
        <v>300</v>
      </c>
      <c r="CN167" s="486">
        <v>50</v>
      </c>
      <c r="CO167" s="486">
        <v>50</v>
      </c>
      <c r="CP167" s="486">
        <v>50</v>
      </c>
      <c r="CQ167" s="486">
        <v>50</v>
      </c>
      <c r="CR167" s="486">
        <v>50</v>
      </c>
      <c r="CS167" s="486">
        <v>50</v>
      </c>
      <c r="CT167" s="486">
        <v>50</v>
      </c>
      <c r="CU167" s="486">
        <v>50</v>
      </c>
      <c r="CV167" s="486">
        <v>50</v>
      </c>
      <c r="CW167" s="486">
        <v>50</v>
      </c>
      <c r="CX167" s="486">
        <v>50</v>
      </c>
      <c r="CY167" s="486">
        <v>50</v>
      </c>
      <c r="CZ167" s="486">
        <v>50</v>
      </c>
      <c r="DA167" s="486">
        <v>50</v>
      </c>
      <c r="DB167" s="486">
        <v>50</v>
      </c>
      <c r="DC167" s="486">
        <v>50</v>
      </c>
      <c r="DD167" s="486">
        <v>50</v>
      </c>
      <c r="DE167" s="728">
        <v>50</v>
      </c>
      <c r="DF167" s="483"/>
    </row>
    <row r="168" spans="2:110" x14ac:dyDescent="0.35">
      <c r="B168" s="484" t="s">
        <v>638</v>
      </c>
      <c r="C168" s="485" t="s">
        <v>639</v>
      </c>
      <c r="D168" s="486"/>
      <c r="E168" s="486"/>
      <c r="F168" s="486"/>
      <c r="G168" s="486"/>
      <c r="H168" s="486"/>
      <c r="I168" s="486"/>
      <c r="J168" s="486"/>
      <c r="K168" s="486"/>
      <c r="L168" s="486"/>
      <c r="M168" s="486"/>
      <c r="N168" s="486"/>
      <c r="O168" s="486"/>
      <c r="P168" s="486"/>
      <c r="Q168" s="486"/>
      <c r="R168" s="486"/>
      <c r="S168" s="486"/>
      <c r="T168" s="486"/>
      <c r="U168" s="486"/>
      <c r="V168" s="486"/>
      <c r="W168" s="486"/>
      <c r="X168" s="486"/>
      <c r="Y168" s="486"/>
      <c r="Z168" s="486"/>
      <c r="AA168" s="486"/>
      <c r="AB168" s="486"/>
      <c r="AC168" s="486"/>
      <c r="AD168" s="486"/>
      <c r="AE168" s="486"/>
      <c r="AF168" s="486"/>
      <c r="AG168" s="486"/>
      <c r="AH168" s="486"/>
      <c r="AI168" s="486"/>
      <c r="AJ168" s="486"/>
      <c r="AK168" s="486"/>
      <c r="AL168" s="486"/>
      <c r="AM168" s="486"/>
      <c r="AN168" s="486"/>
      <c r="AO168" s="486"/>
      <c r="AP168" s="486"/>
      <c r="AQ168" s="486"/>
      <c r="AR168" s="486"/>
      <c r="AS168" s="486"/>
      <c r="AT168" s="486"/>
      <c r="AU168" s="486"/>
      <c r="AV168" s="486"/>
      <c r="AZ168" s="486"/>
      <c r="BA168" s="486"/>
      <c r="BB168" s="486"/>
      <c r="BC168" s="486"/>
      <c r="BD168" s="486"/>
      <c r="BE168" s="483"/>
      <c r="BF168" s="483"/>
      <c r="BG168" s="486"/>
      <c r="BH168" s="486"/>
      <c r="BI168" s="486"/>
      <c r="BJ168" s="486"/>
      <c r="BK168" s="486"/>
      <c r="BL168" s="486"/>
      <c r="BM168" s="486"/>
      <c r="BN168" s="486"/>
      <c r="BO168" s="486"/>
      <c r="BP168" s="486"/>
      <c r="BQ168" s="486"/>
      <c r="BR168" s="486"/>
      <c r="BS168" s="486"/>
      <c r="BT168" s="486"/>
      <c r="BU168" s="486">
        <v>620</v>
      </c>
      <c r="BV168" s="486">
        <v>647</v>
      </c>
      <c r="BW168" s="486">
        <v>480</v>
      </c>
      <c r="BX168" s="486">
        <v>482</v>
      </c>
      <c r="BY168" s="486">
        <v>484</v>
      </c>
      <c r="BZ168" s="486">
        <v>484</v>
      </c>
      <c r="CA168" s="486">
        <v>484</v>
      </c>
      <c r="CB168" s="486">
        <v>484</v>
      </c>
      <c r="CC168" s="486">
        <v>484</v>
      </c>
      <c r="CD168" s="486">
        <v>484</v>
      </c>
      <c r="CE168" s="486">
        <v>484</v>
      </c>
      <c r="CF168" s="486">
        <v>410</v>
      </c>
      <c r="CG168" s="486">
        <v>408</v>
      </c>
      <c r="CH168" s="486">
        <v>408</v>
      </c>
      <c r="CI168" s="486">
        <v>421</v>
      </c>
      <c r="CJ168" s="486">
        <v>423</v>
      </c>
      <c r="CK168" s="486">
        <v>424</v>
      </c>
      <c r="CL168" s="486">
        <v>426</v>
      </c>
      <c r="CM168" s="486">
        <v>427</v>
      </c>
      <c r="CN168" s="486">
        <v>427</v>
      </c>
      <c r="CO168" s="486">
        <v>427</v>
      </c>
      <c r="CP168" s="486">
        <v>429</v>
      </c>
      <c r="CQ168" s="486">
        <v>430</v>
      </c>
      <c r="CR168" s="486">
        <v>430</v>
      </c>
      <c r="CS168" s="486">
        <v>433</v>
      </c>
      <c r="CT168" s="486">
        <v>433</v>
      </c>
      <c r="CU168" s="486">
        <v>433</v>
      </c>
      <c r="CV168" s="486">
        <v>433</v>
      </c>
      <c r="CW168" s="486">
        <v>442</v>
      </c>
      <c r="CX168" s="486">
        <v>442</v>
      </c>
      <c r="CY168" s="486">
        <v>440</v>
      </c>
      <c r="CZ168" s="486">
        <v>441</v>
      </c>
      <c r="DA168" s="486">
        <v>442</v>
      </c>
      <c r="DB168" s="486">
        <v>442</v>
      </c>
      <c r="DC168" s="486">
        <v>442</v>
      </c>
      <c r="DD168" s="486">
        <v>442</v>
      </c>
      <c r="DE168" s="728">
        <v>443</v>
      </c>
      <c r="DF168" s="483"/>
    </row>
    <row r="169" spans="2:110" x14ac:dyDescent="0.35">
      <c r="B169" s="484" t="s">
        <v>640</v>
      </c>
      <c r="C169" s="485" t="s">
        <v>641</v>
      </c>
      <c r="D169" s="486"/>
      <c r="E169" s="486"/>
      <c r="F169" s="486"/>
      <c r="G169" s="486"/>
      <c r="H169" s="486"/>
      <c r="I169" s="486"/>
      <c r="J169" s="486"/>
      <c r="K169" s="486"/>
      <c r="L169" s="486"/>
      <c r="M169" s="486"/>
      <c r="N169" s="486"/>
      <c r="O169" s="486"/>
      <c r="P169" s="486"/>
      <c r="Q169" s="486"/>
      <c r="R169" s="486"/>
      <c r="S169" s="486"/>
      <c r="T169" s="486"/>
      <c r="U169" s="486"/>
      <c r="V169" s="486"/>
      <c r="W169" s="486"/>
      <c r="X169" s="486"/>
      <c r="Y169" s="486"/>
      <c r="Z169" s="486"/>
      <c r="AA169" s="486"/>
      <c r="AB169" s="486"/>
      <c r="AC169" s="486"/>
      <c r="AD169" s="486"/>
      <c r="AE169" s="486"/>
      <c r="AF169" s="486"/>
      <c r="AG169" s="486"/>
      <c r="AH169" s="486"/>
      <c r="AI169" s="486"/>
      <c r="AJ169" s="486"/>
      <c r="AK169" s="486"/>
      <c r="AL169" s="486"/>
      <c r="AM169" s="486"/>
      <c r="AN169" s="486"/>
      <c r="AO169" s="486"/>
      <c r="AP169" s="486"/>
      <c r="AQ169" s="486"/>
      <c r="AR169" s="486"/>
      <c r="AS169" s="486"/>
      <c r="AT169" s="486"/>
      <c r="AU169" s="486"/>
      <c r="AV169" s="486"/>
      <c r="AZ169" s="486"/>
      <c r="BA169" s="486"/>
      <c r="BB169" s="486"/>
      <c r="BC169" s="486"/>
      <c r="BD169" s="486"/>
      <c r="BE169" s="483"/>
      <c r="BF169" s="483"/>
      <c r="BG169" s="486"/>
      <c r="BH169" s="486"/>
      <c r="BI169" s="486"/>
      <c r="BJ169" s="486"/>
      <c r="BK169" s="486"/>
      <c r="BL169" s="486"/>
      <c r="BM169" s="486"/>
      <c r="BN169" s="486"/>
      <c r="BO169" s="486"/>
      <c r="BP169" s="486"/>
      <c r="BQ169" s="486"/>
      <c r="BR169" s="486"/>
      <c r="BS169" s="486"/>
      <c r="BT169" s="486"/>
      <c r="BU169" s="486">
        <v>65</v>
      </c>
      <c r="BV169" s="486">
        <v>65</v>
      </c>
      <c r="BW169" s="486">
        <v>65</v>
      </c>
      <c r="BX169" s="486">
        <v>65</v>
      </c>
      <c r="BY169" s="486">
        <v>65</v>
      </c>
      <c r="BZ169" s="486">
        <v>65</v>
      </c>
      <c r="CA169" s="486">
        <v>65</v>
      </c>
      <c r="CB169" s="486">
        <v>65</v>
      </c>
      <c r="CC169" s="486">
        <v>65</v>
      </c>
      <c r="CD169" s="486">
        <v>65</v>
      </c>
      <c r="CE169" s="486">
        <v>65</v>
      </c>
      <c r="CF169" s="486">
        <v>65</v>
      </c>
      <c r="CG169" s="486">
        <v>65</v>
      </c>
      <c r="CH169" s="486">
        <v>65</v>
      </c>
      <c r="CI169" s="486">
        <v>65</v>
      </c>
      <c r="CJ169" s="486">
        <v>65</v>
      </c>
      <c r="CK169" s="486">
        <v>65</v>
      </c>
      <c r="CL169" s="486">
        <v>65</v>
      </c>
      <c r="CM169" s="486">
        <v>65</v>
      </c>
      <c r="CN169" s="486">
        <v>65</v>
      </c>
      <c r="CO169" s="486">
        <v>65</v>
      </c>
      <c r="CP169" s="486">
        <v>65</v>
      </c>
      <c r="CQ169" s="486">
        <v>65</v>
      </c>
      <c r="CR169" s="486">
        <v>65</v>
      </c>
      <c r="CS169" s="486">
        <v>65</v>
      </c>
      <c r="CT169" s="486">
        <v>65</v>
      </c>
      <c r="CU169" s="486">
        <v>65</v>
      </c>
      <c r="CV169" s="486">
        <v>65</v>
      </c>
      <c r="CW169" s="486">
        <v>65</v>
      </c>
      <c r="CX169" s="486">
        <v>65</v>
      </c>
      <c r="CY169" s="486">
        <v>66</v>
      </c>
      <c r="CZ169" s="486">
        <v>66</v>
      </c>
      <c r="DA169" s="486">
        <v>66</v>
      </c>
      <c r="DB169" s="486">
        <v>66</v>
      </c>
      <c r="DC169" s="486">
        <v>66</v>
      </c>
      <c r="DD169" s="486">
        <v>66</v>
      </c>
      <c r="DE169" s="728">
        <v>66</v>
      </c>
      <c r="DF169" s="483"/>
    </row>
    <row r="170" spans="2:110" x14ac:dyDescent="0.35">
      <c r="B170" s="484" t="s">
        <v>642</v>
      </c>
      <c r="C170" s="485" t="s">
        <v>643</v>
      </c>
      <c r="D170" s="486"/>
      <c r="E170" s="486"/>
      <c r="F170" s="486"/>
      <c r="G170" s="486"/>
      <c r="H170" s="486"/>
      <c r="I170" s="486"/>
      <c r="J170" s="486"/>
      <c r="K170" s="486"/>
      <c r="L170" s="486"/>
      <c r="M170" s="486"/>
      <c r="N170" s="486"/>
      <c r="O170" s="486"/>
      <c r="P170" s="486"/>
      <c r="Q170" s="486"/>
      <c r="R170" s="486"/>
      <c r="S170" s="486"/>
      <c r="T170" s="486"/>
      <c r="U170" s="486"/>
      <c r="V170" s="486"/>
      <c r="W170" s="486"/>
      <c r="X170" s="486"/>
      <c r="Y170" s="486"/>
      <c r="Z170" s="486"/>
      <c r="AA170" s="486"/>
      <c r="AB170" s="486"/>
      <c r="AC170" s="486"/>
      <c r="AD170" s="486"/>
      <c r="AE170" s="486"/>
      <c r="AF170" s="486"/>
      <c r="AG170" s="486"/>
      <c r="AH170" s="486"/>
      <c r="AI170" s="486"/>
      <c r="AJ170" s="486"/>
      <c r="AK170" s="486"/>
      <c r="AL170" s="486"/>
      <c r="AM170" s="486"/>
      <c r="AN170" s="486"/>
      <c r="AO170" s="486"/>
      <c r="AP170" s="486"/>
      <c r="AQ170" s="486"/>
      <c r="AR170" s="486"/>
      <c r="AS170" s="486"/>
      <c r="AT170" s="486"/>
      <c r="AU170" s="486"/>
      <c r="AV170" s="486"/>
      <c r="AZ170" s="486"/>
      <c r="BA170" s="486"/>
      <c r="BB170" s="486"/>
      <c r="BC170" s="486"/>
      <c r="BD170" s="486"/>
      <c r="BE170" s="483"/>
      <c r="BF170" s="483"/>
      <c r="BG170" s="486"/>
      <c r="BH170" s="486"/>
      <c r="BI170" s="486"/>
      <c r="BJ170" s="486"/>
      <c r="BK170" s="486"/>
      <c r="BL170" s="486"/>
      <c r="BM170" s="486"/>
      <c r="BN170" s="486"/>
      <c r="BO170" s="486"/>
      <c r="BP170" s="486"/>
      <c r="BQ170" s="486"/>
      <c r="BR170" s="486"/>
      <c r="BS170" s="486"/>
      <c r="BT170" s="486"/>
      <c r="BU170" s="486">
        <v>19</v>
      </c>
      <c r="BV170" s="486">
        <v>19</v>
      </c>
      <c r="BW170" s="486">
        <v>19</v>
      </c>
      <c r="BX170" s="486">
        <v>19</v>
      </c>
      <c r="BY170" s="486">
        <v>19</v>
      </c>
      <c r="BZ170" s="486">
        <v>19</v>
      </c>
      <c r="CA170" s="486">
        <v>19</v>
      </c>
      <c r="CB170" s="486">
        <v>19</v>
      </c>
      <c r="CC170" s="486">
        <v>19</v>
      </c>
      <c r="CD170" s="486">
        <v>19</v>
      </c>
      <c r="CE170" s="486">
        <v>19</v>
      </c>
      <c r="CF170" s="486">
        <v>19</v>
      </c>
      <c r="CG170" s="486">
        <v>19</v>
      </c>
      <c r="CH170" s="486">
        <v>19</v>
      </c>
      <c r="CI170" s="486">
        <v>19</v>
      </c>
      <c r="CJ170" s="486">
        <v>19</v>
      </c>
      <c r="CK170" s="486">
        <v>19</v>
      </c>
      <c r="CL170" s="486">
        <v>19</v>
      </c>
      <c r="CM170" s="486">
        <v>19</v>
      </c>
      <c r="CN170" s="486">
        <v>19</v>
      </c>
      <c r="CO170" s="486">
        <v>19</v>
      </c>
      <c r="CP170" s="486">
        <v>19</v>
      </c>
      <c r="CQ170" s="486">
        <v>19</v>
      </c>
      <c r="CR170" s="486">
        <v>19</v>
      </c>
      <c r="CS170" s="486">
        <v>19</v>
      </c>
      <c r="CT170" s="486">
        <v>19</v>
      </c>
      <c r="CU170" s="486">
        <v>19</v>
      </c>
      <c r="CV170" s="486">
        <v>19</v>
      </c>
      <c r="CW170" s="486">
        <v>19</v>
      </c>
      <c r="CX170" s="486">
        <v>19</v>
      </c>
      <c r="CY170" s="486">
        <v>19</v>
      </c>
      <c r="CZ170" s="486">
        <v>19</v>
      </c>
      <c r="DA170" s="486">
        <v>19</v>
      </c>
      <c r="DB170" s="486">
        <v>19</v>
      </c>
      <c r="DC170" s="486">
        <v>19</v>
      </c>
      <c r="DD170" s="486">
        <v>19</v>
      </c>
      <c r="DE170" s="728">
        <v>19</v>
      </c>
      <c r="DF170" s="483"/>
    </row>
    <row r="171" spans="2:110" x14ac:dyDescent="0.35">
      <c r="B171" s="484" t="s">
        <v>644</v>
      </c>
      <c r="C171" s="485" t="s">
        <v>645</v>
      </c>
      <c r="D171" s="486"/>
      <c r="E171" s="486"/>
      <c r="F171" s="486"/>
      <c r="G171" s="486"/>
      <c r="H171" s="486"/>
      <c r="I171" s="486"/>
      <c r="J171" s="486"/>
      <c r="K171" s="486"/>
      <c r="L171" s="486"/>
      <c r="M171" s="486"/>
      <c r="N171" s="486"/>
      <c r="O171" s="486"/>
      <c r="P171" s="486"/>
      <c r="Q171" s="486"/>
      <c r="R171" s="486"/>
      <c r="S171" s="486"/>
      <c r="T171" s="486"/>
      <c r="U171" s="486"/>
      <c r="V171" s="486"/>
      <c r="W171" s="486"/>
      <c r="X171" s="486"/>
      <c r="Y171" s="486"/>
      <c r="Z171" s="486"/>
      <c r="AA171" s="486"/>
      <c r="AB171" s="486"/>
      <c r="AC171" s="486"/>
      <c r="AD171" s="486"/>
      <c r="AE171" s="486"/>
      <c r="AF171" s="486"/>
      <c r="AG171" s="486"/>
      <c r="AH171" s="486"/>
      <c r="AI171" s="486"/>
      <c r="AJ171" s="486"/>
      <c r="AK171" s="486"/>
      <c r="AL171" s="486"/>
      <c r="AM171" s="486"/>
      <c r="AN171" s="486"/>
      <c r="AO171" s="483"/>
      <c r="AP171" s="486">
        <v>1062</v>
      </c>
      <c r="AQ171" s="486">
        <v>1241</v>
      </c>
      <c r="AR171" s="486">
        <v>1453</v>
      </c>
      <c r="AS171" s="486">
        <v>1657</v>
      </c>
      <c r="AT171" s="486">
        <v>1833</v>
      </c>
      <c r="AU171" s="486">
        <v>1966</v>
      </c>
      <c r="AV171" s="486">
        <v>2164</v>
      </c>
      <c r="AW171" s="486">
        <v>2457</v>
      </c>
      <c r="AX171" s="486">
        <v>2457</v>
      </c>
      <c r="AY171" s="486">
        <v>2457</v>
      </c>
      <c r="AZ171" s="486">
        <v>2457</v>
      </c>
      <c r="BA171" s="486">
        <v>2057</v>
      </c>
      <c r="BB171" s="486">
        <v>2057</v>
      </c>
      <c r="BC171" s="486">
        <v>2056</v>
      </c>
      <c r="BD171" s="486">
        <v>2056</v>
      </c>
      <c r="BE171" s="486">
        <v>2056</v>
      </c>
      <c r="BF171" s="486">
        <v>2057</v>
      </c>
      <c r="BG171" s="486">
        <v>2057</v>
      </c>
      <c r="BH171" s="486">
        <v>2057</v>
      </c>
      <c r="BI171" s="486">
        <v>2057</v>
      </c>
      <c r="BJ171" s="486">
        <v>2057</v>
      </c>
      <c r="BK171" s="486">
        <v>2057</v>
      </c>
      <c r="BL171" s="486">
        <v>2057</v>
      </c>
      <c r="BM171" s="486">
        <v>2057</v>
      </c>
      <c r="BN171" s="486">
        <v>2057</v>
      </c>
      <c r="BO171" s="486">
        <v>2057</v>
      </c>
      <c r="BP171" s="486">
        <v>563</v>
      </c>
      <c r="BQ171" s="486"/>
      <c r="BR171" s="486"/>
      <c r="BS171" s="486">
        <v>563</v>
      </c>
      <c r="BT171" s="486"/>
      <c r="BU171" s="486">
        <v>563</v>
      </c>
      <c r="BV171" s="486">
        <v>563</v>
      </c>
      <c r="BW171" s="486">
        <v>563</v>
      </c>
      <c r="BX171" s="486">
        <v>563</v>
      </c>
      <c r="BY171" s="486">
        <v>167</v>
      </c>
      <c r="BZ171" s="486">
        <v>167</v>
      </c>
      <c r="CA171" s="486">
        <v>167</v>
      </c>
      <c r="CB171" s="486"/>
      <c r="CC171" s="486">
        <v>167</v>
      </c>
      <c r="CD171" s="486">
        <v>167</v>
      </c>
      <c r="CE171" s="486">
        <v>167</v>
      </c>
      <c r="CF171" s="486">
        <v>72</v>
      </c>
      <c r="CG171" s="486">
        <v>72</v>
      </c>
      <c r="CH171" s="486">
        <v>72</v>
      </c>
      <c r="CI171" s="486">
        <v>72</v>
      </c>
      <c r="CJ171" s="486">
        <v>72</v>
      </c>
      <c r="CK171" s="486">
        <v>72</v>
      </c>
      <c r="CL171" s="486">
        <v>72</v>
      </c>
      <c r="CM171" s="486">
        <v>52</v>
      </c>
      <c r="CN171" s="486">
        <v>52</v>
      </c>
      <c r="CO171" s="486">
        <v>52</v>
      </c>
      <c r="CP171" s="486">
        <v>52</v>
      </c>
      <c r="CQ171" s="486">
        <v>52</v>
      </c>
      <c r="CR171" s="486">
        <v>48</v>
      </c>
      <c r="CS171" s="486">
        <v>48</v>
      </c>
      <c r="CT171" s="486">
        <v>48</v>
      </c>
      <c r="CU171" s="486">
        <v>48</v>
      </c>
      <c r="CV171" s="486">
        <v>48</v>
      </c>
      <c r="CW171" s="486">
        <v>48</v>
      </c>
      <c r="CX171" s="486">
        <v>48</v>
      </c>
      <c r="CY171" s="486">
        <v>48</v>
      </c>
      <c r="CZ171" s="486">
        <v>48</v>
      </c>
      <c r="DA171" s="486">
        <v>48</v>
      </c>
      <c r="DB171" s="486">
        <v>48</v>
      </c>
      <c r="DC171" s="486">
        <v>48</v>
      </c>
      <c r="DD171" s="486">
        <v>48</v>
      </c>
      <c r="DE171" s="728">
        <v>48</v>
      </c>
      <c r="DF171" s="483"/>
    </row>
    <row r="172" spans="2:110" x14ac:dyDescent="0.35">
      <c r="B172" s="484" t="s">
        <v>646</v>
      </c>
      <c r="C172" s="485" t="s">
        <v>647</v>
      </c>
      <c r="D172" s="486"/>
      <c r="E172" s="486"/>
      <c r="F172" s="486"/>
      <c r="G172" s="486"/>
      <c r="H172" s="486"/>
      <c r="I172" s="486"/>
      <c r="J172" s="486"/>
      <c r="K172" s="486"/>
      <c r="L172" s="486"/>
      <c r="M172" s="486"/>
      <c r="N172" s="486"/>
      <c r="O172" s="486"/>
      <c r="P172" s="486"/>
      <c r="Q172" s="486"/>
      <c r="R172" s="486"/>
      <c r="S172" s="486"/>
      <c r="T172" s="486"/>
      <c r="U172" s="486"/>
      <c r="V172" s="486"/>
      <c r="W172" s="486"/>
      <c r="X172" s="486"/>
      <c r="Y172" s="486"/>
      <c r="Z172" s="486"/>
      <c r="AA172" s="486"/>
      <c r="AB172" s="486"/>
      <c r="AC172" s="486">
        <v>1048</v>
      </c>
      <c r="AD172" s="486">
        <v>1207</v>
      </c>
      <c r="AE172" s="486">
        <v>1415</v>
      </c>
      <c r="AF172" s="486">
        <v>1460</v>
      </c>
      <c r="AG172" s="486">
        <v>1542</v>
      </c>
      <c r="AH172" s="486">
        <v>1428</v>
      </c>
      <c r="AI172" s="486">
        <v>1593</v>
      </c>
      <c r="AJ172" s="486">
        <v>1827</v>
      </c>
      <c r="AK172" s="486">
        <v>1956</v>
      </c>
      <c r="AL172" s="486">
        <v>2277</v>
      </c>
      <c r="AM172" s="486">
        <v>2150</v>
      </c>
      <c r="AN172" s="486">
        <v>1881</v>
      </c>
      <c r="AO172" s="486">
        <v>1983</v>
      </c>
      <c r="AP172" s="486">
        <v>2144</v>
      </c>
      <c r="AQ172" s="486">
        <v>2369</v>
      </c>
      <c r="AR172" s="486">
        <v>2402</v>
      </c>
      <c r="AS172" s="486">
        <v>2423</v>
      </c>
      <c r="AT172" s="486">
        <v>1886</v>
      </c>
      <c r="AU172" s="486">
        <v>1879</v>
      </c>
      <c r="AV172" s="486">
        <v>1905</v>
      </c>
      <c r="AW172" s="486">
        <v>1963</v>
      </c>
      <c r="AX172" s="486">
        <v>1965</v>
      </c>
      <c r="AY172" s="486">
        <v>2016</v>
      </c>
      <c r="AZ172" s="486">
        <v>2016</v>
      </c>
      <c r="BA172" s="486">
        <v>2151</v>
      </c>
      <c r="BB172" s="486">
        <v>2221</v>
      </c>
      <c r="BC172" s="486">
        <v>1533</v>
      </c>
      <c r="BD172" s="486">
        <v>1640</v>
      </c>
      <c r="BE172" s="486">
        <v>1645</v>
      </c>
      <c r="BF172" s="486">
        <v>1646</v>
      </c>
      <c r="BG172" s="486">
        <v>1647</v>
      </c>
      <c r="BH172" s="486">
        <v>1506</v>
      </c>
      <c r="BI172" s="486">
        <v>1504</v>
      </c>
      <c r="BJ172" s="486">
        <v>1504</v>
      </c>
      <c r="BK172" s="486">
        <v>1505</v>
      </c>
      <c r="BL172" s="486">
        <v>1507</v>
      </c>
      <c r="BM172" s="486">
        <v>1507</v>
      </c>
      <c r="BN172" s="486">
        <v>1503</v>
      </c>
      <c r="BO172" s="486">
        <v>1503</v>
      </c>
      <c r="BP172" s="486">
        <v>577</v>
      </c>
      <c r="BQ172" s="486"/>
      <c r="BR172" s="486"/>
      <c r="BS172" s="486">
        <v>579</v>
      </c>
      <c r="BT172" s="486"/>
      <c r="BU172" s="486">
        <v>579</v>
      </c>
      <c r="BV172" s="486">
        <v>579</v>
      </c>
      <c r="BW172" s="486">
        <v>580</v>
      </c>
      <c r="BX172" s="486">
        <v>580</v>
      </c>
      <c r="BY172" s="486">
        <v>580</v>
      </c>
      <c r="BZ172" s="486">
        <v>580</v>
      </c>
      <c r="CA172" s="486">
        <v>221</v>
      </c>
      <c r="CB172" s="486"/>
      <c r="CC172" s="486">
        <v>221</v>
      </c>
      <c r="CD172" s="486">
        <v>221</v>
      </c>
      <c r="CE172" s="486">
        <v>221</v>
      </c>
      <c r="CF172" s="486">
        <v>221</v>
      </c>
      <c r="CG172" s="486">
        <v>221</v>
      </c>
      <c r="CH172" s="486">
        <v>221</v>
      </c>
      <c r="CI172" s="486">
        <v>221</v>
      </c>
      <c r="CJ172" s="486">
        <v>221</v>
      </c>
      <c r="CK172" s="486">
        <v>221</v>
      </c>
      <c r="CL172" s="486">
        <v>221</v>
      </c>
      <c r="CM172" s="486">
        <v>221</v>
      </c>
      <c r="CN172" s="486">
        <v>221</v>
      </c>
      <c r="CO172" s="486">
        <v>221</v>
      </c>
      <c r="CP172" s="486">
        <v>221</v>
      </c>
      <c r="CQ172" s="486">
        <v>221</v>
      </c>
      <c r="CR172" s="486">
        <v>221</v>
      </c>
      <c r="CS172" s="486">
        <v>221</v>
      </c>
      <c r="CT172" s="486">
        <v>221</v>
      </c>
      <c r="CU172" s="486">
        <v>221</v>
      </c>
      <c r="CV172" s="486">
        <v>221</v>
      </c>
      <c r="CW172" s="486">
        <v>221</v>
      </c>
      <c r="CX172" s="486">
        <v>221</v>
      </c>
      <c r="CY172" s="486">
        <v>221</v>
      </c>
      <c r="CZ172" s="486">
        <v>221</v>
      </c>
      <c r="DA172" s="486">
        <v>221</v>
      </c>
      <c r="DB172" s="486">
        <v>221</v>
      </c>
      <c r="DC172" s="486">
        <v>221</v>
      </c>
      <c r="DD172" s="486">
        <v>221</v>
      </c>
      <c r="DE172" s="728">
        <v>221</v>
      </c>
      <c r="DF172" s="483"/>
    </row>
    <row r="173" spans="2:110" x14ac:dyDescent="0.35">
      <c r="B173" s="484" t="s">
        <v>648</v>
      </c>
      <c r="C173" s="485" t="s">
        <v>649</v>
      </c>
      <c r="D173" s="486"/>
      <c r="E173" s="486"/>
      <c r="F173" s="486"/>
      <c r="G173" s="486"/>
      <c r="H173" s="486"/>
      <c r="I173" s="486"/>
      <c r="J173" s="486"/>
      <c r="K173" s="486"/>
      <c r="L173" s="486"/>
      <c r="M173" s="486"/>
      <c r="N173" s="486"/>
      <c r="O173" s="486"/>
      <c r="P173" s="486"/>
      <c r="Q173" s="486"/>
      <c r="R173" s="486"/>
      <c r="S173" s="486"/>
      <c r="T173" s="486"/>
      <c r="U173" s="486"/>
      <c r="V173" s="486"/>
      <c r="W173" s="486"/>
      <c r="X173" s="486"/>
      <c r="Y173" s="486"/>
      <c r="Z173" s="486"/>
      <c r="AA173" s="486"/>
      <c r="AB173" s="486"/>
      <c r="AC173" s="486"/>
      <c r="AD173" s="486"/>
      <c r="AE173" s="486"/>
      <c r="AF173" s="486"/>
      <c r="AG173" s="486"/>
      <c r="AH173" s="486"/>
      <c r="AI173" s="486"/>
      <c r="AJ173" s="486"/>
      <c r="AK173" s="486"/>
      <c r="AL173" s="486"/>
      <c r="AM173" s="486"/>
      <c r="AN173" s="486"/>
      <c r="AO173" s="486"/>
      <c r="AP173" s="486"/>
      <c r="AQ173" s="486"/>
      <c r="AR173" s="486"/>
      <c r="AS173" s="486"/>
      <c r="AT173" s="486"/>
      <c r="AU173" s="486"/>
      <c r="AV173" s="486"/>
      <c r="AZ173" s="486"/>
      <c r="BA173" s="486"/>
      <c r="BB173" s="486"/>
      <c r="BC173" s="486"/>
      <c r="BD173" s="486"/>
      <c r="BE173" s="483"/>
      <c r="BF173" s="483"/>
      <c r="BG173" s="486"/>
      <c r="BH173" s="486"/>
      <c r="BI173" s="486"/>
      <c r="BJ173" s="486"/>
      <c r="BK173" s="486"/>
      <c r="BL173" s="486"/>
      <c r="BM173" s="486"/>
      <c r="BN173" s="486"/>
      <c r="BO173" s="486"/>
      <c r="BP173" s="486"/>
      <c r="BQ173" s="486"/>
      <c r="BR173" s="486"/>
      <c r="BS173" s="486"/>
      <c r="BT173" s="486"/>
      <c r="BU173" s="486">
        <v>96</v>
      </c>
      <c r="BV173" s="486">
        <v>96</v>
      </c>
      <c r="BW173" s="486">
        <v>96</v>
      </c>
      <c r="BX173" s="486">
        <v>96</v>
      </c>
      <c r="BY173" s="486">
        <v>96</v>
      </c>
      <c r="BZ173" s="486">
        <v>96</v>
      </c>
      <c r="CA173" s="486">
        <v>96</v>
      </c>
      <c r="CB173" s="486">
        <v>96</v>
      </c>
      <c r="CC173" s="486">
        <v>96</v>
      </c>
      <c r="CD173" s="486">
        <v>96</v>
      </c>
      <c r="CE173" s="486">
        <v>96</v>
      </c>
      <c r="CF173" s="486">
        <v>96</v>
      </c>
      <c r="CG173" s="486">
        <v>96</v>
      </c>
      <c r="CH173" s="486">
        <v>96</v>
      </c>
      <c r="CI173" s="486">
        <v>96</v>
      </c>
      <c r="CJ173" s="486">
        <v>96</v>
      </c>
      <c r="CK173" s="486">
        <v>96</v>
      </c>
      <c r="CL173" s="486">
        <v>96</v>
      </c>
      <c r="CM173" s="486">
        <v>96</v>
      </c>
      <c r="CN173" s="486">
        <v>96</v>
      </c>
      <c r="CO173" s="486">
        <v>96</v>
      </c>
      <c r="CP173" s="486">
        <v>96</v>
      </c>
      <c r="CQ173" s="486">
        <v>96</v>
      </c>
      <c r="CR173" s="486">
        <v>96</v>
      </c>
      <c r="CS173" s="486">
        <v>96</v>
      </c>
      <c r="CT173" s="486">
        <v>96</v>
      </c>
      <c r="CU173" s="486">
        <v>96</v>
      </c>
      <c r="CV173" s="486">
        <v>96</v>
      </c>
      <c r="CW173" s="486">
        <v>96</v>
      </c>
      <c r="CX173" s="486">
        <v>96</v>
      </c>
      <c r="CY173" s="486">
        <v>96</v>
      </c>
      <c r="CZ173" s="486">
        <v>96</v>
      </c>
      <c r="DA173" s="486">
        <v>96</v>
      </c>
      <c r="DB173" s="486">
        <v>96</v>
      </c>
      <c r="DC173" s="486">
        <v>96</v>
      </c>
      <c r="DD173" s="486">
        <v>96</v>
      </c>
      <c r="DE173" s="728">
        <v>96</v>
      </c>
      <c r="DF173" s="483"/>
    </row>
    <row r="174" spans="2:110" x14ac:dyDescent="0.35">
      <c r="B174" s="484" t="s">
        <v>650</v>
      </c>
      <c r="C174" s="485" t="s">
        <v>651</v>
      </c>
      <c r="D174" s="486"/>
      <c r="E174" s="486"/>
      <c r="F174" s="486"/>
      <c r="G174" s="486"/>
      <c r="H174" s="486"/>
      <c r="I174" s="486"/>
      <c r="J174" s="486"/>
      <c r="K174" s="486"/>
      <c r="L174" s="486"/>
      <c r="M174" s="486"/>
      <c r="N174" s="486"/>
      <c r="O174" s="486"/>
      <c r="P174" s="486"/>
      <c r="Q174" s="486"/>
      <c r="R174" s="486"/>
      <c r="S174" s="486"/>
      <c r="T174" s="486"/>
      <c r="U174" s="486"/>
      <c r="V174" s="486"/>
      <c r="W174" s="486"/>
      <c r="X174" s="486"/>
      <c r="Y174" s="486"/>
      <c r="Z174" s="486"/>
      <c r="AA174" s="486"/>
      <c r="AB174" s="486"/>
      <c r="AC174" s="486"/>
      <c r="AD174" s="486"/>
      <c r="AE174" s="486"/>
      <c r="AF174" s="486"/>
      <c r="AG174" s="486"/>
      <c r="AH174" s="486"/>
      <c r="AI174" s="486"/>
      <c r="AJ174" s="486"/>
      <c r="AK174" s="486"/>
      <c r="AL174" s="486"/>
      <c r="AM174" s="486"/>
      <c r="AN174" s="486"/>
      <c r="AO174" s="483"/>
      <c r="AP174" s="483"/>
      <c r="AQ174" s="483"/>
      <c r="AR174" s="483"/>
      <c r="AS174" s="486"/>
      <c r="AT174" s="486"/>
      <c r="AU174" s="486"/>
      <c r="AV174" s="486"/>
      <c r="AZ174" s="486"/>
      <c r="BA174" s="486"/>
      <c r="BB174" s="486">
        <v>5203</v>
      </c>
      <c r="BC174" s="486"/>
      <c r="BD174" s="486">
        <v>5193</v>
      </c>
      <c r="BE174" s="486">
        <v>5193</v>
      </c>
      <c r="BF174" s="486">
        <v>5193</v>
      </c>
      <c r="BG174" s="486">
        <v>5193</v>
      </c>
      <c r="BH174" s="486"/>
      <c r="BJ174" s="486">
        <v>5193</v>
      </c>
      <c r="BK174" s="486">
        <v>5193</v>
      </c>
      <c r="BL174" s="486">
        <v>5193</v>
      </c>
      <c r="BM174" s="486">
        <v>5193</v>
      </c>
      <c r="BN174" s="486">
        <v>4</v>
      </c>
      <c r="BO174" s="486"/>
      <c r="BP174" s="486"/>
      <c r="BQ174" s="486"/>
      <c r="BR174" s="486"/>
      <c r="BS174" s="486">
        <v>4</v>
      </c>
      <c r="BT174" s="486"/>
      <c r="BU174" s="486">
        <v>4</v>
      </c>
      <c r="BV174" s="486">
        <v>7</v>
      </c>
      <c r="BW174" s="486">
        <v>7</v>
      </c>
      <c r="BX174" s="486">
        <v>7</v>
      </c>
      <c r="BY174" s="486">
        <v>7</v>
      </c>
      <c r="BZ174" s="486">
        <v>7</v>
      </c>
      <c r="CA174" s="486">
        <v>7</v>
      </c>
      <c r="CB174" s="486"/>
      <c r="CC174" s="486">
        <v>7</v>
      </c>
      <c r="CD174" s="486">
        <v>7</v>
      </c>
      <c r="CE174" s="486">
        <v>7</v>
      </c>
      <c r="CF174" s="486">
        <v>7</v>
      </c>
      <c r="CG174" s="486">
        <v>7</v>
      </c>
      <c r="CH174" s="486">
        <v>7</v>
      </c>
      <c r="CI174" s="486">
        <v>7</v>
      </c>
      <c r="CJ174" s="486">
        <v>7</v>
      </c>
      <c r="CK174" s="486">
        <v>7</v>
      </c>
      <c r="CL174" s="486">
        <v>8</v>
      </c>
      <c r="CM174" s="486">
        <v>7</v>
      </c>
      <c r="CN174" s="486">
        <v>7</v>
      </c>
      <c r="CO174" s="486">
        <v>7</v>
      </c>
      <c r="CP174" s="486">
        <v>7</v>
      </c>
      <c r="CQ174" s="486">
        <v>7</v>
      </c>
      <c r="CR174" s="486">
        <v>7</v>
      </c>
      <c r="CS174" s="486">
        <v>8</v>
      </c>
      <c r="CT174" s="486">
        <v>8</v>
      </c>
      <c r="CU174" s="486">
        <v>8</v>
      </c>
      <c r="CV174" s="486">
        <v>7</v>
      </c>
      <c r="CW174" s="486">
        <v>6</v>
      </c>
      <c r="CX174" s="486">
        <v>6</v>
      </c>
      <c r="CY174" s="486">
        <v>6</v>
      </c>
      <c r="CZ174" s="486">
        <v>6</v>
      </c>
      <c r="DA174" s="486">
        <v>6</v>
      </c>
      <c r="DB174" s="486">
        <v>6</v>
      </c>
      <c r="DC174" s="486">
        <v>6</v>
      </c>
      <c r="DD174" s="486">
        <v>6</v>
      </c>
      <c r="DE174" s="728">
        <v>6</v>
      </c>
      <c r="DF174" s="483"/>
    </row>
    <row r="175" spans="2:110" x14ac:dyDescent="0.35">
      <c r="B175" s="484" t="s">
        <v>652</v>
      </c>
      <c r="C175" s="485" t="s">
        <v>653</v>
      </c>
      <c r="D175" s="486"/>
      <c r="E175" s="486"/>
      <c r="F175" s="486"/>
      <c r="G175" s="486"/>
      <c r="H175" s="486"/>
      <c r="I175" s="486"/>
      <c r="J175" s="486"/>
      <c r="K175" s="486"/>
      <c r="L175" s="486"/>
      <c r="M175" s="486"/>
      <c r="N175" s="486"/>
      <c r="O175" s="486"/>
      <c r="P175" s="486"/>
      <c r="Q175" s="486"/>
      <c r="R175" s="486"/>
      <c r="S175" s="486"/>
      <c r="T175" s="486"/>
      <c r="U175" s="486"/>
      <c r="V175" s="486"/>
      <c r="W175" s="486"/>
      <c r="X175" s="486"/>
      <c r="Y175" s="486"/>
      <c r="Z175" s="486"/>
      <c r="AA175" s="486"/>
      <c r="AB175" s="486"/>
      <c r="AC175" s="486"/>
      <c r="AD175" s="486">
        <v>1044</v>
      </c>
      <c r="AE175" s="486">
        <v>1201</v>
      </c>
      <c r="AF175" s="486">
        <v>1301</v>
      </c>
      <c r="AG175" s="486">
        <v>1301</v>
      </c>
      <c r="AH175" s="486">
        <v>1301</v>
      </c>
      <c r="AI175" s="486">
        <v>1320</v>
      </c>
      <c r="AJ175" s="486">
        <v>1329</v>
      </c>
      <c r="AK175" s="486">
        <v>1328</v>
      </c>
      <c r="AL175" s="486">
        <v>1328</v>
      </c>
      <c r="AM175" s="486">
        <v>1331</v>
      </c>
      <c r="AN175" s="486">
        <v>1331</v>
      </c>
      <c r="AO175" s="486">
        <v>1331</v>
      </c>
      <c r="AP175" s="486">
        <v>1333</v>
      </c>
      <c r="AQ175" s="486">
        <v>1337</v>
      </c>
      <c r="AR175" s="486">
        <v>1344</v>
      </c>
      <c r="AS175" s="486">
        <v>1350</v>
      </c>
      <c r="AT175" s="486">
        <v>1358</v>
      </c>
      <c r="AU175" s="486">
        <v>1358</v>
      </c>
      <c r="AV175" s="486">
        <v>1358</v>
      </c>
      <c r="AW175" s="486">
        <v>1358</v>
      </c>
      <c r="AX175" s="486">
        <v>1358</v>
      </c>
      <c r="AY175" s="486">
        <v>1359</v>
      </c>
      <c r="AZ175" s="486">
        <v>1359</v>
      </c>
      <c r="BA175" s="486">
        <v>1359</v>
      </c>
      <c r="BB175" s="486">
        <v>1359</v>
      </c>
      <c r="BC175" s="486"/>
      <c r="BD175" s="486"/>
      <c r="BE175" s="483"/>
      <c r="BF175" s="483"/>
      <c r="BG175" s="483"/>
      <c r="BH175" s="483"/>
      <c r="BM175" s="486"/>
      <c r="BN175" s="486">
        <v>49</v>
      </c>
      <c r="BO175" s="486"/>
      <c r="BP175" s="486"/>
      <c r="BQ175" s="486"/>
      <c r="BR175" s="486"/>
      <c r="BS175" s="486">
        <v>49</v>
      </c>
      <c r="BT175" s="486"/>
      <c r="BU175" s="486">
        <v>1</v>
      </c>
      <c r="BV175" s="486">
        <v>1</v>
      </c>
      <c r="BW175" s="486">
        <v>1</v>
      </c>
      <c r="BX175" s="486">
        <v>1</v>
      </c>
      <c r="BY175" s="486">
        <v>1</v>
      </c>
      <c r="BZ175" s="486">
        <v>1</v>
      </c>
      <c r="CA175" s="486">
        <v>4</v>
      </c>
      <c r="CB175" s="486"/>
      <c r="CC175" s="486">
        <v>14</v>
      </c>
      <c r="CD175" s="486">
        <v>14</v>
      </c>
      <c r="CE175" s="486">
        <v>34</v>
      </c>
      <c r="CF175" s="486">
        <v>34</v>
      </c>
      <c r="CG175" s="486">
        <v>34</v>
      </c>
      <c r="CH175" s="486">
        <v>40</v>
      </c>
      <c r="CI175" s="486">
        <v>40</v>
      </c>
      <c r="CJ175" s="486">
        <v>39</v>
      </c>
      <c r="CK175" s="486">
        <v>40</v>
      </c>
      <c r="CL175" s="486">
        <v>40</v>
      </c>
      <c r="CM175" s="486">
        <v>47</v>
      </c>
      <c r="CN175" s="486">
        <v>48</v>
      </c>
      <c r="CO175" s="486">
        <v>48</v>
      </c>
      <c r="CP175" s="486">
        <v>48</v>
      </c>
      <c r="CQ175" s="486">
        <v>48</v>
      </c>
      <c r="CR175" s="486">
        <v>48</v>
      </c>
      <c r="CS175" s="486">
        <v>48</v>
      </c>
      <c r="CT175" s="486">
        <v>48</v>
      </c>
      <c r="CU175" s="486">
        <v>49</v>
      </c>
      <c r="CV175" s="486">
        <v>51</v>
      </c>
      <c r="CW175" s="486">
        <v>52</v>
      </c>
      <c r="CX175" s="486">
        <v>53</v>
      </c>
      <c r="CY175" s="486">
        <v>53</v>
      </c>
      <c r="CZ175" s="486">
        <v>55</v>
      </c>
      <c r="DA175" s="486">
        <v>55</v>
      </c>
      <c r="DB175" s="486">
        <v>55</v>
      </c>
      <c r="DC175" s="486">
        <v>55</v>
      </c>
      <c r="DD175" s="486">
        <v>53</v>
      </c>
      <c r="DE175" s="728">
        <v>53</v>
      </c>
      <c r="DF175" s="483"/>
    </row>
    <row r="176" spans="2:110" x14ac:dyDescent="0.35">
      <c r="B176" s="484" t="s">
        <v>654</v>
      </c>
      <c r="C176" s="485" t="s">
        <v>655</v>
      </c>
      <c r="D176" s="486"/>
      <c r="E176" s="486"/>
      <c r="F176" s="486"/>
      <c r="G176" s="486"/>
      <c r="H176" s="486"/>
      <c r="I176" s="486">
        <v>0</v>
      </c>
      <c r="J176" s="486">
        <v>1101</v>
      </c>
      <c r="K176" s="486"/>
      <c r="L176" s="486">
        <v>1074</v>
      </c>
      <c r="M176" s="486">
        <v>1065</v>
      </c>
      <c r="N176" s="486">
        <v>987</v>
      </c>
      <c r="O176" s="486">
        <v>1051</v>
      </c>
      <c r="P176" s="486">
        <v>1105</v>
      </c>
      <c r="Q176" s="486">
        <v>1127</v>
      </c>
      <c r="R176" s="486">
        <v>1127</v>
      </c>
      <c r="S176" s="486">
        <v>1083</v>
      </c>
      <c r="T176" s="486">
        <v>1028</v>
      </c>
      <c r="U176" s="486">
        <v>962</v>
      </c>
      <c r="V176" s="486"/>
      <c r="W176" s="486"/>
      <c r="X176" s="486"/>
      <c r="Y176" s="486"/>
      <c r="Z176" s="486"/>
      <c r="AA176" s="486"/>
      <c r="AB176" s="486"/>
      <c r="AC176" s="486"/>
      <c r="AD176" s="486"/>
      <c r="AE176" s="486"/>
      <c r="AF176" s="486"/>
      <c r="AG176" s="486"/>
      <c r="AH176" s="486"/>
      <c r="AI176" s="486"/>
      <c r="AJ176" s="486"/>
      <c r="AK176" s="486"/>
      <c r="AL176" s="486"/>
      <c r="AM176" s="486"/>
      <c r="BB176" s="486"/>
      <c r="BC176" s="486"/>
      <c r="BD176" s="486"/>
      <c r="BE176" s="483"/>
      <c r="BF176" s="483"/>
      <c r="BG176" s="483"/>
      <c r="BH176" s="483"/>
      <c r="BM176" s="486"/>
      <c r="BN176" s="486">
        <v>528</v>
      </c>
      <c r="BO176" s="486"/>
      <c r="BP176" s="486"/>
      <c r="BQ176" s="486"/>
      <c r="BR176" s="486"/>
      <c r="BS176" s="486">
        <v>258</v>
      </c>
      <c r="BT176" s="486"/>
      <c r="BU176" s="486">
        <v>244</v>
      </c>
      <c r="BV176" s="486">
        <v>244</v>
      </c>
      <c r="BW176" s="486">
        <v>244</v>
      </c>
      <c r="BX176" s="486">
        <v>244</v>
      </c>
      <c r="BY176" s="486">
        <v>244</v>
      </c>
      <c r="BZ176" s="486">
        <v>244</v>
      </c>
      <c r="CA176" s="102">
        <v>240</v>
      </c>
      <c r="CB176" s="486"/>
      <c r="CC176" s="486">
        <v>158</v>
      </c>
      <c r="CD176" s="486">
        <v>157</v>
      </c>
      <c r="CE176" s="486">
        <v>51</v>
      </c>
      <c r="CF176" s="486">
        <v>49</v>
      </c>
      <c r="CG176" s="486">
        <v>49</v>
      </c>
      <c r="CH176" s="486">
        <v>49</v>
      </c>
      <c r="CI176" s="486">
        <v>49</v>
      </c>
      <c r="CJ176" s="486">
        <v>49</v>
      </c>
      <c r="CK176" s="486">
        <v>49</v>
      </c>
      <c r="CL176" s="486">
        <v>49</v>
      </c>
      <c r="CM176" s="486">
        <v>49</v>
      </c>
      <c r="CN176" s="486">
        <v>47</v>
      </c>
      <c r="CO176" s="486">
        <v>47</v>
      </c>
      <c r="CP176" s="486">
        <v>47</v>
      </c>
      <c r="CQ176" s="486">
        <v>46</v>
      </c>
      <c r="CR176" s="486">
        <v>46</v>
      </c>
      <c r="CS176" s="486">
        <v>46</v>
      </c>
      <c r="CT176" s="486">
        <v>46</v>
      </c>
      <c r="CU176" s="486">
        <v>46</v>
      </c>
      <c r="CV176" s="486">
        <v>46</v>
      </c>
      <c r="CW176" s="486">
        <v>46</v>
      </c>
      <c r="CX176" s="486">
        <v>46</v>
      </c>
      <c r="CY176" s="486">
        <v>46</v>
      </c>
      <c r="CZ176" s="486">
        <v>46</v>
      </c>
      <c r="DA176" s="486">
        <v>46</v>
      </c>
      <c r="DB176" s="486">
        <v>46</v>
      </c>
      <c r="DC176" s="486">
        <v>46</v>
      </c>
      <c r="DD176" s="486">
        <v>46</v>
      </c>
      <c r="DE176" s="728">
        <v>46</v>
      </c>
      <c r="DF176" s="483"/>
    </row>
    <row r="177" spans="2:116" x14ac:dyDescent="0.35">
      <c r="B177" s="485" t="s">
        <v>656</v>
      </c>
      <c r="C177" s="485" t="s">
        <v>657</v>
      </c>
      <c r="D177" s="486"/>
      <c r="E177" s="486"/>
      <c r="F177" s="486"/>
      <c r="G177" s="486"/>
      <c r="H177" s="486"/>
      <c r="I177" s="486"/>
      <c r="J177" s="486"/>
      <c r="K177" s="486"/>
      <c r="L177" s="486"/>
      <c r="M177" s="486"/>
      <c r="N177" s="486"/>
      <c r="O177" s="486"/>
      <c r="P177" s="486"/>
      <c r="Q177" s="486"/>
      <c r="R177" s="486"/>
      <c r="S177" s="486"/>
      <c r="T177" s="486"/>
      <c r="U177" s="486"/>
      <c r="V177" s="486"/>
      <c r="W177" s="486"/>
      <c r="X177" s="486"/>
      <c r="Y177" s="486"/>
      <c r="Z177" s="486"/>
      <c r="AA177" s="486"/>
      <c r="AB177" s="486"/>
      <c r="AC177" s="486">
        <v>1039</v>
      </c>
      <c r="AD177" s="486">
        <v>1039</v>
      </c>
      <c r="AE177" s="486">
        <v>1039</v>
      </c>
      <c r="AF177" s="486">
        <v>1039</v>
      </c>
      <c r="AG177" s="486">
        <v>1035</v>
      </c>
      <c r="AH177" s="486">
        <v>1035</v>
      </c>
      <c r="AI177" s="486"/>
      <c r="AJ177" s="486"/>
      <c r="AK177" s="486"/>
      <c r="AL177" s="486"/>
      <c r="AM177" s="486"/>
      <c r="BB177" s="490"/>
      <c r="BC177" s="490"/>
      <c r="BD177" s="490"/>
      <c r="BE177" s="483"/>
      <c r="BF177" s="483"/>
      <c r="BG177" s="483"/>
      <c r="BH177" s="483"/>
      <c r="BM177" s="486"/>
      <c r="BN177" s="486">
        <v>123</v>
      </c>
      <c r="BO177" s="486"/>
      <c r="BP177" s="486"/>
      <c r="BQ177" s="486"/>
      <c r="BR177" s="486"/>
      <c r="BS177" s="486">
        <v>119</v>
      </c>
      <c r="BT177" s="486"/>
      <c r="BU177" s="486">
        <v>119</v>
      </c>
      <c r="BV177" s="486">
        <v>119</v>
      </c>
      <c r="BW177" s="486">
        <v>119</v>
      </c>
      <c r="BX177" s="486">
        <v>119</v>
      </c>
      <c r="BY177" s="486">
        <v>35</v>
      </c>
      <c r="BZ177" s="486">
        <v>35</v>
      </c>
      <c r="CA177" s="102">
        <v>35</v>
      </c>
      <c r="CB177" s="486"/>
      <c r="CC177" s="486">
        <v>35</v>
      </c>
      <c r="CD177" s="486">
        <v>35</v>
      </c>
      <c r="CE177" s="486">
        <v>35</v>
      </c>
      <c r="CF177" s="486">
        <v>35</v>
      </c>
      <c r="CG177" s="486">
        <v>35</v>
      </c>
      <c r="CH177" s="486">
        <v>35</v>
      </c>
      <c r="CI177" s="486">
        <v>35</v>
      </c>
      <c r="CJ177" s="486">
        <v>35</v>
      </c>
      <c r="CK177" s="486">
        <v>35</v>
      </c>
      <c r="CL177" s="486">
        <v>35</v>
      </c>
      <c r="CM177" s="486">
        <v>35</v>
      </c>
      <c r="CN177" s="486">
        <v>35</v>
      </c>
      <c r="CO177" s="486">
        <v>35</v>
      </c>
      <c r="CP177" s="486">
        <v>35</v>
      </c>
      <c r="CQ177" s="486">
        <v>35</v>
      </c>
      <c r="CR177" s="486">
        <v>35</v>
      </c>
      <c r="CS177" s="486">
        <v>10</v>
      </c>
      <c r="CT177" s="486">
        <v>10</v>
      </c>
      <c r="CU177" s="486">
        <v>10</v>
      </c>
      <c r="CV177" s="486">
        <v>10</v>
      </c>
      <c r="CW177" s="486">
        <v>10</v>
      </c>
      <c r="CX177" s="486">
        <v>10</v>
      </c>
      <c r="CY177" s="486">
        <v>10</v>
      </c>
      <c r="CZ177" s="486">
        <v>10</v>
      </c>
      <c r="DA177" s="486">
        <v>10</v>
      </c>
      <c r="DB177" s="486">
        <v>10</v>
      </c>
      <c r="DC177" s="486">
        <v>10</v>
      </c>
      <c r="DD177" s="486">
        <v>10</v>
      </c>
      <c r="DE177" s="728">
        <v>10</v>
      </c>
      <c r="DF177" s="483"/>
    </row>
    <row r="178" spans="2:116" x14ac:dyDescent="0.35">
      <c r="B178" s="484" t="s">
        <v>658</v>
      </c>
      <c r="C178" s="485" t="s">
        <v>659</v>
      </c>
      <c r="D178" s="488"/>
      <c r="E178" s="488"/>
      <c r="F178" s="486"/>
      <c r="G178" s="486"/>
      <c r="H178" s="486">
        <v>1007</v>
      </c>
      <c r="I178" s="486">
        <v>1288</v>
      </c>
      <c r="J178" s="486">
        <v>1484</v>
      </c>
      <c r="K178" s="486"/>
      <c r="L178" s="486">
        <v>1507</v>
      </c>
      <c r="M178" s="486">
        <v>1519</v>
      </c>
      <c r="N178" s="486">
        <v>1538</v>
      </c>
      <c r="O178" s="486">
        <v>1552</v>
      </c>
      <c r="P178" s="486">
        <v>1582</v>
      </c>
      <c r="Q178" s="486">
        <v>1617</v>
      </c>
      <c r="R178" s="486">
        <v>1652</v>
      </c>
      <c r="S178" s="486">
        <v>1701</v>
      </c>
      <c r="T178" s="486">
        <v>1735</v>
      </c>
      <c r="U178" s="486">
        <v>1766</v>
      </c>
      <c r="V178" s="486">
        <v>1811</v>
      </c>
      <c r="W178" s="486">
        <v>1253</v>
      </c>
      <c r="X178" s="486">
        <v>1180</v>
      </c>
      <c r="Y178" s="486">
        <v>1154</v>
      </c>
      <c r="Z178" s="486">
        <v>1183</v>
      </c>
      <c r="AA178" s="486">
        <v>1213</v>
      </c>
      <c r="AB178" s="486">
        <v>1241</v>
      </c>
      <c r="AC178" s="486">
        <v>1263</v>
      </c>
      <c r="AD178" s="486">
        <v>1266</v>
      </c>
      <c r="AE178" s="486">
        <v>1258</v>
      </c>
      <c r="AF178" s="486">
        <v>1246</v>
      </c>
      <c r="AG178" s="486">
        <v>1243</v>
      </c>
      <c r="AH178" s="486">
        <v>1241</v>
      </c>
      <c r="AI178" s="486">
        <v>1230</v>
      </c>
      <c r="AJ178" s="486">
        <v>1222</v>
      </c>
      <c r="AK178" s="486">
        <v>1193</v>
      </c>
      <c r="AL178" s="486">
        <v>1081</v>
      </c>
      <c r="AM178" s="486">
        <v>1077</v>
      </c>
      <c r="AN178" s="486">
        <v>1072</v>
      </c>
      <c r="AO178" s="486">
        <v>1072</v>
      </c>
      <c r="AP178" s="486">
        <v>1032</v>
      </c>
      <c r="AQ178" s="486">
        <v>1003</v>
      </c>
      <c r="AR178" s="486"/>
      <c r="BB178" s="486"/>
      <c r="BC178" s="486"/>
      <c r="BD178" s="486"/>
      <c r="BE178" s="483"/>
      <c r="BF178" s="483"/>
      <c r="BG178" s="483"/>
      <c r="BH178" s="483"/>
      <c r="BM178" s="486"/>
      <c r="BN178" s="486">
        <v>438</v>
      </c>
      <c r="BO178" s="486"/>
      <c r="BP178" s="486"/>
      <c r="BQ178" s="486"/>
      <c r="BR178" s="486"/>
      <c r="BS178" s="486">
        <v>407</v>
      </c>
      <c r="BT178" s="486"/>
      <c r="BU178" s="486">
        <v>389</v>
      </c>
      <c r="BV178" s="486">
        <v>389</v>
      </c>
      <c r="BW178" s="486">
        <v>378</v>
      </c>
      <c r="BX178" s="486">
        <v>362</v>
      </c>
      <c r="BY178" s="486">
        <v>357</v>
      </c>
      <c r="BZ178" s="486">
        <v>346</v>
      </c>
      <c r="CA178" s="102">
        <v>318</v>
      </c>
      <c r="CB178" s="486"/>
      <c r="CC178" s="486">
        <v>241</v>
      </c>
      <c r="CD178" s="486">
        <v>235</v>
      </c>
      <c r="CE178" s="486">
        <v>231</v>
      </c>
      <c r="CF178" s="486">
        <v>221</v>
      </c>
      <c r="CG178" s="486">
        <v>218</v>
      </c>
      <c r="CH178" s="486">
        <v>212</v>
      </c>
      <c r="CI178" s="486">
        <v>205</v>
      </c>
      <c r="CJ178" s="486">
        <v>164</v>
      </c>
      <c r="CK178" s="486">
        <v>157</v>
      </c>
      <c r="CL178" s="486">
        <v>153</v>
      </c>
      <c r="CM178" s="486">
        <v>151</v>
      </c>
      <c r="CN178" s="486">
        <v>140</v>
      </c>
      <c r="CO178" s="486">
        <v>123</v>
      </c>
      <c r="CP178" s="486">
        <v>122</v>
      </c>
      <c r="CQ178" s="486">
        <v>122</v>
      </c>
      <c r="CR178" s="486">
        <v>121</v>
      </c>
      <c r="CS178" s="486">
        <v>123</v>
      </c>
      <c r="CT178" s="486">
        <v>122</v>
      </c>
      <c r="CU178" s="486">
        <v>122</v>
      </c>
      <c r="CV178" s="486">
        <v>112</v>
      </c>
      <c r="CW178" s="486">
        <v>104</v>
      </c>
      <c r="CX178" s="486">
        <v>109</v>
      </c>
      <c r="CY178" s="486">
        <v>195</v>
      </c>
      <c r="CZ178" s="486">
        <v>196</v>
      </c>
      <c r="DA178" s="486">
        <v>193</v>
      </c>
      <c r="DB178" s="486">
        <v>193</v>
      </c>
      <c r="DC178" s="486">
        <v>193</v>
      </c>
      <c r="DD178" s="486">
        <v>190</v>
      </c>
      <c r="DE178" s="728">
        <v>188</v>
      </c>
      <c r="DF178" s="483"/>
    </row>
    <row r="179" spans="2:116" x14ac:dyDescent="0.35">
      <c r="B179" s="484" t="s">
        <v>660</v>
      </c>
      <c r="C179" s="485" t="s">
        <v>661</v>
      </c>
      <c r="D179" s="486"/>
      <c r="E179" s="486"/>
      <c r="F179" s="486"/>
      <c r="G179" s="486"/>
      <c r="H179" s="486">
        <v>2599</v>
      </c>
      <c r="I179" s="486">
        <v>3504</v>
      </c>
      <c r="J179" s="486">
        <v>4491</v>
      </c>
      <c r="K179" s="486"/>
      <c r="L179" s="486">
        <v>4492</v>
      </c>
      <c r="M179" s="486">
        <v>4496</v>
      </c>
      <c r="N179" s="486">
        <v>4471</v>
      </c>
      <c r="O179" s="486">
        <v>4470</v>
      </c>
      <c r="P179" s="486">
        <v>4457</v>
      </c>
      <c r="Q179" s="486">
        <v>4303</v>
      </c>
      <c r="R179" s="486">
        <v>4286</v>
      </c>
      <c r="S179" s="486">
        <v>4285</v>
      </c>
      <c r="T179" s="486">
        <v>4283</v>
      </c>
      <c r="U179" s="486">
        <v>4258</v>
      </c>
      <c r="V179" s="486">
        <v>4258</v>
      </c>
      <c r="W179" s="486">
        <v>4074</v>
      </c>
      <c r="X179" s="486">
        <v>4012</v>
      </c>
      <c r="Y179" s="486">
        <v>3996</v>
      </c>
      <c r="Z179" s="486">
        <v>3973</v>
      </c>
      <c r="AA179" s="486">
        <v>3912</v>
      </c>
      <c r="AB179" s="486">
        <v>3912</v>
      </c>
      <c r="AC179" s="486">
        <v>3905</v>
      </c>
      <c r="AD179" s="486">
        <v>3897</v>
      </c>
      <c r="AE179" s="486">
        <v>3882</v>
      </c>
      <c r="AF179" s="486">
        <v>3879</v>
      </c>
      <c r="AG179" s="486">
        <v>3870</v>
      </c>
      <c r="AH179" s="486">
        <v>3808</v>
      </c>
      <c r="AI179" s="486">
        <v>3769</v>
      </c>
      <c r="AJ179" s="486">
        <v>3761</v>
      </c>
      <c r="AK179" s="486">
        <v>3752</v>
      </c>
      <c r="AL179" s="486">
        <v>3747</v>
      </c>
      <c r="AM179" s="486">
        <v>3744</v>
      </c>
      <c r="AN179" s="486">
        <v>3738</v>
      </c>
      <c r="AO179" s="486">
        <v>3731</v>
      </c>
      <c r="AP179" s="486">
        <v>3724</v>
      </c>
      <c r="AQ179" s="486">
        <v>3722</v>
      </c>
      <c r="AR179" s="486">
        <v>3713</v>
      </c>
      <c r="AS179" s="486">
        <v>3700</v>
      </c>
      <c r="AT179" s="486">
        <v>3680</v>
      </c>
      <c r="AU179" s="486">
        <v>3653</v>
      </c>
      <c r="AV179" s="486">
        <v>3651</v>
      </c>
      <c r="AW179" s="486">
        <v>3640</v>
      </c>
      <c r="AX179" s="486">
        <v>3558</v>
      </c>
      <c r="AY179" s="486">
        <v>3538</v>
      </c>
      <c r="AZ179" s="486">
        <v>3509</v>
      </c>
      <c r="BA179" s="486">
        <v>3503</v>
      </c>
      <c r="BB179" s="486">
        <v>3477</v>
      </c>
      <c r="BC179" s="486">
        <v>3466</v>
      </c>
      <c r="BD179" s="486">
        <v>3462</v>
      </c>
      <c r="BE179" s="486">
        <v>3416</v>
      </c>
      <c r="BF179" s="486">
        <v>3382</v>
      </c>
      <c r="BG179" s="486">
        <v>3373</v>
      </c>
      <c r="BH179" s="486">
        <v>1000</v>
      </c>
      <c r="BI179" s="486">
        <v>998</v>
      </c>
      <c r="BJ179" s="486"/>
      <c r="BK179" s="486"/>
      <c r="BL179" s="486"/>
      <c r="BM179" s="486"/>
      <c r="BN179" s="486">
        <v>757</v>
      </c>
      <c r="BO179" s="486"/>
      <c r="BP179" s="486"/>
      <c r="BQ179" s="486"/>
      <c r="BR179" s="486"/>
      <c r="BS179" s="486">
        <v>303</v>
      </c>
      <c r="BT179" s="486"/>
      <c r="BU179" s="486">
        <v>239</v>
      </c>
      <c r="BV179" s="486">
        <v>230</v>
      </c>
      <c r="BW179" s="486">
        <v>223</v>
      </c>
      <c r="BX179" s="486">
        <v>222</v>
      </c>
      <c r="BY179" s="486">
        <v>213</v>
      </c>
      <c r="BZ179" s="486">
        <v>213</v>
      </c>
      <c r="CA179" s="102">
        <v>206</v>
      </c>
      <c r="CB179" s="486"/>
      <c r="CC179" s="486">
        <v>197</v>
      </c>
      <c r="CD179" s="486">
        <v>194</v>
      </c>
      <c r="CE179" s="486">
        <v>188</v>
      </c>
      <c r="CF179" s="486">
        <v>188</v>
      </c>
      <c r="CG179" s="486">
        <v>181</v>
      </c>
      <c r="CH179" s="486">
        <v>171</v>
      </c>
      <c r="CI179" s="486">
        <v>167</v>
      </c>
      <c r="CJ179" s="486">
        <v>167</v>
      </c>
      <c r="CK179" s="486">
        <v>167</v>
      </c>
      <c r="CL179" s="486">
        <v>167</v>
      </c>
      <c r="CM179" s="486">
        <v>167</v>
      </c>
      <c r="CN179" s="486">
        <v>167</v>
      </c>
      <c r="CO179" s="486">
        <v>167</v>
      </c>
      <c r="CP179" s="486">
        <v>167</v>
      </c>
      <c r="CQ179" s="486">
        <v>167</v>
      </c>
      <c r="CR179" s="486">
        <v>167</v>
      </c>
      <c r="CS179" s="486">
        <v>167</v>
      </c>
      <c r="CT179" s="486">
        <v>167</v>
      </c>
      <c r="CU179" s="486">
        <v>167</v>
      </c>
      <c r="CV179" s="486">
        <v>167</v>
      </c>
      <c r="CW179" s="486">
        <v>167</v>
      </c>
      <c r="CX179" s="486">
        <v>167</v>
      </c>
      <c r="CY179" s="486">
        <v>167</v>
      </c>
      <c r="CZ179" s="486">
        <v>167</v>
      </c>
      <c r="DA179" s="486">
        <v>167</v>
      </c>
      <c r="DB179" s="486">
        <v>167</v>
      </c>
      <c r="DC179" s="486">
        <v>167</v>
      </c>
      <c r="DD179" s="486">
        <v>167</v>
      </c>
      <c r="DE179" s="728">
        <v>167</v>
      </c>
      <c r="DF179" s="483"/>
    </row>
    <row r="180" spans="2:116" x14ac:dyDescent="0.35">
      <c r="B180" s="484" t="s">
        <v>662</v>
      </c>
      <c r="C180" s="484" t="s">
        <v>663</v>
      </c>
      <c r="D180" s="486"/>
      <c r="E180" s="486"/>
      <c r="F180" s="486"/>
      <c r="G180" s="486"/>
      <c r="H180" s="486"/>
      <c r="I180" s="486"/>
      <c r="J180" s="486"/>
      <c r="K180" s="486"/>
      <c r="L180" s="486"/>
      <c r="M180" s="486"/>
      <c r="N180" s="486"/>
      <c r="O180" s="486"/>
      <c r="P180" s="486"/>
      <c r="Q180" s="486"/>
      <c r="R180" s="486"/>
      <c r="S180" s="486"/>
      <c r="T180" s="486"/>
      <c r="U180" s="486"/>
      <c r="V180" s="486"/>
      <c r="W180" s="486"/>
      <c r="X180" s="486"/>
      <c r="Y180" s="486"/>
      <c r="Z180" s="486"/>
      <c r="AA180" s="486"/>
      <c r="AB180" s="486"/>
      <c r="AC180" s="486"/>
      <c r="AD180" s="486"/>
      <c r="AE180" s="486"/>
      <c r="AF180" s="486"/>
      <c r="AG180" s="486"/>
      <c r="AH180" s="486"/>
      <c r="AI180" s="486"/>
      <c r="AJ180" s="486"/>
      <c r="AK180" s="486"/>
      <c r="AL180" s="486"/>
      <c r="AM180" s="486"/>
      <c r="AN180" s="486"/>
      <c r="AO180" s="483"/>
      <c r="AP180" s="483"/>
      <c r="AQ180" s="483"/>
      <c r="AR180" s="483"/>
      <c r="AS180" s="486"/>
      <c r="AT180" s="486"/>
      <c r="AU180" s="486"/>
      <c r="AV180" s="486"/>
      <c r="AZ180" s="486"/>
      <c r="BA180" s="486">
        <v>1292</v>
      </c>
      <c r="BB180" s="486">
        <v>1292</v>
      </c>
      <c r="BC180" s="486">
        <v>1292</v>
      </c>
      <c r="BD180" s="486">
        <v>1293</v>
      </c>
      <c r="BE180" s="486">
        <v>1293</v>
      </c>
      <c r="BF180" s="486">
        <v>1293</v>
      </c>
      <c r="BG180" s="486">
        <v>1293</v>
      </c>
      <c r="BH180" s="486">
        <v>1293</v>
      </c>
      <c r="BI180" s="486">
        <v>1293</v>
      </c>
      <c r="BJ180" s="486">
        <v>1293</v>
      </c>
      <c r="BK180" s="486">
        <v>1293</v>
      </c>
      <c r="BL180" s="486">
        <v>1293</v>
      </c>
      <c r="BM180" s="486">
        <v>1293</v>
      </c>
      <c r="BN180" s="486">
        <v>1293</v>
      </c>
      <c r="BO180" s="486">
        <v>1293</v>
      </c>
      <c r="BP180" s="486">
        <v>1293</v>
      </c>
      <c r="BQ180" s="486">
        <v>1293</v>
      </c>
      <c r="BR180" s="486">
        <v>1293</v>
      </c>
      <c r="BS180" s="486">
        <v>1293</v>
      </c>
      <c r="BT180" s="486">
        <v>1293</v>
      </c>
      <c r="BU180" s="486">
        <v>1293</v>
      </c>
      <c r="BV180" s="486">
        <v>1293</v>
      </c>
      <c r="BW180" s="486">
        <v>1293</v>
      </c>
      <c r="BX180" s="486">
        <v>1293</v>
      </c>
      <c r="BY180" s="486">
        <v>343</v>
      </c>
      <c r="BZ180" s="486">
        <v>343</v>
      </c>
      <c r="CA180" s="102">
        <v>343</v>
      </c>
      <c r="CB180" s="486">
        <v>343</v>
      </c>
      <c r="CC180" s="486">
        <v>342</v>
      </c>
      <c r="CD180" s="486">
        <v>342</v>
      </c>
      <c r="CE180" s="486">
        <v>342</v>
      </c>
      <c r="CF180" s="486">
        <v>342</v>
      </c>
      <c r="CG180" s="486">
        <v>44</v>
      </c>
      <c r="CH180" s="486">
        <v>43</v>
      </c>
      <c r="CI180" s="486">
        <v>43</v>
      </c>
      <c r="CJ180" s="486">
        <v>43</v>
      </c>
      <c r="CK180" s="486">
        <v>43</v>
      </c>
      <c r="CL180" s="486">
        <v>43</v>
      </c>
      <c r="CM180" s="486">
        <v>43</v>
      </c>
      <c r="CN180" s="486">
        <v>43</v>
      </c>
      <c r="CO180" s="486">
        <v>30</v>
      </c>
      <c r="CP180" s="486">
        <v>30</v>
      </c>
      <c r="CQ180" s="486">
        <v>30</v>
      </c>
      <c r="CR180" s="486">
        <v>30</v>
      </c>
      <c r="CS180" s="486">
        <v>30</v>
      </c>
      <c r="CT180" s="486">
        <v>30</v>
      </c>
      <c r="CU180" s="486">
        <v>30</v>
      </c>
      <c r="CV180" s="486">
        <v>30</v>
      </c>
      <c r="CW180" s="486">
        <v>30</v>
      </c>
      <c r="CX180" s="486">
        <v>30</v>
      </c>
      <c r="CY180" s="486">
        <v>30</v>
      </c>
      <c r="CZ180" s="486">
        <v>30</v>
      </c>
      <c r="DA180" s="486">
        <v>30</v>
      </c>
      <c r="DB180" s="486">
        <v>30</v>
      </c>
      <c r="DC180" s="486">
        <v>30</v>
      </c>
      <c r="DD180" s="486">
        <v>30</v>
      </c>
      <c r="DE180" s="728">
        <v>30</v>
      </c>
      <c r="DF180" s="483"/>
    </row>
    <row r="181" spans="2:116" s="113" customFormat="1" x14ac:dyDescent="0.35">
      <c r="B181" s="484" t="s">
        <v>664</v>
      </c>
      <c r="C181" s="485" t="s">
        <v>665</v>
      </c>
      <c r="D181" s="486"/>
      <c r="E181" s="486"/>
      <c r="F181" s="486"/>
      <c r="G181" s="486"/>
      <c r="H181" s="486"/>
      <c r="I181" s="486"/>
      <c r="J181" s="486"/>
      <c r="K181" s="486"/>
      <c r="L181" s="486"/>
      <c r="M181" s="486"/>
      <c r="N181" s="486"/>
      <c r="O181" s="486"/>
      <c r="P181" s="486"/>
      <c r="Q181" s="486"/>
      <c r="R181" s="486">
        <v>1583</v>
      </c>
      <c r="S181" s="486">
        <v>1583</v>
      </c>
      <c r="T181" s="486">
        <v>1583</v>
      </c>
      <c r="U181" s="486">
        <v>1680</v>
      </c>
      <c r="V181" s="486">
        <v>1997</v>
      </c>
      <c r="W181" s="486">
        <v>2020</v>
      </c>
      <c r="X181" s="486">
        <v>2046</v>
      </c>
      <c r="Y181" s="486">
        <v>2046</v>
      </c>
      <c r="Z181" s="486">
        <v>2046</v>
      </c>
      <c r="AA181" s="486">
        <v>2066</v>
      </c>
      <c r="AB181" s="486">
        <v>2100</v>
      </c>
      <c r="AC181" s="486">
        <v>2100</v>
      </c>
      <c r="AD181" s="486">
        <v>2145</v>
      </c>
      <c r="AE181" s="486">
        <v>2184</v>
      </c>
      <c r="AF181" s="486">
        <v>2308</v>
      </c>
      <c r="AG181" s="486">
        <v>2328</v>
      </c>
      <c r="AH181" s="486">
        <v>2342</v>
      </c>
      <c r="AI181" s="486">
        <v>2342</v>
      </c>
      <c r="AJ181" s="486">
        <v>2357</v>
      </c>
      <c r="AK181" s="486">
        <v>2357</v>
      </c>
      <c r="AL181" s="486">
        <v>2568</v>
      </c>
      <c r="AM181" s="486"/>
      <c r="AN181" s="486"/>
      <c r="AO181" s="483"/>
      <c r="AP181" s="483"/>
      <c r="AQ181" s="486">
        <v>1016</v>
      </c>
      <c r="AR181" s="486">
        <v>1100</v>
      </c>
      <c r="AS181" s="486">
        <v>1163</v>
      </c>
      <c r="AT181" s="486">
        <v>1165</v>
      </c>
      <c r="AU181" s="486">
        <v>1184</v>
      </c>
      <c r="AV181" s="486">
        <v>1171</v>
      </c>
      <c r="AW181" s="486">
        <v>1179</v>
      </c>
      <c r="AX181" s="486">
        <v>1179</v>
      </c>
      <c r="AY181" s="486">
        <v>1201</v>
      </c>
      <c r="AZ181" s="486">
        <v>1201</v>
      </c>
      <c r="BA181" s="486">
        <v>1202</v>
      </c>
      <c r="BB181" s="486">
        <v>1202</v>
      </c>
      <c r="BC181" s="486">
        <v>1048</v>
      </c>
      <c r="BD181" s="486">
        <v>1048</v>
      </c>
      <c r="BE181" s="486">
        <v>1048</v>
      </c>
      <c r="BF181" s="486">
        <v>1048</v>
      </c>
      <c r="BG181" s="486">
        <v>1048</v>
      </c>
      <c r="BH181" s="486">
        <v>1061</v>
      </c>
      <c r="BI181" s="486">
        <v>1062</v>
      </c>
      <c r="BJ181" s="486">
        <v>1087</v>
      </c>
      <c r="BK181" s="486">
        <v>1107</v>
      </c>
      <c r="BL181" s="486">
        <v>1107</v>
      </c>
      <c r="BM181" s="486">
        <v>1147</v>
      </c>
      <c r="BN181" s="486">
        <v>1142</v>
      </c>
      <c r="BO181" s="486">
        <v>1142</v>
      </c>
      <c r="BP181" s="486">
        <v>1142</v>
      </c>
      <c r="BQ181" s="486">
        <v>1168</v>
      </c>
      <c r="BR181" s="486">
        <v>1157</v>
      </c>
      <c r="BS181" s="486">
        <v>1158</v>
      </c>
      <c r="BT181" s="486">
        <v>1138</v>
      </c>
      <c r="BU181" s="486">
        <v>1139</v>
      </c>
      <c r="BV181" s="486">
        <v>1147</v>
      </c>
      <c r="BW181" s="486">
        <v>1146</v>
      </c>
      <c r="BX181" s="486">
        <v>1146</v>
      </c>
      <c r="BY181" s="486">
        <v>1144</v>
      </c>
      <c r="BZ181" s="486">
        <v>493</v>
      </c>
      <c r="CA181" s="102">
        <v>493</v>
      </c>
      <c r="CB181" s="486">
        <v>493</v>
      </c>
      <c r="CC181" s="486">
        <v>492</v>
      </c>
      <c r="CD181" s="486">
        <v>492</v>
      </c>
      <c r="CE181" s="486">
        <v>492</v>
      </c>
      <c r="CF181" s="486">
        <v>492</v>
      </c>
      <c r="CG181" s="486">
        <v>492</v>
      </c>
      <c r="CH181" s="486">
        <v>492</v>
      </c>
      <c r="CI181" s="486">
        <v>492</v>
      </c>
      <c r="CJ181" s="486">
        <v>492</v>
      </c>
      <c r="CK181" s="486">
        <v>29</v>
      </c>
      <c r="CL181" s="486">
        <v>29</v>
      </c>
      <c r="CM181" s="486">
        <v>29</v>
      </c>
      <c r="CN181" s="486">
        <v>29</v>
      </c>
      <c r="CO181" s="486">
        <v>21</v>
      </c>
      <c r="CP181" s="486">
        <v>21</v>
      </c>
      <c r="CQ181" s="486">
        <v>21</v>
      </c>
      <c r="CR181" s="486">
        <v>21</v>
      </c>
      <c r="CS181" s="486">
        <v>21</v>
      </c>
      <c r="CT181" s="486">
        <v>21</v>
      </c>
      <c r="CU181" s="486">
        <v>21</v>
      </c>
      <c r="CV181" s="486">
        <v>21</v>
      </c>
      <c r="CW181" s="486">
        <v>21</v>
      </c>
      <c r="CX181" s="486">
        <v>21</v>
      </c>
      <c r="CY181" s="486">
        <v>21</v>
      </c>
      <c r="CZ181" s="486">
        <v>21</v>
      </c>
      <c r="DA181" s="486">
        <v>21</v>
      </c>
      <c r="DB181" s="486">
        <v>21</v>
      </c>
      <c r="DC181" s="486">
        <v>21</v>
      </c>
      <c r="DD181" s="486">
        <v>21</v>
      </c>
      <c r="DE181" s="728">
        <v>21</v>
      </c>
      <c r="DF181" s="483"/>
      <c r="DG181"/>
      <c r="DH181"/>
      <c r="DI181"/>
      <c r="DJ181"/>
      <c r="DK181"/>
      <c r="DL181"/>
    </row>
    <row r="182" spans="2:116" s="113" customFormat="1" hidden="1" x14ac:dyDescent="0.35">
      <c r="B182" s="484"/>
      <c r="C182" s="485"/>
      <c r="D182" s="486"/>
      <c r="E182" s="486"/>
      <c r="F182" s="486"/>
      <c r="G182" s="486"/>
      <c r="H182" s="486"/>
      <c r="I182" s="486"/>
      <c r="J182" s="486"/>
      <c r="K182" s="486"/>
      <c r="L182" s="486"/>
      <c r="M182" s="486"/>
      <c r="N182" s="486"/>
      <c r="O182" s="486"/>
      <c r="P182" s="486"/>
      <c r="Q182" s="486"/>
      <c r="R182" s="486"/>
      <c r="S182" s="486"/>
      <c r="T182" s="486"/>
      <c r="U182" s="486"/>
      <c r="V182" s="486"/>
      <c r="W182" s="486"/>
      <c r="X182" s="486"/>
      <c r="Y182" s="486"/>
      <c r="Z182" s="486"/>
      <c r="AA182" s="486"/>
      <c r="AB182" s="486"/>
      <c r="AC182" s="486"/>
      <c r="AD182" s="486"/>
      <c r="AE182" s="486"/>
      <c r="AF182" s="486"/>
      <c r="AG182" s="486"/>
      <c r="AH182" s="486"/>
      <c r="AI182" s="486"/>
      <c r="AJ182" s="486"/>
      <c r="AK182" s="486"/>
      <c r="AL182" s="486"/>
      <c r="AM182" s="486"/>
      <c r="AN182" s="486"/>
      <c r="AO182" s="483"/>
      <c r="AP182" s="483"/>
      <c r="AQ182" s="486"/>
      <c r="AR182" s="486"/>
      <c r="AS182" s="486"/>
      <c r="AT182" s="486"/>
      <c r="AU182" s="486"/>
      <c r="AV182" s="486"/>
      <c r="AW182" s="486"/>
      <c r="AX182" s="486"/>
      <c r="AY182" s="486"/>
      <c r="AZ182" s="486"/>
      <c r="BA182" s="486"/>
      <c r="BB182" s="486"/>
      <c r="BC182" s="486"/>
      <c r="BD182" s="486"/>
      <c r="BE182" s="486"/>
      <c r="BF182" s="486"/>
      <c r="BG182" s="486"/>
      <c r="BH182" s="486"/>
      <c r="BI182" s="486"/>
      <c r="BJ182" s="486"/>
      <c r="BK182" s="486"/>
      <c r="BL182" s="486"/>
      <c r="BM182" s="486"/>
      <c r="BN182" s="486"/>
      <c r="BO182" s="486"/>
      <c r="BP182" s="486"/>
      <c r="BQ182" s="486"/>
      <c r="BR182" s="486"/>
      <c r="BS182" s="486"/>
      <c r="BT182" s="486"/>
      <c r="BU182" s="486"/>
      <c r="BV182" s="486"/>
      <c r="BW182" s="486"/>
      <c r="BX182" s="486"/>
      <c r="BY182" s="486"/>
      <c r="BZ182" s="486"/>
      <c r="CA182" s="102"/>
      <c r="CB182" s="486"/>
      <c r="CC182" s="486"/>
      <c r="CD182" s="486"/>
      <c r="CE182" s="486"/>
      <c r="CF182" s="486"/>
      <c r="CG182" s="486"/>
      <c r="CH182" s="486"/>
      <c r="CI182" s="486"/>
      <c r="CJ182" s="486"/>
      <c r="CK182" s="486"/>
      <c r="CL182" s="486"/>
      <c r="CM182" s="486"/>
      <c r="CN182" s="486"/>
      <c r="CO182" s="486"/>
      <c r="CP182" s="486"/>
      <c r="CQ182" s="486"/>
      <c r="CR182" s="486"/>
      <c r="CS182" s="486"/>
      <c r="CT182" s="486"/>
      <c r="CU182" s="486"/>
      <c r="CV182" s="486"/>
      <c r="CW182" s="486"/>
      <c r="CX182" s="486"/>
      <c r="CY182" s="486"/>
      <c r="CZ182" s="486"/>
      <c r="DA182" s="486"/>
      <c r="DB182" s="486"/>
      <c r="DC182" s="486"/>
      <c r="DD182" s="486"/>
      <c r="DE182" s="728"/>
      <c r="DF182" s="483"/>
      <c r="DG182"/>
      <c r="DH182"/>
      <c r="DI182"/>
      <c r="DJ182"/>
      <c r="DK182"/>
      <c r="DL182"/>
    </row>
    <row r="183" spans="2:116" s="113" customFormat="1" hidden="1" x14ac:dyDescent="0.35">
      <c r="B183" s="484" t="s">
        <v>666</v>
      </c>
      <c r="C183" s="485" t="s">
        <v>667</v>
      </c>
      <c r="D183" s="486"/>
      <c r="E183" s="486"/>
      <c r="F183" s="486"/>
      <c r="G183" s="486"/>
      <c r="H183" s="486">
        <v>177</v>
      </c>
      <c r="I183" s="486">
        <v>9772</v>
      </c>
      <c r="J183" s="486">
        <v>574</v>
      </c>
      <c r="K183" s="486"/>
      <c r="L183" s="486"/>
      <c r="M183" s="486"/>
      <c r="N183" s="486"/>
      <c r="O183" s="486"/>
      <c r="P183" s="486"/>
      <c r="Q183" s="485"/>
      <c r="R183" s="485"/>
      <c r="S183" s="485"/>
      <c r="T183" s="489"/>
      <c r="U183" s="489"/>
      <c r="V183" s="489"/>
      <c r="W183" s="489"/>
      <c r="X183" s="486"/>
      <c r="Y183" s="486"/>
      <c r="Z183" s="486"/>
      <c r="AA183" s="486"/>
      <c r="AB183" s="486"/>
      <c r="AC183" s="486"/>
      <c r="AD183" s="486"/>
      <c r="AE183" s="486"/>
      <c r="AF183" s="486"/>
      <c r="AG183" s="486"/>
      <c r="AH183" s="486"/>
      <c r="AI183" s="486"/>
      <c r="AJ183" s="486"/>
      <c r="AK183" s="486"/>
      <c r="AL183" s="486"/>
      <c r="AM183" s="486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 s="486"/>
      <c r="BC183" s="486"/>
      <c r="BD183" s="486"/>
      <c r="BE183" s="483"/>
      <c r="BF183" s="483"/>
      <c r="BG183" s="483"/>
      <c r="BH183" s="483"/>
      <c r="BI183"/>
      <c r="BJ183"/>
      <c r="BK183"/>
      <c r="BL183"/>
      <c r="BM183" s="486"/>
      <c r="BN183" s="486">
        <v>128</v>
      </c>
      <c r="BO183" s="486"/>
      <c r="BP183" s="486"/>
      <c r="BQ183" s="486"/>
      <c r="BR183" s="486"/>
      <c r="BS183" s="486">
        <v>4</v>
      </c>
      <c r="BT183" s="486"/>
      <c r="BU183" s="486">
        <v>4</v>
      </c>
      <c r="BV183" s="486">
        <v>4</v>
      </c>
      <c r="BW183" s="486">
        <v>4</v>
      </c>
      <c r="BX183" s="486">
        <v>4</v>
      </c>
      <c r="BY183" s="486">
        <v>4</v>
      </c>
      <c r="BZ183" s="486">
        <v>4</v>
      </c>
      <c r="CA183" s="102">
        <v>4</v>
      </c>
      <c r="CB183" s="486"/>
      <c r="CC183" s="486">
        <v>4</v>
      </c>
      <c r="CD183" s="486">
        <v>4</v>
      </c>
      <c r="CE183" s="486">
        <v>4</v>
      </c>
      <c r="CF183" s="486">
        <v>4</v>
      </c>
      <c r="CG183" s="486">
        <v>4</v>
      </c>
      <c r="CH183" s="486">
        <v>4</v>
      </c>
      <c r="CI183" s="486">
        <v>4</v>
      </c>
      <c r="CJ183" s="486">
        <v>4</v>
      </c>
      <c r="CK183" s="486">
        <v>4</v>
      </c>
      <c r="CL183" s="486">
        <v>4</v>
      </c>
      <c r="CM183" s="486">
        <v>4</v>
      </c>
      <c r="CN183" s="486">
        <v>0</v>
      </c>
      <c r="CO183" s="486">
        <v>0</v>
      </c>
      <c r="CP183" s="486">
        <v>0</v>
      </c>
      <c r="CQ183" s="486">
        <v>0</v>
      </c>
      <c r="CR183" s="486">
        <v>0</v>
      </c>
      <c r="CS183" s="486">
        <v>0</v>
      </c>
      <c r="CT183" s="486">
        <v>0</v>
      </c>
      <c r="CU183" s="486">
        <v>0</v>
      </c>
      <c r="CV183" s="486">
        <v>0</v>
      </c>
      <c r="CW183" s="486">
        <v>0</v>
      </c>
      <c r="CX183" s="486">
        <v>0</v>
      </c>
      <c r="CY183" s="486">
        <v>0</v>
      </c>
      <c r="CZ183" s="486">
        <v>0</v>
      </c>
      <c r="DA183" s="486">
        <v>0</v>
      </c>
      <c r="DB183" s="486">
        <v>0</v>
      </c>
      <c r="DC183" s="486">
        <v>0</v>
      </c>
      <c r="DD183" s="486">
        <v>0</v>
      </c>
      <c r="DE183" s="728">
        <v>0</v>
      </c>
      <c r="DF183" s="483"/>
      <c r="DG183"/>
      <c r="DH183"/>
      <c r="DI183"/>
      <c r="DJ183"/>
      <c r="DK183"/>
      <c r="DL183"/>
    </row>
    <row r="184" spans="2:116" hidden="1" x14ac:dyDescent="0.35">
      <c r="B184" s="484" t="s">
        <v>668</v>
      </c>
      <c r="C184" s="485" t="s">
        <v>669</v>
      </c>
      <c r="D184" s="486"/>
      <c r="E184" s="486"/>
      <c r="F184" s="486"/>
      <c r="G184" s="486"/>
      <c r="H184" s="486"/>
      <c r="I184" s="486"/>
      <c r="J184" s="486"/>
      <c r="K184" s="486"/>
      <c r="L184" s="486"/>
      <c r="M184" s="486"/>
      <c r="N184" s="486"/>
      <c r="O184" s="486"/>
      <c r="P184" s="486"/>
      <c r="Q184" s="486"/>
      <c r="R184" s="486"/>
      <c r="S184" s="486"/>
      <c r="T184" s="486"/>
      <c r="U184" s="486"/>
      <c r="V184" s="486"/>
      <c r="W184" s="486"/>
      <c r="X184" s="486"/>
      <c r="Y184" s="486"/>
      <c r="Z184" s="486"/>
      <c r="AA184" s="486"/>
      <c r="AB184" s="486"/>
      <c r="AC184" s="486"/>
      <c r="AD184" s="486"/>
      <c r="AE184" s="486"/>
      <c r="AF184" s="486">
        <v>1287</v>
      </c>
      <c r="AG184" s="486">
        <v>1611</v>
      </c>
      <c r="AH184" s="486">
        <v>1626</v>
      </c>
      <c r="AI184" s="486">
        <v>1642</v>
      </c>
      <c r="AJ184" s="486">
        <v>1787</v>
      </c>
      <c r="AK184" s="486">
        <v>1966</v>
      </c>
      <c r="AL184" s="486">
        <v>2416</v>
      </c>
      <c r="AM184" s="486">
        <v>2416</v>
      </c>
      <c r="AN184" s="486">
        <v>2416</v>
      </c>
      <c r="AO184" s="486">
        <v>2147</v>
      </c>
      <c r="AP184" s="486">
        <v>2130</v>
      </c>
      <c r="AQ184" s="486">
        <v>2228</v>
      </c>
      <c r="AR184" s="486">
        <v>2247</v>
      </c>
      <c r="AS184" s="486">
        <v>2250</v>
      </c>
      <c r="AT184" s="486">
        <v>2250</v>
      </c>
      <c r="AU184" s="486">
        <v>2251</v>
      </c>
      <c r="AV184" s="486">
        <v>2065</v>
      </c>
      <c r="AW184" s="486">
        <v>2069</v>
      </c>
      <c r="AX184" s="486">
        <v>2068</v>
      </c>
      <c r="AY184" s="486">
        <v>2069</v>
      </c>
      <c r="AZ184" s="486">
        <v>2009</v>
      </c>
      <c r="BA184" s="486">
        <v>1978</v>
      </c>
      <c r="BB184" s="486">
        <v>1977</v>
      </c>
      <c r="BC184" s="486">
        <v>1976</v>
      </c>
      <c r="BD184" s="486">
        <v>1974</v>
      </c>
      <c r="BE184" s="486">
        <v>1966</v>
      </c>
      <c r="BF184" s="486">
        <v>1957</v>
      </c>
      <c r="BG184" s="486">
        <v>1688</v>
      </c>
      <c r="BH184" s="486">
        <v>1687</v>
      </c>
      <c r="BI184" s="486">
        <v>1686</v>
      </c>
      <c r="BJ184" s="486">
        <v>1685</v>
      </c>
      <c r="BK184" s="486">
        <v>1684</v>
      </c>
      <c r="BL184" s="486">
        <v>1669</v>
      </c>
      <c r="BM184" s="486">
        <v>1667</v>
      </c>
      <c r="BN184" s="486">
        <v>1647</v>
      </c>
      <c r="BO184" s="486">
        <v>1647</v>
      </c>
      <c r="BP184" s="486">
        <v>1646</v>
      </c>
      <c r="BQ184" s="486">
        <v>1646</v>
      </c>
      <c r="BR184" s="486">
        <v>1686</v>
      </c>
      <c r="BS184" s="486">
        <v>1764</v>
      </c>
      <c r="BT184" s="486">
        <v>1822</v>
      </c>
      <c r="BU184" s="486">
        <v>1858</v>
      </c>
      <c r="BV184" s="486">
        <v>1956</v>
      </c>
      <c r="BW184" s="486">
        <v>1956</v>
      </c>
      <c r="BX184" s="486">
        <v>1956</v>
      </c>
      <c r="BY184" s="486">
        <v>1741</v>
      </c>
      <c r="BZ184" s="486">
        <v>1815</v>
      </c>
      <c r="CA184" s="486">
        <v>1822</v>
      </c>
      <c r="CB184" s="486">
        <v>1821</v>
      </c>
      <c r="CC184" s="486">
        <v>1</v>
      </c>
      <c r="CD184" s="486">
        <v>1</v>
      </c>
      <c r="CE184" s="486">
        <v>1</v>
      </c>
      <c r="CF184" s="486">
        <v>1</v>
      </c>
      <c r="CG184" s="486"/>
      <c r="CH184" s="486"/>
      <c r="CI184" s="486">
        <v>0</v>
      </c>
      <c r="CJ184" s="486">
        <v>2</v>
      </c>
      <c r="CK184" s="486">
        <v>2</v>
      </c>
      <c r="CL184" s="486">
        <v>0</v>
      </c>
      <c r="CM184" s="486">
        <v>0</v>
      </c>
      <c r="CN184" s="486">
        <v>0</v>
      </c>
      <c r="CO184" s="486">
        <v>0</v>
      </c>
      <c r="CP184" s="486">
        <v>0</v>
      </c>
      <c r="CQ184" s="486">
        <v>0</v>
      </c>
      <c r="CR184" s="486">
        <v>0</v>
      </c>
      <c r="CS184" s="486">
        <v>0</v>
      </c>
      <c r="CT184" s="486">
        <v>0</v>
      </c>
      <c r="CU184" s="486">
        <v>0</v>
      </c>
      <c r="CV184" s="486">
        <v>0</v>
      </c>
      <c r="CW184" s="486">
        <v>0</v>
      </c>
      <c r="CX184" s="486">
        <v>0</v>
      </c>
      <c r="CY184" s="486">
        <v>0</v>
      </c>
      <c r="CZ184" s="486">
        <v>0</v>
      </c>
      <c r="DA184" s="486">
        <v>0</v>
      </c>
      <c r="DB184" s="486">
        <v>0</v>
      </c>
      <c r="DC184" s="486">
        <v>0</v>
      </c>
      <c r="DD184" s="486">
        <v>0</v>
      </c>
      <c r="DE184" s="728">
        <v>0</v>
      </c>
      <c r="DF184" s="483"/>
    </row>
    <row r="185" spans="2:116" hidden="1" x14ac:dyDescent="0.35">
      <c r="B185" s="484" t="s">
        <v>670</v>
      </c>
      <c r="C185" s="485" t="s">
        <v>671</v>
      </c>
      <c r="D185" s="486"/>
      <c r="E185" s="486"/>
      <c r="F185" s="486"/>
      <c r="G185" s="486"/>
      <c r="H185" s="486"/>
      <c r="I185" s="486"/>
      <c r="J185" s="486"/>
      <c r="K185" s="486"/>
      <c r="L185" s="486"/>
      <c r="M185" s="486"/>
      <c r="N185" s="486"/>
      <c r="O185" s="486"/>
      <c r="P185" s="486"/>
      <c r="Q185" s="486"/>
      <c r="R185" s="486"/>
      <c r="S185" s="486"/>
      <c r="T185" s="486"/>
      <c r="U185" s="486"/>
      <c r="V185" s="486"/>
      <c r="W185" s="486"/>
      <c r="X185" s="486"/>
      <c r="Y185" s="486"/>
      <c r="Z185" s="486"/>
      <c r="AA185" s="486"/>
      <c r="AB185" s="486"/>
      <c r="AC185" s="486"/>
      <c r="AD185" s="486"/>
      <c r="AE185" s="486"/>
      <c r="AF185" s="486"/>
      <c r="AG185" s="486"/>
      <c r="AH185" s="486"/>
      <c r="AI185" s="486"/>
      <c r="AJ185" s="486"/>
      <c r="AK185" s="486"/>
      <c r="AL185" s="486"/>
      <c r="AM185" s="486"/>
      <c r="AN185" s="486"/>
      <c r="AO185" s="486"/>
      <c r="AP185" s="486"/>
      <c r="AQ185" s="486"/>
      <c r="AR185" s="486"/>
      <c r="AS185" s="486"/>
      <c r="AT185" s="486"/>
      <c r="AU185" s="486"/>
      <c r="AV185" s="486"/>
      <c r="AZ185" s="486"/>
      <c r="BA185" s="486"/>
      <c r="BB185" s="486"/>
      <c r="BC185" s="486"/>
      <c r="BD185" s="486"/>
      <c r="BE185" s="483"/>
      <c r="BF185" s="483"/>
      <c r="BG185" s="486"/>
      <c r="BH185" s="486"/>
      <c r="BI185" s="486"/>
      <c r="BJ185" s="486"/>
      <c r="BK185" s="486"/>
      <c r="BL185" s="486"/>
      <c r="BM185" s="486"/>
      <c r="BN185" s="486"/>
      <c r="BO185" s="486"/>
      <c r="BP185" s="486"/>
      <c r="BQ185" s="486"/>
      <c r="BR185" s="486"/>
      <c r="BS185" s="486"/>
      <c r="BT185" s="486"/>
      <c r="BU185" s="486"/>
      <c r="BV185" s="486"/>
      <c r="BW185" s="486"/>
      <c r="BX185" s="486"/>
      <c r="BY185" s="486"/>
      <c r="BZ185" s="486"/>
      <c r="CA185" s="486">
        <v>0</v>
      </c>
      <c r="CB185" s="486">
        <v>0</v>
      </c>
      <c r="CC185" s="116">
        <v>0</v>
      </c>
      <c r="CD185" s="529"/>
      <c r="CE185" s="54"/>
      <c r="CF185" s="54"/>
      <c r="CG185" s="54"/>
      <c r="CH185" s="54"/>
      <c r="CI185" s="54">
        <v>0</v>
      </c>
      <c r="CJ185" s="54">
        <v>0</v>
      </c>
      <c r="CK185" s="54">
        <v>0</v>
      </c>
      <c r="CL185" s="54">
        <v>0</v>
      </c>
      <c r="CM185" s="54">
        <v>0</v>
      </c>
      <c r="CN185" s="54">
        <v>0</v>
      </c>
      <c r="CO185" s="54">
        <v>0</v>
      </c>
      <c r="CP185" s="54">
        <v>0</v>
      </c>
      <c r="CQ185" s="54">
        <v>0</v>
      </c>
      <c r="CR185" s="486">
        <v>0</v>
      </c>
      <c r="CS185" s="486">
        <v>0</v>
      </c>
      <c r="CT185" s="486">
        <v>0</v>
      </c>
      <c r="CU185" s="486">
        <v>0</v>
      </c>
      <c r="CV185" s="486">
        <v>0</v>
      </c>
      <c r="CW185" s="486">
        <v>0</v>
      </c>
      <c r="CX185" s="486">
        <v>0</v>
      </c>
      <c r="CY185" s="486">
        <v>0</v>
      </c>
      <c r="CZ185" s="486">
        <v>0</v>
      </c>
      <c r="DA185" s="486">
        <v>0</v>
      </c>
      <c r="DB185" s="486">
        <v>0</v>
      </c>
      <c r="DC185" s="486">
        <v>0</v>
      </c>
      <c r="DD185" s="486">
        <v>0</v>
      </c>
      <c r="DE185" s="728">
        <v>0</v>
      </c>
      <c r="DF185" s="483"/>
    </row>
    <row r="186" spans="2:116" hidden="1" x14ac:dyDescent="0.35">
      <c r="B186" s="484" t="s">
        <v>672</v>
      </c>
      <c r="C186" s="485" t="s">
        <v>673</v>
      </c>
      <c r="D186" s="486"/>
      <c r="E186" s="486"/>
      <c r="F186" s="486"/>
      <c r="G186" s="486"/>
      <c r="H186" s="486"/>
      <c r="I186" s="486"/>
      <c r="J186" s="486"/>
      <c r="K186" s="486"/>
      <c r="L186" s="486"/>
      <c r="M186" s="486"/>
      <c r="N186" s="486"/>
      <c r="O186" s="486"/>
      <c r="P186" s="486"/>
      <c r="Q186" s="486"/>
      <c r="R186" s="486"/>
      <c r="S186" s="486"/>
      <c r="T186" s="486"/>
      <c r="U186" s="486"/>
      <c r="V186" s="486"/>
      <c r="W186" s="486"/>
      <c r="X186" s="486"/>
      <c r="Y186" s="486"/>
      <c r="Z186" s="486"/>
      <c r="AA186" s="486"/>
      <c r="AB186" s="486"/>
      <c r="AC186" s="486"/>
      <c r="AD186" s="486"/>
      <c r="AE186" s="486"/>
      <c r="AF186" s="486"/>
      <c r="AG186" s="486"/>
      <c r="AH186" s="486"/>
      <c r="AI186" s="486"/>
      <c r="AJ186" s="486"/>
      <c r="AK186" s="486"/>
      <c r="AL186" s="486"/>
      <c r="AM186" s="486"/>
      <c r="AN186" s="486"/>
      <c r="AO186" s="486"/>
      <c r="AP186" s="486"/>
      <c r="AQ186" s="486"/>
      <c r="AR186" s="486"/>
      <c r="AS186" s="486"/>
      <c r="AT186" s="486"/>
      <c r="AU186" s="486"/>
      <c r="AV186" s="486"/>
      <c r="AZ186" s="486"/>
      <c r="BA186" s="486"/>
      <c r="BB186" s="486"/>
      <c r="BC186" s="486"/>
      <c r="BD186" s="486"/>
      <c r="BE186" s="483"/>
      <c r="BF186" s="483"/>
      <c r="BG186" s="486"/>
      <c r="BH186" s="486"/>
      <c r="BI186" s="486"/>
      <c r="BJ186" s="486"/>
      <c r="BK186" s="486"/>
      <c r="BL186" s="486"/>
      <c r="BM186" s="486"/>
      <c r="BN186" s="486"/>
      <c r="BO186" s="486"/>
      <c r="BP186" s="486"/>
      <c r="BQ186" s="486"/>
      <c r="BR186" s="486"/>
      <c r="BS186" s="486"/>
      <c r="BT186" s="486"/>
      <c r="BU186" s="486">
        <v>320</v>
      </c>
      <c r="BV186" s="486">
        <v>346</v>
      </c>
      <c r="BW186" s="486">
        <v>346</v>
      </c>
      <c r="BX186" s="486">
        <v>346</v>
      </c>
      <c r="BY186" s="486">
        <v>0</v>
      </c>
      <c r="BZ186" s="486">
        <v>0</v>
      </c>
      <c r="CA186" s="486">
        <v>0</v>
      </c>
      <c r="CB186" s="486">
        <v>0</v>
      </c>
      <c r="CC186" s="116">
        <v>0</v>
      </c>
      <c r="CD186" s="529"/>
      <c r="CE186" s="54"/>
      <c r="CF186" s="54"/>
      <c r="CG186" s="54"/>
      <c r="CH186" s="54"/>
      <c r="CI186" s="54">
        <v>0</v>
      </c>
      <c r="CJ186" s="54">
        <v>0</v>
      </c>
      <c r="CK186" s="54">
        <v>0</v>
      </c>
      <c r="CL186" s="54">
        <v>0</v>
      </c>
      <c r="CM186" s="54">
        <v>0</v>
      </c>
      <c r="CN186" s="54">
        <v>0</v>
      </c>
      <c r="CO186" s="54">
        <v>0</v>
      </c>
      <c r="CP186" s="54">
        <v>0</v>
      </c>
      <c r="CQ186" s="54">
        <v>0</v>
      </c>
      <c r="CR186" s="486">
        <v>0</v>
      </c>
      <c r="CS186" s="486">
        <v>0</v>
      </c>
      <c r="CT186" s="486">
        <v>0</v>
      </c>
      <c r="CU186" s="486">
        <v>0</v>
      </c>
      <c r="CV186" s="486">
        <v>0</v>
      </c>
      <c r="CW186" s="486">
        <v>0</v>
      </c>
      <c r="CX186" s="486">
        <v>0</v>
      </c>
      <c r="CY186" s="486">
        <v>0</v>
      </c>
      <c r="CZ186" s="486">
        <v>0</v>
      </c>
      <c r="DA186" s="486">
        <v>0</v>
      </c>
      <c r="DB186" s="486">
        <v>0</v>
      </c>
      <c r="DC186" s="486">
        <v>0</v>
      </c>
      <c r="DD186" s="486">
        <v>0</v>
      </c>
      <c r="DE186" s="728">
        <v>0</v>
      </c>
      <c r="DF186" s="483"/>
    </row>
    <row r="187" spans="2:116" hidden="1" x14ac:dyDescent="0.35">
      <c r="B187" s="484" t="s">
        <v>674</v>
      </c>
      <c r="C187" s="485" t="s">
        <v>675</v>
      </c>
      <c r="D187" s="486"/>
      <c r="E187" s="486"/>
      <c r="F187" s="486"/>
      <c r="G187" s="486"/>
      <c r="H187" s="486"/>
      <c r="I187" s="486"/>
      <c r="J187" s="486"/>
      <c r="K187" s="486"/>
      <c r="L187" s="486"/>
      <c r="M187" s="486"/>
      <c r="N187" s="486"/>
      <c r="O187" s="486"/>
      <c r="P187" s="486"/>
      <c r="Q187" s="486"/>
      <c r="R187" s="486"/>
      <c r="S187" s="486"/>
      <c r="T187" s="486"/>
      <c r="U187" s="486"/>
      <c r="V187" s="486"/>
      <c r="W187" s="486"/>
      <c r="X187" s="486"/>
      <c r="Y187" s="486"/>
      <c r="Z187" s="486"/>
      <c r="AA187" s="486"/>
      <c r="AB187" s="486"/>
      <c r="AC187" s="486"/>
      <c r="AD187" s="486"/>
      <c r="AE187" s="486"/>
      <c r="AF187" s="486"/>
      <c r="AG187" s="486"/>
      <c r="AH187" s="486"/>
      <c r="AI187" s="486"/>
      <c r="AJ187" s="486"/>
      <c r="AK187" s="486"/>
      <c r="AL187" s="486"/>
      <c r="AM187" s="486"/>
      <c r="AN187" s="486"/>
      <c r="AO187" s="486"/>
      <c r="AP187" s="486"/>
      <c r="AQ187" s="486"/>
      <c r="AR187" s="486"/>
      <c r="AS187" s="486"/>
      <c r="AT187" s="486"/>
      <c r="AU187" s="486"/>
      <c r="AV187" s="486"/>
      <c r="AZ187" s="486"/>
      <c r="BA187" s="486"/>
      <c r="BB187" s="486"/>
      <c r="BC187" s="486"/>
      <c r="BD187" s="486"/>
      <c r="BE187" s="483"/>
      <c r="BF187" s="483"/>
      <c r="BG187" s="486"/>
      <c r="BH187" s="486"/>
      <c r="BI187" s="486"/>
      <c r="BJ187" s="486"/>
      <c r="BK187" s="486"/>
      <c r="BL187" s="486"/>
      <c r="BM187" s="486"/>
      <c r="BN187" s="486"/>
      <c r="BO187" s="486"/>
      <c r="BP187" s="486"/>
      <c r="BQ187" s="486"/>
      <c r="BR187" s="486"/>
      <c r="BS187" s="486"/>
      <c r="BT187" s="486"/>
      <c r="BU187" s="486">
        <v>216</v>
      </c>
      <c r="BV187" s="486">
        <v>216</v>
      </c>
      <c r="BW187" s="486">
        <v>216</v>
      </c>
      <c r="BX187" s="486">
        <v>1</v>
      </c>
      <c r="BY187" s="486">
        <v>1</v>
      </c>
      <c r="BZ187" s="486">
        <v>0</v>
      </c>
      <c r="CA187" s="486">
        <v>0</v>
      </c>
      <c r="CB187" s="486">
        <v>0</v>
      </c>
      <c r="CC187" s="116">
        <v>0</v>
      </c>
      <c r="CD187" s="529"/>
      <c r="CE187" s="54"/>
      <c r="CF187" s="54"/>
      <c r="CG187" s="54"/>
      <c r="CH187" s="54"/>
      <c r="CI187" s="54">
        <v>0</v>
      </c>
      <c r="CJ187" s="54">
        <v>0</v>
      </c>
      <c r="CK187" s="54">
        <v>0</v>
      </c>
      <c r="CL187" s="54">
        <v>0</v>
      </c>
      <c r="CM187" s="54">
        <v>0</v>
      </c>
      <c r="CN187" s="54">
        <v>0</v>
      </c>
      <c r="CO187" s="54">
        <v>0</v>
      </c>
      <c r="CP187" s="54">
        <v>0</v>
      </c>
      <c r="CQ187" s="54">
        <v>0</v>
      </c>
      <c r="CR187" s="54">
        <v>0</v>
      </c>
      <c r="CS187" s="486">
        <v>0</v>
      </c>
      <c r="CT187" s="486">
        <v>0</v>
      </c>
      <c r="CU187" s="486">
        <v>0</v>
      </c>
      <c r="CV187" s="486">
        <v>0</v>
      </c>
      <c r="CW187" s="486">
        <v>0</v>
      </c>
      <c r="CX187" s="486">
        <v>0</v>
      </c>
      <c r="CY187" s="486">
        <v>0</v>
      </c>
      <c r="CZ187" s="486">
        <v>0</v>
      </c>
      <c r="DA187" s="486">
        <v>0</v>
      </c>
      <c r="DB187" s="486">
        <v>0</v>
      </c>
      <c r="DC187" s="486">
        <v>0</v>
      </c>
      <c r="DD187" s="486">
        <v>0</v>
      </c>
      <c r="DE187" s="728">
        <v>0</v>
      </c>
      <c r="DF187" s="483"/>
    </row>
    <row r="188" spans="2:116" hidden="1" x14ac:dyDescent="0.35">
      <c r="B188" s="484" t="s">
        <v>676</v>
      </c>
      <c r="C188" s="485" t="s">
        <v>677</v>
      </c>
      <c r="D188" s="486"/>
      <c r="E188" s="486"/>
      <c r="F188" s="486"/>
      <c r="G188" s="486"/>
      <c r="H188" s="486"/>
      <c r="I188" s="486"/>
      <c r="J188" s="486"/>
      <c r="K188" s="486"/>
      <c r="L188" s="486"/>
      <c r="M188" s="486"/>
      <c r="N188" s="486"/>
      <c r="O188" s="486"/>
      <c r="P188" s="486"/>
      <c r="Q188" s="486"/>
      <c r="R188" s="486"/>
      <c r="S188" s="486"/>
      <c r="T188" s="486"/>
      <c r="U188" s="486"/>
      <c r="V188" s="486"/>
      <c r="W188" s="486"/>
      <c r="X188" s="486"/>
      <c r="Y188" s="486"/>
      <c r="Z188" s="486"/>
      <c r="AA188" s="486"/>
      <c r="AB188" s="486">
        <v>1920</v>
      </c>
      <c r="AC188" s="486">
        <v>4179</v>
      </c>
      <c r="AD188" s="486">
        <v>5168</v>
      </c>
      <c r="AE188" s="486">
        <v>6018</v>
      </c>
      <c r="AF188" s="486">
        <v>7707</v>
      </c>
      <c r="AG188" s="486">
        <v>11384</v>
      </c>
      <c r="AH188" s="486">
        <v>15015</v>
      </c>
      <c r="AI188" s="486">
        <v>16488</v>
      </c>
      <c r="AJ188" s="486">
        <v>18314</v>
      </c>
      <c r="AK188" s="486">
        <v>21351</v>
      </c>
      <c r="AL188" s="486">
        <v>21366</v>
      </c>
      <c r="AM188" s="486">
        <v>21466</v>
      </c>
      <c r="AN188" s="486">
        <v>22486</v>
      </c>
      <c r="AO188" s="486">
        <v>23990</v>
      </c>
      <c r="AP188" s="486">
        <v>25719</v>
      </c>
      <c r="AQ188" s="486">
        <v>26992</v>
      </c>
      <c r="AR188" s="486">
        <v>29368</v>
      </c>
      <c r="AS188" s="486">
        <v>30835</v>
      </c>
      <c r="AT188" s="486">
        <v>32400</v>
      </c>
      <c r="AU188" s="486">
        <v>33726</v>
      </c>
      <c r="AV188" s="486">
        <v>35202</v>
      </c>
      <c r="AW188" s="486">
        <v>36457</v>
      </c>
      <c r="AX188" s="486">
        <v>37804</v>
      </c>
      <c r="AY188" s="486">
        <v>39074</v>
      </c>
      <c r="AZ188" s="486">
        <v>41390</v>
      </c>
      <c r="BA188" s="486">
        <v>43555</v>
      </c>
      <c r="BB188" s="486">
        <v>44868</v>
      </c>
      <c r="BC188" s="486">
        <v>45748</v>
      </c>
      <c r="BD188" s="486">
        <v>47091</v>
      </c>
      <c r="BE188" s="486">
        <v>48509</v>
      </c>
      <c r="BF188" s="486">
        <v>49034</v>
      </c>
      <c r="BG188" s="486">
        <v>50426</v>
      </c>
      <c r="BH188" s="486">
        <v>51401</v>
      </c>
      <c r="BI188" s="486">
        <v>52884</v>
      </c>
      <c r="BJ188" s="486">
        <v>54001</v>
      </c>
      <c r="BK188" s="486">
        <v>55852</v>
      </c>
      <c r="BL188" s="486">
        <v>57632</v>
      </c>
      <c r="BM188" s="486">
        <v>59263</v>
      </c>
      <c r="BN188" s="486">
        <v>56936</v>
      </c>
      <c r="BO188" s="486">
        <v>44072</v>
      </c>
      <c r="BP188" s="486">
        <v>40855</v>
      </c>
      <c r="BQ188" s="486">
        <v>36611</v>
      </c>
      <c r="BR188" s="486">
        <v>33397</v>
      </c>
      <c r="BS188" s="486">
        <v>33391</v>
      </c>
      <c r="BT188" s="486">
        <v>26100</v>
      </c>
      <c r="BU188" s="486">
        <v>26100</v>
      </c>
      <c r="BV188" s="486">
        <v>18893</v>
      </c>
      <c r="BW188" s="486">
        <v>17007</v>
      </c>
      <c r="BX188" s="486">
        <v>13183</v>
      </c>
      <c r="BY188" s="486">
        <v>9182</v>
      </c>
      <c r="BZ188" s="486">
        <v>7496</v>
      </c>
      <c r="CA188" s="486">
        <v>7494</v>
      </c>
      <c r="CB188" s="486">
        <v>7494</v>
      </c>
      <c r="CC188" s="54">
        <v>7494</v>
      </c>
      <c r="CD188" s="529"/>
      <c r="CE188" s="54"/>
      <c r="CF188" s="54"/>
      <c r="CG188" s="54"/>
      <c r="CH188" s="54"/>
      <c r="CI188" s="54">
        <v>0</v>
      </c>
      <c r="CJ188" s="54">
        <v>0</v>
      </c>
      <c r="CK188" s="54">
        <v>0</v>
      </c>
      <c r="CL188" s="54">
        <v>0</v>
      </c>
      <c r="CM188" s="54">
        <v>0</v>
      </c>
      <c r="CN188" s="54">
        <v>0</v>
      </c>
      <c r="CO188" s="54">
        <v>0</v>
      </c>
      <c r="CP188" s="54">
        <v>0</v>
      </c>
      <c r="CQ188" s="54">
        <v>0</v>
      </c>
      <c r="CR188" s="54">
        <v>0</v>
      </c>
      <c r="CS188" s="486">
        <v>0</v>
      </c>
      <c r="CT188" s="486">
        <v>0</v>
      </c>
      <c r="CU188" s="486">
        <v>0</v>
      </c>
      <c r="CV188" s="486">
        <v>0</v>
      </c>
      <c r="CW188" s="486">
        <v>0</v>
      </c>
      <c r="CX188" s="486">
        <v>0</v>
      </c>
      <c r="CY188" s="486">
        <v>0</v>
      </c>
      <c r="CZ188" s="486">
        <v>0</v>
      </c>
      <c r="DA188" s="486">
        <v>0</v>
      </c>
      <c r="DB188" s="486">
        <v>0</v>
      </c>
      <c r="DC188" s="486">
        <v>0</v>
      </c>
      <c r="DD188" s="486">
        <v>0</v>
      </c>
      <c r="DE188" s="728">
        <v>0</v>
      </c>
      <c r="DF188" s="483"/>
    </row>
    <row r="189" spans="2:116" hidden="1" x14ac:dyDescent="0.35">
      <c r="B189" s="484" t="s">
        <v>678</v>
      </c>
      <c r="C189" s="485" t="s">
        <v>679</v>
      </c>
      <c r="D189" s="486">
        <v>630</v>
      </c>
      <c r="E189" s="486">
        <v>18246</v>
      </c>
      <c r="F189" s="486">
        <v>39649</v>
      </c>
      <c r="G189" s="486">
        <v>40099</v>
      </c>
      <c r="H189" s="486">
        <v>40103</v>
      </c>
      <c r="I189" s="486">
        <v>36146</v>
      </c>
      <c r="J189" s="486">
        <v>24937</v>
      </c>
      <c r="K189" s="486"/>
      <c r="L189" s="486">
        <v>24937</v>
      </c>
      <c r="M189" s="486">
        <v>24937</v>
      </c>
      <c r="N189" s="486">
        <v>24937</v>
      </c>
      <c r="O189" s="486">
        <v>20769</v>
      </c>
      <c r="P189" s="486">
        <v>20769</v>
      </c>
      <c r="Q189" s="486">
        <v>20769</v>
      </c>
      <c r="R189" s="486">
        <v>20769</v>
      </c>
      <c r="S189" s="486">
        <v>20770</v>
      </c>
      <c r="T189" s="486">
        <v>20770</v>
      </c>
      <c r="U189" s="486">
        <v>20162</v>
      </c>
      <c r="V189" s="486">
        <v>20161</v>
      </c>
      <c r="W189" s="486">
        <v>20161</v>
      </c>
      <c r="X189" s="486">
        <v>20161</v>
      </c>
      <c r="Y189" s="486">
        <v>20161</v>
      </c>
      <c r="Z189" s="486">
        <v>20161</v>
      </c>
      <c r="AA189" s="486">
        <v>20161</v>
      </c>
      <c r="AB189" s="486">
        <v>20161</v>
      </c>
      <c r="AC189" s="486">
        <v>20161</v>
      </c>
      <c r="AD189" s="486">
        <v>18411</v>
      </c>
      <c r="AE189" s="486">
        <v>18411</v>
      </c>
      <c r="AF189" s="486">
        <v>18411</v>
      </c>
      <c r="AG189" s="486">
        <v>18411</v>
      </c>
      <c r="AH189" s="486">
        <v>18411</v>
      </c>
      <c r="AI189" s="486">
        <v>18411</v>
      </c>
      <c r="AJ189" s="486">
        <v>18411</v>
      </c>
      <c r="AK189" s="486">
        <v>18411</v>
      </c>
      <c r="AL189" s="486">
        <v>18411</v>
      </c>
      <c r="AM189" s="486">
        <v>18411</v>
      </c>
      <c r="AN189" s="486">
        <v>18411</v>
      </c>
      <c r="AO189" s="486">
        <v>18411</v>
      </c>
      <c r="AP189" s="486">
        <v>18411</v>
      </c>
      <c r="AQ189" s="486">
        <v>18411</v>
      </c>
      <c r="AR189" s="486">
        <v>18411</v>
      </c>
      <c r="AS189" s="486">
        <v>18411</v>
      </c>
      <c r="AT189" s="486">
        <v>18411</v>
      </c>
      <c r="AU189" s="486">
        <v>18411</v>
      </c>
      <c r="AV189" s="486">
        <v>18411</v>
      </c>
      <c r="AW189" s="486">
        <v>18411</v>
      </c>
      <c r="AX189" s="486">
        <v>18411</v>
      </c>
      <c r="AY189" s="486">
        <v>18411</v>
      </c>
      <c r="AZ189" s="486">
        <v>18411</v>
      </c>
      <c r="BA189" s="486">
        <v>18411</v>
      </c>
      <c r="BB189" s="486">
        <v>18411</v>
      </c>
      <c r="BC189" s="486">
        <v>18411</v>
      </c>
      <c r="BD189" s="486">
        <v>18395</v>
      </c>
      <c r="BE189" s="486">
        <v>18395</v>
      </c>
      <c r="BF189" s="486">
        <v>18395</v>
      </c>
      <c r="BG189" s="486">
        <v>18395</v>
      </c>
      <c r="BH189" s="486">
        <v>18395</v>
      </c>
      <c r="BI189" s="486">
        <v>18395</v>
      </c>
      <c r="BJ189" s="486">
        <v>18395</v>
      </c>
      <c r="BK189" s="486">
        <v>18395</v>
      </c>
      <c r="BL189" s="486">
        <v>18395</v>
      </c>
      <c r="BM189" s="486">
        <v>18395</v>
      </c>
      <c r="BN189" s="486">
        <v>18395</v>
      </c>
      <c r="BO189" s="486">
        <v>18395</v>
      </c>
      <c r="BP189" s="486">
        <v>18395</v>
      </c>
      <c r="BQ189" s="486">
        <v>18395</v>
      </c>
      <c r="BR189" s="486">
        <v>18395</v>
      </c>
      <c r="BS189" s="486">
        <v>18395</v>
      </c>
      <c r="BT189" s="486">
        <v>18395</v>
      </c>
      <c r="BU189" s="486"/>
      <c r="BV189" s="486">
        <v>0</v>
      </c>
      <c r="BW189" s="486">
        <v>0</v>
      </c>
      <c r="BX189" s="486">
        <v>0</v>
      </c>
      <c r="BY189" s="486">
        <v>0</v>
      </c>
      <c r="BZ189" s="486">
        <v>0</v>
      </c>
      <c r="CA189" s="486">
        <v>0</v>
      </c>
      <c r="CB189" s="486"/>
      <c r="CC189" s="54">
        <v>0</v>
      </c>
      <c r="CD189" s="529"/>
      <c r="CE189" s="54"/>
      <c r="CF189" s="54"/>
      <c r="CG189" s="54"/>
      <c r="CH189" s="54"/>
      <c r="CI189" s="54">
        <v>0</v>
      </c>
      <c r="CJ189" s="54">
        <v>0</v>
      </c>
      <c r="CK189" s="54">
        <v>0</v>
      </c>
      <c r="CL189" s="54">
        <v>0</v>
      </c>
      <c r="CM189" s="54">
        <v>0</v>
      </c>
      <c r="CN189" s="54">
        <v>0</v>
      </c>
      <c r="CO189" s="54">
        <v>0</v>
      </c>
      <c r="CP189" s="54">
        <v>0</v>
      </c>
      <c r="CQ189" s="54">
        <v>0</v>
      </c>
      <c r="CR189" s="54">
        <v>0</v>
      </c>
      <c r="CS189" s="486">
        <v>0</v>
      </c>
      <c r="CT189" s="486">
        <v>0</v>
      </c>
      <c r="CU189" s="486">
        <v>0</v>
      </c>
      <c r="CV189" s="486">
        <v>0</v>
      </c>
      <c r="CW189" s="486">
        <v>0</v>
      </c>
      <c r="CX189" s="486">
        <v>0</v>
      </c>
      <c r="CY189" s="486">
        <v>0</v>
      </c>
      <c r="CZ189" s="486">
        <v>0</v>
      </c>
      <c r="DA189" s="486">
        <v>0</v>
      </c>
      <c r="DB189" s="486">
        <v>0</v>
      </c>
      <c r="DC189" s="486">
        <v>0</v>
      </c>
      <c r="DD189" s="486">
        <v>0</v>
      </c>
      <c r="DE189" s="728">
        <v>0</v>
      </c>
      <c r="DF189" s="483"/>
    </row>
    <row r="190" spans="2:116" hidden="1" x14ac:dyDescent="0.35">
      <c r="B190" s="484" t="s">
        <v>680</v>
      </c>
      <c r="C190" s="485" t="s">
        <v>681</v>
      </c>
      <c r="D190" s="486">
        <v>0</v>
      </c>
      <c r="E190" s="486">
        <v>0</v>
      </c>
      <c r="F190" s="486">
        <v>1007</v>
      </c>
      <c r="G190" s="486">
        <v>13115</v>
      </c>
      <c r="H190" s="486">
        <v>13502</v>
      </c>
      <c r="I190" s="486">
        <v>13501</v>
      </c>
      <c r="J190" s="486">
        <v>12807</v>
      </c>
      <c r="K190" s="486"/>
      <c r="L190" s="486">
        <v>12807</v>
      </c>
      <c r="M190" s="486">
        <v>12807</v>
      </c>
      <c r="N190" s="486">
        <v>12807</v>
      </c>
      <c r="O190" s="486">
        <v>12806</v>
      </c>
      <c r="P190" s="486">
        <v>12806</v>
      </c>
      <c r="Q190" s="486">
        <v>12806</v>
      </c>
      <c r="R190" s="486">
        <v>12806</v>
      </c>
      <c r="S190" s="486">
        <v>12806</v>
      </c>
      <c r="T190" s="486">
        <v>12806</v>
      </c>
      <c r="U190" s="486">
        <v>12806</v>
      </c>
      <c r="V190" s="486">
        <v>12805</v>
      </c>
      <c r="W190" s="486">
        <v>12805</v>
      </c>
      <c r="X190" s="486">
        <v>12805</v>
      </c>
      <c r="Y190" s="486">
        <v>12805</v>
      </c>
      <c r="Z190" s="486">
        <v>12805</v>
      </c>
      <c r="AA190" s="486">
        <v>12805</v>
      </c>
      <c r="AB190" s="486">
        <v>12805</v>
      </c>
      <c r="AC190" s="486">
        <v>12805</v>
      </c>
      <c r="AD190" s="486">
        <v>12805</v>
      </c>
      <c r="AE190" s="486">
        <v>12805</v>
      </c>
      <c r="AF190" s="486">
        <v>12801</v>
      </c>
      <c r="AG190" s="486">
        <v>12801</v>
      </c>
      <c r="AH190" s="486">
        <v>10414</v>
      </c>
      <c r="AI190" s="486">
        <v>10414</v>
      </c>
      <c r="AJ190" s="486">
        <v>10414</v>
      </c>
      <c r="AK190" s="486">
        <v>10412</v>
      </c>
      <c r="AL190" s="486">
        <v>10412</v>
      </c>
      <c r="AM190" s="486">
        <v>10412</v>
      </c>
      <c r="AN190" s="486">
        <v>10412</v>
      </c>
      <c r="AO190" s="486">
        <v>10412</v>
      </c>
      <c r="AP190" s="486">
        <v>10412</v>
      </c>
      <c r="AQ190" s="486">
        <v>10412</v>
      </c>
      <c r="AR190" s="486">
        <v>10412</v>
      </c>
      <c r="AS190" s="486">
        <v>10412</v>
      </c>
      <c r="AT190" s="486">
        <v>10412</v>
      </c>
      <c r="AU190" s="486">
        <v>10412</v>
      </c>
      <c r="AV190" s="486">
        <v>10412</v>
      </c>
      <c r="AW190" s="486">
        <v>10412</v>
      </c>
      <c r="AX190" s="486">
        <v>10412</v>
      </c>
      <c r="AY190" s="486">
        <v>10412</v>
      </c>
      <c r="AZ190" s="486">
        <v>10412</v>
      </c>
      <c r="BA190" s="486">
        <v>10412</v>
      </c>
      <c r="BB190" s="486">
        <v>8260</v>
      </c>
      <c r="BC190" s="486">
        <v>8260</v>
      </c>
      <c r="BD190" s="486">
        <v>8260</v>
      </c>
      <c r="BE190" s="486">
        <v>8260</v>
      </c>
      <c r="BF190" s="486">
        <v>8260</v>
      </c>
      <c r="BG190" s="486">
        <v>8260</v>
      </c>
      <c r="BH190" s="486">
        <v>8260</v>
      </c>
      <c r="BI190" s="486">
        <v>8260</v>
      </c>
      <c r="BJ190" s="486">
        <v>8260</v>
      </c>
      <c r="BK190" s="486">
        <v>8260</v>
      </c>
      <c r="BL190" s="486">
        <v>8260</v>
      </c>
      <c r="BM190" s="486">
        <v>8260</v>
      </c>
      <c r="BN190" s="486">
        <v>8230</v>
      </c>
      <c r="BO190" s="486">
        <v>8230</v>
      </c>
      <c r="BP190" s="486">
        <v>8230</v>
      </c>
      <c r="BQ190" s="486">
        <v>8230</v>
      </c>
      <c r="BR190" s="486">
        <v>8230</v>
      </c>
      <c r="BS190" s="486">
        <v>5</v>
      </c>
      <c r="BT190" s="486"/>
      <c r="BU190" s="486"/>
      <c r="BV190" s="486">
        <v>0</v>
      </c>
      <c r="BW190" s="486">
        <v>0</v>
      </c>
      <c r="BX190" s="486">
        <v>0</v>
      </c>
      <c r="BY190" s="486">
        <v>0</v>
      </c>
      <c r="BZ190" s="486">
        <v>0</v>
      </c>
      <c r="CA190" s="486">
        <v>0</v>
      </c>
      <c r="CB190" s="486"/>
      <c r="CC190" s="54">
        <v>0</v>
      </c>
      <c r="CD190" s="529"/>
      <c r="CE190" s="54"/>
      <c r="CF190" s="54"/>
      <c r="CG190" s="54"/>
      <c r="CH190" s="54"/>
      <c r="CI190" s="54">
        <v>0</v>
      </c>
      <c r="CJ190" s="54">
        <v>0</v>
      </c>
      <c r="CK190" s="54">
        <v>0</v>
      </c>
      <c r="CL190" s="54">
        <v>0</v>
      </c>
      <c r="CM190" s="54">
        <v>0</v>
      </c>
      <c r="CN190" s="54">
        <v>0</v>
      </c>
      <c r="CO190" s="54">
        <v>0</v>
      </c>
      <c r="CP190" s="54">
        <v>0</v>
      </c>
      <c r="CQ190" s="54">
        <v>0</v>
      </c>
      <c r="CR190" s="54">
        <v>0</v>
      </c>
      <c r="CS190" s="486">
        <v>0</v>
      </c>
      <c r="CT190" s="486">
        <v>0</v>
      </c>
      <c r="CU190" s="486">
        <v>0</v>
      </c>
      <c r="CV190" s="486">
        <v>0</v>
      </c>
      <c r="CW190" s="486">
        <v>0</v>
      </c>
      <c r="CX190" s="486">
        <v>0</v>
      </c>
      <c r="CY190" s="486">
        <v>0</v>
      </c>
      <c r="CZ190" s="486">
        <v>0</v>
      </c>
      <c r="DA190" s="486">
        <v>0</v>
      </c>
      <c r="DB190" s="486">
        <v>0</v>
      </c>
      <c r="DC190" s="486">
        <v>0</v>
      </c>
      <c r="DD190" s="486">
        <v>0</v>
      </c>
      <c r="DE190" s="728">
        <v>0</v>
      </c>
      <c r="DF190" s="483"/>
    </row>
    <row r="191" spans="2:116" hidden="1" x14ac:dyDescent="0.35">
      <c r="B191" s="484" t="s">
        <v>682</v>
      </c>
      <c r="C191" s="484" t="s">
        <v>683</v>
      </c>
      <c r="D191" s="486"/>
      <c r="E191" s="486"/>
      <c r="F191" s="486"/>
      <c r="G191" s="486"/>
      <c r="H191" s="486"/>
      <c r="I191" s="486"/>
      <c r="J191" s="486"/>
      <c r="K191" s="486"/>
      <c r="L191" s="486"/>
      <c r="M191" s="486"/>
      <c r="N191" s="486"/>
      <c r="O191" s="486"/>
      <c r="P191" s="486"/>
      <c r="Q191" s="486"/>
      <c r="R191" s="486"/>
      <c r="S191" s="486"/>
      <c r="T191" s="486"/>
      <c r="U191" s="486"/>
      <c r="V191" s="486"/>
      <c r="W191" s="486"/>
      <c r="X191" s="486"/>
      <c r="Y191" s="486"/>
      <c r="Z191" s="486"/>
      <c r="AA191" s="486"/>
      <c r="AB191" s="486"/>
      <c r="AC191" s="486"/>
      <c r="AD191" s="486"/>
      <c r="AE191" s="486"/>
      <c r="AF191" s="486"/>
      <c r="AG191" s="486"/>
      <c r="AH191" s="486"/>
      <c r="AI191" s="486"/>
      <c r="AJ191" s="486"/>
      <c r="AK191" s="486"/>
      <c r="AL191" s="486"/>
      <c r="AM191" s="486"/>
      <c r="AN191" s="486"/>
      <c r="AO191" s="483"/>
      <c r="AP191" s="483"/>
      <c r="AQ191" s="483"/>
      <c r="AR191" s="483"/>
      <c r="AS191" s="486"/>
      <c r="AT191" s="486"/>
      <c r="AU191" s="486"/>
      <c r="AV191" s="486"/>
      <c r="AY191" s="486">
        <v>1373</v>
      </c>
      <c r="AZ191" s="486">
        <v>1373</v>
      </c>
      <c r="BA191" s="486">
        <v>1376</v>
      </c>
      <c r="BB191" s="486">
        <v>1377</v>
      </c>
      <c r="BC191" s="486">
        <v>1377</v>
      </c>
      <c r="BD191" s="486">
        <v>2164</v>
      </c>
      <c r="BE191" s="486">
        <v>2164</v>
      </c>
      <c r="BF191" s="486">
        <v>2164</v>
      </c>
      <c r="BG191" s="486">
        <v>2164</v>
      </c>
      <c r="BH191" s="486">
        <v>2714</v>
      </c>
      <c r="BI191" s="486">
        <v>2714</v>
      </c>
      <c r="BJ191" s="486">
        <v>2714</v>
      </c>
      <c r="BK191" s="486">
        <v>2714</v>
      </c>
      <c r="BL191" s="486">
        <v>2714</v>
      </c>
      <c r="BM191" s="486">
        <v>2714</v>
      </c>
      <c r="BN191" s="486">
        <v>1219</v>
      </c>
      <c r="BO191" s="486">
        <v>1219</v>
      </c>
      <c r="BP191" s="486">
        <v>1207</v>
      </c>
      <c r="BQ191" s="486">
        <v>1207</v>
      </c>
      <c r="BR191" s="486">
        <v>1207</v>
      </c>
      <c r="BS191" s="486">
        <v>396</v>
      </c>
      <c r="BT191" s="486"/>
      <c r="BU191" s="486"/>
      <c r="BV191" s="486">
        <v>0</v>
      </c>
      <c r="BW191" s="486">
        <v>0</v>
      </c>
      <c r="BX191" s="486">
        <v>0</v>
      </c>
      <c r="BY191" s="486">
        <v>0</v>
      </c>
      <c r="BZ191" s="486">
        <v>0</v>
      </c>
      <c r="CA191" s="486">
        <v>0</v>
      </c>
      <c r="CB191" s="486"/>
      <c r="CC191" s="54">
        <v>0</v>
      </c>
      <c r="CD191" s="529"/>
      <c r="CE191" s="54"/>
      <c r="CF191" s="54"/>
      <c r="CG191" s="54"/>
      <c r="CH191" s="54"/>
      <c r="CI191" s="54">
        <v>0</v>
      </c>
      <c r="CJ191" s="54">
        <v>0</v>
      </c>
      <c r="CK191" s="54">
        <v>0</v>
      </c>
      <c r="CL191" s="54">
        <v>0</v>
      </c>
      <c r="CM191" s="54">
        <v>0</v>
      </c>
      <c r="CN191" s="54">
        <v>0</v>
      </c>
      <c r="CO191" s="54">
        <v>0</v>
      </c>
      <c r="CP191" s="54">
        <v>0</v>
      </c>
      <c r="CQ191" s="54">
        <v>0</v>
      </c>
      <c r="CR191" s="54">
        <v>0</v>
      </c>
      <c r="CS191" s="486">
        <v>0</v>
      </c>
      <c r="CT191" s="486">
        <v>0</v>
      </c>
      <c r="CU191" s="486">
        <v>0</v>
      </c>
      <c r="CV191" s="486">
        <v>0</v>
      </c>
      <c r="CW191" s="486">
        <v>0</v>
      </c>
      <c r="CX191" s="486">
        <v>0</v>
      </c>
      <c r="CY191" s="486">
        <v>0</v>
      </c>
      <c r="CZ191" s="486">
        <v>0</v>
      </c>
      <c r="DA191" s="486">
        <v>0</v>
      </c>
      <c r="DB191" s="486">
        <v>0</v>
      </c>
      <c r="DC191" s="486">
        <v>0</v>
      </c>
      <c r="DD191" s="486">
        <v>0</v>
      </c>
      <c r="DE191" s="728">
        <v>0</v>
      </c>
      <c r="DF191" s="483"/>
    </row>
    <row r="192" spans="2:116" hidden="1" x14ac:dyDescent="0.35">
      <c r="B192" s="484" t="s">
        <v>684</v>
      </c>
      <c r="C192" s="485" t="s">
        <v>685</v>
      </c>
      <c r="D192" s="486"/>
      <c r="E192" s="486"/>
      <c r="F192" s="486"/>
      <c r="G192" s="486"/>
      <c r="H192" s="486"/>
      <c r="I192" s="486"/>
      <c r="J192" s="486"/>
      <c r="K192" s="486"/>
      <c r="L192" s="486"/>
      <c r="M192" s="486"/>
      <c r="N192" s="486"/>
      <c r="O192" s="486"/>
      <c r="P192" s="486"/>
      <c r="Q192" s="486"/>
      <c r="R192" s="486"/>
      <c r="S192" s="486"/>
      <c r="T192" s="486"/>
      <c r="U192" s="486"/>
      <c r="V192" s="486"/>
      <c r="W192" s="486"/>
      <c r="X192" s="486"/>
      <c r="Y192" s="486"/>
      <c r="Z192" s="486"/>
      <c r="AA192" s="486"/>
      <c r="AB192" s="486"/>
      <c r="AC192" s="486"/>
      <c r="AD192" s="486"/>
      <c r="AE192" s="486"/>
      <c r="AF192" s="486"/>
      <c r="AG192" s="486"/>
      <c r="AH192" s="486"/>
      <c r="AI192" s="486">
        <v>1397</v>
      </c>
      <c r="AJ192" s="486">
        <v>1382</v>
      </c>
      <c r="AK192" s="486">
        <v>1349</v>
      </c>
      <c r="AL192" s="486">
        <v>1303</v>
      </c>
      <c r="AM192" s="486">
        <v>1274</v>
      </c>
      <c r="AN192" s="486">
        <v>1382</v>
      </c>
      <c r="AO192" s="486">
        <v>1581</v>
      </c>
      <c r="AP192" s="486">
        <v>2156</v>
      </c>
      <c r="AQ192" s="486">
        <v>2535</v>
      </c>
      <c r="AR192" s="486">
        <v>2298</v>
      </c>
      <c r="AS192" s="486">
        <v>2783</v>
      </c>
      <c r="AT192" s="486">
        <v>1448</v>
      </c>
      <c r="AU192" s="486">
        <v>1731</v>
      </c>
      <c r="AV192" s="486">
        <v>2230</v>
      </c>
      <c r="AW192" s="486">
        <v>2276</v>
      </c>
      <c r="AX192" s="486">
        <v>2428</v>
      </c>
      <c r="AY192" s="486">
        <v>2439</v>
      </c>
      <c r="AZ192" s="486">
        <v>2220</v>
      </c>
      <c r="BA192" s="486">
        <v>2003</v>
      </c>
      <c r="BB192" s="486">
        <v>1036</v>
      </c>
      <c r="BC192" s="486">
        <v>1085</v>
      </c>
      <c r="BD192" s="486">
        <v>1063</v>
      </c>
      <c r="BE192" s="486">
        <v>1231</v>
      </c>
      <c r="BF192" s="486">
        <v>1349</v>
      </c>
      <c r="BG192" s="486">
        <v>1461</v>
      </c>
      <c r="BH192" s="486">
        <v>1688</v>
      </c>
      <c r="BI192" s="486">
        <v>1672</v>
      </c>
      <c r="BJ192" s="486">
        <v>1706</v>
      </c>
      <c r="BK192" s="486">
        <v>2018</v>
      </c>
      <c r="BL192" s="486">
        <v>2071</v>
      </c>
      <c r="BM192" s="486">
        <v>2128</v>
      </c>
      <c r="BN192" s="486">
        <v>2404</v>
      </c>
      <c r="BO192" s="486">
        <v>1102</v>
      </c>
      <c r="BP192" s="486">
        <v>997</v>
      </c>
      <c r="BQ192" s="486"/>
      <c r="BR192" s="486"/>
      <c r="BS192" s="486">
        <v>269</v>
      </c>
      <c r="BT192" s="486"/>
      <c r="BU192" s="486">
        <v>1</v>
      </c>
      <c r="BV192" s="486">
        <v>1</v>
      </c>
      <c r="BW192" s="486">
        <v>0</v>
      </c>
      <c r="BX192" s="486">
        <v>0</v>
      </c>
      <c r="BY192" s="486">
        <v>0</v>
      </c>
      <c r="BZ192" s="486">
        <v>0</v>
      </c>
      <c r="CA192" s="486">
        <v>0</v>
      </c>
      <c r="CB192" s="486"/>
      <c r="CC192" s="54">
        <v>0</v>
      </c>
      <c r="CD192" s="529"/>
      <c r="CE192" s="54"/>
      <c r="CF192" s="54"/>
      <c r="CG192" s="54"/>
      <c r="CH192" s="54"/>
      <c r="CI192" s="54">
        <v>0</v>
      </c>
      <c r="CJ192" s="54">
        <v>0</v>
      </c>
      <c r="CK192" s="54">
        <v>0</v>
      </c>
      <c r="CL192" s="54">
        <v>0</v>
      </c>
      <c r="CM192" s="54">
        <v>0</v>
      </c>
      <c r="CN192" s="54">
        <v>0</v>
      </c>
      <c r="CO192" s="54">
        <v>0</v>
      </c>
      <c r="CP192" s="54">
        <v>0</v>
      </c>
      <c r="CQ192" s="54">
        <v>0</v>
      </c>
      <c r="CR192" s="54">
        <v>0</v>
      </c>
      <c r="CS192" s="486">
        <v>0</v>
      </c>
      <c r="CT192" s="486">
        <v>0</v>
      </c>
      <c r="CU192" s="486">
        <v>0</v>
      </c>
      <c r="CV192" s="486">
        <v>0</v>
      </c>
      <c r="CW192" s="486">
        <v>0</v>
      </c>
      <c r="CX192" s="486">
        <v>0</v>
      </c>
      <c r="CY192" s="486">
        <v>0</v>
      </c>
      <c r="CZ192" s="486">
        <v>0</v>
      </c>
      <c r="DA192" s="486">
        <v>0</v>
      </c>
      <c r="DB192" s="486">
        <v>0</v>
      </c>
      <c r="DC192" s="486">
        <v>0</v>
      </c>
      <c r="DD192" s="486">
        <v>0</v>
      </c>
      <c r="DE192" s="728">
        <v>0</v>
      </c>
      <c r="DF192" s="483"/>
    </row>
    <row r="193" spans="2:110" hidden="1" x14ac:dyDescent="0.35">
      <c r="B193" s="484" t="s">
        <v>686</v>
      </c>
      <c r="C193" s="485" t="s">
        <v>687</v>
      </c>
      <c r="D193" s="486"/>
      <c r="E193" s="486"/>
      <c r="F193" s="486"/>
      <c r="G193" s="486"/>
      <c r="H193" s="486"/>
      <c r="I193" s="486">
        <v>21</v>
      </c>
      <c r="J193" s="486">
        <v>3669</v>
      </c>
      <c r="K193" s="486"/>
      <c r="L193" s="486">
        <v>4253</v>
      </c>
      <c r="M193" s="486">
        <v>4834</v>
      </c>
      <c r="N193" s="486">
        <v>5210</v>
      </c>
      <c r="O193" s="486">
        <v>5629</v>
      </c>
      <c r="P193" s="486">
        <v>6243</v>
      </c>
      <c r="Q193" s="486">
        <v>6449</v>
      </c>
      <c r="R193" s="486">
        <v>6970</v>
      </c>
      <c r="S193" s="486">
        <v>6970</v>
      </c>
      <c r="T193" s="486">
        <v>6971</v>
      </c>
      <c r="U193" s="486">
        <v>6961</v>
      </c>
      <c r="V193" s="486">
        <v>6961</v>
      </c>
      <c r="W193" s="486">
        <v>6961</v>
      </c>
      <c r="X193" s="486">
        <v>6961</v>
      </c>
      <c r="Y193" s="486">
        <v>6961</v>
      </c>
      <c r="Z193" s="486">
        <v>6961</v>
      </c>
      <c r="AA193" s="486">
        <v>6961</v>
      </c>
      <c r="AB193" s="486">
        <v>6961</v>
      </c>
      <c r="AC193" s="486">
        <v>6961</v>
      </c>
      <c r="AD193" s="486">
        <v>6971</v>
      </c>
      <c r="AE193" s="486">
        <v>6972</v>
      </c>
      <c r="AF193" s="486">
        <v>6974</v>
      </c>
      <c r="AG193" s="486">
        <v>6973</v>
      </c>
      <c r="AH193" s="486">
        <v>6973</v>
      </c>
      <c r="AI193" s="486">
        <v>6973</v>
      </c>
      <c r="AJ193" s="486">
        <v>6973</v>
      </c>
      <c r="AK193" s="486">
        <v>6973</v>
      </c>
      <c r="AL193" s="486">
        <v>6973</v>
      </c>
      <c r="AM193" s="486">
        <v>6973</v>
      </c>
      <c r="AN193" s="486">
        <v>6973</v>
      </c>
      <c r="AO193" s="486">
        <v>6973</v>
      </c>
      <c r="AP193" s="486">
        <v>6973</v>
      </c>
      <c r="AQ193" s="486">
        <v>6973</v>
      </c>
      <c r="AR193" s="486">
        <v>2144</v>
      </c>
      <c r="AS193" s="486">
        <v>2144</v>
      </c>
      <c r="AT193" s="486">
        <v>2144</v>
      </c>
      <c r="AU193" s="486">
        <v>2145</v>
      </c>
      <c r="AV193" s="486">
        <v>2145</v>
      </c>
      <c r="AW193" s="486">
        <v>2145</v>
      </c>
      <c r="AX193" s="486">
        <v>2146</v>
      </c>
      <c r="AY193" s="486">
        <v>2146</v>
      </c>
      <c r="AZ193" s="486">
        <v>2146</v>
      </c>
      <c r="BA193" s="486">
        <v>2146</v>
      </c>
      <c r="BB193" s="486">
        <v>2146</v>
      </c>
      <c r="BC193" s="486">
        <v>2146</v>
      </c>
      <c r="BD193" s="486">
        <v>2146</v>
      </c>
      <c r="BE193" s="486">
        <v>2146</v>
      </c>
      <c r="BF193" s="486">
        <v>2146</v>
      </c>
      <c r="BG193" s="486">
        <v>2146</v>
      </c>
      <c r="BH193" s="486">
        <v>2146</v>
      </c>
      <c r="BI193" s="486">
        <v>2146</v>
      </c>
      <c r="BJ193" s="486">
        <v>2146</v>
      </c>
      <c r="BK193" s="486">
        <v>2146</v>
      </c>
      <c r="BL193" s="486">
        <v>2146</v>
      </c>
      <c r="BM193" s="486">
        <v>2146</v>
      </c>
      <c r="BN193" s="486"/>
      <c r="BO193" s="486"/>
      <c r="BP193" s="486"/>
      <c r="BQ193" s="486"/>
      <c r="BR193" s="486"/>
      <c r="BS193" s="486"/>
      <c r="BT193" s="486"/>
      <c r="BU193" s="486"/>
      <c r="BV193" s="486">
        <v>0</v>
      </c>
      <c r="BW193" s="486">
        <v>0</v>
      </c>
      <c r="BX193" s="486">
        <v>0</v>
      </c>
      <c r="BY193" s="486">
        <v>0</v>
      </c>
      <c r="BZ193" s="486">
        <v>0</v>
      </c>
      <c r="CA193" s="486">
        <v>0</v>
      </c>
      <c r="CB193" s="486"/>
      <c r="CC193" s="54">
        <v>0</v>
      </c>
      <c r="CD193" s="529"/>
      <c r="CE193" s="54"/>
      <c r="CF193" s="54"/>
      <c r="CG193" s="54"/>
      <c r="CH193" s="54"/>
      <c r="CI193" s="54">
        <v>0</v>
      </c>
      <c r="CJ193" s="54">
        <v>0</v>
      </c>
      <c r="CK193" s="54">
        <v>0</v>
      </c>
      <c r="CL193" s="54">
        <v>0</v>
      </c>
      <c r="CM193" s="54">
        <v>0</v>
      </c>
      <c r="CN193" s="54">
        <v>0</v>
      </c>
      <c r="CO193" s="54">
        <v>0</v>
      </c>
      <c r="CP193" s="54">
        <v>0</v>
      </c>
      <c r="CQ193" s="54">
        <v>0</v>
      </c>
      <c r="CR193" s="54">
        <v>0</v>
      </c>
      <c r="CS193" s="486">
        <v>0</v>
      </c>
      <c r="CT193" s="486">
        <v>0</v>
      </c>
      <c r="CU193" s="486">
        <v>0</v>
      </c>
      <c r="CV193" s="486">
        <v>0</v>
      </c>
      <c r="CW193" s="486">
        <v>0</v>
      </c>
      <c r="CX193" s="486">
        <v>0</v>
      </c>
      <c r="CY193" s="486">
        <v>0</v>
      </c>
      <c r="CZ193" s="486">
        <v>0</v>
      </c>
      <c r="DA193" s="486">
        <v>0</v>
      </c>
      <c r="DB193" s="486">
        <v>0</v>
      </c>
      <c r="DC193" s="486">
        <v>0</v>
      </c>
      <c r="DD193" s="486">
        <v>0</v>
      </c>
      <c r="DE193" s="728">
        <v>0</v>
      </c>
      <c r="DF193" s="483"/>
    </row>
    <row r="194" spans="2:110" hidden="1" x14ac:dyDescent="0.35">
      <c r="B194" s="484" t="s">
        <v>688</v>
      </c>
      <c r="C194" s="484" t="s">
        <v>689</v>
      </c>
      <c r="D194" s="486"/>
      <c r="E194" s="486"/>
      <c r="F194" s="486"/>
      <c r="G194" s="486"/>
      <c r="H194" s="486"/>
      <c r="I194" s="486"/>
      <c r="J194" s="486"/>
      <c r="K194" s="486"/>
      <c r="L194" s="486"/>
      <c r="M194" s="486"/>
      <c r="N194" s="486"/>
      <c r="O194" s="486"/>
      <c r="P194" s="486"/>
      <c r="Q194" s="486"/>
      <c r="R194" s="486"/>
      <c r="S194" s="486"/>
      <c r="T194" s="486"/>
      <c r="U194" s="486"/>
      <c r="V194" s="486"/>
      <c r="W194" s="486"/>
      <c r="X194" s="486"/>
      <c r="Y194" s="486"/>
      <c r="Z194" s="486"/>
      <c r="AA194" s="486"/>
      <c r="AB194" s="486"/>
      <c r="AC194" s="486"/>
      <c r="AD194" s="486"/>
      <c r="AE194" s="486"/>
      <c r="AF194" s="486"/>
      <c r="AG194" s="486"/>
      <c r="AH194" s="486"/>
      <c r="AI194" s="486"/>
      <c r="AJ194" s="486"/>
      <c r="AK194" s="486"/>
      <c r="AL194" s="486"/>
      <c r="AM194" s="486"/>
      <c r="AN194" s="486"/>
      <c r="AO194" s="483"/>
      <c r="AP194" s="483"/>
      <c r="AQ194" s="483"/>
      <c r="AR194" s="483"/>
      <c r="AS194" s="486"/>
      <c r="AT194" s="486"/>
      <c r="AU194" s="486"/>
      <c r="AV194" s="486"/>
      <c r="AZ194" s="486">
        <v>1105</v>
      </c>
      <c r="BA194" s="486">
        <v>1168</v>
      </c>
      <c r="BB194" s="486">
        <v>1226</v>
      </c>
      <c r="BC194" s="486">
        <v>1264</v>
      </c>
      <c r="BD194" s="486">
        <v>1310</v>
      </c>
      <c r="BE194" s="486">
        <v>1330</v>
      </c>
      <c r="BF194" s="486">
        <v>1361</v>
      </c>
      <c r="BG194" s="486">
        <v>1386</v>
      </c>
      <c r="BH194" s="486">
        <v>1409</v>
      </c>
      <c r="BI194" s="486">
        <v>1356</v>
      </c>
      <c r="BJ194" s="486">
        <v>1357</v>
      </c>
      <c r="BK194" s="486">
        <v>1351</v>
      </c>
      <c r="BL194" s="486">
        <v>1352</v>
      </c>
      <c r="BM194" s="486">
        <v>1352</v>
      </c>
      <c r="BN194" s="486">
        <v>90</v>
      </c>
      <c r="BO194" s="486"/>
      <c r="BP194" s="486"/>
      <c r="BQ194" s="486"/>
      <c r="BR194" s="486"/>
      <c r="BS194" s="486"/>
      <c r="BT194" s="486"/>
      <c r="BU194" s="486"/>
      <c r="BV194" s="486">
        <v>0</v>
      </c>
      <c r="BW194" s="486">
        <v>0</v>
      </c>
      <c r="BX194" s="486">
        <v>0</v>
      </c>
      <c r="BY194" s="486">
        <v>0</v>
      </c>
      <c r="BZ194" s="486">
        <v>0</v>
      </c>
      <c r="CA194" s="486">
        <v>0</v>
      </c>
      <c r="CB194" s="486"/>
      <c r="CC194" s="54">
        <v>0</v>
      </c>
      <c r="CD194" s="529"/>
      <c r="CE194" s="54"/>
      <c r="CF194" s="54"/>
      <c r="CG194" s="54"/>
      <c r="CH194" s="54"/>
      <c r="CI194" s="54">
        <v>0</v>
      </c>
      <c r="CJ194" s="54">
        <v>0</v>
      </c>
      <c r="CK194" s="54">
        <v>0</v>
      </c>
      <c r="CL194" s="54">
        <v>0</v>
      </c>
      <c r="CM194" s="54">
        <v>0</v>
      </c>
      <c r="CN194" s="54">
        <v>0</v>
      </c>
      <c r="CO194" s="54">
        <v>0</v>
      </c>
      <c r="CP194" s="54">
        <v>0</v>
      </c>
      <c r="CQ194" s="54">
        <v>0</v>
      </c>
      <c r="CR194" s="54">
        <v>0</v>
      </c>
      <c r="CS194" s="486">
        <v>0</v>
      </c>
      <c r="CT194" s="486">
        <v>0</v>
      </c>
      <c r="CU194" s="486">
        <v>0</v>
      </c>
      <c r="CV194" s="486">
        <v>0</v>
      </c>
      <c r="CW194" s="486">
        <v>0</v>
      </c>
      <c r="CX194" s="486">
        <v>0</v>
      </c>
      <c r="CY194" s="486">
        <v>0</v>
      </c>
      <c r="CZ194" s="486">
        <v>0</v>
      </c>
      <c r="DA194" s="486">
        <v>0</v>
      </c>
      <c r="DB194" s="486">
        <v>0</v>
      </c>
      <c r="DC194" s="486">
        <v>0</v>
      </c>
      <c r="DD194" s="486">
        <v>0</v>
      </c>
      <c r="DE194" s="728">
        <v>0</v>
      </c>
      <c r="DF194" s="483"/>
    </row>
    <row r="195" spans="2:110" hidden="1" x14ac:dyDescent="0.35">
      <c r="B195" s="484" t="s">
        <v>690</v>
      </c>
      <c r="C195" s="485" t="s">
        <v>691</v>
      </c>
      <c r="D195" s="486"/>
      <c r="E195" s="486"/>
      <c r="F195" s="486"/>
      <c r="G195" s="486"/>
      <c r="H195" s="486"/>
      <c r="I195" s="486">
        <v>461</v>
      </c>
      <c r="J195" s="486">
        <v>1220</v>
      </c>
      <c r="K195" s="486"/>
      <c r="L195" s="486">
        <v>1290</v>
      </c>
      <c r="M195" s="486">
        <v>1320</v>
      </c>
      <c r="N195" s="486">
        <v>1485</v>
      </c>
      <c r="O195" s="486">
        <v>1564</v>
      </c>
      <c r="P195" s="486">
        <v>1407</v>
      </c>
      <c r="Q195" s="486">
        <v>1346</v>
      </c>
      <c r="R195" s="486">
        <v>1365</v>
      </c>
      <c r="S195" s="486">
        <v>1435</v>
      </c>
      <c r="T195" s="486">
        <v>1441</v>
      </c>
      <c r="U195" s="486">
        <v>1441</v>
      </c>
      <c r="V195" s="486">
        <v>1444</v>
      </c>
      <c r="W195" s="486">
        <v>1450</v>
      </c>
      <c r="X195" s="486">
        <v>1451</v>
      </c>
      <c r="Y195" s="486">
        <v>1475</v>
      </c>
      <c r="Z195" s="486">
        <v>1559</v>
      </c>
      <c r="AA195" s="486">
        <v>1521</v>
      </c>
      <c r="AB195" s="486">
        <v>1521</v>
      </c>
      <c r="AC195" s="486">
        <v>1524</v>
      </c>
      <c r="AD195" s="486">
        <v>1524</v>
      </c>
      <c r="AE195" s="486">
        <v>1533</v>
      </c>
      <c r="AF195" s="486">
        <v>1673</v>
      </c>
      <c r="AG195" s="486">
        <v>1697</v>
      </c>
      <c r="AH195" s="486">
        <v>1708</v>
      </c>
      <c r="AI195" s="486">
        <v>1683</v>
      </c>
      <c r="AJ195" s="486">
        <v>1659</v>
      </c>
      <c r="AK195" s="486">
        <v>1659</v>
      </c>
      <c r="AL195" s="486">
        <v>1659</v>
      </c>
      <c r="AM195" s="486">
        <v>1657</v>
      </c>
      <c r="AN195" s="486">
        <v>1657</v>
      </c>
      <c r="AO195" s="486">
        <v>1622</v>
      </c>
      <c r="AP195" s="486">
        <v>1622</v>
      </c>
      <c r="AQ195" s="486">
        <v>1639</v>
      </c>
      <c r="AR195" s="486">
        <v>1638</v>
      </c>
      <c r="AS195" s="486">
        <v>1632</v>
      </c>
      <c r="AT195" s="486">
        <v>1632</v>
      </c>
      <c r="AU195" s="486">
        <v>1629</v>
      </c>
      <c r="AV195" s="486">
        <v>1628</v>
      </c>
      <c r="AW195" s="486">
        <v>1628</v>
      </c>
      <c r="AX195" s="486">
        <v>1628</v>
      </c>
      <c r="AY195" s="486">
        <v>1628</v>
      </c>
      <c r="AZ195" s="486">
        <v>1601</v>
      </c>
      <c r="BA195" s="486">
        <v>1508</v>
      </c>
      <c r="BB195" s="486">
        <v>1508</v>
      </c>
      <c r="BC195" s="486"/>
      <c r="BD195" s="486"/>
      <c r="BE195" s="483"/>
      <c r="BF195" s="483"/>
      <c r="BG195" s="483"/>
      <c r="BH195" s="483"/>
      <c r="BM195" s="486"/>
      <c r="BN195" s="486"/>
      <c r="BO195" s="486"/>
      <c r="BP195" s="486"/>
      <c r="BQ195" s="486"/>
      <c r="BR195" s="486"/>
      <c r="BS195" s="486">
        <v>8</v>
      </c>
      <c r="BT195" s="486"/>
      <c r="BU195" s="486"/>
      <c r="BV195" s="486">
        <v>0</v>
      </c>
      <c r="BW195" s="486">
        <v>0</v>
      </c>
      <c r="BX195" s="486">
        <v>0</v>
      </c>
      <c r="BY195" s="486">
        <v>0</v>
      </c>
      <c r="BZ195" s="486">
        <v>0</v>
      </c>
      <c r="CA195" s="486">
        <v>0</v>
      </c>
      <c r="CB195" s="486"/>
      <c r="CC195" s="54">
        <v>0</v>
      </c>
      <c r="CD195" s="529"/>
      <c r="CE195" s="54"/>
      <c r="CF195" s="54"/>
      <c r="CG195" s="54"/>
      <c r="CH195" s="54"/>
      <c r="CI195" s="54">
        <v>0</v>
      </c>
      <c r="CJ195" s="54">
        <v>0</v>
      </c>
      <c r="CK195" s="54">
        <v>0</v>
      </c>
      <c r="CL195" s="54">
        <v>0</v>
      </c>
      <c r="CM195" s="54">
        <v>0</v>
      </c>
      <c r="CN195" s="54">
        <v>0</v>
      </c>
      <c r="CO195" s="54">
        <v>0</v>
      </c>
      <c r="CP195" s="54">
        <v>0</v>
      </c>
      <c r="CQ195" s="54">
        <v>0</v>
      </c>
      <c r="CR195" s="54">
        <v>0</v>
      </c>
      <c r="CS195" s="486">
        <v>0</v>
      </c>
      <c r="CT195" s="486">
        <v>0</v>
      </c>
      <c r="CU195" s="486">
        <v>0</v>
      </c>
      <c r="CV195" s="486">
        <v>0</v>
      </c>
      <c r="CW195" s="486">
        <v>0</v>
      </c>
      <c r="CX195" s="486">
        <v>0</v>
      </c>
      <c r="CY195" s="486">
        <v>0</v>
      </c>
      <c r="CZ195" s="486">
        <v>0</v>
      </c>
      <c r="DA195" s="486">
        <v>0</v>
      </c>
      <c r="DB195" s="486">
        <v>0</v>
      </c>
      <c r="DC195" s="486">
        <v>0</v>
      </c>
      <c r="DD195" s="486">
        <v>0</v>
      </c>
      <c r="DE195" s="728">
        <v>0</v>
      </c>
      <c r="DF195" s="483"/>
    </row>
    <row r="196" spans="2:110" hidden="1" x14ac:dyDescent="0.35">
      <c r="B196" s="484" t="s">
        <v>692</v>
      </c>
      <c r="C196" s="485" t="s">
        <v>693</v>
      </c>
      <c r="D196" s="486"/>
      <c r="E196" s="486"/>
      <c r="F196" s="486"/>
      <c r="G196" s="486"/>
      <c r="H196" s="486"/>
      <c r="I196" s="486"/>
      <c r="J196" s="486"/>
      <c r="K196" s="486"/>
      <c r="L196" s="486"/>
      <c r="M196" s="486"/>
      <c r="N196" s="486"/>
      <c r="O196" s="486"/>
      <c r="P196" s="486"/>
      <c r="Q196" s="486"/>
      <c r="R196" s="486"/>
      <c r="S196" s="486"/>
      <c r="T196" s="486"/>
      <c r="U196" s="486"/>
      <c r="V196" s="486"/>
      <c r="W196" s="486"/>
      <c r="X196" s="486"/>
      <c r="Y196" s="486"/>
      <c r="Z196" s="486"/>
      <c r="AA196" s="486"/>
      <c r="AB196" s="486"/>
      <c r="AC196" s="486"/>
      <c r="AD196" s="486"/>
      <c r="AE196" s="486"/>
      <c r="AF196" s="486"/>
      <c r="AG196" s="486"/>
      <c r="AH196" s="486"/>
      <c r="AI196" s="486">
        <v>1650</v>
      </c>
      <c r="AJ196" s="486">
        <v>1650</v>
      </c>
      <c r="AK196" s="486">
        <v>1850</v>
      </c>
      <c r="AL196" s="486">
        <v>1850</v>
      </c>
      <c r="AM196" s="486">
        <v>1749</v>
      </c>
      <c r="AN196" s="486">
        <v>1750</v>
      </c>
      <c r="AO196" s="486">
        <v>1952</v>
      </c>
      <c r="AP196" s="486">
        <v>2153</v>
      </c>
      <c r="AQ196" s="486">
        <v>2450</v>
      </c>
      <c r="AR196" s="486">
        <v>2450</v>
      </c>
      <c r="AS196" s="486">
        <v>2450</v>
      </c>
      <c r="AT196" s="486">
        <v>2432</v>
      </c>
      <c r="AU196" s="486">
        <v>2571</v>
      </c>
      <c r="AV196" s="486">
        <v>2571</v>
      </c>
      <c r="AW196" s="486">
        <v>2771</v>
      </c>
      <c r="AX196" s="486">
        <v>2971</v>
      </c>
      <c r="AY196" s="486"/>
      <c r="AZ196" s="486"/>
      <c r="BA196" s="486"/>
      <c r="BB196" s="486"/>
      <c r="BC196" s="486"/>
      <c r="BD196" s="486"/>
      <c r="BE196" s="483"/>
      <c r="BF196" s="483"/>
      <c r="BG196" s="483"/>
      <c r="BH196" s="483"/>
      <c r="BM196" s="486"/>
      <c r="BN196" s="486"/>
      <c r="BO196" s="486"/>
      <c r="BP196" s="486"/>
      <c r="BQ196" s="486"/>
      <c r="BR196" s="486"/>
      <c r="BS196" s="486"/>
      <c r="BT196" s="486"/>
      <c r="BU196" s="486"/>
      <c r="BV196" s="486">
        <v>0</v>
      </c>
      <c r="BW196" s="486">
        <v>0</v>
      </c>
      <c r="BX196" s="486">
        <v>0</v>
      </c>
      <c r="BY196" s="486">
        <v>0</v>
      </c>
      <c r="BZ196" s="486">
        <v>0</v>
      </c>
      <c r="CA196" s="486">
        <v>0</v>
      </c>
      <c r="CB196" s="486"/>
      <c r="CC196" s="54">
        <v>0</v>
      </c>
      <c r="CD196" s="529"/>
      <c r="CE196" s="54"/>
      <c r="CF196" s="54"/>
      <c r="CG196" s="54"/>
      <c r="CH196" s="54"/>
      <c r="CI196" s="54">
        <v>0</v>
      </c>
      <c r="CJ196" s="54">
        <v>0</v>
      </c>
      <c r="CK196" s="54">
        <v>0</v>
      </c>
      <c r="CL196" s="54">
        <v>0</v>
      </c>
      <c r="CM196" s="54">
        <v>0</v>
      </c>
      <c r="CN196" s="54">
        <v>0</v>
      </c>
      <c r="CO196" s="54">
        <v>0</v>
      </c>
      <c r="CP196" s="54">
        <v>0</v>
      </c>
      <c r="CQ196" s="54">
        <v>0</v>
      </c>
      <c r="CR196" s="54">
        <v>0</v>
      </c>
      <c r="CS196" s="486">
        <v>0</v>
      </c>
      <c r="CT196" s="486">
        <v>0</v>
      </c>
      <c r="CU196" s="486">
        <v>0</v>
      </c>
      <c r="CV196" s="486">
        <v>0</v>
      </c>
      <c r="CW196" s="486">
        <v>0</v>
      </c>
      <c r="CX196" s="486">
        <v>0</v>
      </c>
      <c r="CY196" s="486">
        <v>0</v>
      </c>
      <c r="CZ196" s="486">
        <v>0</v>
      </c>
      <c r="DA196" s="486">
        <v>0</v>
      </c>
      <c r="DB196" s="486">
        <v>0</v>
      </c>
      <c r="DC196" s="486">
        <v>0</v>
      </c>
      <c r="DD196" s="486">
        <v>0</v>
      </c>
      <c r="DE196" s="728">
        <v>0</v>
      </c>
      <c r="DF196" s="483"/>
    </row>
    <row r="197" spans="2:110" hidden="1" x14ac:dyDescent="0.35">
      <c r="B197" s="484" t="s">
        <v>694</v>
      </c>
      <c r="C197" s="485" t="s">
        <v>695</v>
      </c>
      <c r="D197" s="486"/>
      <c r="E197" s="486"/>
      <c r="F197" s="486"/>
      <c r="G197" s="486"/>
      <c r="H197" s="486"/>
      <c r="I197" s="486"/>
      <c r="J197" s="486"/>
      <c r="K197" s="486"/>
      <c r="L197" s="486"/>
      <c r="M197" s="486"/>
      <c r="N197" s="486"/>
      <c r="O197" s="486"/>
      <c r="P197" s="486"/>
      <c r="Q197" s="486"/>
      <c r="R197" s="486"/>
      <c r="S197" s="486"/>
      <c r="T197" s="486"/>
      <c r="U197" s="486"/>
      <c r="V197" s="486"/>
      <c r="W197" s="486"/>
      <c r="X197" s="486"/>
      <c r="Y197" s="486"/>
      <c r="Z197" s="486">
        <v>1022</v>
      </c>
      <c r="AA197" s="486">
        <v>1022</v>
      </c>
      <c r="AB197" s="486">
        <v>1022</v>
      </c>
      <c r="AC197" s="486">
        <v>1023</v>
      </c>
      <c r="AD197" s="486">
        <v>1023</v>
      </c>
      <c r="AE197" s="486">
        <v>1023</v>
      </c>
      <c r="AF197" s="486">
        <v>2316</v>
      </c>
      <c r="AG197" s="486">
        <v>2316</v>
      </c>
      <c r="AH197" s="486">
        <v>2316</v>
      </c>
      <c r="AI197" s="486">
        <v>2317</v>
      </c>
      <c r="AJ197" s="486">
        <v>2317</v>
      </c>
      <c r="AK197" s="486">
        <v>2522</v>
      </c>
      <c r="AL197" s="486">
        <v>2522</v>
      </c>
      <c r="AM197" s="486">
        <v>2522</v>
      </c>
      <c r="AN197" s="486">
        <v>2522</v>
      </c>
      <c r="AO197" s="486">
        <v>2522</v>
      </c>
      <c r="AP197" s="486">
        <v>2522</v>
      </c>
      <c r="AQ197" s="486">
        <v>2515</v>
      </c>
      <c r="AR197" s="486">
        <v>2515</v>
      </c>
      <c r="AS197" s="486">
        <v>2515</v>
      </c>
      <c r="AT197" s="486">
        <v>2515</v>
      </c>
      <c r="AU197" s="486">
        <v>2515</v>
      </c>
      <c r="AV197" s="486">
        <v>2515</v>
      </c>
      <c r="AW197" s="487"/>
      <c r="AX197" s="487"/>
      <c r="AY197" s="487"/>
      <c r="AZ197" s="487"/>
      <c r="BA197" s="487"/>
      <c r="BB197" s="487"/>
      <c r="BC197" s="487"/>
      <c r="BD197" s="487"/>
      <c r="BE197" s="483"/>
      <c r="BF197" s="483"/>
      <c r="BG197" s="483"/>
      <c r="BH197" s="483"/>
      <c r="BM197" s="486"/>
      <c r="BN197" s="486"/>
      <c r="BO197" s="486"/>
      <c r="BP197" s="486"/>
      <c r="BQ197" s="486"/>
      <c r="BR197" s="486"/>
      <c r="BS197" s="486"/>
      <c r="BT197" s="486"/>
      <c r="BU197" s="486"/>
      <c r="BV197" s="486">
        <v>0</v>
      </c>
      <c r="BW197" s="486">
        <v>0</v>
      </c>
      <c r="BX197" s="486">
        <v>0</v>
      </c>
      <c r="BY197" s="486">
        <v>0</v>
      </c>
      <c r="BZ197" s="486">
        <v>0</v>
      </c>
      <c r="CA197" s="486">
        <v>0</v>
      </c>
      <c r="CB197" s="486"/>
      <c r="CC197" s="54">
        <v>0</v>
      </c>
      <c r="CD197" s="529"/>
      <c r="CE197" s="54"/>
      <c r="CF197" s="54"/>
      <c r="CG197" s="54"/>
      <c r="CH197" s="54"/>
      <c r="CI197" s="54">
        <v>0</v>
      </c>
      <c r="CJ197" s="54">
        <v>0</v>
      </c>
      <c r="CK197" s="54">
        <v>0</v>
      </c>
      <c r="CL197" s="54">
        <v>0</v>
      </c>
      <c r="CM197" s="54">
        <v>0</v>
      </c>
      <c r="CN197" s="54">
        <v>0</v>
      </c>
      <c r="CO197" s="54">
        <v>0</v>
      </c>
      <c r="CP197" s="54">
        <v>0</v>
      </c>
      <c r="CQ197" s="54">
        <v>0</v>
      </c>
      <c r="CR197" s="54">
        <v>0</v>
      </c>
      <c r="CS197" s="486">
        <v>0</v>
      </c>
      <c r="CT197" s="486">
        <v>0</v>
      </c>
      <c r="CU197" s="486">
        <v>0</v>
      </c>
      <c r="CV197" s="486">
        <v>0</v>
      </c>
      <c r="CW197" s="486">
        <v>0</v>
      </c>
      <c r="CX197" s="486">
        <v>0</v>
      </c>
      <c r="CY197" s="486">
        <v>0</v>
      </c>
      <c r="CZ197" s="486">
        <v>0</v>
      </c>
      <c r="DA197" s="486">
        <v>0</v>
      </c>
      <c r="DB197" s="486">
        <v>0</v>
      </c>
      <c r="DC197" s="486">
        <v>0</v>
      </c>
      <c r="DD197" s="486">
        <v>0</v>
      </c>
      <c r="DE197" s="728">
        <v>0</v>
      </c>
      <c r="DF197" s="483"/>
    </row>
    <row r="198" spans="2:110" hidden="1" x14ac:dyDescent="0.35">
      <c r="B198" s="484" t="s">
        <v>696</v>
      </c>
      <c r="C198" s="485" t="s">
        <v>697</v>
      </c>
      <c r="D198" s="486"/>
      <c r="E198" s="486"/>
      <c r="F198" s="486"/>
      <c r="G198" s="486"/>
      <c r="H198" s="486"/>
      <c r="I198" s="486"/>
      <c r="J198" s="486"/>
      <c r="K198" s="486"/>
      <c r="L198" s="486"/>
      <c r="M198" s="486"/>
      <c r="N198" s="486"/>
      <c r="O198" s="486"/>
      <c r="P198" s="486"/>
      <c r="Q198" s="486"/>
      <c r="R198" s="486"/>
      <c r="S198" s="486"/>
      <c r="T198" s="486"/>
      <c r="U198" s="486"/>
      <c r="V198" s="486"/>
      <c r="W198" s="486"/>
      <c r="X198" s="486"/>
      <c r="Y198" s="486"/>
      <c r="Z198" s="486"/>
      <c r="AA198" s="486"/>
      <c r="AB198" s="486"/>
      <c r="AC198" s="486"/>
      <c r="AD198" s="486"/>
      <c r="AE198" s="486"/>
      <c r="AF198" s="486"/>
      <c r="AG198" s="486"/>
      <c r="AH198" s="486"/>
      <c r="AI198" s="486"/>
      <c r="AJ198" s="486"/>
      <c r="AK198" s="486"/>
      <c r="AL198" s="486"/>
      <c r="AM198" s="486">
        <v>1001</v>
      </c>
      <c r="AN198" s="486">
        <v>1016</v>
      </c>
      <c r="AO198" s="486">
        <v>1016</v>
      </c>
      <c r="AP198" s="486">
        <v>1016</v>
      </c>
      <c r="AQ198" s="486">
        <v>1016</v>
      </c>
      <c r="AR198" s="486">
        <v>1008</v>
      </c>
      <c r="AS198" s="486"/>
      <c r="AT198" s="483"/>
      <c r="AU198" s="483"/>
      <c r="AV198" s="486">
        <v>1115</v>
      </c>
      <c r="AW198" s="487"/>
      <c r="AX198" s="487"/>
      <c r="AY198" s="487"/>
      <c r="AZ198" s="487"/>
      <c r="BA198" s="487"/>
      <c r="BB198" s="487"/>
      <c r="BC198" s="487"/>
      <c r="BD198" s="487"/>
      <c r="BE198" s="483"/>
      <c r="BF198" s="483"/>
      <c r="BG198" s="483"/>
      <c r="BH198" s="483"/>
      <c r="BM198" s="486"/>
      <c r="BN198" s="486">
        <v>369</v>
      </c>
      <c r="BO198" s="486"/>
      <c r="BP198" s="486"/>
      <c r="BQ198" s="486"/>
      <c r="BR198" s="486"/>
      <c r="BS198" s="486"/>
      <c r="BT198" s="486"/>
      <c r="BU198" s="486"/>
      <c r="BV198" s="486">
        <v>0</v>
      </c>
      <c r="BW198" s="486">
        <v>0</v>
      </c>
      <c r="BX198" s="486">
        <v>0</v>
      </c>
      <c r="BY198" s="486">
        <v>0</v>
      </c>
      <c r="BZ198" s="486">
        <v>0</v>
      </c>
      <c r="CA198" s="486">
        <v>0</v>
      </c>
      <c r="CB198" s="486"/>
      <c r="CC198" s="54">
        <v>0</v>
      </c>
      <c r="CD198" s="529"/>
      <c r="CE198" s="54"/>
      <c r="CF198" s="54"/>
      <c r="CG198" s="54"/>
      <c r="CH198" s="54"/>
      <c r="CI198" s="54">
        <v>0</v>
      </c>
      <c r="CJ198" s="54">
        <v>0</v>
      </c>
      <c r="CK198" s="54">
        <v>0</v>
      </c>
      <c r="CL198" s="54">
        <v>0</v>
      </c>
      <c r="CM198" s="54">
        <v>0</v>
      </c>
      <c r="CN198" s="54">
        <v>0</v>
      </c>
      <c r="CO198" s="54">
        <v>0</v>
      </c>
      <c r="CP198" s="54">
        <v>0</v>
      </c>
      <c r="CQ198" s="54">
        <v>0</v>
      </c>
      <c r="CR198" s="54">
        <v>0</v>
      </c>
      <c r="CS198" s="486">
        <v>0</v>
      </c>
      <c r="CT198" s="486">
        <v>0</v>
      </c>
      <c r="CU198" s="486">
        <v>0</v>
      </c>
      <c r="CV198" s="486">
        <v>0</v>
      </c>
      <c r="CW198" s="486">
        <v>0</v>
      </c>
      <c r="CX198" s="486">
        <v>0</v>
      </c>
      <c r="CY198" s="486">
        <v>0</v>
      </c>
      <c r="CZ198" s="486">
        <v>0</v>
      </c>
      <c r="DA198" s="486">
        <v>0</v>
      </c>
      <c r="DB198" s="486">
        <v>0</v>
      </c>
      <c r="DC198" s="486">
        <v>0</v>
      </c>
      <c r="DD198" s="486">
        <v>0</v>
      </c>
      <c r="DE198" s="728">
        <v>0</v>
      </c>
      <c r="DF198" s="483"/>
    </row>
    <row r="199" spans="2:110" hidden="1" x14ac:dyDescent="0.35">
      <c r="B199" s="484" t="s">
        <v>698</v>
      </c>
      <c r="C199" s="485" t="s">
        <v>699</v>
      </c>
      <c r="D199" s="486"/>
      <c r="E199" s="486"/>
      <c r="F199" s="486"/>
      <c r="G199" s="486"/>
      <c r="H199" s="486"/>
      <c r="I199" s="486"/>
      <c r="J199" s="486"/>
      <c r="K199" s="486"/>
      <c r="L199" s="486"/>
      <c r="M199" s="486"/>
      <c r="N199" s="486"/>
      <c r="O199" s="486"/>
      <c r="P199" s="486"/>
      <c r="Q199" s="486"/>
      <c r="R199" s="486"/>
      <c r="S199" s="486"/>
      <c r="T199" s="486"/>
      <c r="U199" s="486"/>
      <c r="V199" s="486"/>
      <c r="W199" s="486"/>
      <c r="X199" s="486"/>
      <c r="Y199" s="486"/>
      <c r="Z199" s="486"/>
      <c r="AA199" s="486"/>
      <c r="AB199" s="486">
        <v>1196</v>
      </c>
      <c r="AC199" s="486">
        <v>1396</v>
      </c>
      <c r="AD199" s="486">
        <v>1596</v>
      </c>
      <c r="AE199" s="486">
        <v>2246</v>
      </c>
      <c r="AF199" s="486">
        <v>2246</v>
      </c>
      <c r="AG199" s="486">
        <v>2246</v>
      </c>
      <c r="AH199" s="486">
        <v>2246</v>
      </c>
      <c r="AI199" s="486">
        <v>2246</v>
      </c>
      <c r="AJ199" s="486">
        <v>2246</v>
      </c>
      <c r="AK199" s="486">
        <v>2246</v>
      </c>
      <c r="AL199" s="486">
        <v>2246</v>
      </c>
      <c r="AM199" s="486">
        <v>2246</v>
      </c>
      <c r="AN199" s="486">
        <v>2246</v>
      </c>
      <c r="AO199" s="486">
        <v>2246</v>
      </c>
      <c r="AP199" s="486">
        <v>2202</v>
      </c>
      <c r="AQ199" s="486">
        <v>2303</v>
      </c>
      <c r="AR199" s="486">
        <v>2403</v>
      </c>
      <c r="AS199" s="486">
        <v>2403</v>
      </c>
      <c r="AT199" s="486">
        <v>2403</v>
      </c>
      <c r="AU199" s="486">
        <v>2491</v>
      </c>
      <c r="AV199" s="486">
        <v>2691</v>
      </c>
      <c r="AW199" s="486">
        <v>2892</v>
      </c>
      <c r="AX199" s="486">
        <v>2892</v>
      </c>
      <c r="AY199" s="486"/>
      <c r="AZ199" s="486"/>
      <c r="BA199" s="486"/>
      <c r="BB199" s="486"/>
      <c r="BC199" s="486"/>
      <c r="BD199" s="486"/>
      <c r="BE199" s="483"/>
      <c r="BF199" s="483"/>
      <c r="BG199" s="483"/>
      <c r="BH199" s="483"/>
      <c r="BM199" s="486"/>
      <c r="BN199" s="486"/>
      <c r="BO199" s="486"/>
      <c r="BP199" s="486"/>
      <c r="BQ199" s="486"/>
      <c r="BR199" s="486"/>
      <c r="BS199" s="486"/>
      <c r="BT199" s="486"/>
      <c r="BU199" s="486"/>
      <c r="BV199" s="486">
        <v>0</v>
      </c>
      <c r="BW199" s="486">
        <v>0</v>
      </c>
      <c r="BX199" s="486">
        <v>0</v>
      </c>
      <c r="BY199" s="486">
        <v>0</v>
      </c>
      <c r="BZ199" s="486">
        <v>0</v>
      </c>
      <c r="CA199" s="486">
        <v>0</v>
      </c>
      <c r="CB199" s="486"/>
      <c r="CC199" s="54">
        <v>0</v>
      </c>
      <c r="CD199" s="529"/>
      <c r="CE199" s="54"/>
      <c r="CF199" s="54"/>
      <c r="CG199" s="54"/>
      <c r="CH199" s="54"/>
      <c r="CI199" s="54">
        <v>0</v>
      </c>
      <c r="CJ199" s="54">
        <v>0</v>
      </c>
      <c r="CK199" s="54">
        <v>0</v>
      </c>
      <c r="CL199" s="54">
        <v>0</v>
      </c>
      <c r="CM199" s="54">
        <v>0</v>
      </c>
      <c r="CN199" s="54">
        <v>0</v>
      </c>
      <c r="CO199" s="54">
        <v>0</v>
      </c>
      <c r="CP199" s="54">
        <v>0</v>
      </c>
      <c r="CQ199" s="54">
        <v>0</v>
      </c>
      <c r="CR199" s="54">
        <v>0</v>
      </c>
      <c r="CS199" s="486">
        <v>0</v>
      </c>
      <c r="CT199" s="486">
        <v>0</v>
      </c>
      <c r="CU199" s="486">
        <v>0</v>
      </c>
      <c r="CV199" s="486">
        <v>0</v>
      </c>
      <c r="CW199" s="486">
        <v>0</v>
      </c>
      <c r="CX199" s="486">
        <v>0</v>
      </c>
      <c r="CY199" s="486">
        <v>0</v>
      </c>
      <c r="CZ199" s="486">
        <v>0</v>
      </c>
      <c r="DA199" s="486">
        <v>0</v>
      </c>
      <c r="DB199" s="486">
        <v>0</v>
      </c>
      <c r="DC199" s="486">
        <v>0</v>
      </c>
      <c r="DD199" s="486">
        <v>0</v>
      </c>
      <c r="DE199" s="728">
        <v>0</v>
      </c>
      <c r="DF199" s="483"/>
    </row>
    <row r="200" spans="2:110" hidden="1" x14ac:dyDescent="0.35">
      <c r="B200" s="484" t="s">
        <v>700</v>
      </c>
      <c r="C200" s="485" t="s">
        <v>701</v>
      </c>
      <c r="D200" s="486"/>
      <c r="E200" s="486"/>
      <c r="F200" s="486"/>
      <c r="G200" s="486"/>
      <c r="H200" s="486"/>
      <c r="I200" s="486"/>
      <c r="J200" s="486"/>
      <c r="K200" s="486"/>
      <c r="L200" s="486"/>
      <c r="M200" s="486"/>
      <c r="N200" s="486"/>
      <c r="O200" s="486"/>
      <c r="P200" s="486"/>
      <c r="Q200" s="486"/>
      <c r="R200" s="486"/>
      <c r="S200" s="486"/>
      <c r="T200" s="486"/>
      <c r="U200" s="486"/>
      <c r="V200" s="486"/>
      <c r="W200" s="486"/>
      <c r="X200" s="486"/>
      <c r="Y200" s="486"/>
      <c r="Z200" s="486"/>
      <c r="AA200" s="486"/>
      <c r="AB200" s="486">
        <v>1165</v>
      </c>
      <c r="AC200" s="486">
        <v>1165</v>
      </c>
      <c r="AD200" s="486">
        <v>1165</v>
      </c>
      <c r="AE200" s="486">
        <v>1165</v>
      </c>
      <c r="AF200" s="486">
        <v>1165</v>
      </c>
      <c r="AG200" s="486">
        <v>1165</v>
      </c>
      <c r="AH200" s="486">
        <v>1165</v>
      </c>
      <c r="AI200" s="486">
        <v>1165</v>
      </c>
      <c r="AJ200" s="486">
        <v>1165</v>
      </c>
      <c r="AK200" s="486">
        <v>1345</v>
      </c>
      <c r="AL200" s="486">
        <v>1665</v>
      </c>
      <c r="AM200" s="486">
        <v>1665</v>
      </c>
      <c r="AN200" s="486">
        <v>1665</v>
      </c>
      <c r="AO200" s="486">
        <v>1665</v>
      </c>
      <c r="AP200" s="486">
        <v>1665</v>
      </c>
      <c r="AQ200" s="486">
        <v>1665</v>
      </c>
      <c r="AR200" s="486">
        <v>1665</v>
      </c>
      <c r="AS200" s="486">
        <v>1665</v>
      </c>
      <c r="AT200" s="486">
        <v>1665</v>
      </c>
      <c r="AU200" s="486">
        <v>1665</v>
      </c>
      <c r="AV200" s="486">
        <v>1665</v>
      </c>
      <c r="AW200" s="486">
        <v>1665</v>
      </c>
      <c r="AX200" s="486">
        <v>1142</v>
      </c>
      <c r="AY200" s="486"/>
      <c r="AZ200" s="486"/>
      <c r="BA200" s="486"/>
      <c r="BB200" s="486"/>
      <c r="BC200" s="486"/>
      <c r="BD200" s="486"/>
      <c r="BE200" s="483"/>
      <c r="BF200" s="483"/>
      <c r="BG200" s="483"/>
      <c r="BH200" s="483"/>
      <c r="BM200" s="486"/>
      <c r="BN200" s="486"/>
      <c r="BO200" s="486"/>
      <c r="BP200" s="486"/>
      <c r="BQ200" s="486"/>
      <c r="BR200" s="486"/>
      <c r="BS200" s="486"/>
      <c r="BT200" s="486"/>
      <c r="BU200" s="486"/>
      <c r="BV200" s="486">
        <v>0</v>
      </c>
      <c r="BW200" s="486">
        <v>0</v>
      </c>
      <c r="BX200" s="486">
        <v>0</v>
      </c>
      <c r="BY200" s="486">
        <v>0</v>
      </c>
      <c r="BZ200" s="486">
        <v>0</v>
      </c>
      <c r="CA200" s="486">
        <v>0</v>
      </c>
      <c r="CB200" s="486"/>
      <c r="CC200" s="54">
        <v>0</v>
      </c>
      <c r="CD200" s="529"/>
      <c r="CE200" s="54"/>
      <c r="CF200" s="54"/>
      <c r="CG200" s="54"/>
      <c r="CH200" s="54"/>
      <c r="CI200" s="54">
        <v>0</v>
      </c>
      <c r="CJ200" s="54">
        <v>0</v>
      </c>
      <c r="CK200" s="54">
        <v>0</v>
      </c>
      <c r="CL200" s="54">
        <v>0</v>
      </c>
      <c r="CM200" s="54">
        <v>0</v>
      </c>
      <c r="CN200" s="54">
        <v>0</v>
      </c>
      <c r="CO200" s="54">
        <v>0</v>
      </c>
      <c r="CP200" s="54">
        <v>0</v>
      </c>
      <c r="CQ200" s="54">
        <v>0</v>
      </c>
      <c r="CR200" s="54">
        <v>0</v>
      </c>
      <c r="CS200" s="486">
        <v>0</v>
      </c>
      <c r="CT200" s="486">
        <v>0</v>
      </c>
      <c r="CU200" s="486">
        <v>0</v>
      </c>
      <c r="CV200" s="486">
        <v>0</v>
      </c>
      <c r="CW200" s="486">
        <v>0</v>
      </c>
      <c r="CX200" s="486">
        <v>0</v>
      </c>
      <c r="CY200" s="486">
        <v>0</v>
      </c>
      <c r="CZ200" s="486">
        <v>0</v>
      </c>
      <c r="DA200" s="486">
        <v>0</v>
      </c>
      <c r="DB200" s="486">
        <v>0</v>
      </c>
      <c r="DC200" s="486">
        <v>0</v>
      </c>
      <c r="DD200" s="486">
        <v>0</v>
      </c>
      <c r="DE200" s="728">
        <v>0</v>
      </c>
      <c r="DF200" s="483"/>
    </row>
    <row r="201" spans="2:110" hidden="1" x14ac:dyDescent="0.35">
      <c r="B201" s="484" t="s">
        <v>702</v>
      </c>
      <c r="C201" s="485" t="s">
        <v>703</v>
      </c>
      <c r="D201" s="486"/>
      <c r="E201" s="486"/>
      <c r="F201" s="486"/>
      <c r="G201" s="486"/>
      <c r="H201" s="486"/>
      <c r="I201" s="486"/>
      <c r="J201" s="486"/>
      <c r="K201" s="486"/>
      <c r="L201" s="486"/>
      <c r="M201" s="486"/>
      <c r="N201" s="486"/>
      <c r="O201" s="486"/>
      <c r="P201" s="486"/>
      <c r="Q201" s="486"/>
      <c r="R201" s="486">
        <v>1044</v>
      </c>
      <c r="S201" s="486">
        <v>1077</v>
      </c>
      <c r="T201" s="486">
        <v>1110</v>
      </c>
      <c r="U201" s="486">
        <v>1176</v>
      </c>
      <c r="V201" s="486">
        <v>1218</v>
      </c>
      <c r="W201" s="486">
        <v>1220</v>
      </c>
      <c r="X201" s="486">
        <v>1263</v>
      </c>
      <c r="Y201" s="486">
        <v>1277</v>
      </c>
      <c r="Z201" s="486">
        <v>1293</v>
      </c>
      <c r="AA201" s="486">
        <v>1287</v>
      </c>
      <c r="AB201" s="486">
        <v>1397</v>
      </c>
      <c r="AC201" s="486">
        <v>1508</v>
      </c>
      <c r="AD201" s="486">
        <v>1590</v>
      </c>
      <c r="AE201" s="486">
        <v>1745</v>
      </c>
      <c r="AF201" s="486">
        <v>1941</v>
      </c>
      <c r="AG201" s="486">
        <v>2185</v>
      </c>
      <c r="AH201" s="486">
        <v>2235</v>
      </c>
      <c r="AI201" s="486">
        <v>2175</v>
      </c>
      <c r="AJ201" s="486">
        <v>2126</v>
      </c>
      <c r="AK201" s="486">
        <v>2228</v>
      </c>
      <c r="AL201" s="486">
        <v>2231</v>
      </c>
      <c r="AM201" s="486">
        <v>2281</v>
      </c>
      <c r="AN201" s="486">
        <v>2281</v>
      </c>
      <c r="AO201" s="486">
        <v>2381</v>
      </c>
      <c r="AP201" s="486">
        <v>2451</v>
      </c>
      <c r="AQ201" s="486">
        <v>2501</v>
      </c>
      <c r="AR201" s="486">
        <v>2607</v>
      </c>
      <c r="AS201" s="486">
        <v>2610</v>
      </c>
      <c r="AT201" s="486">
        <v>2701</v>
      </c>
      <c r="AU201" s="486"/>
      <c r="AV201" s="486"/>
      <c r="BE201" s="483"/>
      <c r="BF201" s="483"/>
      <c r="BG201" s="483"/>
      <c r="BH201" s="483"/>
      <c r="BM201" s="486"/>
      <c r="BN201" s="486"/>
      <c r="BO201" s="486"/>
      <c r="BP201" s="486"/>
      <c r="BQ201" s="486"/>
      <c r="BR201" s="486"/>
      <c r="BS201" s="486"/>
      <c r="BT201" s="486"/>
      <c r="BU201" s="486"/>
      <c r="BV201" s="486">
        <v>0</v>
      </c>
      <c r="BW201" s="486">
        <v>0</v>
      </c>
      <c r="BX201" s="486">
        <v>0</v>
      </c>
      <c r="BY201" s="486">
        <v>0</v>
      </c>
      <c r="BZ201" s="486">
        <v>0</v>
      </c>
      <c r="CA201" s="102">
        <v>0</v>
      </c>
      <c r="CB201" s="486"/>
      <c r="CC201" s="54">
        <v>0</v>
      </c>
      <c r="CD201" s="529"/>
      <c r="CE201" s="54"/>
      <c r="CF201" s="54"/>
      <c r="CG201" s="54"/>
      <c r="CH201" s="54"/>
      <c r="CI201" s="54">
        <v>0</v>
      </c>
      <c r="CJ201" s="54">
        <v>0</v>
      </c>
      <c r="CK201" s="54">
        <v>0</v>
      </c>
      <c r="CL201" s="54">
        <v>0</v>
      </c>
      <c r="CM201" s="54">
        <v>0</v>
      </c>
      <c r="CN201" s="54">
        <v>0</v>
      </c>
      <c r="CO201" s="54">
        <v>0</v>
      </c>
      <c r="CP201" s="54">
        <v>0</v>
      </c>
      <c r="CQ201" s="54">
        <v>0</v>
      </c>
      <c r="CR201" s="54">
        <v>0</v>
      </c>
      <c r="CS201" s="486">
        <v>0</v>
      </c>
      <c r="CT201" s="486">
        <v>0</v>
      </c>
      <c r="CU201" s="486">
        <v>0</v>
      </c>
      <c r="CV201" s="486">
        <v>0</v>
      </c>
      <c r="CW201" s="486">
        <v>0</v>
      </c>
      <c r="CX201" s="486">
        <v>0</v>
      </c>
      <c r="CY201" s="486">
        <v>0</v>
      </c>
      <c r="CZ201" s="486">
        <v>0</v>
      </c>
      <c r="DA201" s="486">
        <v>0</v>
      </c>
      <c r="DB201" s="486">
        <v>0</v>
      </c>
      <c r="DC201" s="486">
        <v>0</v>
      </c>
      <c r="DD201" s="486">
        <v>0</v>
      </c>
      <c r="DE201" s="728">
        <v>0</v>
      </c>
      <c r="DF201" s="483"/>
    </row>
    <row r="202" spans="2:110" hidden="1" x14ac:dyDescent="0.35">
      <c r="B202" s="484" t="s">
        <v>704</v>
      </c>
      <c r="C202" s="485" t="s">
        <v>705</v>
      </c>
      <c r="D202" s="486">
        <v>2</v>
      </c>
      <c r="E202" s="486">
        <v>48</v>
      </c>
      <c r="F202" s="486">
        <v>1640</v>
      </c>
      <c r="G202" s="486">
        <v>2062</v>
      </c>
      <c r="H202" s="486">
        <v>2623</v>
      </c>
      <c r="I202" s="486">
        <v>3024</v>
      </c>
      <c r="J202" s="486">
        <v>3089</v>
      </c>
      <c r="K202" s="486"/>
      <c r="L202" s="486">
        <v>3176</v>
      </c>
      <c r="M202" s="486">
        <v>3186</v>
      </c>
      <c r="N202" s="486">
        <v>3183</v>
      </c>
      <c r="O202" s="486">
        <v>3230</v>
      </c>
      <c r="P202" s="486">
        <v>3254</v>
      </c>
      <c r="Q202" s="486">
        <v>3274</v>
      </c>
      <c r="R202" s="486">
        <v>3317</v>
      </c>
      <c r="S202" s="486">
        <v>3314</v>
      </c>
      <c r="T202" s="486">
        <v>3352</v>
      </c>
      <c r="U202" s="486">
        <v>3379</v>
      </c>
      <c r="V202" s="486">
        <v>3429</v>
      </c>
      <c r="W202" s="486">
        <v>3442</v>
      </c>
      <c r="X202" s="486">
        <v>3501</v>
      </c>
      <c r="Y202" s="486">
        <v>3570</v>
      </c>
      <c r="Z202" s="486">
        <v>3629</v>
      </c>
      <c r="AA202" s="486">
        <v>3665</v>
      </c>
      <c r="AB202" s="486">
        <v>3719</v>
      </c>
      <c r="AC202" s="486">
        <v>3795</v>
      </c>
      <c r="AD202" s="486">
        <v>3805</v>
      </c>
      <c r="AE202" s="486">
        <v>3675</v>
      </c>
      <c r="AF202" s="486">
        <v>3677</v>
      </c>
      <c r="AG202" s="486">
        <v>3467</v>
      </c>
      <c r="AH202" s="486">
        <v>3476</v>
      </c>
      <c r="AI202" s="486">
        <v>3514</v>
      </c>
      <c r="AJ202" s="486">
        <v>3534</v>
      </c>
      <c r="AK202" s="486">
        <v>3600</v>
      </c>
      <c r="AL202" s="486">
        <v>3596</v>
      </c>
      <c r="AM202" s="486">
        <v>3626</v>
      </c>
      <c r="AN202" s="486">
        <v>3626</v>
      </c>
      <c r="AO202" s="486">
        <v>3668</v>
      </c>
      <c r="AP202" s="486">
        <v>3722</v>
      </c>
      <c r="AQ202" s="486">
        <v>3722</v>
      </c>
      <c r="AR202" s="486">
        <v>3745</v>
      </c>
      <c r="AS202" s="486">
        <v>3785</v>
      </c>
      <c r="AT202" s="486">
        <v>3785</v>
      </c>
      <c r="AU202" s="486"/>
      <c r="AV202" s="486"/>
      <c r="BE202" s="483"/>
      <c r="BF202" s="483"/>
      <c r="BG202" s="483"/>
      <c r="BH202" s="483"/>
      <c r="BM202" s="486"/>
      <c r="BN202" s="486"/>
      <c r="BO202" s="486"/>
      <c r="BP202" s="486"/>
      <c r="BQ202" s="486"/>
      <c r="BR202" s="486"/>
      <c r="BS202" s="486"/>
      <c r="BT202" s="486"/>
      <c r="BU202" s="486"/>
      <c r="BV202" s="486">
        <v>0</v>
      </c>
      <c r="BW202" s="486">
        <v>0</v>
      </c>
      <c r="BX202" s="486">
        <v>0</v>
      </c>
      <c r="BY202" s="486">
        <v>0</v>
      </c>
      <c r="BZ202" s="486">
        <v>0</v>
      </c>
      <c r="CA202" s="102">
        <v>0</v>
      </c>
      <c r="CB202" s="486"/>
      <c r="CC202" s="54">
        <v>0</v>
      </c>
      <c r="CD202" s="529"/>
      <c r="CE202" s="54"/>
      <c r="CF202" s="54"/>
      <c r="CG202" s="54"/>
      <c r="CH202" s="54"/>
      <c r="CI202" s="54">
        <v>0</v>
      </c>
      <c r="CJ202" s="54">
        <v>0</v>
      </c>
      <c r="CK202" s="54">
        <v>0</v>
      </c>
      <c r="CL202" s="54">
        <v>0</v>
      </c>
      <c r="CM202" s="54">
        <v>0</v>
      </c>
      <c r="CN202" s="54">
        <v>0</v>
      </c>
      <c r="CO202" s="54">
        <v>0</v>
      </c>
      <c r="CP202" s="54">
        <v>0</v>
      </c>
      <c r="CQ202" s="54">
        <v>0</v>
      </c>
      <c r="CR202" s="54">
        <v>0</v>
      </c>
      <c r="CS202" s="486">
        <v>0</v>
      </c>
      <c r="CT202" s="486">
        <v>0</v>
      </c>
      <c r="CU202" s="486">
        <v>0</v>
      </c>
      <c r="CV202" s="486">
        <v>0</v>
      </c>
      <c r="CW202" s="486">
        <v>0</v>
      </c>
      <c r="CX202" s="486">
        <v>0</v>
      </c>
      <c r="CY202" s="486">
        <v>0</v>
      </c>
      <c r="CZ202" s="486">
        <v>0</v>
      </c>
      <c r="DA202" s="486">
        <v>0</v>
      </c>
      <c r="DB202" s="486">
        <v>0</v>
      </c>
      <c r="DC202" s="486"/>
      <c r="DD202" s="486">
        <v>0</v>
      </c>
      <c r="DE202" s="728">
        <v>0</v>
      </c>
      <c r="DF202" s="483"/>
    </row>
    <row r="203" spans="2:110" hidden="1" x14ac:dyDescent="0.35">
      <c r="B203" s="484" t="s">
        <v>706</v>
      </c>
      <c r="C203" s="485"/>
      <c r="D203" s="486">
        <v>12</v>
      </c>
      <c r="E203" s="486">
        <v>350</v>
      </c>
      <c r="F203" s="486">
        <v>828</v>
      </c>
      <c r="G203" s="486">
        <v>1213</v>
      </c>
      <c r="H203" s="486">
        <v>2000</v>
      </c>
      <c r="I203" s="486">
        <v>2239</v>
      </c>
      <c r="J203" s="486">
        <v>2409</v>
      </c>
      <c r="K203" s="486"/>
      <c r="L203" s="486">
        <v>2428</v>
      </c>
      <c r="M203" s="486">
        <v>1</v>
      </c>
      <c r="N203" s="486">
        <v>0</v>
      </c>
      <c r="O203" s="486">
        <v>0</v>
      </c>
      <c r="P203" s="486">
        <v>0</v>
      </c>
      <c r="Q203" s="486">
        <v>0</v>
      </c>
      <c r="R203" s="486">
        <v>0</v>
      </c>
      <c r="S203" s="486">
        <v>0</v>
      </c>
      <c r="T203" s="486">
        <v>0</v>
      </c>
      <c r="U203" s="486">
        <v>0</v>
      </c>
      <c r="V203" s="486">
        <v>0</v>
      </c>
      <c r="W203" s="486">
        <v>0</v>
      </c>
      <c r="X203" s="486">
        <v>0</v>
      </c>
      <c r="Y203" s="486">
        <v>0</v>
      </c>
      <c r="Z203" s="486">
        <v>0</v>
      </c>
      <c r="AA203" s="486">
        <v>0</v>
      </c>
      <c r="AB203" s="486">
        <v>0</v>
      </c>
      <c r="AC203" s="486">
        <v>0</v>
      </c>
      <c r="AD203" s="486">
        <v>0</v>
      </c>
      <c r="AE203" s="486">
        <v>0</v>
      </c>
      <c r="AF203" s="486">
        <v>0</v>
      </c>
      <c r="AG203" s="486"/>
      <c r="AH203" s="486"/>
      <c r="AI203" s="486"/>
      <c r="AJ203" s="486"/>
      <c r="AK203" s="486"/>
      <c r="AL203" s="486"/>
      <c r="AM203" s="486"/>
      <c r="BE203" s="483"/>
      <c r="BF203" s="483"/>
      <c r="BG203" s="483"/>
      <c r="BH203" s="483"/>
      <c r="BM203" s="486"/>
      <c r="BN203" s="486"/>
      <c r="BO203" s="486"/>
      <c r="BP203" s="486"/>
      <c r="BQ203" s="486"/>
      <c r="BR203" s="486"/>
      <c r="BS203" s="486"/>
      <c r="BT203" s="486"/>
      <c r="BU203" s="486"/>
      <c r="BV203" s="486"/>
      <c r="BW203" s="486"/>
      <c r="BX203" s="486"/>
      <c r="BY203" s="486"/>
      <c r="BZ203" s="486"/>
      <c r="CA203" s="102"/>
      <c r="CB203" s="486"/>
      <c r="CC203" s="54">
        <v>0</v>
      </c>
      <c r="CD203" s="529"/>
      <c r="CE203" s="54"/>
      <c r="CF203" s="54"/>
      <c r="CG203" s="54"/>
      <c r="CH203" s="54"/>
      <c r="CI203" s="54"/>
      <c r="CJ203" s="54"/>
      <c r="CK203" s="54"/>
      <c r="CL203" s="54"/>
      <c r="CM203" s="54"/>
      <c r="CN203" s="54"/>
      <c r="CO203" s="54"/>
      <c r="CP203" s="54"/>
      <c r="CQ203" s="54"/>
      <c r="CR203" s="54"/>
      <c r="CS203" s="486"/>
      <c r="CT203" s="486"/>
      <c r="CU203" s="486"/>
      <c r="CV203" s="486"/>
      <c r="CW203" s="486"/>
      <c r="CX203" s="486"/>
      <c r="CY203" s="486"/>
      <c r="CZ203" s="486">
        <v>0</v>
      </c>
      <c r="DA203" s="486">
        <v>0</v>
      </c>
      <c r="DB203" s="486"/>
      <c r="DC203" s="486"/>
      <c r="DD203" s="486"/>
      <c r="DE203" s="728"/>
      <c r="DF203" s="483"/>
    </row>
    <row r="204" spans="2:110" hidden="1" x14ac:dyDescent="0.35">
      <c r="B204" s="484" t="s">
        <v>707</v>
      </c>
      <c r="C204" s="485"/>
      <c r="D204" s="488"/>
      <c r="E204" s="488"/>
      <c r="F204" s="486"/>
      <c r="G204" s="486"/>
      <c r="H204" s="486">
        <v>1326</v>
      </c>
      <c r="I204" s="486">
        <v>2776</v>
      </c>
      <c r="J204" s="486">
        <v>3167</v>
      </c>
      <c r="K204" s="486"/>
      <c r="L204" s="486">
        <v>3059</v>
      </c>
      <c r="M204" s="486">
        <v>3065</v>
      </c>
      <c r="N204" s="486">
        <v>2954</v>
      </c>
      <c r="O204" s="486">
        <v>0</v>
      </c>
      <c r="P204" s="486">
        <v>0</v>
      </c>
      <c r="Q204" s="486">
        <v>0</v>
      </c>
      <c r="R204" s="486">
        <v>0</v>
      </c>
      <c r="S204" s="486">
        <v>0</v>
      </c>
      <c r="T204" s="486">
        <v>0</v>
      </c>
      <c r="U204" s="486">
        <v>0</v>
      </c>
      <c r="V204" s="486">
        <v>0</v>
      </c>
      <c r="W204" s="486">
        <v>0</v>
      </c>
      <c r="X204" s="486">
        <v>0</v>
      </c>
      <c r="Y204" s="486">
        <v>0</v>
      </c>
      <c r="Z204" s="486">
        <v>0</v>
      </c>
      <c r="AA204" s="486">
        <v>0</v>
      </c>
      <c r="AB204" s="486">
        <v>0</v>
      </c>
      <c r="AC204" s="486">
        <v>0</v>
      </c>
      <c r="AD204" s="486">
        <v>0</v>
      </c>
      <c r="AE204" s="486">
        <v>0</v>
      </c>
      <c r="AF204" s="486">
        <v>0</v>
      </c>
      <c r="AG204" s="486"/>
      <c r="AH204" s="486"/>
      <c r="AI204" s="486"/>
      <c r="AJ204" s="486"/>
      <c r="AK204" s="486"/>
      <c r="AL204" s="486"/>
      <c r="AM204" s="486"/>
      <c r="BE204" s="483"/>
      <c r="BF204" s="483"/>
      <c r="BG204" s="483"/>
      <c r="BH204" s="483"/>
      <c r="BM204" s="486"/>
      <c r="BN204" s="486"/>
      <c r="BO204" s="486"/>
      <c r="BP204" s="486"/>
      <c r="BQ204" s="486"/>
      <c r="BR204" s="486"/>
      <c r="BS204" s="486"/>
      <c r="BT204" s="486"/>
      <c r="BU204" s="486"/>
      <c r="BV204" s="486"/>
      <c r="BW204" s="486"/>
      <c r="BX204" s="486"/>
      <c r="BY204" s="486"/>
      <c r="BZ204" s="486"/>
      <c r="CA204" s="102"/>
      <c r="CB204" s="486"/>
      <c r="CC204" s="54">
        <v>0</v>
      </c>
      <c r="CD204" s="529"/>
      <c r="CE204" s="54"/>
      <c r="CF204" s="54"/>
      <c r="CG204" s="54"/>
      <c r="CH204" s="54"/>
      <c r="CI204" s="54"/>
      <c r="CJ204" s="54"/>
      <c r="CK204" s="54"/>
      <c r="CL204" s="54"/>
      <c r="CM204" s="54"/>
      <c r="CN204" s="54"/>
      <c r="CO204" s="54"/>
      <c r="CP204" s="54"/>
      <c r="CQ204" s="54"/>
      <c r="CR204" s="54"/>
      <c r="CS204" s="486"/>
      <c r="CT204" s="486"/>
      <c r="CU204" s="486"/>
      <c r="CV204" s="486"/>
      <c r="CW204" s="486"/>
      <c r="CX204" s="486"/>
      <c r="CY204" s="486"/>
      <c r="CZ204" s="486">
        <v>0</v>
      </c>
      <c r="DA204" s="486">
        <v>0</v>
      </c>
      <c r="DB204" s="486"/>
      <c r="DC204" s="486">
        <v>0</v>
      </c>
      <c r="DD204" s="486"/>
      <c r="DE204" s="728"/>
      <c r="DF204" s="483"/>
    </row>
    <row r="205" spans="2:110" hidden="1" x14ac:dyDescent="0.35">
      <c r="B205" t="s">
        <v>708</v>
      </c>
      <c r="C205" s="485" t="s">
        <v>709</v>
      </c>
      <c r="D205" s="486"/>
      <c r="E205" s="486"/>
      <c r="F205" s="486"/>
      <c r="G205" s="486"/>
      <c r="H205" s="486"/>
      <c r="I205" s="486"/>
      <c r="J205" s="486"/>
      <c r="K205" s="486"/>
      <c r="L205" s="486"/>
      <c r="M205" s="486"/>
      <c r="N205" s="486"/>
      <c r="O205" s="486"/>
      <c r="P205" s="486"/>
      <c r="Q205" s="486"/>
      <c r="R205" s="486"/>
      <c r="S205" s="486"/>
      <c r="T205" s="486"/>
      <c r="U205" s="486"/>
      <c r="V205" s="486"/>
      <c r="W205" s="486"/>
      <c r="X205" s="486"/>
      <c r="Y205" s="486"/>
      <c r="Z205" s="486"/>
      <c r="AA205" s="486"/>
      <c r="AB205" s="486">
        <v>1005</v>
      </c>
      <c r="AC205" s="486">
        <v>1006</v>
      </c>
      <c r="AD205" s="486">
        <v>1006</v>
      </c>
      <c r="AE205" s="486">
        <v>1006</v>
      </c>
      <c r="AF205" s="486">
        <v>0</v>
      </c>
      <c r="AG205" s="486"/>
      <c r="AH205" s="486"/>
      <c r="AI205" s="486"/>
      <c r="AJ205" s="486"/>
      <c r="AK205" s="486"/>
      <c r="AL205" s="486"/>
      <c r="AM205" s="486"/>
      <c r="BE205" s="483"/>
      <c r="BF205" s="483"/>
      <c r="BG205" s="483"/>
      <c r="BH205" s="483"/>
      <c r="BM205" s="486"/>
      <c r="BN205" s="486">
        <v>21</v>
      </c>
      <c r="BO205" s="486"/>
      <c r="BP205" s="486"/>
      <c r="BQ205" s="486"/>
      <c r="BR205" s="486"/>
      <c r="BS205" s="486">
        <v>21</v>
      </c>
      <c r="BT205" s="486"/>
      <c r="BU205" s="486"/>
      <c r="BV205" s="486">
        <v>0</v>
      </c>
      <c r="BW205" s="486">
        <v>0</v>
      </c>
      <c r="BX205" s="486">
        <v>0</v>
      </c>
      <c r="BY205" s="486">
        <v>0</v>
      </c>
      <c r="BZ205" s="486">
        <v>0</v>
      </c>
      <c r="CA205" s="102">
        <v>0</v>
      </c>
      <c r="CB205" s="486"/>
      <c r="CC205" s="54">
        <v>0</v>
      </c>
      <c r="CD205" s="529"/>
      <c r="CE205" s="54"/>
      <c r="CF205" s="54"/>
      <c r="CG205" s="54"/>
      <c r="CH205" s="54"/>
      <c r="CI205" s="54">
        <v>0</v>
      </c>
      <c r="CJ205" s="54">
        <v>0</v>
      </c>
      <c r="CK205" s="54">
        <v>0</v>
      </c>
      <c r="CL205" s="54">
        <v>0</v>
      </c>
      <c r="CM205" s="54">
        <v>0</v>
      </c>
      <c r="CN205" s="54">
        <v>0</v>
      </c>
      <c r="CO205" s="54">
        <v>0</v>
      </c>
      <c r="CP205" s="54">
        <v>0</v>
      </c>
      <c r="CQ205" s="54">
        <v>0</v>
      </c>
      <c r="CR205" s="54">
        <v>0</v>
      </c>
      <c r="CS205" s="486">
        <v>0</v>
      </c>
      <c r="CT205" s="486">
        <v>0</v>
      </c>
      <c r="CU205" s="486">
        <v>0</v>
      </c>
      <c r="CV205" s="486">
        <v>0</v>
      </c>
      <c r="CW205" s="486">
        <v>0</v>
      </c>
      <c r="CX205" s="486">
        <v>0</v>
      </c>
      <c r="CY205" s="486">
        <v>0</v>
      </c>
      <c r="CZ205" s="486">
        <v>0</v>
      </c>
      <c r="DA205" s="486">
        <v>0</v>
      </c>
      <c r="DB205" s="486">
        <v>0</v>
      </c>
      <c r="DC205" s="486">
        <v>0</v>
      </c>
      <c r="DD205" s="486">
        <v>0</v>
      </c>
      <c r="DE205" s="728">
        <v>0</v>
      </c>
      <c r="DF205" s="483"/>
    </row>
    <row r="206" spans="2:110" hidden="1" x14ac:dyDescent="0.35">
      <c r="B206" s="484" t="s">
        <v>710</v>
      </c>
      <c r="C206" s="485" t="s">
        <v>711</v>
      </c>
      <c r="D206" s="486">
        <v>2975</v>
      </c>
      <c r="E206" s="486">
        <v>2975</v>
      </c>
      <c r="F206" s="486">
        <v>2964</v>
      </c>
      <c r="G206" s="486">
        <v>2962</v>
      </c>
      <c r="H206" s="486">
        <v>2971</v>
      </c>
      <c r="I206" s="486">
        <v>2972</v>
      </c>
      <c r="J206" s="486">
        <v>2737</v>
      </c>
      <c r="K206" s="486"/>
      <c r="L206" s="486">
        <v>2657</v>
      </c>
      <c r="M206" s="486">
        <v>2656</v>
      </c>
      <c r="N206" s="486">
        <v>2656</v>
      </c>
      <c r="O206" s="486">
        <v>2654</v>
      </c>
      <c r="P206" s="486">
        <v>2654</v>
      </c>
      <c r="Q206" s="486">
        <v>2654</v>
      </c>
      <c r="R206" s="486">
        <v>2654</v>
      </c>
      <c r="S206" s="486">
        <v>2654</v>
      </c>
      <c r="T206" s="486">
        <v>2654</v>
      </c>
      <c r="U206" s="486">
        <v>2654</v>
      </c>
      <c r="V206" s="486">
        <v>2654</v>
      </c>
      <c r="W206" s="486">
        <v>2374</v>
      </c>
      <c r="X206" s="486">
        <v>2187</v>
      </c>
      <c r="Y206" s="486">
        <v>2187</v>
      </c>
      <c r="Z206" s="486">
        <v>538</v>
      </c>
      <c r="AA206" s="486"/>
      <c r="AB206" s="486"/>
      <c r="AC206" s="486"/>
      <c r="AD206" s="486"/>
      <c r="AE206" s="486"/>
      <c r="AF206" s="486"/>
      <c r="AG206" s="486"/>
      <c r="AH206" s="486"/>
      <c r="AI206" s="486"/>
      <c r="AJ206" s="486"/>
      <c r="AK206" s="486"/>
      <c r="AL206" s="486"/>
      <c r="AM206" s="486"/>
      <c r="BE206" s="483"/>
      <c r="BF206" s="483"/>
      <c r="BG206" s="483"/>
      <c r="BH206" s="483"/>
      <c r="BM206" s="486"/>
      <c r="BN206" s="486">
        <v>10</v>
      </c>
      <c r="BO206" s="486"/>
      <c r="BP206" s="486"/>
      <c r="BQ206" s="486"/>
      <c r="BR206" s="486"/>
      <c r="BS206" s="486">
        <v>9</v>
      </c>
      <c r="BT206" s="486"/>
      <c r="BU206" s="486">
        <v>3</v>
      </c>
      <c r="BV206" s="486">
        <v>0</v>
      </c>
      <c r="BW206" s="486">
        <v>0</v>
      </c>
      <c r="BX206" s="486">
        <v>0</v>
      </c>
      <c r="BY206" s="486">
        <v>0</v>
      </c>
      <c r="BZ206" s="486">
        <v>0</v>
      </c>
      <c r="CA206" s="102">
        <v>0</v>
      </c>
      <c r="CB206" s="486"/>
      <c r="CC206" s="54">
        <v>0</v>
      </c>
      <c r="CD206" s="529"/>
      <c r="CE206" s="54"/>
      <c r="CF206" s="54"/>
      <c r="CG206" s="54"/>
      <c r="CH206" s="54"/>
      <c r="CI206" s="54">
        <v>0</v>
      </c>
      <c r="CJ206" s="54">
        <v>0</v>
      </c>
      <c r="CK206" s="54">
        <v>0</v>
      </c>
      <c r="CL206" s="54">
        <v>0</v>
      </c>
      <c r="CM206" s="54">
        <v>0</v>
      </c>
      <c r="CN206" s="54">
        <v>0</v>
      </c>
      <c r="CO206" s="54">
        <v>0</v>
      </c>
      <c r="CP206" s="54">
        <v>0</v>
      </c>
      <c r="CQ206" s="54">
        <v>0</v>
      </c>
      <c r="CR206" s="54">
        <v>0</v>
      </c>
      <c r="CS206" s="486">
        <v>0</v>
      </c>
      <c r="CT206" s="486">
        <v>0</v>
      </c>
      <c r="CU206" s="486">
        <v>0</v>
      </c>
      <c r="CV206" s="486">
        <v>0</v>
      </c>
      <c r="CW206" s="486">
        <v>0</v>
      </c>
      <c r="CX206" s="486">
        <v>0</v>
      </c>
      <c r="CY206" s="486">
        <v>0</v>
      </c>
      <c r="CZ206" s="486">
        <v>0</v>
      </c>
      <c r="DA206" s="486">
        <v>0</v>
      </c>
      <c r="DB206" s="486">
        <v>0</v>
      </c>
      <c r="DC206" s="486">
        <v>0</v>
      </c>
      <c r="DD206" s="486">
        <v>0</v>
      </c>
      <c r="DE206" s="728">
        <v>0</v>
      </c>
      <c r="DF206" s="483"/>
    </row>
    <row r="207" spans="2:110" hidden="1" x14ac:dyDescent="0.35">
      <c r="B207" s="484" t="s">
        <v>712</v>
      </c>
      <c r="C207" s="485" t="s">
        <v>713</v>
      </c>
      <c r="D207" s="486"/>
      <c r="E207" s="486"/>
      <c r="F207" s="486"/>
      <c r="G207" s="486"/>
      <c r="H207" s="486"/>
      <c r="I207" s="486">
        <v>0</v>
      </c>
      <c r="J207" s="486">
        <v>1239</v>
      </c>
      <c r="K207" s="486"/>
      <c r="L207" s="486">
        <v>1403</v>
      </c>
      <c r="M207" s="486">
        <v>1398</v>
      </c>
      <c r="N207" s="486">
        <v>1197</v>
      </c>
      <c r="O207" s="486">
        <v>1198</v>
      </c>
      <c r="P207" s="486">
        <v>1136</v>
      </c>
      <c r="Q207" s="486">
        <v>1136</v>
      </c>
      <c r="R207" s="486">
        <v>1085</v>
      </c>
      <c r="S207" s="486">
        <v>1069</v>
      </c>
      <c r="T207" s="486">
        <v>1066</v>
      </c>
      <c r="U207" s="486">
        <v>1062</v>
      </c>
      <c r="V207" s="486">
        <v>1057</v>
      </c>
      <c r="W207" s="486">
        <v>1036</v>
      </c>
      <c r="X207" s="486">
        <v>1034</v>
      </c>
      <c r="Y207" s="486">
        <v>0</v>
      </c>
      <c r="Z207" s="486">
        <v>708</v>
      </c>
      <c r="AA207" s="486"/>
      <c r="AB207" s="486"/>
      <c r="AC207" s="486"/>
      <c r="AD207" s="486"/>
      <c r="AE207" s="486"/>
      <c r="AF207" s="486"/>
      <c r="AG207" s="486"/>
      <c r="AH207" s="486"/>
      <c r="AI207" s="486"/>
      <c r="AJ207" s="486"/>
      <c r="AK207" s="486"/>
      <c r="AL207" s="486"/>
      <c r="AM207" s="486"/>
      <c r="BE207" s="483"/>
      <c r="BF207" s="483"/>
      <c r="BG207" s="483"/>
      <c r="BH207" s="483"/>
      <c r="BM207" s="486"/>
      <c r="BN207" s="486"/>
      <c r="BO207" s="486"/>
      <c r="BP207" s="486"/>
      <c r="BQ207" s="486"/>
      <c r="BR207" s="486"/>
      <c r="BS207" s="486"/>
      <c r="BT207" s="486"/>
      <c r="BU207" s="486"/>
      <c r="BV207" s="486">
        <v>0</v>
      </c>
      <c r="BW207" s="486">
        <v>0</v>
      </c>
      <c r="BX207" s="486">
        <v>0</v>
      </c>
      <c r="BY207" s="486">
        <v>0</v>
      </c>
      <c r="BZ207" s="486">
        <v>0</v>
      </c>
      <c r="CA207" s="102">
        <v>0</v>
      </c>
      <c r="CB207" s="486"/>
      <c r="CC207" s="54">
        <v>0</v>
      </c>
      <c r="CD207" s="529"/>
      <c r="CE207" s="54"/>
      <c r="CF207" s="54"/>
      <c r="CG207" s="54"/>
      <c r="CH207" s="54"/>
      <c r="CI207" s="54">
        <v>0</v>
      </c>
      <c r="CJ207" s="54">
        <v>0</v>
      </c>
      <c r="CK207" s="54">
        <v>0</v>
      </c>
      <c r="CL207" s="54">
        <v>0</v>
      </c>
      <c r="CM207" s="54">
        <v>0</v>
      </c>
      <c r="CN207" s="54">
        <v>0</v>
      </c>
      <c r="CO207" s="54">
        <v>0</v>
      </c>
      <c r="CP207" s="54">
        <v>0</v>
      </c>
      <c r="CQ207" s="54">
        <v>0</v>
      </c>
      <c r="CR207" s="54">
        <v>0</v>
      </c>
      <c r="CS207" s="486">
        <v>0</v>
      </c>
      <c r="CT207" s="486">
        <v>0</v>
      </c>
      <c r="CU207" s="486">
        <v>0</v>
      </c>
      <c r="CV207" s="486">
        <v>0</v>
      </c>
      <c r="CW207" s="486">
        <v>0</v>
      </c>
      <c r="CX207" s="486">
        <v>0</v>
      </c>
      <c r="CY207" s="486">
        <v>0</v>
      </c>
      <c r="CZ207" s="486">
        <v>0</v>
      </c>
      <c r="DA207" s="486">
        <v>0</v>
      </c>
      <c r="DB207" s="486">
        <v>0</v>
      </c>
      <c r="DC207" s="486">
        <v>0</v>
      </c>
      <c r="DD207" s="486">
        <v>0</v>
      </c>
      <c r="DE207" s="728">
        <v>0</v>
      </c>
      <c r="DF207" s="483"/>
    </row>
    <row r="208" spans="2:110" hidden="1" x14ac:dyDescent="0.35">
      <c r="B208" s="484" t="s">
        <v>714</v>
      </c>
      <c r="C208" s="485" t="s">
        <v>715</v>
      </c>
      <c r="D208" s="486"/>
      <c r="E208" s="486"/>
      <c r="F208" s="486"/>
      <c r="G208" s="486"/>
      <c r="H208" s="486"/>
      <c r="I208" s="486"/>
      <c r="J208" s="486"/>
      <c r="K208" s="486"/>
      <c r="L208" s="486">
        <v>192</v>
      </c>
      <c r="M208" s="486">
        <v>427</v>
      </c>
      <c r="N208" s="486">
        <v>408</v>
      </c>
      <c r="O208" s="486">
        <v>1046</v>
      </c>
      <c r="P208" s="486">
        <v>705</v>
      </c>
      <c r="Q208" s="486">
        <v>1577</v>
      </c>
      <c r="R208" s="486">
        <v>630</v>
      </c>
      <c r="S208" s="486">
        <v>1172</v>
      </c>
      <c r="T208" s="486"/>
      <c r="U208" s="486"/>
      <c r="V208" s="486"/>
      <c r="W208" s="486"/>
      <c r="X208" s="486"/>
      <c r="Y208" s="486"/>
      <c r="Z208" s="486"/>
      <c r="AA208" s="486"/>
      <c r="AB208" s="486"/>
      <c r="AC208" s="486"/>
      <c r="AD208" s="486"/>
      <c r="AE208" s="486"/>
      <c r="AF208" s="486"/>
      <c r="AG208" s="486"/>
      <c r="AH208" s="486"/>
      <c r="AI208" s="486"/>
      <c r="AJ208" s="486"/>
      <c r="AK208" s="486"/>
      <c r="AL208" s="486"/>
      <c r="AM208" s="486"/>
      <c r="BB208" s="486"/>
      <c r="BC208" s="486"/>
      <c r="BD208" s="486"/>
      <c r="BE208" s="483"/>
      <c r="BF208" s="483"/>
      <c r="BG208" s="483"/>
      <c r="BH208" s="483"/>
      <c r="BM208" s="486"/>
      <c r="BN208" s="486">
        <v>4</v>
      </c>
      <c r="BO208" s="486"/>
      <c r="BP208" s="486"/>
      <c r="BQ208" s="486"/>
      <c r="BR208" s="486"/>
      <c r="BS208" s="486"/>
      <c r="BT208" s="486"/>
      <c r="BU208" s="486"/>
      <c r="BV208" s="486">
        <v>0</v>
      </c>
      <c r="BW208" s="486">
        <v>0</v>
      </c>
      <c r="BX208" s="486">
        <v>0</v>
      </c>
      <c r="BY208" s="486">
        <v>0</v>
      </c>
      <c r="BZ208" s="486">
        <v>0</v>
      </c>
      <c r="CA208" s="102">
        <v>0</v>
      </c>
      <c r="CB208" s="486"/>
      <c r="CC208" s="54">
        <v>0</v>
      </c>
      <c r="CD208" s="529"/>
      <c r="CE208" s="54"/>
      <c r="CF208" s="54"/>
      <c r="CG208" s="54"/>
      <c r="CH208" s="54"/>
      <c r="CI208" s="54">
        <v>0</v>
      </c>
      <c r="CJ208" s="54">
        <v>0</v>
      </c>
      <c r="CK208" s="54">
        <v>0</v>
      </c>
      <c r="CL208" s="54">
        <v>0</v>
      </c>
      <c r="CM208" s="54">
        <v>0</v>
      </c>
      <c r="CN208" s="54">
        <v>0</v>
      </c>
      <c r="CO208" s="54">
        <v>0</v>
      </c>
      <c r="CP208" s="54">
        <v>0</v>
      </c>
      <c r="CQ208" s="54">
        <v>0</v>
      </c>
      <c r="CR208" s="54">
        <v>0</v>
      </c>
      <c r="CS208" s="486">
        <v>0</v>
      </c>
      <c r="CT208" s="486">
        <v>0</v>
      </c>
      <c r="CU208" s="486">
        <v>0</v>
      </c>
      <c r="CV208" s="486">
        <v>0</v>
      </c>
      <c r="CW208" s="486">
        <v>0</v>
      </c>
      <c r="CX208" s="486">
        <v>0</v>
      </c>
      <c r="CY208" s="486">
        <v>0</v>
      </c>
      <c r="CZ208" s="486">
        <v>0</v>
      </c>
      <c r="DA208" s="486">
        <v>0</v>
      </c>
      <c r="DB208" s="486">
        <v>0</v>
      </c>
      <c r="DC208" s="486">
        <v>0</v>
      </c>
      <c r="DD208" s="486">
        <v>0</v>
      </c>
      <c r="DE208" s="728">
        <v>0</v>
      </c>
      <c r="DF208" s="483"/>
    </row>
    <row r="209" spans="2:116" hidden="1" x14ac:dyDescent="0.35">
      <c r="B209" s="484" t="s">
        <v>716</v>
      </c>
      <c r="C209" s="485" t="s">
        <v>717</v>
      </c>
      <c r="D209" s="486"/>
      <c r="E209" s="486"/>
      <c r="F209" s="486"/>
      <c r="G209" s="486"/>
      <c r="H209" s="486"/>
      <c r="I209" s="486"/>
      <c r="J209" s="486"/>
      <c r="K209" s="486"/>
      <c r="L209" s="486">
        <v>449</v>
      </c>
      <c r="M209" s="486">
        <v>1303</v>
      </c>
      <c r="N209" s="486">
        <v>1058</v>
      </c>
      <c r="O209" s="486">
        <v>837</v>
      </c>
      <c r="P209" s="486">
        <v>893</v>
      </c>
      <c r="Q209" s="486">
        <v>892</v>
      </c>
      <c r="R209" s="486">
        <v>254</v>
      </c>
      <c r="S209" s="486">
        <v>78</v>
      </c>
      <c r="T209" s="486"/>
      <c r="U209" s="486"/>
      <c r="V209" s="486"/>
      <c r="W209" s="486"/>
      <c r="X209" s="486"/>
      <c r="Y209" s="486"/>
      <c r="Z209" s="486"/>
      <c r="AA209" s="486"/>
      <c r="AB209" s="486"/>
      <c r="AC209" s="486"/>
      <c r="AD209" s="486"/>
      <c r="AE209" s="486"/>
      <c r="AF209" s="486"/>
      <c r="AG209" s="486"/>
      <c r="AH209" s="486"/>
      <c r="AI209" s="486"/>
      <c r="AJ209" s="486"/>
      <c r="AK209" s="486"/>
      <c r="AL209" s="486"/>
      <c r="AM209" s="486"/>
      <c r="BB209" s="486"/>
      <c r="BC209" s="486"/>
      <c r="BD209" s="486"/>
      <c r="BE209" s="483"/>
      <c r="BF209" s="483"/>
      <c r="BG209" s="483"/>
      <c r="BH209" s="483"/>
      <c r="BM209" s="486"/>
      <c r="BN209" s="486">
        <v>9</v>
      </c>
      <c r="BO209" s="486"/>
      <c r="BP209" s="486"/>
      <c r="BQ209" s="486"/>
      <c r="BR209" s="486"/>
      <c r="BS209" s="486"/>
      <c r="BT209" s="486"/>
      <c r="BU209" s="486"/>
      <c r="BV209" s="486">
        <v>0</v>
      </c>
      <c r="BW209" s="486">
        <v>0</v>
      </c>
      <c r="BX209" s="486">
        <v>0</v>
      </c>
      <c r="BY209" s="486">
        <v>0</v>
      </c>
      <c r="BZ209" s="486">
        <v>0</v>
      </c>
      <c r="CA209" s="102">
        <v>0</v>
      </c>
      <c r="CB209" s="486"/>
      <c r="CC209" s="54">
        <v>0</v>
      </c>
      <c r="CD209" s="529"/>
      <c r="CE209" s="54"/>
      <c r="CF209" s="54"/>
      <c r="CG209" s="54"/>
      <c r="CH209" s="54"/>
      <c r="CI209" s="54">
        <v>0</v>
      </c>
      <c r="CJ209" s="54">
        <v>0</v>
      </c>
      <c r="CK209" s="54">
        <v>0</v>
      </c>
      <c r="CL209" s="54">
        <v>0</v>
      </c>
      <c r="CM209" s="54">
        <v>0</v>
      </c>
      <c r="CN209" s="54">
        <v>0</v>
      </c>
      <c r="CO209" s="54">
        <v>0</v>
      </c>
      <c r="CP209" s="54">
        <v>0</v>
      </c>
      <c r="CQ209" s="54">
        <v>0</v>
      </c>
      <c r="CR209" s="54">
        <v>0</v>
      </c>
      <c r="CS209" s="486">
        <v>0</v>
      </c>
      <c r="CT209" s="486">
        <v>0</v>
      </c>
      <c r="CU209" s="486">
        <v>0</v>
      </c>
      <c r="CV209" s="486">
        <v>0</v>
      </c>
      <c r="CW209" s="486">
        <v>0</v>
      </c>
      <c r="CX209" s="486">
        <v>0</v>
      </c>
      <c r="CY209" s="486">
        <v>0</v>
      </c>
      <c r="CZ209" s="486">
        <v>0</v>
      </c>
      <c r="DA209" s="486">
        <v>0</v>
      </c>
      <c r="DB209" s="486">
        <v>0</v>
      </c>
      <c r="DC209" s="486">
        <v>0</v>
      </c>
      <c r="DD209" s="486">
        <v>0</v>
      </c>
      <c r="DE209" s="728">
        <v>0</v>
      </c>
      <c r="DF209" s="483"/>
    </row>
    <row r="210" spans="2:116" hidden="1" x14ac:dyDescent="0.35">
      <c r="B210" s="484" t="s">
        <v>718</v>
      </c>
      <c r="C210" s="485" t="s">
        <v>719</v>
      </c>
      <c r="D210" s="486"/>
      <c r="E210" s="486"/>
      <c r="F210" s="486"/>
      <c r="G210" s="486"/>
      <c r="H210" s="486"/>
      <c r="I210" s="486"/>
      <c r="J210" s="486"/>
      <c r="K210" s="486"/>
      <c r="L210" s="486"/>
      <c r="M210" s="486"/>
      <c r="N210" s="486"/>
      <c r="O210" s="486"/>
      <c r="P210" s="486"/>
      <c r="Q210" s="486"/>
      <c r="R210" s="486"/>
      <c r="S210" s="486"/>
      <c r="T210" s="486"/>
      <c r="U210" s="486">
        <v>1010</v>
      </c>
      <c r="V210" s="486">
        <v>1010</v>
      </c>
      <c r="W210" s="486">
        <v>1011</v>
      </c>
      <c r="X210" s="486">
        <v>1011</v>
      </c>
      <c r="Y210" s="486">
        <v>1008</v>
      </c>
      <c r="Z210" s="486">
        <v>1008</v>
      </c>
      <c r="AA210" s="486">
        <v>1008</v>
      </c>
      <c r="AB210" s="486">
        <v>1008</v>
      </c>
      <c r="AC210" s="486">
        <v>1001</v>
      </c>
      <c r="AD210" s="486">
        <v>1001</v>
      </c>
      <c r="AE210" s="486">
        <v>0</v>
      </c>
      <c r="AF210" s="486"/>
      <c r="AG210" s="486"/>
      <c r="AH210" s="486"/>
      <c r="AI210" s="486"/>
      <c r="AJ210" s="486"/>
      <c r="AK210" s="486"/>
      <c r="AL210" s="486"/>
      <c r="AM210" s="486"/>
      <c r="BB210" s="490"/>
      <c r="BC210" s="490"/>
      <c r="BD210" s="490"/>
      <c r="BE210" s="483"/>
      <c r="BF210" s="483"/>
      <c r="BG210" s="483"/>
      <c r="BH210" s="483"/>
      <c r="BM210" s="486"/>
      <c r="BN210" s="486">
        <v>131</v>
      </c>
      <c r="BO210" s="486"/>
      <c r="BP210" s="486"/>
      <c r="BQ210" s="486"/>
      <c r="BR210" s="486"/>
      <c r="BS210" s="486">
        <v>146</v>
      </c>
      <c r="BT210" s="486"/>
      <c r="BU210" s="486">
        <v>146</v>
      </c>
      <c r="BV210" s="486">
        <v>168</v>
      </c>
      <c r="BW210" s="486">
        <v>168</v>
      </c>
      <c r="BX210" s="486">
        <v>168</v>
      </c>
      <c r="BY210" s="486">
        <v>169</v>
      </c>
      <c r="BZ210" s="486">
        <v>170</v>
      </c>
      <c r="CA210" s="102">
        <v>172</v>
      </c>
      <c r="CB210" s="486"/>
      <c r="CC210" s="54">
        <v>174</v>
      </c>
      <c r="CD210" s="529">
        <v>174</v>
      </c>
      <c r="CE210" s="54">
        <v>174</v>
      </c>
      <c r="CF210" s="54"/>
      <c r="CG210" s="54"/>
      <c r="CH210" s="54"/>
      <c r="CI210" s="54">
        <v>0</v>
      </c>
      <c r="CJ210" s="54">
        <v>0</v>
      </c>
      <c r="CK210" s="54">
        <v>0</v>
      </c>
      <c r="CL210" s="54">
        <v>0</v>
      </c>
      <c r="CM210" s="54">
        <v>0</v>
      </c>
      <c r="CN210" s="54">
        <v>0</v>
      </c>
      <c r="CO210" s="54">
        <v>0</v>
      </c>
      <c r="CP210" s="54">
        <v>0</v>
      </c>
      <c r="CQ210" s="54">
        <v>0</v>
      </c>
      <c r="CR210" s="54">
        <v>0</v>
      </c>
      <c r="CS210" s="486">
        <v>0</v>
      </c>
      <c r="CT210" s="486">
        <v>0</v>
      </c>
      <c r="CU210" s="486">
        <v>0</v>
      </c>
      <c r="CV210" s="486">
        <v>0</v>
      </c>
      <c r="CW210" s="486">
        <v>0</v>
      </c>
      <c r="CX210" s="486">
        <v>0</v>
      </c>
      <c r="CY210" s="486">
        <v>0</v>
      </c>
      <c r="CZ210" s="486">
        <v>0</v>
      </c>
      <c r="DA210" s="486">
        <v>0</v>
      </c>
      <c r="DB210" s="486">
        <v>0</v>
      </c>
      <c r="DC210" s="486">
        <v>0</v>
      </c>
      <c r="DD210" s="486">
        <v>0</v>
      </c>
      <c r="DE210" s="728">
        <v>0</v>
      </c>
      <c r="DF210" s="483"/>
    </row>
    <row r="211" spans="2:116" hidden="1" x14ac:dyDescent="0.35">
      <c r="B211" s="484" t="s">
        <v>720</v>
      </c>
      <c r="C211" s="485" t="s">
        <v>721</v>
      </c>
      <c r="D211" s="486"/>
      <c r="E211" s="486"/>
      <c r="F211" s="486"/>
      <c r="G211" s="486"/>
      <c r="H211" s="486"/>
      <c r="I211" s="486">
        <v>1721</v>
      </c>
      <c r="J211" s="486">
        <v>11089</v>
      </c>
      <c r="K211" s="486"/>
      <c r="L211" s="486">
        <v>11587</v>
      </c>
      <c r="M211" s="486">
        <v>11584</v>
      </c>
      <c r="N211" s="486">
        <v>11201</v>
      </c>
      <c r="O211" s="486">
        <v>11186</v>
      </c>
      <c r="P211" s="486">
        <v>11093</v>
      </c>
      <c r="Q211" s="486">
        <v>11030</v>
      </c>
      <c r="R211" s="486">
        <v>10923</v>
      </c>
      <c r="S211" s="486">
        <v>10884</v>
      </c>
      <c r="T211" s="486">
        <v>10828</v>
      </c>
      <c r="U211" s="486">
        <v>10499</v>
      </c>
      <c r="V211" s="486">
        <v>9394</v>
      </c>
      <c r="W211" s="486">
        <v>8764</v>
      </c>
      <c r="X211" s="486">
        <v>6210</v>
      </c>
      <c r="Y211" s="486">
        <v>6486</v>
      </c>
      <c r="Z211" s="486">
        <v>6486</v>
      </c>
      <c r="AA211" s="486">
        <v>6313</v>
      </c>
      <c r="AB211" s="486">
        <f>6446*1.15</f>
        <v>7412.9</v>
      </c>
      <c r="AC211" s="486">
        <v>6317</v>
      </c>
      <c r="AD211" s="486">
        <v>6332</v>
      </c>
      <c r="AE211" s="486">
        <v>6330</v>
      </c>
      <c r="AF211" s="486">
        <v>0</v>
      </c>
      <c r="AG211" s="486">
        <v>0</v>
      </c>
      <c r="AH211" s="486"/>
      <c r="AI211" s="486"/>
      <c r="AJ211" s="486"/>
      <c r="AK211" s="486"/>
      <c r="AL211" s="486"/>
      <c r="AM211" s="486"/>
      <c r="BB211" s="490"/>
      <c r="BC211" s="490"/>
      <c r="BD211" s="490"/>
      <c r="BE211" s="483"/>
      <c r="BF211" s="483"/>
      <c r="BG211" s="483"/>
      <c r="BH211" s="483"/>
      <c r="BM211" s="486"/>
      <c r="BN211" s="486">
        <v>2</v>
      </c>
      <c r="BO211" s="486"/>
      <c r="BP211" s="486"/>
      <c r="BQ211" s="486"/>
      <c r="BR211" s="486"/>
      <c r="BS211" s="486"/>
      <c r="BT211" s="486"/>
      <c r="BU211" s="486"/>
      <c r="BV211" s="486">
        <v>0</v>
      </c>
      <c r="BW211" s="486">
        <v>0</v>
      </c>
      <c r="BX211" s="486">
        <v>0</v>
      </c>
      <c r="BY211" s="486">
        <v>0</v>
      </c>
      <c r="BZ211" s="486">
        <v>0</v>
      </c>
      <c r="CA211" s="102">
        <v>0</v>
      </c>
      <c r="CB211" s="486"/>
      <c r="CC211" s="54">
        <v>0</v>
      </c>
      <c r="CD211" s="529"/>
      <c r="CE211" s="54"/>
      <c r="CF211" s="54"/>
      <c r="CG211" s="54"/>
      <c r="CH211" s="54"/>
      <c r="CI211" s="54">
        <v>0</v>
      </c>
      <c r="CJ211" s="54">
        <v>0</v>
      </c>
      <c r="CK211" s="54">
        <v>0</v>
      </c>
      <c r="CL211" s="54">
        <v>0</v>
      </c>
      <c r="CM211" s="54">
        <v>0</v>
      </c>
      <c r="CN211" s="54">
        <v>0</v>
      </c>
      <c r="CO211" s="54">
        <v>0</v>
      </c>
      <c r="CP211" s="54">
        <v>0</v>
      </c>
      <c r="CQ211" s="54">
        <v>0</v>
      </c>
      <c r="CR211" s="54">
        <v>0</v>
      </c>
      <c r="CS211" s="486">
        <v>0</v>
      </c>
      <c r="CT211" s="486">
        <v>0</v>
      </c>
      <c r="CU211" s="486">
        <v>0</v>
      </c>
      <c r="CV211" s="486">
        <v>0</v>
      </c>
      <c r="CW211" s="486">
        <v>0</v>
      </c>
      <c r="CX211" s="486">
        <v>0</v>
      </c>
      <c r="CY211" s="486">
        <v>0</v>
      </c>
      <c r="CZ211" s="486">
        <v>0</v>
      </c>
      <c r="DA211" s="486">
        <v>0</v>
      </c>
      <c r="DB211" s="486">
        <v>0</v>
      </c>
      <c r="DC211" s="486">
        <v>0</v>
      </c>
      <c r="DD211" s="486">
        <v>0</v>
      </c>
      <c r="DE211" s="728">
        <v>0</v>
      </c>
      <c r="DF211" s="483"/>
    </row>
    <row r="212" spans="2:116" hidden="1" x14ac:dyDescent="0.35">
      <c r="B212" s="484" t="s">
        <v>722</v>
      </c>
      <c r="C212" s="485" t="s">
        <v>723</v>
      </c>
      <c r="D212" s="486"/>
      <c r="E212" s="486"/>
      <c r="F212" s="486"/>
      <c r="G212" s="486"/>
      <c r="H212" s="486"/>
      <c r="I212" s="486">
        <v>1237</v>
      </c>
      <c r="J212" s="486">
        <v>1240</v>
      </c>
      <c r="K212" s="486"/>
      <c r="L212" s="486">
        <v>1240</v>
      </c>
      <c r="M212" s="486">
        <v>1240</v>
      </c>
      <c r="N212" s="486">
        <v>1240</v>
      </c>
      <c r="O212" s="486">
        <v>1240</v>
      </c>
      <c r="P212" s="486">
        <v>1239</v>
      </c>
      <c r="Q212" s="486">
        <v>1189</v>
      </c>
      <c r="R212" s="486">
        <v>1238</v>
      </c>
      <c r="S212" s="486">
        <v>1238</v>
      </c>
      <c r="T212" s="486">
        <v>1238</v>
      </c>
      <c r="U212" s="486">
        <v>1238</v>
      </c>
      <c r="V212" s="486">
        <v>1238</v>
      </c>
      <c r="W212" s="486">
        <v>1238</v>
      </c>
      <c r="X212" s="486">
        <v>1238</v>
      </c>
      <c r="Y212" s="486">
        <v>1238</v>
      </c>
      <c r="Z212" s="486">
        <v>1238</v>
      </c>
      <c r="AA212" s="486">
        <v>1238</v>
      </c>
      <c r="AB212" s="486">
        <v>1238</v>
      </c>
      <c r="AC212" s="486">
        <v>1838</v>
      </c>
      <c r="AD212" s="486">
        <v>1265</v>
      </c>
      <c r="AE212" s="486">
        <v>1265</v>
      </c>
      <c r="AF212" s="486">
        <v>0</v>
      </c>
      <c r="AG212" s="486">
        <v>0</v>
      </c>
      <c r="AH212" s="486"/>
      <c r="AI212" s="486"/>
      <c r="AJ212" s="486"/>
      <c r="AK212" s="486"/>
      <c r="AL212" s="486"/>
      <c r="AM212" s="486"/>
      <c r="BB212" s="490"/>
      <c r="BC212" s="490"/>
      <c r="BD212" s="490"/>
      <c r="BE212" s="483"/>
      <c r="BF212" s="483"/>
      <c r="BG212" s="483"/>
      <c r="BH212" s="483"/>
      <c r="BM212" s="486"/>
      <c r="BN212" s="486"/>
      <c r="BO212" s="486"/>
      <c r="BP212" s="486"/>
      <c r="BQ212" s="486"/>
      <c r="BR212" s="486"/>
      <c r="BS212" s="486"/>
      <c r="BT212" s="486"/>
      <c r="BU212" s="486"/>
      <c r="BV212" s="486">
        <v>0</v>
      </c>
      <c r="BW212" s="486">
        <v>0</v>
      </c>
      <c r="BX212" s="486">
        <v>0</v>
      </c>
      <c r="BY212" s="486">
        <v>0</v>
      </c>
      <c r="BZ212" s="486">
        <v>0</v>
      </c>
      <c r="CA212" s="102">
        <v>0</v>
      </c>
      <c r="CB212" s="486"/>
      <c r="CC212" s="54">
        <v>0</v>
      </c>
      <c r="CD212" s="529"/>
      <c r="CE212" s="54"/>
      <c r="CF212" s="54"/>
      <c r="CG212" s="54"/>
      <c r="CH212" s="54"/>
      <c r="CI212" s="54">
        <v>0</v>
      </c>
      <c r="CJ212" s="54">
        <v>0</v>
      </c>
      <c r="CK212" s="54">
        <v>0</v>
      </c>
      <c r="CL212" s="54">
        <v>0</v>
      </c>
      <c r="CM212" s="54">
        <v>0</v>
      </c>
      <c r="CN212" s="54">
        <v>0</v>
      </c>
      <c r="CO212" s="54">
        <v>0</v>
      </c>
      <c r="CP212" s="54">
        <v>0</v>
      </c>
      <c r="CQ212" s="54">
        <v>0</v>
      </c>
      <c r="CR212" s="54">
        <v>0</v>
      </c>
      <c r="CS212" s="486">
        <v>0</v>
      </c>
      <c r="CT212" s="486">
        <v>0</v>
      </c>
      <c r="CU212" s="486">
        <v>0</v>
      </c>
      <c r="CV212" s="486">
        <v>0</v>
      </c>
      <c r="CW212" s="486">
        <v>0</v>
      </c>
      <c r="CX212" s="486">
        <v>0</v>
      </c>
      <c r="CY212" s="486">
        <v>0</v>
      </c>
      <c r="CZ212" s="486">
        <v>0</v>
      </c>
      <c r="DA212" s="486">
        <v>0</v>
      </c>
      <c r="DB212" s="486">
        <v>0</v>
      </c>
      <c r="DC212" s="486">
        <v>0</v>
      </c>
      <c r="DD212" s="486">
        <v>0</v>
      </c>
      <c r="DE212" s="728">
        <v>0</v>
      </c>
      <c r="DF212" s="483"/>
    </row>
    <row r="213" spans="2:116" hidden="1" x14ac:dyDescent="0.35">
      <c r="B213" s="484" t="s">
        <v>724</v>
      </c>
      <c r="C213" s="485" t="s">
        <v>725</v>
      </c>
      <c r="D213" s="488"/>
      <c r="E213" s="488"/>
      <c r="F213" s="486"/>
      <c r="G213" s="486"/>
      <c r="H213" s="486">
        <v>1412</v>
      </c>
      <c r="I213" s="486">
        <v>7415</v>
      </c>
      <c r="J213" s="486">
        <v>7420</v>
      </c>
      <c r="K213" s="486"/>
      <c r="L213" s="486">
        <v>7420</v>
      </c>
      <c r="M213" s="486">
        <v>7420</v>
      </c>
      <c r="N213" s="486">
        <v>7420</v>
      </c>
      <c r="O213" s="486">
        <v>7420</v>
      </c>
      <c r="P213" s="486">
        <v>7420</v>
      </c>
      <c r="Q213" s="486">
        <v>7420</v>
      </c>
      <c r="R213" s="486">
        <v>7420</v>
      </c>
      <c r="S213" s="486">
        <v>7420</v>
      </c>
      <c r="T213" s="486">
        <v>7420</v>
      </c>
      <c r="U213" s="486">
        <v>7420</v>
      </c>
      <c r="V213" s="486">
        <v>7420</v>
      </c>
      <c r="W213" s="486">
        <v>7420</v>
      </c>
      <c r="X213" s="486">
        <v>7420</v>
      </c>
      <c r="Y213" s="486">
        <v>7420</v>
      </c>
      <c r="Z213" s="486">
        <v>7420</v>
      </c>
      <c r="AA213" s="486">
        <v>7422</v>
      </c>
      <c r="AB213" s="486">
        <v>7422</v>
      </c>
      <c r="AC213" s="486">
        <v>7422</v>
      </c>
      <c r="AD213" s="486">
        <v>7422</v>
      </c>
      <c r="AE213" s="486">
        <v>7422</v>
      </c>
      <c r="AF213" s="486">
        <v>7422</v>
      </c>
      <c r="AG213" s="486">
        <v>7422</v>
      </c>
      <c r="AH213" s="486">
        <v>7422</v>
      </c>
      <c r="AI213" s="486">
        <v>7422</v>
      </c>
      <c r="AJ213" s="486">
        <v>7422</v>
      </c>
      <c r="AK213" s="486"/>
      <c r="AL213" s="486"/>
      <c r="AM213" s="486"/>
      <c r="BB213" s="490"/>
      <c r="BC213" s="490"/>
      <c r="BD213" s="490"/>
      <c r="BE213" s="483"/>
      <c r="BF213" s="483"/>
      <c r="BG213" s="483"/>
      <c r="BH213" s="483"/>
      <c r="BM213" s="486"/>
      <c r="BN213" s="486"/>
      <c r="BO213" s="486"/>
      <c r="BP213" s="486"/>
      <c r="BQ213" s="486"/>
      <c r="BR213" s="486"/>
      <c r="BS213" s="486"/>
      <c r="BT213" s="486"/>
      <c r="BU213" s="486"/>
      <c r="BV213" s="486">
        <v>0</v>
      </c>
      <c r="BW213" s="486">
        <v>0</v>
      </c>
      <c r="BX213" s="486">
        <v>0</v>
      </c>
      <c r="BY213" s="486">
        <v>0</v>
      </c>
      <c r="BZ213" s="486">
        <v>0</v>
      </c>
      <c r="CA213" s="102">
        <v>0</v>
      </c>
      <c r="CB213" s="486"/>
      <c r="CC213" s="54">
        <v>0</v>
      </c>
      <c r="CD213" s="529"/>
      <c r="CE213" s="54"/>
      <c r="CF213" s="54"/>
      <c r="CG213" s="54"/>
      <c r="CH213" s="54"/>
      <c r="CI213" s="54">
        <v>0</v>
      </c>
      <c r="CJ213" s="54">
        <v>0</v>
      </c>
      <c r="CK213" s="54">
        <v>0</v>
      </c>
      <c r="CL213" s="54">
        <v>0</v>
      </c>
      <c r="CM213" s="54">
        <v>0</v>
      </c>
      <c r="CN213" s="54">
        <v>0</v>
      </c>
      <c r="CO213" s="54">
        <v>0</v>
      </c>
      <c r="CP213" s="54">
        <v>0</v>
      </c>
      <c r="CQ213" s="54">
        <v>0</v>
      </c>
      <c r="CR213" s="54">
        <v>0</v>
      </c>
      <c r="CS213" s="486">
        <v>0</v>
      </c>
      <c r="CT213" s="486">
        <v>0</v>
      </c>
      <c r="CU213" s="486">
        <v>0</v>
      </c>
      <c r="CV213" s="486">
        <v>0</v>
      </c>
      <c r="CW213" s="486">
        <v>0</v>
      </c>
      <c r="CX213" s="486">
        <v>0</v>
      </c>
      <c r="CY213" s="486">
        <v>0</v>
      </c>
      <c r="CZ213" s="486">
        <v>0</v>
      </c>
      <c r="DA213" s="486">
        <v>0</v>
      </c>
      <c r="DB213" s="486">
        <v>0</v>
      </c>
      <c r="DC213" s="486">
        <v>0</v>
      </c>
      <c r="DD213" s="486">
        <v>0</v>
      </c>
      <c r="DE213" s="728">
        <v>0</v>
      </c>
      <c r="DF213" s="483"/>
    </row>
    <row r="214" spans="2:116" hidden="1" x14ac:dyDescent="0.35">
      <c r="B214" t="s">
        <v>726</v>
      </c>
      <c r="C214" s="485" t="s">
        <v>727</v>
      </c>
      <c r="D214" s="486"/>
      <c r="E214" s="486"/>
      <c r="F214" s="486"/>
      <c r="G214" s="486"/>
      <c r="H214" s="486"/>
      <c r="I214" s="486"/>
      <c r="J214" s="486"/>
      <c r="K214" s="486"/>
      <c r="L214" s="486"/>
      <c r="M214" s="486"/>
      <c r="N214" s="486"/>
      <c r="O214" s="486"/>
      <c r="P214" s="486"/>
      <c r="Q214" s="486"/>
      <c r="R214" s="486"/>
      <c r="S214" s="486"/>
      <c r="T214" s="486">
        <v>1080</v>
      </c>
      <c r="U214" s="486">
        <v>1079</v>
      </c>
      <c r="V214" s="486">
        <v>1130</v>
      </c>
      <c r="W214" s="486">
        <v>1230</v>
      </c>
      <c r="X214" s="486">
        <v>1128</v>
      </c>
      <c r="Y214" s="486">
        <v>1127</v>
      </c>
      <c r="Z214" s="486">
        <v>1127</v>
      </c>
      <c r="AA214" s="486">
        <v>1227</v>
      </c>
      <c r="AB214" s="486">
        <v>1225</v>
      </c>
      <c r="AC214" s="486">
        <v>1081</v>
      </c>
      <c r="AD214" s="486">
        <v>1081</v>
      </c>
      <c r="AE214" s="486">
        <v>1029</v>
      </c>
      <c r="AF214" s="486">
        <v>1029</v>
      </c>
      <c r="AG214" s="486">
        <v>1009</v>
      </c>
      <c r="AH214" s="486">
        <v>1009</v>
      </c>
      <c r="AI214" s="486">
        <v>1005</v>
      </c>
      <c r="AJ214" s="486">
        <v>1005</v>
      </c>
      <c r="AK214" s="486"/>
      <c r="AL214" s="486"/>
      <c r="AM214" s="486"/>
      <c r="BB214" s="490"/>
      <c r="BC214" s="490"/>
      <c r="BD214" s="490"/>
      <c r="BE214" s="483"/>
      <c r="BF214" s="483"/>
      <c r="BG214" s="483"/>
      <c r="BH214" s="483"/>
      <c r="BM214" s="486"/>
      <c r="BN214" s="486">
        <v>199</v>
      </c>
      <c r="BO214" s="486"/>
      <c r="BP214" s="486"/>
      <c r="BQ214" s="486"/>
      <c r="BR214" s="486"/>
      <c r="BS214" s="486">
        <v>166</v>
      </c>
      <c r="BT214" s="486"/>
      <c r="BU214" s="486">
        <v>166</v>
      </c>
      <c r="BV214" s="486">
        <v>166</v>
      </c>
      <c r="BW214" s="486">
        <v>64</v>
      </c>
      <c r="BX214" s="486">
        <v>12</v>
      </c>
      <c r="BY214" s="486">
        <v>12</v>
      </c>
      <c r="BZ214" s="486">
        <v>12</v>
      </c>
      <c r="CA214" s="102">
        <v>12</v>
      </c>
      <c r="CB214" s="486"/>
      <c r="CC214" s="54">
        <v>1</v>
      </c>
      <c r="CD214" s="529">
        <v>1</v>
      </c>
      <c r="CE214" s="54">
        <v>3</v>
      </c>
      <c r="CF214" s="54"/>
      <c r="CG214" s="54"/>
      <c r="CH214" s="54"/>
      <c r="CI214" s="54">
        <v>0</v>
      </c>
      <c r="CJ214" s="54">
        <v>0</v>
      </c>
      <c r="CK214" s="54">
        <v>0</v>
      </c>
      <c r="CL214" s="54">
        <v>0</v>
      </c>
      <c r="CM214" s="54">
        <v>0</v>
      </c>
      <c r="CN214" s="54">
        <v>0</v>
      </c>
      <c r="CO214" s="54">
        <v>0</v>
      </c>
      <c r="CP214" s="54">
        <v>0</v>
      </c>
      <c r="CQ214" s="54">
        <v>0</v>
      </c>
      <c r="CR214" s="54">
        <v>0</v>
      </c>
      <c r="CS214" s="486">
        <v>0</v>
      </c>
      <c r="CT214" s="486">
        <v>0</v>
      </c>
      <c r="CU214" s="486">
        <v>0</v>
      </c>
      <c r="CV214" s="486">
        <v>0</v>
      </c>
      <c r="CW214" s="486">
        <v>0</v>
      </c>
      <c r="CX214" s="486">
        <v>0</v>
      </c>
      <c r="CY214" s="486">
        <v>0</v>
      </c>
      <c r="CZ214" s="486">
        <v>0</v>
      </c>
      <c r="DA214" s="486">
        <v>0</v>
      </c>
      <c r="DB214" s="486">
        <v>0</v>
      </c>
      <c r="DC214" s="486">
        <v>0</v>
      </c>
      <c r="DD214" s="486">
        <v>0</v>
      </c>
      <c r="DE214" s="728">
        <v>0</v>
      </c>
      <c r="DF214" s="483"/>
    </row>
    <row r="215" spans="2:116" hidden="1" x14ac:dyDescent="0.35">
      <c r="B215" s="484" t="s">
        <v>728</v>
      </c>
      <c r="C215" s="485" t="s">
        <v>729</v>
      </c>
      <c r="D215" s="486"/>
      <c r="E215" s="486"/>
      <c r="F215" s="486" t="s">
        <v>2</v>
      </c>
      <c r="G215" s="486"/>
      <c r="H215" s="486"/>
      <c r="I215" s="486">
        <v>0</v>
      </c>
      <c r="J215" s="486">
        <v>2324</v>
      </c>
      <c r="K215" s="486"/>
      <c r="L215" s="486">
        <v>2864</v>
      </c>
      <c r="M215" s="486">
        <v>3124</v>
      </c>
      <c r="N215" s="486">
        <v>3722</v>
      </c>
      <c r="O215" s="486">
        <v>3292</v>
      </c>
      <c r="P215" s="486">
        <v>3249</v>
      </c>
      <c r="Q215" s="486">
        <v>3248</v>
      </c>
      <c r="R215" s="486">
        <v>3244</v>
      </c>
      <c r="S215" s="486">
        <v>3244</v>
      </c>
      <c r="T215" s="486">
        <v>3244</v>
      </c>
      <c r="U215" s="486">
        <v>3180</v>
      </c>
      <c r="V215" s="486">
        <v>3107</v>
      </c>
      <c r="W215" s="486">
        <v>3091</v>
      </c>
      <c r="X215" s="486">
        <v>2744</v>
      </c>
      <c r="Y215" s="486">
        <v>2466</v>
      </c>
      <c r="Z215" s="486">
        <v>2248</v>
      </c>
      <c r="AA215" s="486">
        <v>2118</v>
      </c>
      <c r="AB215" s="486">
        <v>2069</v>
      </c>
      <c r="AC215" s="486">
        <v>1966</v>
      </c>
      <c r="AD215" s="486">
        <v>1920</v>
      </c>
      <c r="AE215" s="486">
        <v>1877</v>
      </c>
      <c r="AF215" s="486">
        <v>1753</v>
      </c>
      <c r="AG215" s="486">
        <v>1599</v>
      </c>
      <c r="AH215" s="486">
        <v>1543</v>
      </c>
      <c r="AI215" s="486">
        <v>1509</v>
      </c>
      <c r="AJ215" s="486">
        <v>1471</v>
      </c>
      <c r="AK215" s="486">
        <v>1467</v>
      </c>
      <c r="AL215" s="486">
        <v>1413</v>
      </c>
      <c r="AM215" s="486">
        <v>1355</v>
      </c>
      <c r="AN215" s="486">
        <v>1280</v>
      </c>
      <c r="AO215" s="486">
        <v>1272</v>
      </c>
      <c r="AP215" s="486">
        <v>1210</v>
      </c>
      <c r="AQ215" s="486">
        <v>1168</v>
      </c>
      <c r="AR215" s="486">
        <v>1114</v>
      </c>
      <c r="AS215" s="483"/>
      <c r="BB215" s="486">
        <v>846</v>
      </c>
      <c r="BC215" s="486"/>
      <c r="BD215" s="486"/>
      <c r="BE215" s="483"/>
      <c r="BF215" s="483"/>
      <c r="BG215" s="483"/>
      <c r="BH215" s="483"/>
      <c r="BM215" s="486"/>
      <c r="BN215" s="486">
        <v>2</v>
      </c>
      <c r="BO215" s="486"/>
      <c r="BP215" s="486"/>
      <c r="BQ215" s="486"/>
      <c r="BR215" s="486"/>
      <c r="BS215" s="486">
        <v>2</v>
      </c>
      <c r="BT215" s="486"/>
      <c r="BU215" s="486">
        <v>1</v>
      </c>
      <c r="BV215" s="486">
        <v>0</v>
      </c>
      <c r="BW215" s="486">
        <v>0</v>
      </c>
      <c r="BX215" s="486">
        <v>0</v>
      </c>
      <c r="BY215" s="486">
        <v>0</v>
      </c>
      <c r="BZ215" s="486">
        <v>0</v>
      </c>
      <c r="CA215" s="102">
        <v>0</v>
      </c>
      <c r="CB215" s="486"/>
      <c r="CC215" s="54">
        <v>0</v>
      </c>
      <c r="CD215" s="529"/>
      <c r="CE215" s="54"/>
      <c r="CF215" s="54"/>
      <c r="CG215" s="54"/>
      <c r="CH215" s="54"/>
      <c r="CI215" s="54">
        <v>0</v>
      </c>
      <c r="CJ215" s="54">
        <v>0</v>
      </c>
      <c r="CK215" s="54">
        <v>0</v>
      </c>
      <c r="CL215" s="54">
        <v>0</v>
      </c>
      <c r="CM215" s="54">
        <v>0</v>
      </c>
      <c r="CN215" s="54">
        <v>0</v>
      </c>
      <c r="CO215" s="54">
        <v>0</v>
      </c>
      <c r="CP215" s="54">
        <v>0</v>
      </c>
      <c r="CQ215" s="54">
        <v>0</v>
      </c>
      <c r="CR215" s="54">
        <v>0</v>
      </c>
      <c r="CS215" s="486">
        <v>0</v>
      </c>
      <c r="CT215" s="486">
        <v>0</v>
      </c>
      <c r="CU215" s="486">
        <v>0</v>
      </c>
      <c r="CV215" s="486">
        <v>0</v>
      </c>
      <c r="CW215" s="486">
        <v>0</v>
      </c>
      <c r="CX215" s="486">
        <v>0</v>
      </c>
      <c r="CY215" s="486">
        <v>0</v>
      </c>
      <c r="CZ215" s="486">
        <v>0</v>
      </c>
      <c r="DA215" s="486">
        <v>0</v>
      </c>
      <c r="DB215" s="486">
        <v>0</v>
      </c>
      <c r="DC215" s="486">
        <v>0</v>
      </c>
      <c r="DD215" s="486">
        <v>0</v>
      </c>
      <c r="DE215" s="728">
        <v>0</v>
      </c>
      <c r="DF215" s="483"/>
    </row>
    <row r="216" spans="2:116" hidden="1" x14ac:dyDescent="0.35">
      <c r="B216" s="484" t="s">
        <v>730</v>
      </c>
      <c r="C216" s="485" t="s">
        <v>731</v>
      </c>
      <c r="D216" s="486"/>
      <c r="E216" s="486"/>
      <c r="F216" s="486"/>
      <c r="G216" s="486"/>
      <c r="H216" s="486"/>
      <c r="I216" s="486"/>
      <c r="J216" s="486"/>
      <c r="K216" s="486"/>
      <c r="L216" s="486"/>
      <c r="M216" s="486"/>
      <c r="N216" s="486"/>
      <c r="O216" s="486"/>
      <c r="P216" s="486"/>
      <c r="Q216" s="486"/>
      <c r="R216" s="486"/>
      <c r="S216" s="486"/>
      <c r="T216" s="486"/>
      <c r="U216" s="486"/>
      <c r="V216" s="486"/>
      <c r="W216" s="486"/>
      <c r="X216" s="486"/>
      <c r="Y216" s="486"/>
      <c r="Z216" s="486"/>
      <c r="AA216" s="486"/>
      <c r="AB216" s="486"/>
      <c r="AC216" s="486"/>
      <c r="AD216" s="486"/>
      <c r="AE216" s="486"/>
      <c r="AF216" s="486">
        <v>1054</v>
      </c>
      <c r="AG216" s="486">
        <v>1054</v>
      </c>
      <c r="AH216" s="486">
        <v>1554</v>
      </c>
      <c r="AI216" s="486">
        <v>2054</v>
      </c>
      <c r="AJ216" s="486">
        <v>2554</v>
      </c>
      <c r="AK216" s="486">
        <v>2554</v>
      </c>
      <c r="AL216" s="486">
        <v>2554</v>
      </c>
      <c r="AM216" s="486">
        <v>2554</v>
      </c>
      <c r="AN216" s="486">
        <v>2554</v>
      </c>
      <c r="AO216" s="486">
        <v>2554</v>
      </c>
      <c r="AP216" s="486">
        <v>2554</v>
      </c>
      <c r="AQ216" s="486">
        <v>2554</v>
      </c>
      <c r="AR216" s="486">
        <v>2554</v>
      </c>
      <c r="AS216" s="486">
        <v>2554</v>
      </c>
      <c r="AT216" s="486">
        <v>2554</v>
      </c>
      <c r="AU216" s="486">
        <v>2554</v>
      </c>
      <c r="AV216" s="486">
        <v>2554</v>
      </c>
      <c r="AW216" s="486">
        <v>2554</v>
      </c>
      <c r="AX216" s="486">
        <v>2554</v>
      </c>
      <c r="AY216" s="486"/>
      <c r="AZ216" s="486"/>
      <c r="BA216" s="486"/>
      <c r="BB216" s="486"/>
      <c r="BC216" s="486"/>
      <c r="BD216" s="486"/>
      <c r="BE216" s="483"/>
      <c r="BF216" s="483"/>
      <c r="BG216" s="483"/>
      <c r="BH216" s="483"/>
      <c r="BM216" s="486"/>
      <c r="BN216" s="486"/>
      <c r="BO216" s="486"/>
      <c r="BP216" s="486"/>
      <c r="BQ216" s="486"/>
      <c r="BR216" s="486"/>
      <c r="BS216" s="486"/>
      <c r="BT216" s="486"/>
      <c r="BU216" s="486"/>
      <c r="BV216" s="486">
        <v>0</v>
      </c>
      <c r="BW216" s="486">
        <v>0</v>
      </c>
      <c r="BX216" s="486">
        <v>0</v>
      </c>
      <c r="BY216" s="486">
        <v>0</v>
      </c>
      <c r="BZ216" s="486">
        <v>0</v>
      </c>
      <c r="CA216" s="102">
        <v>0</v>
      </c>
      <c r="CB216" s="486"/>
      <c r="CC216" s="54">
        <v>0</v>
      </c>
      <c r="CD216" s="529"/>
      <c r="CE216" s="54"/>
      <c r="CF216" s="54"/>
      <c r="CG216" s="54"/>
      <c r="CH216" s="54"/>
      <c r="CI216" s="54">
        <v>0</v>
      </c>
      <c r="CJ216" s="54">
        <v>0</v>
      </c>
      <c r="CK216" s="54">
        <v>0</v>
      </c>
      <c r="CL216" s="54">
        <v>0</v>
      </c>
      <c r="CM216" s="54">
        <v>0</v>
      </c>
      <c r="CN216" s="54">
        <v>0</v>
      </c>
      <c r="CO216" s="54">
        <v>0</v>
      </c>
      <c r="CP216" s="54">
        <v>0</v>
      </c>
      <c r="CQ216" s="54">
        <v>0</v>
      </c>
      <c r="CR216" s="54">
        <v>0</v>
      </c>
      <c r="CS216" s="486">
        <v>0</v>
      </c>
      <c r="CT216" s="486">
        <v>0</v>
      </c>
      <c r="CU216" s="486">
        <v>0</v>
      </c>
      <c r="CV216" s="486">
        <v>0</v>
      </c>
      <c r="CW216" s="486">
        <v>0</v>
      </c>
      <c r="CX216" s="486">
        <v>0</v>
      </c>
      <c r="CY216" s="486">
        <v>0</v>
      </c>
      <c r="CZ216" s="486">
        <v>0</v>
      </c>
      <c r="DA216" s="486">
        <v>0</v>
      </c>
      <c r="DB216" s="486">
        <v>0</v>
      </c>
      <c r="DC216" s="486">
        <v>0</v>
      </c>
      <c r="DD216" s="486">
        <v>0</v>
      </c>
      <c r="DE216" s="728">
        <v>0</v>
      </c>
      <c r="DF216" s="483"/>
    </row>
    <row r="217" spans="2:116" hidden="1" x14ac:dyDescent="0.35">
      <c r="B217" s="484" t="s">
        <v>732</v>
      </c>
      <c r="C217" s="485" t="s">
        <v>733</v>
      </c>
      <c r="D217" s="486"/>
      <c r="E217" s="486"/>
      <c r="F217" s="486"/>
      <c r="G217" s="486"/>
      <c r="H217" s="486"/>
      <c r="I217" s="486"/>
      <c r="J217" s="486"/>
      <c r="K217" s="486"/>
      <c r="L217" s="486"/>
      <c r="M217" s="486"/>
      <c r="N217" s="486"/>
      <c r="O217" s="486"/>
      <c r="P217" s="486"/>
      <c r="Q217" s="486"/>
      <c r="R217" s="486"/>
      <c r="S217" s="486"/>
      <c r="T217" s="486"/>
      <c r="U217" s="486"/>
      <c r="V217" s="486"/>
      <c r="W217" s="486"/>
      <c r="X217" s="486"/>
      <c r="Y217" s="486"/>
      <c r="Z217" s="486"/>
      <c r="AA217" s="486"/>
      <c r="AB217" s="486"/>
      <c r="AC217" s="486"/>
      <c r="AD217" s="486"/>
      <c r="AE217" s="486"/>
      <c r="AF217" s="486"/>
      <c r="AG217" s="486">
        <v>1606</v>
      </c>
      <c r="AH217" s="486">
        <v>2606</v>
      </c>
      <c r="AI217" s="486">
        <v>2606</v>
      </c>
      <c r="AJ217" s="486">
        <v>2606</v>
      </c>
      <c r="AK217" s="486">
        <v>2606</v>
      </c>
      <c r="AL217" s="486">
        <v>2604</v>
      </c>
      <c r="AM217" s="486">
        <v>2604</v>
      </c>
      <c r="AN217" s="486">
        <v>2604</v>
      </c>
      <c r="AO217" s="486">
        <v>2604</v>
      </c>
      <c r="AP217" s="486">
        <v>2144</v>
      </c>
      <c r="AQ217" s="486">
        <v>2144</v>
      </c>
      <c r="AR217" s="486">
        <v>2144</v>
      </c>
      <c r="AS217" s="486">
        <v>2144</v>
      </c>
      <c r="AT217" s="486">
        <v>2144</v>
      </c>
      <c r="AU217" s="486">
        <v>2144</v>
      </c>
      <c r="AV217" s="486">
        <v>2144</v>
      </c>
      <c r="AW217" s="486">
        <v>2144</v>
      </c>
      <c r="AX217" s="486">
        <v>2143</v>
      </c>
      <c r="AY217" s="486"/>
      <c r="AZ217" s="486"/>
      <c r="BA217" s="486"/>
      <c r="BB217" s="486"/>
      <c r="BC217" s="486"/>
      <c r="BD217" s="486"/>
      <c r="BE217" s="483"/>
      <c r="BF217" s="483"/>
      <c r="BG217" s="483"/>
      <c r="BH217" s="483"/>
      <c r="BM217" s="486"/>
      <c r="BN217" s="486"/>
      <c r="BO217" s="486"/>
      <c r="BP217" s="486"/>
      <c r="BQ217" s="486"/>
      <c r="BR217" s="486"/>
      <c r="BS217" s="486"/>
      <c r="BT217" s="486"/>
      <c r="BU217" s="486"/>
      <c r="BV217" s="486">
        <v>0</v>
      </c>
      <c r="BW217" s="486">
        <v>0</v>
      </c>
      <c r="BX217" s="486">
        <v>0</v>
      </c>
      <c r="BY217" s="486">
        <v>0</v>
      </c>
      <c r="BZ217" s="486">
        <v>0</v>
      </c>
      <c r="CA217" s="102">
        <v>0</v>
      </c>
      <c r="CB217" s="486"/>
      <c r="CC217" s="54">
        <v>0</v>
      </c>
      <c r="CD217" s="529"/>
      <c r="CE217" s="54"/>
      <c r="CF217" s="54"/>
      <c r="CG217" s="54"/>
      <c r="CH217" s="54"/>
      <c r="CI217" s="54">
        <v>0</v>
      </c>
      <c r="CJ217" s="54">
        <v>0</v>
      </c>
      <c r="CK217" s="54">
        <v>0</v>
      </c>
      <c r="CL217" s="54">
        <v>0</v>
      </c>
      <c r="CM217" s="54">
        <v>0</v>
      </c>
      <c r="CN217" s="54">
        <v>0</v>
      </c>
      <c r="CO217" s="54">
        <v>0</v>
      </c>
      <c r="CP217" s="54">
        <v>0</v>
      </c>
      <c r="CQ217" s="54">
        <v>0</v>
      </c>
      <c r="CR217" s="54">
        <v>0</v>
      </c>
      <c r="CS217" s="486">
        <v>0</v>
      </c>
      <c r="CT217" s="486">
        <v>0</v>
      </c>
      <c r="CU217" s="486">
        <v>0</v>
      </c>
      <c r="CV217" s="486">
        <v>0</v>
      </c>
      <c r="CW217" s="486">
        <v>0</v>
      </c>
      <c r="CX217" s="486">
        <v>0</v>
      </c>
      <c r="CY217" s="486">
        <v>0</v>
      </c>
      <c r="CZ217" s="486">
        <v>0</v>
      </c>
      <c r="DA217" s="486">
        <v>0</v>
      </c>
      <c r="DB217" s="486">
        <v>0</v>
      </c>
      <c r="DC217" s="486">
        <v>0</v>
      </c>
      <c r="DD217" s="486">
        <v>0</v>
      </c>
      <c r="DE217" s="728">
        <v>0</v>
      </c>
      <c r="DF217" s="483"/>
    </row>
    <row r="218" spans="2:116" hidden="1" x14ac:dyDescent="0.35">
      <c r="B218" s="484" t="s">
        <v>734</v>
      </c>
      <c r="C218" s="485" t="s">
        <v>735</v>
      </c>
      <c r="D218" s="486"/>
      <c r="E218" s="486"/>
      <c r="F218" s="486"/>
      <c r="G218" s="486"/>
      <c r="H218" s="486"/>
      <c r="I218" s="486">
        <v>912</v>
      </c>
      <c r="J218" s="486">
        <v>1313</v>
      </c>
      <c r="K218" s="486"/>
      <c r="L218" s="486">
        <v>1311</v>
      </c>
      <c r="M218" s="486">
        <v>1415</v>
      </c>
      <c r="N218" s="486">
        <v>1320</v>
      </c>
      <c r="O218" s="486">
        <v>1368</v>
      </c>
      <c r="P218" s="486">
        <v>1337</v>
      </c>
      <c r="Q218" s="486">
        <v>1322</v>
      </c>
      <c r="R218" s="486">
        <v>1321</v>
      </c>
      <c r="S218" s="486">
        <v>1241</v>
      </c>
      <c r="T218" s="486">
        <v>1235</v>
      </c>
      <c r="U218" s="486">
        <v>1235</v>
      </c>
      <c r="V218" s="486">
        <v>1235</v>
      </c>
      <c r="W218" s="486">
        <v>1235</v>
      </c>
      <c r="X218" s="486">
        <v>1533</v>
      </c>
      <c r="Y218" s="486">
        <v>1533</v>
      </c>
      <c r="Z218" s="486">
        <v>1533</v>
      </c>
      <c r="AA218" s="486">
        <v>1633</v>
      </c>
      <c r="AB218" s="486">
        <v>1630</v>
      </c>
      <c r="AC218" s="486">
        <v>1639</v>
      </c>
      <c r="AD218" s="486">
        <v>1639</v>
      </c>
      <c r="AE218" s="486">
        <v>1698</v>
      </c>
      <c r="AF218" s="486">
        <v>1721</v>
      </c>
      <c r="AG218" s="486">
        <v>1721</v>
      </c>
      <c r="AH218" s="486">
        <v>1753</v>
      </c>
      <c r="AI218" s="486">
        <v>1800</v>
      </c>
      <c r="AJ218" s="486">
        <v>1799</v>
      </c>
      <c r="AK218" s="486">
        <v>1823</v>
      </c>
      <c r="AL218" s="486">
        <v>1838</v>
      </c>
      <c r="AM218" s="486">
        <v>1888</v>
      </c>
      <c r="AN218" s="486">
        <v>1873</v>
      </c>
      <c r="AO218" s="486">
        <v>1872</v>
      </c>
      <c r="AP218" s="486">
        <v>1872</v>
      </c>
      <c r="AQ218" s="486">
        <v>1872</v>
      </c>
      <c r="AR218" s="486">
        <v>1880</v>
      </c>
      <c r="AS218" s="486">
        <v>1896</v>
      </c>
      <c r="AT218" s="486">
        <v>1913</v>
      </c>
      <c r="AU218" s="486">
        <v>1901</v>
      </c>
      <c r="AV218" s="486">
        <v>1714</v>
      </c>
      <c r="AW218" s="486">
        <v>1166</v>
      </c>
      <c r="AX218" s="486">
        <v>1133</v>
      </c>
      <c r="AY218" s="486">
        <v>1099</v>
      </c>
      <c r="AZ218" s="486">
        <v>1115</v>
      </c>
      <c r="BA218" s="486">
        <v>1103</v>
      </c>
      <c r="BB218" s="486">
        <v>1102</v>
      </c>
      <c r="BC218" s="486">
        <v>1100</v>
      </c>
      <c r="BD218" s="486">
        <v>1103</v>
      </c>
      <c r="BE218" s="486">
        <v>1103</v>
      </c>
      <c r="BF218" s="486">
        <v>1103</v>
      </c>
      <c r="BG218" s="486"/>
      <c r="BH218" s="486"/>
      <c r="BM218" s="486"/>
      <c r="BN218" s="486">
        <v>426</v>
      </c>
      <c r="BO218" s="486"/>
      <c r="BP218" s="486"/>
      <c r="BQ218" s="486"/>
      <c r="BR218" s="486"/>
      <c r="BS218" s="486">
        <v>1</v>
      </c>
      <c r="BT218" s="486"/>
      <c r="BU218" s="486"/>
      <c r="BV218" s="486">
        <v>0</v>
      </c>
      <c r="BW218" s="486">
        <v>0</v>
      </c>
      <c r="BX218" s="486">
        <v>0</v>
      </c>
      <c r="BY218" s="486">
        <v>0</v>
      </c>
      <c r="BZ218" s="486">
        <v>0</v>
      </c>
      <c r="CA218" s="102">
        <v>0</v>
      </c>
      <c r="CB218" s="486"/>
      <c r="CC218" s="54">
        <v>0</v>
      </c>
      <c r="CD218" s="529"/>
      <c r="CE218" s="54"/>
      <c r="CF218" s="54"/>
      <c r="CG218" s="54"/>
      <c r="CH218" s="54"/>
      <c r="CI218" s="54">
        <v>0</v>
      </c>
      <c r="CJ218" s="54">
        <v>0</v>
      </c>
      <c r="CK218" s="54">
        <v>0</v>
      </c>
      <c r="CL218" s="54">
        <v>0</v>
      </c>
      <c r="CM218" s="54">
        <v>0</v>
      </c>
      <c r="CN218" s="54">
        <v>0</v>
      </c>
      <c r="CO218" s="54">
        <v>0</v>
      </c>
      <c r="CP218" s="54">
        <v>0</v>
      </c>
      <c r="CQ218" s="54">
        <v>0</v>
      </c>
      <c r="CR218" s="54">
        <v>0</v>
      </c>
      <c r="CS218" s="486">
        <v>0</v>
      </c>
      <c r="CT218" s="486">
        <v>0</v>
      </c>
      <c r="CU218" s="486">
        <v>0</v>
      </c>
      <c r="CV218" s="486">
        <v>0</v>
      </c>
      <c r="CW218" s="486">
        <v>0</v>
      </c>
      <c r="CX218" s="486">
        <v>0</v>
      </c>
      <c r="CY218" s="486">
        <v>0</v>
      </c>
      <c r="CZ218" s="486">
        <v>0</v>
      </c>
      <c r="DA218" s="486">
        <v>0</v>
      </c>
      <c r="DB218" s="486">
        <v>0</v>
      </c>
      <c r="DC218" s="486">
        <v>0</v>
      </c>
      <c r="DD218" s="486">
        <v>0</v>
      </c>
      <c r="DE218" s="728">
        <v>0</v>
      </c>
      <c r="DF218" s="483"/>
    </row>
    <row r="219" spans="2:116" hidden="1" x14ac:dyDescent="0.35">
      <c r="B219" s="484" t="s">
        <v>736</v>
      </c>
      <c r="C219" s="485" t="s">
        <v>737</v>
      </c>
      <c r="D219" s="486"/>
      <c r="E219" s="486"/>
      <c r="F219" s="486"/>
      <c r="G219" s="486"/>
      <c r="H219" s="486"/>
      <c r="I219" s="486"/>
      <c r="J219" s="486"/>
      <c r="K219" s="486"/>
      <c r="L219" s="486"/>
      <c r="M219" s="486"/>
      <c r="N219" s="486"/>
      <c r="O219" s="486"/>
      <c r="P219" s="486"/>
      <c r="Q219" s="486"/>
      <c r="R219" s="486"/>
      <c r="S219" s="486"/>
      <c r="T219" s="486"/>
      <c r="U219" s="486"/>
      <c r="V219" s="486"/>
      <c r="W219" s="486"/>
      <c r="X219" s="486"/>
      <c r="Y219" s="486"/>
      <c r="Z219" s="486"/>
      <c r="AA219" s="486"/>
      <c r="AB219" s="486"/>
      <c r="AC219" s="486"/>
      <c r="AD219" s="486"/>
      <c r="AE219" s="486"/>
      <c r="AF219" s="486"/>
      <c r="AG219" s="486"/>
      <c r="AH219" s="486"/>
      <c r="AI219" s="486"/>
      <c r="AJ219" s="486"/>
      <c r="AK219" s="486"/>
      <c r="AL219" s="486"/>
      <c r="AM219" s="486"/>
      <c r="AN219" s="486"/>
      <c r="AO219" s="483"/>
      <c r="AP219" s="483"/>
      <c r="AQ219" s="483"/>
      <c r="AR219" s="483"/>
      <c r="AS219" s="486"/>
      <c r="AT219" s="486"/>
      <c r="AU219" s="486"/>
      <c r="AV219" s="486"/>
      <c r="AW219" s="486"/>
      <c r="AX219" s="486"/>
      <c r="AY219" s="486"/>
      <c r="AZ219" s="486"/>
      <c r="BA219" s="486"/>
      <c r="BB219" s="486"/>
      <c r="BC219" s="486"/>
      <c r="BD219" s="486"/>
      <c r="BE219" s="486"/>
      <c r="BF219" s="486"/>
      <c r="BG219" s="486"/>
      <c r="BH219" s="486"/>
      <c r="BI219" s="486"/>
      <c r="BJ219" s="486"/>
      <c r="BK219" s="486">
        <v>1045</v>
      </c>
      <c r="BL219" s="486">
        <v>1424</v>
      </c>
      <c r="BM219" s="486">
        <v>1424</v>
      </c>
      <c r="BN219" s="486">
        <v>1424</v>
      </c>
      <c r="BO219" s="486">
        <v>0</v>
      </c>
      <c r="BP219" s="486"/>
      <c r="BQ219" s="486"/>
      <c r="BR219" s="486"/>
      <c r="BS219" s="486"/>
      <c r="BT219" s="486"/>
      <c r="BU219" s="486"/>
      <c r="BV219" s="486">
        <v>0</v>
      </c>
      <c r="BW219" s="486">
        <v>0</v>
      </c>
      <c r="BX219" s="486">
        <v>0</v>
      </c>
      <c r="BY219" s="486">
        <v>0</v>
      </c>
      <c r="BZ219" s="486">
        <v>0</v>
      </c>
      <c r="CA219" s="102">
        <v>0</v>
      </c>
      <c r="CB219" s="486"/>
      <c r="CC219" s="54">
        <v>0</v>
      </c>
      <c r="CD219" s="529"/>
      <c r="CE219" s="54"/>
      <c r="CF219" s="54"/>
      <c r="CG219" s="54"/>
      <c r="CH219" s="54"/>
      <c r="CI219" s="54">
        <v>0</v>
      </c>
      <c r="CJ219" s="54">
        <v>0</v>
      </c>
      <c r="CK219" s="54">
        <v>0</v>
      </c>
      <c r="CL219" s="54">
        <v>0</v>
      </c>
      <c r="CM219" s="54">
        <v>0</v>
      </c>
      <c r="CN219" s="54">
        <v>0</v>
      </c>
      <c r="CO219" s="54">
        <v>0</v>
      </c>
      <c r="CP219" s="54">
        <v>0</v>
      </c>
      <c r="CQ219" s="54">
        <v>0</v>
      </c>
      <c r="CR219" s="54">
        <v>0</v>
      </c>
      <c r="CS219" s="486">
        <v>0</v>
      </c>
      <c r="CT219" s="486">
        <v>0</v>
      </c>
      <c r="CU219" s="486">
        <v>0</v>
      </c>
      <c r="CV219" s="486">
        <v>0</v>
      </c>
      <c r="CW219" s="486">
        <v>0</v>
      </c>
      <c r="CX219" s="486">
        <v>0</v>
      </c>
      <c r="CY219" s="486">
        <v>0</v>
      </c>
      <c r="CZ219" s="486">
        <v>0</v>
      </c>
      <c r="DA219" s="486">
        <v>0</v>
      </c>
      <c r="DB219" s="486">
        <v>0</v>
      </c>
      <c r="DC219" s="486">
        <v>0</v>
      </c>
      <c r="DD219" s="486">
        <v>0</v>
      </c>
      <c r="DE219" s="728">
        <v>0</v>
      </c>
      <c r="DF219" s="483"/>
    </row>
    <row r="220" spans="2:116" s="113" customFormat="1" hidden="1" x14ac:dyDescent="0.35">
      <c r="B220" s="484" t="s">
        <v>738</v>
      </c>
      <c r="C220" s="485" t="s">
        <v>739</v>
      </c>
      <c r="D220" s="488"/>
      <c r="E220" s="488"/>
      <c r="F220" s="486"/>
      <c r="G220" s="486"/>
      <c r="H220" s="486">
        <v>3000</v>
      </c>
      <c r="I220" s="486">
        <v>3000</v>
      </c>
      <c r="J220" s="486">
        <v>3000</v>
      </c>
      <c r="K220" s="486"/>
      <c r="L220" s="486">
        <v>3000</v>
      </c>
      <c r="M220" s="486">
        <v>3000</v>
      </c>
      <c r="N220" s="486">
        <v>3000</v>
      </c>
      <c r="O220" s="486">
        <v>3000</v>
      </c>
      <c r="P220" s="486">
        <v>3000</v>
      </c>
      <c r="Q220" s="486">
        <v>3000</v>
      </c>
      <c r="R220" s="486">
        <v>3000</v>
      </c>
      <c r="S220" s="486">
        <v>3000</v>
      </c>
      <c r="T220" s="486">
        <v>3000</v>
      </c>
      <c r="U220" s="486">
        <v>3000</v>
      </c>
      <c r="V220" s="486">
        <v>3000</v>
      </c>
      <c r="W220" s="486">
        <v>3000</v>
      </c>
      <c r="X220" s="486">
        <v>3000</v>
      </c>
      <c r="Y220" s="486">
        <v>3000</v>
      </c>
      <c r="Z220" s="486">
        <v>3000</v>
      </c>
      <c r="AA220" s="486">
        <v>3000</v>
      </c>
      <c r="AB220" s="486">
        <v>3000</v>
      </c>
      <c r="AC220" s="486">
        <v>3000</v>
      </c>
      <c r="AD220" s="486">
        <v>3000</v>
      </c>
      <c r="AE220" s="486">
        <v>3000</v>
      </c>
      <c r="AF220" s="486">
        <v>3000</v>
      </c>
      <c r="AG220" s="486">
        <v>3000</v>
      </c>
      <c r="AH220" s="486">
        <v>3000</v>
      </c>
      <c r="AI220" s="486">
        <v>3000</v>
      </c>
      <c r="AJ220" s="486">
        <v>3000</v>
      </c>
      <c r="AK220" s="486">
        <v>3000</v>
      </c>
      <c r="AL220" s="486">
        <v>3000</v>
      </c>
      <c r="AM220" s="486">
        <v>3000</v>
      </c>
      <c r="AN220" s="486">
        <v>3000</v>
      </c>
      <c r="AO220" s="486">
        <v>3000</v>
      </c>
      <c r="AP220" s="486">
        <v>3000</v>
      </c>
      <c r="AQ220" s="486">
        <v>3000</v>
      </c>
      <c r="AR220" s="486">
        <v>3000</v>
      </c>
      <c r="AS220" s="486">
        <v>3000</v>
      </c>
      <c r="AT220" s="486">
        <v>3000</v>
      </c>
      <c r="AU220" s="486">
        <v>3000</v>
      </c>
      <c r="AV220" s="486">
        <v>3000</v>
      </c>
      <c r="AW220" s="486">
        <v>3000</v>
      </c>
      <c r="AX220" s="486">
        <v>3000</v>
      </c>
      <c r="AY220" s="486">
        <v>3000</v>
      </c>
      <c r="AZ220" s="486">
        <v>3000</v>
      </c>
      <c r="BA220" s="486">
        <v>3000</v>
      </c>
      <c r="BB220" s="486">
        <v>3000</v>
      </c>
      <c r="BC220" s="486">
        <v>3000</v>
      </c>
      <c r="BD220" s="486">
        <v>3000</v>
      </c>
      <c r="BE220" s="486">
        <v>3000</v>
      </c>
      <c r="BF220" s="486">
        <v>3000</v>
      </c>
      <c r="BG220" s="486">
        <v>3000</v>
      </c>
      <c r="BH220" s="486">
        <v>2998</v>
      </c>
      <c r="BI220" s="486">
        <v>2998</v>
      </c>
      <c r="BJ220" s="486">
        <v>2998</v>
      </c>
      <c r="BK220" s="486">
        <v>2998</v>
      </c>
      <c r="BL220" s="486">
        <v>2998</v>
      </c>
      <c r="BM220" s="486">
        <v>2998</v>
      </c>
      <c r="BN220" s="486">
        <v>2998</v>
      </c>
      <c r="BO220" s="486">
        <v>0</v>
      </c>
      <c r="BP220" s="486"/>
      <c r="BQ220" s="486"/>
      <c r="BR220" s="486"/>
      <c r="BS220" s="486"/>
      <c r="BT220" s="486"/>
      <c r="BU220" s="486"/>
      <c r="BV220" s="486">
        <v>0</v>
      </c>
      <c r="BW220" s="486">
        <v>0</v>
      </c>
      <c r="BX220" s="486">
        <v>0</v>
      </c>
      <c r="BY220" s="486">
        <v>0</v>
      </c>
      <c r="BZ220" s="486">
        <v>0</v>
      </c>
      <c r="CA220" s="102">
        <v>0</v>
      </c>
      <c r="CB220" s="486"/>
      <c r="CC220" s="54">
        <v>0</v>
      </c>
      <c r="CD220" s="529"/>
      <c r="CE220" s="54"/>
      <c r="CF220" s="54"/>
      <c r="CG220" s="54"/>
      <c r="CH220" s="54"/>
      <c r="CI220" s="54">
        <v>0</v>
      </c>
      <c r="CJ220" s="54">
        <v>0</v>
      </c>
      <c r="CK220" s="54">
        <v>0</v>
      </c>
      <c r="CL220" s="54">
        <v>0</v>
      </c>
      <c r="CM220" s="54">
        <v>0</v>
      </c>
      <c r="CN220" s="54">
        <v>0</v>
      </c>
      <c r="CO220" s="54">
        <v>0</v>
      </c>
      <c r="CP220" s="54">
        <v>0</v>
      </c>
      <c r="CQ220" s="54">
        <v>0</v>
      </c>
      <c r="CR220" s="54">
        <v>0</v>
      </c>
      <c r="CS220" s="486">
        <v>0</v>
      </c>
      <c r="CT220" s="486">
        <v>0</v>
      </c>
      <c r="CU220" s="486">
        <v>0</v>
      </c>
      <c r="CV220" s="486">
        <v>0</v>
      </c>
      <c r="CW220" s="486">
        <v>0</v>
      </c>
      <c r="CX220" s="486">
        <v>0</v>
      </c>
      <c r="CY220" s="486">
        <v>0</v>
      </c>
      <c r="CZ220" s="486">
        <v>0</v>
      </c>
      <c r="DA220" s="486">
        <v>0</v>
      </c>
      <c r="DB220" s="486">
        <v>0</v>
      </c>
      <c r="DC220" s="486">
        <v>0</v>
      </c>
      <c r="DD220" s="486">
        <v>0</v>
      </c>
      <c r="DE220" s="728">
        <v>0</v>
      </c>
      <c r="DF220" s="483"/>
      <c r="DG220"/>
      <c r="DH220"/>
      <c r="DI220"/>
      <c r="DJ220"/>
      <c r="DK220"/>
      <c r="DL220"/>
    </row>
    <row r="221" spans="2:116" hidden="1" x14ac:dyDescent="0.35">
      <c r="B221" s="484" t="s">
        <v>740</v>
      </c>
      <c r="C221" s="485" t="s">
        <v>741</v>
      </c>
      <c r="D221" s="486">
        <v>194</v>
      </c>
      <c r="E221" s="486">
        <v>1742</v>
      </c>
      <c r="F221" s="486">
        <v>3559</v>
      </c>
      <c r="G221" s="486">
        <v>4776</v>
      </c>
      <c r="H221" s="486">
        <v>5997</v>
      </c>
      <c r="I221" s="486">
        <v>6674</v>
      </c>
      <c r="J221" s="486">
        <v>8052</v>
      </c>
      <c r="K221" s="486"/>
      <c r="L221" s="486">
        <v>8523</v>
      </c>
      <c r="M221" s="486">
        <v>8481</v>
      </c>
      <c r="N221" s="486">
        <v>8413</v>
      </c>
      <c r="O221" s="486">
        <v>8360</v>
      </c>
      <c r="P221" s="486">
        <v>8288</v>
      </c>
      <c r="Q221" s="486">
        <v>8231</v>
      </c>
      <c r="R221" s="486">
        <v>8183</v>
      </c>
      <c r="S221" s="486">
        <v>8145</v>
      </c>
      <c r="T221" s="486">
        <v>8106</v>
      </c>
      <c r="U221" s="486">
        <v>8058</v>
      </c>
      <c r="V221" s="486">
        <v>8011</v>
      </c>
      <c r="W221" s="486">
        <v>7971</v>
      </c>
      <c r="X221" s="486">
        <v>7918</v>
      </c>
      <c r="Y221" s="486">
        <v>7878</v>
      </c>
      <c r="Z221" s="486">
        <v>7822</v>
      </c>
      <c r="AA221" s="486">
        <v>7728</v>
      </c>
      <c r="AB221" s="486">
        <v>7728</v>
      </c>
      <c r="AC221" s="486">
        <v>7637</v>
      </c>
      <c r="AD221" s="486">
        <v>7608</v>
      </c>
      <c r="AE221" s="486">
        <v>7578</v>
      </c>
      <c r="AF221" s="486">
        <v>7550</v>
      </c>
      <c r="AG221" s="486">
        <v>7503</v>
      </c>
      <c r="AH221" s="486">
        <v>7488</v>
      </c>
      <c r="AI221" s="486">
        <v>7477</v>
      </c>
      <c r="AJ221" s="486">
        <v>7466</v>
      </c>
      <c r="AK221" s="486">
        <v>7465</v>
      </c>
      <c r="AL221" s="486">
        <v>7460</v>
      </c>
      <c r="AM221" s="486">
        <v>7455</v>
      </c>
      <c r="AN221" s="486">
        <v>7422</v>
      </c>
      <c r="AO221" s="486">
        <v>7421</v>
      </c>
      <c r="AP221" s="486">
        <v>7420</v>
      </c>
      <c r="AQ221" s="486">
        <v>7415</v>
      </c>
      <c r="AR221" s="486">
        <v>7415</v>
      </c>
      <c r="AS221" s="486">
        <v>7081</v>
      </c>
      <c r="AT221" s="486">
        <v>7079</v>
      </c>
      <c r="AU221" s="486">
        <v>7068</v>
      </c>
      <c r="AV221" s="486">
        <v>7062</v>
      </c>
      <c r="AW221" s="486">
        <v>7062</v>
      </c>
      <c r="AX221" s="486">
        <v>7061</v>
      </c>
      <c r="AY221" s="486">
        <v>2634</v>
      </c>
      <c r="AZ221" s="486">
        <v>2634</v>
      </c>
      <c r="BA221" s="486">
        <v>2634</v>
      </c>
      <c r="BB221" s="486">
        <v>2624</v>
      </c>
      <c r="BC221" s="486">
        <v>2603</v>
      </c>
      <c r="BD221" s="486">
        <v>2593</v>
      </c>
      <c r="BE221" s="486">
        <v>2591</v>
      </c>
      <c r="BF221" s="486">
        <v>2589</v>
      </c>
      <c r="BG221" s="486">
        <v>2589</v>
      </c>
      <c r="BH221" s="486">
        <v>2565</v>
      </c>
      <c r="BI221" s="486">
        <v>2549</v>
      </c>
      <c r="BJ221" s="486">
        <v>2169</v>
      </c>
      <c r="BK221" s="486">
        <v>2164</v>
      </c>
      <c r="BL221" s="486">
        <v>2154</v>
      </c>
      <c r="BM221" s="486">
        <v>2144</v>
      </c>
      <c r="BN221" s="486">
        <v>2034</v>
      </c>
      <c r="BO221" s="486">
        <v>2027</v>
      </c>
      <c r="BP221" s="486">
        <v>2023</v>
      </c>
      <c r="BQ221" s="486">
        <v>2019</v>
      </c>
      <c r="BR221" s="486">
        <v>2012</v>
      </c>
      <c r="BS221" s="486">
        <v>1890</v>
      </c>
      <c r="BT221" s="486">
        <v>1887</v>
      </c>
      <c r="BU221" s="486">
        <v>1887</v>
      </c>
      <c r="BV221" s="486">
        <v>1884</v>
      </c>
      <c r="BW221" s="486">
        <v>1884</v>
      </c>
      <c r="BX221" s="486">
        <v>1883</v>
      </c>
      <c r="BY221" s="486">
        <v>1880</v>
      </c>
      <c r="BZ221" s="486">
        <v>1867</v>
      </c>
      <c r="CA221" s="102">
        <v>1</v>
      </c>
      <c r="CB221" s="486">
        <v>0</v>
      </c>
      <c r="CC221" s="54">
        <v>0</v>
      </c>
      <c r="CD221" s="529"/>
      <c r="CE221" s="54"/>
      <c r="CF221" s="54"/>
      <c r="CG221" s="54"/>
      <c r="CH221" s="54"/>
      <c r="CI221" s="54">
        <v>0</v>
      </c>
      <c r="CJ221" s="54">
        <v>0</v>
      </c>
      <c r="CK221" s="54">
        <v>0</v>
      </c>
      <c r="CL221" s="54">
        <v>0</v>
      </c>
      <c r="CM221" s="54">
        <v>0</v>
      </c>
      <c r="CN221" s="54">
        <v>0</v>
      </c>
      <c r="CO221" s="54">
        <v>0</v>
      </c>
      <c r="CP221" s="54">
        <v>0</v>
      </c>
      <c r="CQ221" s="54">
        <v>0</v>
      </c>
      <c r="CR221" s="54">
        <v>0</v>
      </c>
      <c r="CS221" s="486">
        <v>0</v>
      </c>
      <c r="CT221" s="486">
        <v>0</v>
      </c>
      <c r="CU221" s="486">
        <v>0</v>
      </c>
      <c r="CV221" s="486">
        <v>0</v>
      </c>
      <c r="CW221" s="486">
        <v>0</v>
      </c>
      <c r="CX221" s="486">
        <v>0</v>
      </c>
      <c r="CY221" s="486">
        <v>0</v>
      </c>
      <c r="CZ221" s="486">
        <v>0</v>
      </c>
      <c r="DA221" s="486">
        <v>0</v>
      </c>
      <c r="DB221" s="486">
        <v>0</v>
      </c>
      <c r="DC221" s="486">
        <v>0</v>
      </c>
      <c r="DD221" s="486">
        <v>0</v>
      </c>
      <c r="DE221" s="728">
        <v>0</v>
      </c>
      <c r="DF221" s="483"/>
    </row>
    <row r="222" spans="2:116" hidden="1" x14ac:dyDescent="0.35">
      <c r="B222" s="484" t="s">
        <v>742</v>
      </c>
      <c r="C222" s="485" t="s">
        <v>743</v>
      </c>
      <c r="D222" s="486"/>
      <c r="E222" s="486"/>
      <c r="F222" s="486"/>
      <c r="G222" s="486"/>
      <c r="H222" s="486"/>
      <c r="I222" s="486"/>
      <c r="J222" s="486"/>
      <c r="K222" s="486"/>
      <c r="L222" s="486"/>
      <c r="M222" s="486"/>
      <c r="N222" s="486"/>
      <c r="O222" s="486"/>
      <c r="P222" s="486"/>
      <c r="Q222" s="486"/>
      <c r="R222" s="486"/>
      <c r="S222" s="486"/>
      <c r="T222" s="486"/>
      <c r="U222" s="486"/>
      <c r="V222" s="486"/>
      <c r="W222" s="486"/>
      <c r="X222" s="486"/>
      <c r="Y222" s="486"/>
      <c r="Z222" s="486"/>
      <c r="AA222" s="486"/>
      <c r="AB222" s="486"/>
      <c r="AC222" s="486"/>
      <c r="AD222" s="486"/>
      <c r="AE222" s="486"/>
      <c r="AF222" s="486"/>
      <c r="AG222" s="486"/>
      <c r="AH222" s="486"/>
      <c r="AI222" s="486"/>
      <c r="AJ222" s="486"/>
      <c r="AK222" s="486"/>
      <c r="AL222" s="486"/>
      <c r="AM222" s="486"/>
      <c r="AN222" s="486"/>
      <c r="AO222" s="483"/>
      <c r="AP222" s="483"/>
      <c r="AQ222" s="483"/>
      <c r="AR222" s="483"/>
      <c r="AS222" s="486"/>
      <c r="AT222" s="486"/>
      <c r="AU222" s="486"/>
      <c r="AV222" s="486"/>
      <c r="AW222" s="486">
        <v>4891</v>
      </c>
      <c r="AX222" s="486">
        <v>4891</v>
      </c>
      <c r="AY222" s="486">
        <v>4891</v>
      </c>
      <c r="AZ222" s="486">
        <v>4891</v>
      </c>
      <c r="BA222" s="486">
        <v>4891</v>
      </c>
      <c r="BB222" s="486">
        <v>4891</v>
      </c>
      <c r="BC222" s="486">
        <v>4891</v>
      </c>
      <c r="BD222" s="486">
        <v>4891</v>
      </c>
      <c r="BE222" s="486">
        <v>4891</v>
      </c>
      <c r="BF222" s="486">
        <v>4891</v>
      </c>
      <c r="BG222" s="486">
        <v>4891</v>
      </c>
      <c r="BH222" s="486">
        <v>4891</v>
      </c>
      <c r="BI222" s="486">
        <v>4891</v>
      </c>
      <c r="BJ222" s="486">
        <v>4891</v>
      </c>
      <c r="BK222" s="486">
        <v>4891</v>
      </c>
      <c r="BL222" s="486">
        <v>4891</v>
      </c>
      <c r="BM222" s="486">
        <v>4891</v>
      </c>
      <c r="BN222" s="486">
        <v>4891</v>
      </c>
      <c r="BO222" s="486">
        <v>4891</v>
      </c>
      <c r="BP222" s="486">
        <v>4891</v>
      </c>
      <c r="BQ222" s="486">
        <v>4891</v>
      </c>
      <c r="BR222" s="486">
        <v>4891</v>
      </c>
      <c r="BS222" s="486">
        <v>4891</v>
      </c>
      <c r="BT222" s="486">
        <v>4891</v>
      </c>
      <c r="BU222" s="486">
        <v>4891</v>
      </c>
      <c r="BV222" s="486">
        <v>4891</v>
      </c>
      <c r="BW222" s="486">
        <v>4891</v>
      </c>
      <c r="BX222" s="486">
        <v>4891</v>
      </c>
      <c r="BY222" s="486">
        <v>4891</v>
      </c>
      <c r="BZ222" s="486">
        <v>4891</v>
      </c>
      <c r="CA222" s="486">
        <v>4891</v>
      </c>
      <c r="CB222" s="486">
        <v>4891</v>
      </c>
      <c r="CC222" s="486">
        <v>4891</v>
      </c>
      <c r="CD222" s="486">
        <v>4891</v>
      </c>
      <c r="CE222" s="486">
        <v>4891</v>
      </c>
      <c r="CF222" s="486"/>
      <c r="CG222" s="486"/>
      <c r="CH222" s="486"/>
      <c r="CI222" s="486">
        <v>0</v>
      </c>
      <c r="CJ222" s="486">
        <v>0</v>
      </c>
      <c r="CK222" s="486">
        <v>0</v>
      </c>
      <c r="CL222" s="486">
        <v>0</v>
      </c>
      <c r="CM222" s="486">
        <v>0</v>
      </c>
      <c r="CN222" s="486">
        <v>0</v>
      </c>
      <c r="CO222" s="486">
        <v>0</v>
      </c>
      <c r="CP222" s="486">
        <v>0</v>
      </c>
      <c r="CQ222" s="486">
        <v>0</v>
      </c>
      <c r="CR222" s="54">
        <v>0</v>
      </c>
      <c r="CS222" s="486">
        <v>0</v>
      </c>
      <c r="CT222" s="486">
        <v>0</v>
      </c>
      <c r="CU222" s="486">
        <v>0</v>
      </c>
      <c r="CV222" s="486">
        <v>0</v>
      </c>
      <c r="CW222" s="486">
        <v>0</v>
      </c>
      <c r="CX222" s="486">
        <v>0</v>
      </c>
      <c r="CY222" s="486">
        <v>0</v>
      </c>
      <c r="CZ222" s="486">
        <v>0</v>
      </c>
      <c r="DA222" s="486">
        <v>0</v>
      </c>
      <c r="DB222" s="486">
        <v>0</v>
      </c>
      <c r="DC222" s="486">
        <v>0</v>
      </c>
      <c r="DD222" s="486">
        <v>0</v>
      </c>
      <c r="DE222" s="728">
        <v>0</v>
      </c>
      <c r="DF222" s="483"/>
    </row>
    <row r="223" spans="2:116" hidden="1" x14ac:dyDescent="0.35">
      <c r="B223" s="484" t="s">
        <v>744</v>
      </c>
      <c r="C223" s="485" t="s">
        <v>745</v>
      </c>
      <c r="D223" s="486"/>
      <c r="E223" s="486"/>
      <c r="F223" s="486"/>
      <c r="G223" s="486"/>
      <c r="H223" s="486"/>
      <c r="I223" s="486"/>
      <c r="J223" s="486"/>
      <c r="K223" s="486"/>
      <c r="L223" s="486"/>
      <c r="M223" s="486"/>
      <c r="N223" s="486"/>
      <c r="O223" s="486"/>
      <c r="P223" s="486"/>
      <c r="Q223" s="486"/>
      <c r="R223" s="486">
        <v>1020</v>
      </c>
      <c r="S223" s="486">
        <v>1076</v>
      </c>
      <c r="T223" s="486">
        <v>1121</v>
      </c>
      <c r="U223" s="486">
        <v>1187</v>
      </c>
      <c r="V223" s="486">
        <v>1247</v>
      </c>
      <c r="W223" s="486">
        <v>1267</v>
      </c>
      <c r="X223" s="486">
        <v>1306</v>
      </c>
      <c r="Y223" s="486">
        <v>1342</v>
      </c>
      <c r="Z223" s="486">
        <v>1376</v>
      </c>
      <c r="AA223" s="486">
        <v>1417</v>
      </c>
      <c r="AB223" s="486">
        <v>1517</v>
      </c>
      <c r="AC223" s="486">
        <v>1635</v>
      </c>
      <c r="AD223" s="486">
        <v>1723</v>
      </c>
      <c r="AE223" s="486">
        <v>1773</v>
      </c>
      <c r="AF223" s="486">
        <v>1816</v>
      </c>
      <c r="AG223" s="486">
        <v>1808</v>
      </c>
      <c r="AH223" s="486">
        <v>1862</v>
      </c>
      <c r="AI223" s="486">
        <v>1892</v>
      </c>
      <c r="AJ223" s="486">
        <v>1969</v>
      </c>
      <c r="AK223" s="486">
        <v>1998</v>
      </c>
      <c r="AL223" s="486">
        <v>2047</v>
      </c>
      <c r="AM223" s="486">
        <v>2083</v>
      </c>
      <c r="AN223" s="486">
        <v>2101</v>
      </c>
      <c r="AO223" s="486">
        <v>2119</v>
      </c>
      <c r="AP223" s="486">
        <v>2185</v>
      </c>
      <c r="AQ223" s="486">
        <v>2233</v>
      </c>
      <c r="AR223" s="486">
        <v>2273</v>
      </c>
      <c r="AS223" s="486">
        <v>2362</v>
      </c>
      <c r="AT223" s="486">
        <v>2397</v>
      </c>
      <c r="AU223" s="486">
        <v>2398</v>
      </c>
      <c r="AV223" s="486">
        <v>2454</v>
      </c>
      <c r="AW223" s="486">
        <v>2508</v>
      </c>
      <c r="AX223" s="486">
        <v>2554</v>
      </c>
      <c r="AY223" s="486">
        <v>2569</v>
      </c>
      <c r="AZ223" s="486">
        <v>2586</v>
      </c>
      <c r="BA223" s="486">
        <v>2600</v>
      </c>
      <c r="BB223" s="486">
        <v>2613</v>
      </c>
      <c r="BC223" s="486">
        <v>2616</v>
      </c>
      <c r="BD223" s="486">
        <v>2616</v>
      </c>
      <c r="BE223" s="486">
        <v>2623</v>
      </c>
      <c r="BF223" s="486">
        <v>2688</v>
      </c>
      <c r="BG223" s="486">
        <v>2691</v>
      </c>
      <c r="BH223" s="486">
        <v>2701</v>
      </c>
      <c r="BI223" s="486">
        <v>2734</v>
      </c>
      <c r="BJ223" s="486">
        <v>2744</v>
      </c>
      <c r="BK223" s="486">
        <v>2750</v>
      </c>
      <c r="BL223" s="486">
        <v>2751</v>
      </c>
      <c r="BM223" s="486">
        <v>2777</v>
      </c>
      <c r="BN223" s="486">
        <v>2781</v>
      </c>
      <c r="BO223" s="486">
        <v>2785</v>
      </c>
      <c r="BP223" s="486">
        <v>2772</v>
      </c>
      <c r="BQ223" s="486">
        <v>2773</v>
      </c>
      <c r="BR223" s="486">
        <v>2777</v>
      </c>
      <c r="BS223" s="486">
        <v>2777</v>
      </c>
      <c r="BT223" s="486">
        <v>2780</v>
      </c>
      <c r="BU223" s="486">
        <v>2807</v>
      </c>
      <c r="BV223" s="486">
        <v>2750</v>
      </c>
      <c r="BW223" s="486">
        <v>2744</v>
      </c>
      <c r="BX223" s="486">
        <v>2740</v>
      </c>
      <c r="BY223" s="486">
        <v>2725</v>
      </c>
      <c r="BZ223" s="486">
        <v>2694</v>
      </c>
      <c r="CA223" s="486">
        <v>2671</v>
      </c>
      <c r="CB223" s="486">
        <v>2757</v>
      </c>
      <c r="CC223" s="486">
        <v>2723</v>
      </c>
      <c r="CD223" s="486">
        <v>2738</v>
      </c>
      <c r="CE223" s="486">
        <v>2726</v>
      </c>
      <c r="CF223" s="486">
        <v>2721</v>
      </c>
      <c r="CG223" s="486">
        <v>2594</v>
      </c>
      <c r="CH223" s="486">
        <v>2509</v>
      </c>
      <c r="CI223" s="486">
        <v>1758</v>
      </c>
      <c r="CJ223" s="486">
        <v>1678</v>
      </c>
      <c r="CK223" s="486">
        <v>1311</v>
      </c>
      <c r="CL223" s="486">
        <v>769</v>
      </c>
      <c r="CM223" s="486">
        <v>0</v>
      </c>
      <c r="CN223" s="486">
        <v>0</v>
      </c>
      <c r="CO223" s="486">
        <v>0</v>
      </c>
      <c r="CP223" s="486">
        <v>0</v>
      </c>
      <c r="CQ223" s="486">
        <v>0</v>
      </c>
      <c r="CR223" s="54">
        <v>0</v>
      </c>
      <c r="CS223" s="486">
        <v>0</v>
      </c>
      <c r="CT223" s="486">
        <v>0</v>
      </c>
      <c r="CU223" s="486">
        <v>0</v>
      </c>
      <c r="CV223" s="486">
        <v>0</v>
      </c>
      <c r="CW223" s="486">
        <v>0</v>
      </c>
      <c r="CX223" s="486">
        <v>0</v>
      </c>
      <c r="CY223" s="486">
        <v>0</v>
      </c>
      <c r="CZ223" s="486">
        <v>0</v>
      </c>
      <c r="DA223" s="486">
        <v>0</v>
      </c>
      <c r="DB223" s="486">
        <v>0</v>
      </c>
      <c r="DC223" s="486">
        <v>0</v>
      </c>
      <c r="DD223" s="486">
        <v>0</v>
      </c>
      <c r="DE223" s="728">
        <v>0</v>
      </c>
      <c r="DF223" s="483"/>
    </row>
    <row r="224" spans="2:116" hidden="1" x14ac:dyDescent="0.35">
      <c r="B224" s="484" t="s">
        <v>746</v>
      </c>
      <c r="C224" s="485" t="s">
        <v>747</v>
      </c>
      <c r="D224" s="486"/>
      <c r="E224" s="486"/>
      <c r="F224" s="486"/>
      <c r="G224" s="486"/>
      <c r="H224" s="486">
        <v>105</v>
      </c>
      <c r="I224" s="486">
        <v>235</v>
      </c>
      <c r="J224" s="486">
        <v>2751</v>
      </c>
      <c r="K224" s="486"/>
      <c r="L224" s="486">
        <v>3457</v>
      </c>
      <c r="M224" s="486">
        <v>4123</v>
      </c>
      <c r="N224" s="486">
        <v>4630</v>
      </c>
      <c r="O224" s="486">
        <v>5084</v>
      </c>
      <c r="P224" s="486">
        <v>5275</v>
      </c>
      <c r="Q224" s="486">
        <v>5462</v>
      </c>
      <c r="R224" s="486">
        <v>5732</v>
      </c>
      <c r="S224" s="486">
        <v>6046</v>
      </c>
      <c r="T224" s="486">
        <v>6149</v>
      </c>
      <c r="U224" s="486">
        <v>6144</v>
      </c>
      <c r="V224" s="486">
        <v>6944</v>
      </c>
      <c r="W224" s="486">
        <v>7533</v>
      </c>
      <c r="X224" s="486">
        <v>8357</v>
      </c>
      <c r="Y224" s="486">
        <v>8774</v>
      </c>
      <c r="Z224" s="486">
        <v>9128</v>
      </c>
      <c r="AA224" s="486">
        <v>9672</v>
      </c>
      <c r="AB224" s="486">
        <v>10081</v>
      </c>
      <c r="AC224" s="486">
        <v>10398</v>
      </c>
      <c r="AD224" s="486">
        <v>10642</v>
      </c>
      <c r="AE224" s="486">
        <v>10994</v>
      </c>
      <c r="AF224" s="486">
        <v>11158</v>
      </c>
      <c r="AG224" s="486">
        <v>11346</v>
      </c>
      <c r="AH224" s="486">
        <v>10859</v>
      </c>
      <c r="AI224" s="486">
        <v>10731</v>
      </c>
      <c r="AJ224" s="486">
        <v>10745</v>
      </c>
      <c r="AK224" s="486">
        <v>10676</v>
      </c>
      <c r="AL224" s="486">
        <v>10653</v>
      </c>
      <c r="AM224" s="486">
        <v>10690</v>
      </c>
      <c r="AN224" s="486">
        <v>10689</v>
      </c>
      <c r="AO224" s="486">
        <v>10696</v>
      </c>
      <c r="AP224" s="486">
        <v>10727</v>
      </c>
      <c r="AQ224" s="486">
        <v>9468</v>
      </c>
      <c r="AR224" s="486">
        <v>9069</v>
      </c>
      <c r="AS224" s="486">
        <v>8573</v>
      </c>
      <c r="AT224" s="486">
        <v>7612</v>
      </c>
      <c r="AU224" s="486">
        <v>7567</v>
      </c>
      <c r="AV224" s="486">
        <v>6742</v>
      </c>
      <c r="AW224" s="486">
        <v>6799</v>
      </c>
      <c r="AX224" s="486">
        <v>6792</v>
      </c>
      <c r="AY224" s="486">
        <v>6866</v>
      </c>
      <c r="AZ224" s="486">
        <v>6838</v>
      </c>
      <c r="BA224" s="486">
        <v>6911</v>
      </c>
      <c r="BB224" s="486">
        <v>6875</v>
      </c>
      <c r="BC224" s="486">
        <v>6721</v>
      </c>
      <c r="BD224" s="486">
        <v>6728</v>
      </c>
      <c r="BE224" s="486">
        <v>6503</v>
      </c>
      <c r="BF224" s="486">
        <v>6555</v>
      </c>
      <c r="BG224" s="486">
        <v>6844</v>
      </c>
      <c r="BH224" s="486">
        <v>6847</v>
      </c>
      <c r="BI224" s="486">
        <v>6823</v>
      </c>
      <c r="BJ224" s="486">
        <v>6872</v>
      </c>
      <c r="BK224" s="486">
        <v>6820</v>
      </c>
      <c r="BL224" s="486">
        <v>6798</v>
      </c>
      <c r="BM224" s="486">
        <v>6814</v>
      </c>
      <c r="BN224" s="486">
        <v>6861</v>
      </c>
      <c r="BO224" s="486">
        <v>7041</v>
      </c>
      <c r="BP224" s="486">
        <v>6687</v>
      </c>
      <c r="BQ224" s="486">
        <v>6813</v>
      </c>
      <c r="BR224" s="486">
        <v>6906</v>
      </c>
      <c r="BS224" s="486">
        <v>6938</v>
      </c>
      <c r="BT224" s="486">
        <v>7067</v>
      </c>
      <c r="BU224" s="486">
        <v>7076</v>
      </c>
      <c r="BV224" s="486">
        <v>7024</v>
      </c>
      <c r="BW224" s="486">
        <v>7015</v>
      </c>
      <c r="BX224" s="486">
        <v>7048</v>
      </c>
      <c r="BY224" s="486">
        <v>7055</v>
      </c>
      <c r="BZ224" s="486">
        <v>6847</v>
      </c>
      <c r="CA224" s="486">
        <v>6877</v>
      </c>
      <c r="CB224" s="486">
        <v>6839</v>
      </c>
      <c r="CC224" s="486">
        <v>6841</v>
      </c>
      <c r="CD224" s="486">
        <v>6843</v>
      </c>
      <c r="CE224" s="486">
        <v>6843</v>
      </c>
      <c r="CF224" s="486">
        <v>6843</v>
      </c>
      <c r="CG224" s="486">
        <v>6843</v>
      </c>
      <c r="CH224" s="486">
        <v>6843</v>
      </c>
      <c r="CI224" s="486">
        <v>6843</v>
      </c>
      <c r="CJ224" s="486">
        <v>3773</v>
      </c>
      <c r="CK224" s="486">
        <v>49</v>
      </c>
      <c r="CL224" s="486">
        <v>49</v>
      </c>
      <c r="CM224" s="486">
        <v>0</v>
      </c>
      <c r="CN224" s="486">
        <v>0</v>
      </c>
      <c r="CO224" s="486">
        <v>0</v>
      </c>
      <c r="CP224" s="486">
        <v>0</v>
      </c>
      <c r="CQ224" s="486">
        <v>0</v>
      </c>
      <c r="CR224" s="486">
        <v>0</v>
      </c>
      <c r="CS224" s="486">
        <v>0</v>
      </c>
      <c r="CT224" s="486">
        <v>0</v>
      </c>
      <c r="CU224" s="486">
        <v>0</v>
      </c>
      <c r="CV224" s="486">
        <v>0</v>
      </c>
      <c r="CW224" s="486">
        <v>0</v>
      </c>
      <c r="CX224" s="486">
        <v>0</v>
      </c>
      <c r="CY224" s="486">
        <v>0</v>
      </c>
      <c r="CZ224" s="486">
        <v>0</v>
      </c>
      <c r="DA224" s="486">
        <v>0</v>
      </c>
      <c r="DB224" s="486">
        <v>0</v>
      </c>
      <c r="DC224" s="486">
        <v>0</v>
      </c>
      <c r="DD224" s="486">
        <v>0</v>
      </c>
      <c r="DE224" s="728">
        <v>0</v>
      </c>
      <c r="DF224" s="483"/>
    </row>
    <row r="225" spans="2:110" hidden="1" x14ac:dyDescent="0.35">
      <c r="B225" s="484" t="s">
        <v>748</v>
      </c>
      <c r="C225" s="484" t="s">
        <v>749</v>
      </c>
      <c r="D225" s="486"/>
      <c r="E225" s="486"/>
      <c r="F225" s="486"/>
      <c r="G225" s="486"/>
      <c r="H225" s="486"/>
      <c r="I225" s="486"/>
      <c r="J225" s="486"/>
      <c r="K225" s="486"/>
      <c r="L225" s="486"/>
      <c r="M225" s="486"/>
      <c r="N225" s="486"/>
      <c r="O225" s="486"/>
      <c r="P225" s="486"/>
      <c r="Q225" s="486"/>
      <c r="R225" s="486"/>
      <c r="S225" s="486"/>
      <c r="T225" s="486"/>
      <c r="U225" s="486"/>
      <c r="V225" s="486"/>
      <c r="W225" s="486"/>
      <c r="X225" s="486"/>
      <c r="Y225" s="486"/>
      <c r="Z225" s="486"/>
      <c r="AA225" s="486"/>
      <c r="AB225" s="486"/>
      <c r="AC225" s="486"/>
      <c r="AD225" s="486"/>
      <c r="AE225" s="486"/>
      <c r="AF225" s="486"/>
      <c r="AG225" s="486"/>
      <c r="AH225" s="486"/>
      <c r="AI225" s="486"/>
      <c r="AJ225" s="486"/>
      <c r="AK225" s="486"/>
      <c r="AL225" s="486"/>
      <c r="AM225" s="486"/>
      <c r="AN225" s="486"/>
      <c r="AO225" s="483"/>
      <c r="AP225" s="483"/>
      <c r="AQ225" s="483"/>
      <c r="AR225" s="483"/>
      <c r="AS225" s="486"/>
      <c r="AT225" s="486"/>
      <c r="AU225" s="486"/>
      <c r="AV225" s="486"/>
      <c r="AZ225" s="486"/>
      <c r="BA225" s="486"/>
      <c r="BB225" s="486"/>
      <c r="BC225" s="486"/>
      <c r="BD225" s="486">
        <v>1105</v>
      </c>
      <c r="BE225" s="486">
        <v>1138</v>
      </c>
      <c r="BF225" s="486">
        <v>1138</v>
      </c>
      <c r="BG225" s="486">
        <v>1138</v>
      </c>
      <c r="BH225" s="486">
        <v>1138</v>
      </c>
      <c r="BI225" s="486">
        <v>1139</v>
      </c>
      <c r="BJ225" s="486">
        <v>1139</v>
      </c>
      <c r="BK225" s="486">
        <v>1139</v>
      </c>
      <c r="BL225" s="486">
        <v>1139</v>
      </c>
      <c r="BM225" s="486">
        <v>1139</v>
      </c>
      <c r="BN225" s="486">
        <v>1139</v>
      </c>
      <c r="BO225" s="486">
        <v>1139</v>
      </c>
      <c r="BP225" s="486">
        <v>1141</v>
      </c>
      <c r="BQ225" s="486">
        <v>1142</v>
      </c>
      <c r="BR225" s="486">
        <v>1142</v>
      </c>
      <c r="BS225" s="486">
        <v>1142</v>
      </c>
      <c r="BT225" s="486">
        <v>1142</v>
      </c>
      <c r="BU225" s="486">
        <v>1142</v>
      </c>
      <c r="BV225" s="486">
        <v>1142</v>
      </c>
      <c r="BW225" s="486">
        <v>1143</v>
      </c>
      <c r="BX225" s="486">
        <v>1143</v>
      </c>
      <c r="BY225" s="486">
        <v>1143</v>
      </c>
      <c r="BZ225" s="486">
        <v>1143</v>
      </c>
      <c r="CA225" s="486">
        <v>1143</v>
      </c>
      <c r="CB225" s="486">
        <v>1143</v>
      </c>
      <c r="CC225" s="486">
        <v>1143</v>
      </c>
      <c r="CD225" s="486">
        <v>1143</v>
      </c>
      <c r="CE225" s="486">
        <v>1143</v>
      </c>
      <c r="CF225" s="486">
        <v>1143</v>
      </c>
      <c r="CG225" s="486">
        <v>1143</v>
      </c>
      <c r="CH225" s="486">
        <v>1143</v>
      </c>
      <c r="CI225" s="486">
        <v>1131</v>
      </c>
      <c r="CJ225" s="486">
        <v>631</v>
      </c>
      <c r="CK225" s="486">
        <v>541</v>
      </c>
      <c r="CL225" s="486">
        <v>541</v>
      </c>
      <c r="CM225" s="486">
        <v>0</v>
      </c>
      <c r="CN225" s="486">
        <v>0</v>
      </c>
      <c r="CO225" s="486">
        <v>0</v>
      </c>
      <c r="CP225" s="486">
        <v>0</v>
      </c>
      <c r="CQ225" s="486">
        <v>0</v>
      </c>
      <c r="CR225" s="486">
        <v>0</v>
      </c>
      <c r="CS225" s="486">
        <v>0</v>
      </c>
      <c r="CT225" s="486">
        <v>0</v>
      </c>
      <c r="CU225" s="486">
        <v>0</v>
      </c>
      <c r="CV225" s="486">
        <v>0</v>
      </c>
      <c r="CW225" s="486">
        <v>0</v>
      </c>
      <c r="CX225" s="486">
        <v>0</v>
      </c>
      <c r="CY225" s="486">
        <v>0</v>
      </c>
      <c r="CZ225" s="486">
        <v>0</v>
      </c>
      <c r="DA225" s="486">
        <v>0</v>
      </c>
      <c r="DB225" s="486">
        <v>0</v>
      </c>
      <c r="DC225" s="486">
        <v>0</v>
      </c>
      <c r="DD225" s="486">
        <v>0</v>
      </c>
      <c r="DE225" s="728">
        <v>0</v>
      </c>
      <c r="DF225" s="483"/>
    </row>
    <row r="226" spans="2:110" hidden="1" x14ac:dyDescent="0.35">
      <c r="B226" s="484" t="s">
        <v>750</v>
      </c>
      <c r="C226" s="484" t="s">
        <v>751</v>
      </c>
      <c r="D226" s="486"/>
      <c r="E226" s="486"/>
      <c r="F226" s="486"/>
      <c r="G226" s="486"/>
      <c r="H226" s="486"/>
      <c r="I226" s="486"/>
      <c r="J226" s="486"/>
      <c r="K226" s="486"/>
      <c r="L226" s="486"/>
      <c r="M226" s="486"/>
      <c r="N226" s="486"/>
      <c r="O226" s="486"/>
      <c r="P226" s="486"/>
      <c r="Q226" s="486"/>
      <c r="R226" s="486"/>
      <c r="S226" s="486"/>
      <c r="T226" s="486"/>
      <c r="U226" s="486"/>
      <c r="V226" s="486"/>
      <c r="W226" s="486"/>
      <c r="X226" s="486"/>
      <c r="Y226" s="486"/>
      <c r="Z226" s="486"/>
      <c r="AA226" s="486"/>
      <c r="AB226" s="486"/>
      <c r="AC226" s="486"/>
      <c r="AD226" s="486"/>
      <c r="AE226" s="486"/>
      <c r="AF226" s="486"/>
      <c r="AG226" s="486"/>
      <c r="AH226" s="486"/>
      <c r="AI226" s="486"/>
      <c r="AJ226" s="486"/>
      <c r="AK226" s="486"/>
      <c r="AL226" s="486"/>
      <c r="AM226" s="486"/>
      <c r="AN226" s="486"/>
      <c r="AO226" s="483"/>
      <c r="AP226" s="483"/>
      <c r="AQ226" s="483"/>
      <c r="AR226" s="483"/>
      <c r="AS226" s="486"/>
      <c r="AT226" s="486"/>
      <c r="AU226" s="486"/>
      <c r="AV226" s="486"/>
      <c r="AZ226" s="486"/>
      <c r="BA226" s="486"/>
      <c r="BB226" s="486"/>
      <c r="BC226" s="486"/>
      <c r="BD226" s="486">
        <v>1005</v>
      </c>
      <c r="BE226" s="486">
        <v>1005</v>
      </c>
      <c r="BF226" s="486">
        <v>1005</v>
      </c>
      <c r="BG226" s="486">
        <v>1005</v>
      </c>
      <c r="BH226" s="486">
        <v>1005</v>
      </c>
      <c r="BI226" s="486">
        <v>1005</v>
      </c>
      <c r="BJ226" s="486">
        <v>1005</v>
      </c>
      <c r="BK226" s="486">
        <v>1005</v>
      </c>
      <c r="BL226" s="486">
        <v>1005</v>
      </c>
      <c r="BM226" s="486">
        <v>1005</v>
      </c>
      <c r="BN226" s="486">
        <v>1004</v>
      </c>
      <c r="BO226" s="486">
        <v>1004</v>
      </c>
      <c r="BP226" s="486">
        <v>1004</v>
      </c>
      <c r="BQ226" s="486">
        <v>1003</v>
      </c>
      <c r="BR226" s="486">
        <v>1003</v>
      </c>
      <c r="BS226" s="486">
        <v>1003</v>
      </c>
      <c r="BT226" s="486">
        <v>1003</v>
      </c>
      <c r="BU226" s="486">
        <v>1003</v>
      </c>
      <c r="BV226" s="486">
        <v>1003</v>
      </c>
      <c r="BW226" s="486">
        <v>1003</v>
      </c>
      <c r="BX226" s="486">
        <v>1003</v>
      </c>
      <c r="BY226" s="486">
        <v>1003</v>
      </c>
      <c r="BZ226" s="486">
        <v>1003</v>
      </c>
      <c r="CA226" s="486">
        <v>1003</v>
      </c>
      <c r="CB226" s="486">
        <v>1003</v>
      </c>
      <c r="CC226" s="486">
        <v>1003</v>
      </c>
      <c r="CD226" s="486">
        <v>1003</v>
      </c>
      <c r="CE226" s="486">
        <v>1003</v>
      </c>
      <c r="CF226" s="486">
        <v>1003</v>
      </c>
      <c r="CG226" s="486">
        <v>1003</v>
      </c>
      <c r="CH226" s="486">
        <v>1003</v>
      </c>
      <c r="CI226" s="486">
        <v>1003</v>
      </c>
      <c r="CJ226" s="486">
        <v>1003</v>
      </c>
      <c r="CK226" s="486">
        <v>1003</v>
      </c>
      <c r="CL226" s="486">
        <v>1003</v>
      </c>
      <c r="CM226" s="486">
        <v>0</v>
      </c>
      <c r="CN226" s="486">
        <v>0</v>
      </c>
      <c r="CO226" s="486">
        <v>0</v>
      </c>
      <c r="CP226" s="486">
        <v>0</v>
      </c>
      <c r="CQ226" s="486">
        <v>0</v>
      </c>
      <c r="CR226" s="486">
        <v>0</v>
      </c>
      <c r="CS226" s="486">
        <v>0</v>
      </c>
      <c r="CT226" s="486">
        <v>0</v>
      </c>
      <c r="CU226" s="486">
        <v>0</v>
      </c>
      <c r="CV226" s="486">
        <v>0</v>
      </c>
      <c r="CW226" s="486">
        <v>0</v>
      </c>
      <c r="CX226" s="486">
        <v>0</v>
      </c>
      <c r="CY226" s="486">
        <v>0</v>
      </c>
      <c r="CZ226" s="486">
        <v>0</v>
      </c>
      <c r="DA226" s="486">
        <v>0</v>
      </c>
      <c r="DB226" s="486">
        <v>0</v>
      </c>
      <c r="DC226" s="486">
        <v>0</v>
      </c>
      <c r="DD226" s="486">
        <v>0</v>
      </c>
      <c r="DE226" s="728">
        <v>0</v>
      </c>
      <c r="DF226" s="483"/>
    </row>
    <row r="227" spans="2:110" hidden="1" x14ac:dyDescent="0.35">
      <c r="B227" s="484" t="s">
        <v>752</v>
      </c>
      <c r="C227" s="485" t="s">
        <v>753</v>
      </c>
      <c r="D227" s="486">
        <v>0</v>
      </c>
      <c r="E227" s="486">
        <v>0</v>
      </c>
      <c r="F227" s="486">
        <v>811</v>
      </c>
      <c r="G227" s="486">
        <v>1745</v>
      </c>
      <c r="H227" s="486">
        <v>1680</v>
      </c>
      <c r="I227" s="486">
        <v>1546</v>
      </c>
      <c r="J227" s="486">
        <v>1541</v>
      </c>
      <c r="K227" s="486"/>
      <c r="L227" s="486">
        <v>1541</v>
      </c>
      <c r="M227" s="486">
        <v>1541</v>
      </c>
      <c r="N227" s="486">
        <v>1541</v>
      </c>
      <c r="O227" s="486">
        <v>1541</v>
      </c>
      <c r="P227" s="486">
        <v>1541</v>
      </c>
      <c r="Q227" s="486">
        <v>1541</v>
      </c>
      <c r="R227" s="486">
        <v>86</v>
      </c>
      <c r="S227" s="486">
        <v>86</v>
      </c>
      <c r="T227" s="486"/>
      <c r="U227" s="486"/>
      <c r="V227" s="486"/>
      <c r="W227" s="486"/>
      <c r="X227" s="486"/>
      <c r="Y227" s="486"/>
      <c r="Z227" s="486"/>
      <c r="AA227" s="486"/>
      <c r="AB227" s="486"/>
      <c r="AC227" s="486"/>
      <c r="AD227" s="486"/>
      <c r="AE227" s="486"/>
      <c r="AF227" s="486"/>
      <c r="AG227" s="486"/>
      <c r="AH227" s="486"/>
      <c r="AI227" s="486"/>
      <c r="AJ227" s="486"/>
      <c r="AK227" s="486"/>
      <c r="AL227" s="486"/>
      <c r="AM227" s="486"/>
      <c r="BB227" s="486"/>
      <c r="BC227" s="486"/>
      <c r="BD227" s="486"/>
      <c r="BE227" s="483"/>
      <c r="BF227" s="483"/>
      <c r="BG227" s="483"/>
      <c r="BH227" s="483"/>
      <c r="BM227" s="486"/>
      <c r="BN227" s="486">
        <v>20</v>
      </c>
      <c r="BO227" s="486"/>
      <c r="BP227" s="486"/>
      <c r="BQ227" s="486"/>
      <c r="BR227" s="486"/>
      <c r="BS227" s="486">
        <v>5</v>
      </c>
      <c r="BT227" s="486"/>
      <c r="BU227" s="486">
        <v>5</v>
      </c>
      <c r="BV227" s="486">
        <v>5</v>
      </c>
      <c r="BW227" s="486">
        <v>5</v>
      </c>
      <c r="BX227" s="486">
        <v>5</v>
      </c>
      <c r="BY227" s="486">
        <v>5</v>
      </c>
      <c r="BZ227" s="486">
        <v>5</v>
      </c>
      <c r="CA227" s="102">
        <v>5</v>
      </c>
      <c r="CB227" s="486"/>
      <c r="CC227" s="486">
        <v>5</v>
      </c>
      <c r="CD227" s="486">
        <v>5</v>
      </c>
      <c r="CE227" s="486">
        <v>5</v>
      </c>
      <c r="CF227" s="486">
        <v>5</v>
      </c>
      <c r="CG227" s="486"/>
      <c r="CH227" s="486"/>
      <c r="CI227" s="486">
        <v>0</v>
      </c>
      <c r="CJ227" s="486">
        <v>0</v>
      </c>
      <c r="CK227" s="486">
        <v>0</v>
      </c>
      <c r="CL227" s="486">
        <v>0</v>
      </c>
      <c r="CM227" s="486">
        <v>0</v>
      </c>
      <c r="CN227" s="486">
        <v>0</v>
      </c>
      <c r="CO227" s="486">
        <v>0</v>
      </c>
      <c r="CP227" s="486">
        <v>0</v>
      </c>
      <c r="CQ227" s="486">
        <v>0</v>
      </c>
      <c r="CR227" s="486">
        <v>0</v>
      </c>
      <c r="CS227" s="486">
        <v>0</v>
      </c>
      <c r="CT227" s="486">
        <v>0</v>
      </c>
      <c r="CU227" s="486">
        <v>0</v>
      </c>
      <c r="CV227" s="486">
        <v>0</v>
      </c>
      <c r="CW227" s="486">
        <v>0</v>
      </c>
      <c r="CX227" s="486">
        <v>0</v>
      </c>
      <c r="CY227" s="486">
        <v>0</v>
      </c>
      <c r="CZ227" s="486">
        <v>0</v>
      </c>
      <c r="DA227" s="486">
        <v>0</v>
      </c>
      <c r="DB227" s="486">
        <v>0</v>
      </c>
      <c r="DC227" s="486">
        <v>0</v>
      </c>
      <c r="DD227" s="486">
        <v>0</v>
      </c>
      <c r="DE227" s="728">
        <v>0</v>
      </c>
      <c r="DF227" s="483"/>
    </row>
    <row r="228" spans="2:110" hidden="1" x14ac:dyDescent="0.35">
      <c r="B228" s="484" t="s">
        <v>754</v>
      </c>
      <c r="C228" s="485" t="s">
        <v>755</v>
      </c>
      <c r="D228" s="486">
        <v>0</v>
      </c>
      <c r="E228" s="486">
        <v>0</v>
      </c>
      <c r="F228" s="486">
        <v>0</v>
      </c>
      <c r="G228" s="486">
        <v>846</v>
      </c>
      <c r="H228" s="486">
        <v>2676</v>
      </c>
      <c r="I228" s="486">
        <v>3314</v>
      </c>
      <c r="J228" s="486">
        <v>3227</v>
      </c>
      <c r="K228" s="486"/>
      <c r="L228" s="486">
        <v>3099</v>
      </c>
      <c r="M228" s="486">
        <v>3077</v>
      </c>
      <c r="N228" s="486">
        <v>3004</v>
      </c>
      <c r="O228" s="486">
        <v>2219</v>
      </c>
      <c r="P228" s="486">
        <v>2117</v>
      </c>
      <c r="Q228" s="486">
        <v>2060</v>
      </c>
      <c r="R228" s="486">
        <v>1793</v>
      </c>
      <c r="S228" s="486">
        <v>1739</v>
      </c>
      <c r="T228" s="486">
        <v>1345</v>
      </c>
      <c r="U228" s="486">
        <v>1345</v>
      </c>
      <c r="V228" s="486">
        <v>1345</v>
      </c>
      <c r="W228" s="486">
        <v>1345</v>
      </c>
      <c r="X228" s="486">
        <v>1345</v>
      </c>
      <c r="Y228" s="486">
        <v>1315</v>
      </c>
      <c r="Z228" s="486">
        <v>1197</v>
      </c>
      <c r="AA228" s="486">
        <v>1191</v>
      </c>
      <c r="AB228" s="486">
        <v>1180</v>
      </c>
      <c r="AC228" s="486">
        <v>1167</v>
      </c>
      <c r="AD228" s="486">
        <v>1158</v>
      </c>
      <c r="AE228" s="486">
        <v>1158</v>
      </c>
      <c r="AF228" s="486">
        <v>1158</v>
      </c>
      <c r="AG228" s="486">
        <v>1157</v>
      </c>
      <c r="AH228" s="486">
        <v>1156</v>
      </c>
      <c r="AI228" s="486">
        <v>1152</v>
      </c>
      <c r="AJ228" s="486">
        <v>1145</v>
      </c>
      <c r="AK228" s="486">
        <v>1144</v>
      </c>
      <c r="AL228" s="486">
        <v>1133</v>
      </c>
      <c r="AM228" s="486">
        <v>1121</v>
      </c>
      <c r="AN228" s="486">
        <v>1096</v>
      </c>
      <c r="AO228" s="483"/>
      <c r="AP228" s="483"/>
      <c r="BB228" s="490"/>
      <c r="BC228" s="490"/>
      <c r="BD228" s="490"/>
      <c r="BE228" s="483"/>
      <c r="BF228" s="483"/>
      <c r="BG228" s="483"/>
      <c r="BH228" s="483"/>
      <c r="BM228" s="486"/>
      <c r="BN228" s="486">
        <v>81</v>
      </c>
      <c r="BO228" s="486"/>
      <c r="BP228" s="486"/>
      <c r="BQ228" s="486"/>
      <c r="BR228" s="486"/>
      <c r="BS228" s="486">
        <v>66</v>
      </c>
      <c r="BT228" s="486"/>
      <c r="BU228" s="486">
        <v>54</v>
      </c>
      <c r="BV228" s="486">
        <v>17</v>
      </c>
      <c r="BW228" s="486">
        <v>17</v>
      </c>
      <c r="BX228" s="486">
        <v>17</v>
      </c>
      <c r="BY228" s="486">
        <v>17</v>
      </c>
      <c r="BZ228" s="486">
        <v>16</v>
      </c>
      <c r="CA228" s="102">
        <v>14</v>
      </c>
      <c r="CB228" s="486"/>
      <c r="CC228" s="486">
        <v>14</v>
      </c>
      <c r="CD228" s="486">
        <v>14</v>
      </c>
      <c r="CE228" s="486">
        <v>14</v>
      </c>
      <c r="CF228" s="486">
        <v>14</v>
      </c>
      <c r="CG228" s="486"/>
      <c r="CH228" s="486"/>
      <c r="CI228" s="486">
        <v>0</v>
      </c>
      <c r="CJ228" s="486">
        <v>0</v>
      </c>
      <c r="CK228" s="486">
        <v>0</v>
      </c>
      <c r="CL228" s="486">
        <v>0</v>
      </c>
      <c r="CM228" s="486">
        <v>0</v>
      </c>
      <c r="CN228" s="486">
        <v>0</v>
      </c>
      <c r="CO228" s="486">
        <v>0</v>
      </c>
      <c r="CP228" s="486">
        <v>0</v>
      </c>
      <c r="CQ228" s="486">
        <v>0</v>
      </c>
      <c r="CR228" s="486">
        <v>0</v>
      </c>
      <c r="CS228" s="486">
        <v>0</v>
      </c>
      <c r="CT228" s="486">
        <v>0</v>
      </c>
      <c r="CU228" s="486">
        <v>0</v>
      </c>
      <c r="CV228" s="486">
        <v>0</v>
      </c>
      <c r="CW228" s="486">
        <v>0</v>
      </c>
      <c r="CX228" s="486">
        <v>0</v>
      </c>
      <c r="CY228" s="486">
        <v>0</v>
      </c>
      <c r="CZ228" s="486">
        <v>0</v>
      </c>
      <c r="DA228" s="486">
        <v>0</v>
      </c>
      <c r="DB228" s="486">
        <v>0</v>
      </c>
      <c r="DC228" s="486">
        <v>0</v>
      </c>
      <c r="DD228" s="486">
        <v>0</v>
      </c>
      <c r="DE228" s="728">
        <v>0</v>
      </c>
      <c r="DF228" s="483"/>
    </row>
    <row r="229" spans="2:110" hidden="1" x14ac:dyDescent="0.35">
      <c r="B229" s="484" t="s">
        <v>756</v>
      </c>
      <c r="C229" s="485" t="s">
        <v>757</v>
      </c>
      <c r="D229" s="486"/>
      <c r="E229" s="486"/>
      <c r="F229" s="486"/>
      <c r="G229" s="486"/>
      <c r="H229" s="486"/>
      <c r="I229" s="486"/>
      <c r="J229" s="486"/>
      <c r="K229" s="486"/>
      <c r="L229" s="486"/>
      <c r="M229" s="486"/>
      <c r="N229" s="486"/>
      <c r="O229" s="486"/>
      <c r="P229" s="486"/>
      <c r="Q229" s="486"/>
      <c r="R229" s="486">
        <v>1406</v>
      </c>
      <c r="S229" s="486">
        <v>1804</v>
      </c>
      <c r="T229" s="486">
        <v>2419</v>
      </c>
      <c r="U229" s="486">
        <v>2560</v>
      </c>
      <c r="V229" s="486">
        <v>3137</v>
      </c>
      <c r="W229" s="486">
        <v>3101</v>
      </c>
      <c r="X229" s="486">
        <v>2967</v>
      </c>
      <c r="Y229" s="486">
        <v>3092</v>
      </c>
      <c r="Z229" s="486">
        <v>3358</v>
      </c>
      <c r="AA229" s="486">
        <v>3319</v>
      </c>
      <c r="AB229" s="486">
        <v>3357</v>
      </c>
      <c r="AC229" s="486">
        <v>1809</v>
      </c>
      <c r="AD229" s="486">
        <v>1133</v>
      </c>
      <c r="AE229" s="486">
        <v>1219</v>
      </c>
      <c r="AF229" s="486">
        <v>1458</v>
      </c>
      <c r="AG229" s="486">
        <v>1529</v>
      </c>
      <c r="AH229" s="486">
        <v>1083</v>
      </c>
      <c r="AI229" s="486">
        <v>1165</v>
      </c>
      <c r="AJ229" s="486">
        <v>1277</v>
      </c>
      <c r="AK229" s="486"/>
      <c r="AL229" s="486">
        <v>1024</v>
      </c>
      <c r="AM229" s="486"/>
      <c r="AN229" s="486"/>
      <c r="AO229" s="483"/>
      <c r="AP229" s="483"/>
      <c r="AQ229" s="483"/>
      <c r="AR229" s="483"/>
      <c r="AS229" s="486">
        <v>1007</v>
      </c>
      <c r="AT229" s="486">
        <v>1416</v>
      </c>
      <c r="AU229" s="486"/>
      <c r="AV229" s="486">
        <v>1123</v>
      </c>
      <c r="AW229" s="486">
        <v>1346</v>
      </c>
      <c r="AX229" s="486">
        <v>1125</v>
      </c>
      <c r="AY229" s="486">
        <v>1272</v>
      </c>
      <c r="AZ229" s="486">
        <v>1310</v>
      </c>
      <c r="BA229" s="486">
        <v>1339</v>
      </c>
      <c r="BB229" s="486">
        <v>1450</v>
      </c>
      <c r="BC229" s="486">
        <v>1259</v>
      </c>
      <c r="BD229" s="486">
        <v>1265</v>
      </c>
      <c r="BE229" s="486">
        <v>1325</v>
      </c>
      <c r="BF229" s="486">
        <v>1232</v>
      </c>
      <c r="BG229" s="486">
        <v>1361</v>
      </c>
      <c r="BH229" s="486">
        <v>1029</v>
      </c>
      <c r="BI229" s="486">
        <v>922</v>
      </c>
      <c r="BJ229" s="486">
        <v>1003</v>
      </c>
      <c r="BK229" s="486">
        <v>1073</v>
      </c>
      <c r="BL229" s="486">
        <v>1353</v>
      </c>
      <c r="BM229" s="486">
        <v>1370</v>
      </c>
      <c r="BN229" s="486">
        <v>1100</v>
      </c>
      <c r="BO229" s="486">
        <v>1390</v>
      </c>
      <c r="BP229" s="486">
        <v>1525</v>
      </c>
      <c r="BQ229" s="486">
        <v>1634</v>
      </c>
      <c r="BR229" s="486">
        <v>1767</v>
      </c>
      <c r="BS229" s="486">
        <v>1697</v>
      </c>
      <c r="BT229" s="486">
        <v>1243</v>
      </c>
      <c r="BU229" s="486">
        <v>1232</v>
      </c>
      <c r="BV229" s="486">
        <v>1308</v>
      </c>
      <c r="BW229" s="486">
        <v>1273</v>
      </c>
      <c r="BX229" s="486">
        <v>1373</v>
      </c>
      <c r="BY229" s="486">
        <v>1454</v>
      </c>
      <c r="BZ229" s="486">
        <v>1459</v>
      </c>
      <c r="CA229" s="486">
        <v>1484</v>
      </c>
      <c r="CB229" s="486">
        <v>1193</v>
      </c>
      <c r="CC229" s="486">
        <v>913</v>
      </c>
      <c r="CD229" s="486">
        <v>921</v>
      </c>
      <c r="CE229" s="486">
        <v>607</v>
      </c>
      <c r="CF229" s="486">
        <v>447</v>
      </c>
      <c r="CG229" s="486">
        <v>288</v>
      </c>
      <c r="CH229" s="486">
        <v>261</v>
      </c>
      <c r="CI229" s="486">
        <v>227</v>
      </c>
      <c r="CJ229" s="486">
        <v>131</v>
      </c>
      <c r="CK229" s="486">
        <v>83</v>
      </c>
      <c r="CL229" s="486">
        <v>36</v>
      </c>
      <c r="CM229" s="486">
        <v>9</v>
      </c>
      <c r="CN229" s="486">
        <v>0</v>
      </c>
      <c r="CO229" s="486">
        <v>0</v>
      </c>
      <c r="CP229" s="486">
        <v>0</v>
      </c>
      <c r="CQ229" s="486">
        <v>0</v>
      </c>
      <c r="CR229" s="486">
        <v>0</v>
      </c>
      <c r="CS229" s="486">
        <v>0</v>
      </c>
      <c r="CT229" s="486">
        <v>0</v>
      </c>
      <c r="CU229" s="486">
        <v>0</v>
      </c>
      <c r="CV229" s="486">
        <v>0</v>
      </c>
      <c r="CW229" s="486">
        <v>0</v>
      </c>
      <c r="CX229" s="486">
        <v>0</v>
      </c>
      <c r="CY229" s="486">
        <v>0</v>
      </c>
      <c r="CZ229" s="486">
        <v>0</v>
      </c>
      <c r="DA229" s="486">
        <v>0</v>
      </c>
      <c r="DB229" s="486">
        <v>0</v>
      </c>
      <c r="DC229" s="486">
        <v>0</v>
      </c>
      <c r="DD229" s="486">
        <v>0</v>
      </c>
      <c r="DE229" s="728">
        <v>0</v>
      </c>
      <c r="DF229" s="483"/>
    </row>
    <row r="230" spans="2:110" hidden="1" x14ac:dyDescent="0.35">
      <c r="B230" s="484" t="s">
        <v>758</v>
      </c>
      <c r="C230" s="485" t="s">
        <v>759</v>
      </c>
      <c r="D230" s="486"/>
      <c r="E230" s="486"/>
      <c r="F230" s="486"/>
      <c r="G230" s="486"/>
      <c r="H230" s="486"/>
      <c r="I230" s="486"/>
      <c r="J230" s="486"/>
      <c r="K230" s="486"/>
      <c r="L230" s="486">
        <v>2</v>
      </c>
      <c r="M230" s="486">
        <v>33</v>
      </c>
      <c r="N230" s="486">
        <v>16220</v>
      </c>
      <c r="O230" s="486">
        <v>16221</v>
      </c>
      <c r="P230" s="486">
        <v>21926</v>
      </c>
      <c r="Q230" s="486">
        <v>21926</v>
      </c>
      <c r="R230" s="486">
        <v>21926</v>
      </c>
      <c r="S230" s="486">
        <v>25608</v>
      </c>
      <c r="T230" s="486">
        <v>25608</v>
      </c>
      <c r="U230" s="486">
        <v>25612</v>
      </c>
      <c r="V230" s="486">
        <v>25613</v>
      </c>
      <c r="W230" s="486">
        <v>25614</v>
      </c>
      <c r="X230" s="486">
        <v>25614</v>
      </c>
      <c r="Y230" s="486">
        <v>25614</v>
      </c>
      <c r="Z230" s="486">
        <v>25614</v>
      </c>
      <c r="AA230" s="486">
        <v>25614</v>
      </c>
      <c r="AB230" s="486">
        <v>25614</v>
      </c>
      <c r="AC230" s="486">
        <v>25614</v>
      </c>
      <c r="AD230" s="486">
        <v>25614</v>
      </c>
      <c r="AE230" s="486">
        <v>25614</v>
      </c>
      <c r="AF230" s="486">
        <v>25614</v>
      </c>
      <c r="AG230" s="486">
        <v>25614</v>
      </c>
      <c r="AH230" s="486">
        <v>25614</v>
      </c>
      <c r="AI230" s="486">
        <v>25614</v>
      </c>
      <c r="AJ230" s="486">
        <v>25614</v>
      </c>
      <c r="AK230" s="486">
        <v>25614</v>
      </c>
      <c r="AL230" s="486">
        <v>25614</v>
      </c>
      <c r="AM230" s="486">
        <v>25614</v>
      </c>
      <c r="AN230" s="486">
        <v>25614</v>
      </c>
      <c r="AO230" s="486">
        <v>25614</v>
      </c>
      <c r="AP230" s="486">
        <v>25523</v>
      </c>
      <c r="AQ230" s="486">
        <v>24748</v>
      </c>
      <c r="AR230" s="486">
        <v>24748</v>
      </c>
      <c r="AS230" s="486">
        <v>24748</v>
      </c>
      <c r="AT230" s="486">
        <v>24748</v>
      </c>
      <c r="AU230" s="486">
        <v>24749</v>
      </c>
      <c r="AV230" s="486">
        <v>24746</v>
      </c>
      <c r="AW230" s="486">
        <v>24746</v>
      </c>
      <c r="AX230" s="486">
        <v>24746</v>
      </c>
      <c r="AY230" s="486">
        <v>24746</v>
      </c>
      <c r="AZ230" s="486">
        <v>24747</v>
      </c>
      <c r="BA230" s="486">
        <v>24724</v>
      </c>
      <c r="BB230" s="486">
        <v>24724</v>
      </c>
      <c r="BC230" s="486">
        <v>24724</v>
      </c>
      <c r="BD230" s="486">
        <v>24054</v>
      </c>
      <c r="BE230" s="486">
        <v>24054</v>
      </c>
      <c r="BF230" s="486">
        <v>23822</v>
      </c>
      <c r="BG230" s="486">
        <v>23822</v>
      </c>
      <c r="BH230" s="486">
        <v>23731</v>
      </c>
      <c r="BI230" s="486">
        <v>23731</v>
      </c>
      <c r="BJ230" s="486">
        <v>22595</v>
      </c>
      <c r="BK230" s="486">
        <v>22595</v>
      </c>
      <c r="BL230" s="486">
        <v>22555</v>
      </c>
      <c r="BM230" s="486">
        <v>22555</v>
      </c>
      <c r="BN230" s="486">
        <v>22550</v>
      </c>
      <c r="BO230" s="486">
        <v>22550</v>
      </c>
      <c r="BP230" s="486">
        <v>21884</v>
      </c>
      <c r="BQ230" s="486">
        <v>21883</v>
      </c>
      <c r="BR230" s="486">
        <v>21883</v>
      </c>
      <c r="BS230" s="486">
        <v>21333</v>
      </c>
      <c r="BT230" s="486">
        <v>21333</v>
      </c>
      <c r="BU230" s="486">
        <v>21333</v>
      </c>
      <c r="BV230" s="486">
        <v>21333</v>
      </c>
      <c r="BW230" s="486">
        <v>21333</v>
      </c>
      <c r="BX230" s="486">
        <v>21332</v>
      </c>
      <c r="BY230" s="486">
        <v>17900</v>
      </c>
      <c r="BZ230" s="486">
        <v>17900</v>
      </c>
      <c r="CA230" s="486">
        <v>17683</v>
      </c>
      <c r="CB230" s="486">
        <v>17683</v>
      </c>
      <c r="CC230" s="486">
        <v>17683</v>
      </c>
      <c r="CD230" s="486">
        <v>17342</v>
      </c>
      <c r="CE230" s="486">
        <v>17342</v>
      </c>
      <c r="CF230" s="486">
        <v>17342</v>
      </c>
      <c r="CG230" s="486">
        <v>17316</v>
      </c>
      <c r="CH230" s="486">
        <v>17316</v>
      </c>
      <c r="CI230" s="486">
        <v>15415</v>
      </c>
      <c r="CJ230" s="486">
        <v>14541</v>
      </c>
      <c r="CK230" s="486">
        <v>14535</v>
      </c>
      <c r="CL230" s="486">
        <v>14535</v>
      </c>
      <c r="CM230" s="486">
        <v>14535</v>
      </c>
      <c r="CN230" s="486">
        <v>14535</v>
      </c>
      <c r="CO230" s="486">
        <v>14535</v>
      </c>
      <c r="CP230" s="486">
        <v>8974</v>
      </c>
      <c r="CQ230" s="486">
        <v>7965</v>
      </c>
      <c r="CR230" s="486">
        <v>7019</v>
      </c>
      <c r="CS230" s="486">
        <v>976</v>
      </c>
      <c r="CT230" s="486">
        <v>976</v>
      </c>
      <c r="CU230" s="486">
        <v>2</v>
      </c>
      <c r="CV230" s="486">
        <v>2</v>
      </c>
      <c r="CW230" s="486">
        <v>2</v>
      </c>
      <c r="CX230" s="486">
        <v>0</v>
      </c>
      <c r="CY230" s="486">
        <v>0</v>
      </c>
      <c r="CZ230" s="486">
        <v>0</v>
      </c>
      <c r="DA230" s="486">
        <v>0</v>
      </c>
      <c r="DB230" s="486">
        <v>0</v>
      </c>
      <c r="DC230" s="486">
        <v>0</v>
      </c>
      <c r="DD230" s="486">
        <v>0</v>
      </c>
      <c r="DE230" s="728">
        <v>0</v>
      </c>
      <c r="DF230" s="483"/>
    </row>
    <row r="231" spans="2:110" hidden="1" x14ac:dyDescent="0.35">
      <c r="B231" s="484" t="s">
        <v>760</v>
      </c>
      <c r="C231" s="485" t="s">
        <v>761</v>
      </c>
      <c r="D231" s="486"/>
      <c r="E231" s="486"/>
      <c r="F231" s="486"/>
      <c r="G231" s="486"/>
      <c r="H231" s="486">
        <v>260</v>
      </c>
      <c r="I231" s="486">
        <v>3389</v>
      </c>
      <c r="J231" s="486">
        <v>5367</v>
      </c>
      <c r="K231" s="486"/>
      <c r="L231" s="486">
        <v>5483</v>
      </c>
      <c r="M231" s="486">
        <v>5759</v>
      </c>
      <c r="N231" s="486">
        <v>6244</v>
      </c>
      <c r="O231" s="486">
        <v>6709</v>
      </c>
      <c r="P231" s="486">
        <v>6936</v>
      </c>
      <c r="Q231" s="486">
        <v>7070</v>
      </c>
      <c r="R231" s="486">
        <v>7296</v>
      </c>
      <c r="S231" s="486">
        <v>7304</v>
      </c>
      <c r="T231" s="486">
        <v>7322</v>
      </c>
      <c r="U231" s="486">
        <v>7323</v>
      </c>
      <c r="V231" s="486">
        <v>7325</v>
      </c>
      <c r="W231" s="486">
        <v>7399</v>
      </c>
      <c r="X231" s="486">
        <v>7398</v>
      </c>
      <c r="Y231" s="486">
        <v>7396</v>
      </c>
      <c r="Z231" s="486">
        <v>7395</v>
      </c>
      <c r="AA231" s="486">
        <v>7387</v>
      </c>
      <c r="AB231" s="486">
        <v>7387</v>
      </c>
      <c r="AC231" s="486">
        <v>7387</v>
      </c>
      <c r="AD231" s="486">
        <v>7452</v>
      </c>
      <c r="AE231" s="486">
        <v>7452</v>
      </c>
      <c r="AF231" s="486">
        <v>7452</v>
      </c>
      <c r="AG231" s="486">
        <v>7448</v>
      </c>
      <c r="AH231" s="486">
        <v>7448</v>
      </c>
      <c r="AI231" s="486">
        <v>7448</v>
      </c>
      <c r="AJ231" s="486">
        <v>7448</v>
      </c>
      <c r="AK231" s="486">
        <v>7448</v>
      </c>
      <c r="AL231" s="486">
        <v>7437</v>
      </c>
      <c r="AM231" s="486">
        <v>7437</v>
      </c>
      <c r="AN231" s="486">
        <v>7437</v>
      </c>
      <c r="AO231" s="486">
        <v>7436</v>
      </c>
      <c r="AP231" s="486">
        <v>7435</v>
      </c>
      <c r="AQ231" s="486">
        <v>7435</v>
      </c>
      <c r="AR231" s="486">
        <v>7435</v>
      </c>
      <c r="AS231" s="486">
        <v>7433</v>
      </c>
      <c r="AT231" s="486">
        <v>7433</v>
      </c>
      <c r="AU231" s="486">
        <v>7433</v>
      </c>
      <c r="AV231" s="486">
        <v>7431</v>
      </c>
      <c r="AW231" s="486">
        <v>7430</v>
      </c>
      <c r="AX231" s="486">
        <v>7430</v>
      </c>
      <c r="AY231" s="486">
        <v>7016</v>
      </c>
      <c r="AZ231" s="486">
        <v>7016</v>
      </c>
      <c r="BA231" s="486">
        <v>7016</v>
      </c>
      <c r="BB231" s="486">
        <v>7014</v>
      </c>
      <c r="BC231" s="486">
        <v>7014</v>
      </c>
      <c r="BD231" s="486">
        <v>7014</v>
      </c>
      <c r="BE231" s="486">
        <v>7014</v>
      </c>
      <c r="BF231" s="486">
        <v>7013</v>
      </c>
      <c r="BG231" s="486">
        <v>7013</v>
      </c>
      <c r="BH231" s="486">
        <v>7013</v>
      </c>
      <c r="BI231" s="486">
        <v>7005</v>
      </c>
      <c r="BJ231" s="486">
        <v>7004</v>
      </c>
      <c r="BK231" s="486">
        <v>7004</v>
      </c>
      <c r="BL231" s="486">
        <v>7004</v>
      </c>
      <c r="BM231" s="486">
        <v>7004</v>
      </c>
      <c r="BN231" s="486">
        <v>7003</v>
      </c>
      <c r="BO231" s="486">
        <v>7003</v>
      </c>
      <c r="BP231" s="486">
        <v>7003</v>
      </c>
      <c r="BQ231" s="486">
        <v>7003</v>
      </c>
      <c r="BR231" s="486">
        <v>7003</v>
      </c>
      <c r="BS231" s="486">
        <v>7003</v>
      </c>
      <c r="BT231" s="486">
        <v>7003</v>
      </c>
      <c r="BU231" s="486">
        <v>7002</v>
      </c>
      <c r="BV231" s="486">
        <v>5704</v>
      </c>
      <c r="BW231" s="486">
        <v>5704</v>
      </c>
      <c r="BX231" s="486">
        <v>5704</v>
      </c>
      <c r="BY231" s="486">
        <v>5704</v>
      </c>
      <c r="BZ231" s="486">
        <v>5704</v>
      </c>
      <c r="CA231" s="486">
        <v>5704</v>
      </c>
      <c r="CB231" s="486">
        <v>5704</v>
      </c>
      <c r="CC231" s="486">
        <v>5704</v>
      </c>
      <c r="CD231" s="486">
        <v>5704</v>
      </c>
      <c r="CE231" s="486">
        <v>5707</v>
      </c>
      <c r="CF231" s="486">
        <v>5705</v>
      </c>
      <c r="CG231" s="486">
        <v>5705</v>
      </c>
      <c r="CH231" s="486">
        <v>5705</v>
      </c>
      <c r="CI231" s="486">
        <v>5705</v>
      </c>
      <c r="CJ231" s="486">
        <v>5705</v>
      </c>
      <c r="CK231" s="486">
        <v>5705</v>
      </c>
      <c r="CL231" s="486">
        <v>5705</v>
      </c>
      <c r="CM231" s="486">
        <v>5705</v>
      </c>
      <c r="CN231" s="486">
        <v>5704</v>
      </c>
      <c r="CO231" s="486">
        <v>5704</v>
      </c>
      <c r="CP231" s="486">
        <v>5704</v>
      </c>
      <c r="CQ231" s="486">
        <v>5704</v>
      </c>
      <c r="CR231" s="486">
        <v>5704</v>
      </c>
      <c r="CS231" s="486">
        <v>5704</v>
      </c>
      <c r="CT231" s="486">
        <v>0</v>
      </c>
      <c r="CU231" s="486">
        <v>0</v>
      </c>
      <c r="CV231" s="486">
        <v>0</v>
      </c>
      <c r="CW231" s="486">
        <v>0</v>
      </c>
      <c r="CX231" s="486">
        <v>0</v>
      </c>
      <c r="CY231" s="486">
        <v>0</v>
      </c>
      <c r="CZ231" s="486">
        <v>0</v>
      </c>
      <c r="DA231" s="486">
        <v>0</v>
      </c>
      <c r="DB231" s="486">
        <v>0</v>
      </c>
      <c r="DC231" s="486">
        <v>0</v>
      </c>
      <c r="DD231" s="486">
        <v>0</v>
      </c>
      <c r="DE231" s="728">
        <v>0</v>
      </c>
      <c r="DF231" s="483"/>
    </row>
    <row r="232" spans="2:110" hidden="1" x14ac:dyDescent="0.35">
      <c r="B232" s="484" t="s">
        <v>762</v>
      </c>
      <c r="C232" s="485" t="s">
        <v>763</v>
      </c>
      <c r="D232" s="486">
        <v>0</v>
      </c>
      <c r="E232" s="486">
        <v>947</v>
      </c>
      <c r="F232" s="486">
        <v>1094</v>
      </c>
      <c r="G232" s="486">
        <v>3687</v>
      </c>
      <c r="H232" s="486">
        <v>4950</v>
      </c>
      <c r="I232" s="486">
        <v>3353</v>
      </c>
      <c r="J232" s="486">
        <v>1694</v>
      </c>
      <c r="K232" s="486"/>
      <c r="L232" s="486">
        <v>1696</v>
      </c>
      <c r="M232" s="486">
        <v>1594</v>
      </c>
      <c r="N232" s="486">
        <v>1601</v>
      </c>
      <c r="O232" s="486">
        <v>1604</v>
      </c>
      <c r="P232" s="486">
        <v>1609</v>
      </c>
      <c r="Q232" s="486">
        <v>1611</v>
      </c>
      <c r="R232" s="486">
        <v>1616</v>
      </c>
      <c r="S232" s="486">
        <v>1617</v>
      </c>
      <c r="T232" s="486">
        <v>1625</v>
      </c>
      <c r="U232" s="486">
        <v>1599</v>
      </c>
      <c r="V232" s="486">
        <v>1479</v>
      </c>
      <c r="W232" s="486">
        <v>1480</v>
      </c>
      <c r="X232" s="486">
        <v>1495</v>
      </c>
      <c r="Y232" s="486">
        <v>1496</v>
      </c>
      <c r="Z232" s="486">
        <v>1497</v>
      </c>
      <c r="AA232" s="486">
        <v>1500</v>
      </c>
      <c r="AB232" s="486">
        <v>1499</v>
      </c>
      <c r="AC232" s="486">
        <v>1499</v>
      </c>
      <c r="AD232" s="486">
        <v>1499</v>
      </c>
      <c r="AE232" s="486">
        <v>1499</v>
      </c>
      <c r="AF232" s="486">
        <v>1497</v>
      </c>
      <c r="AG232" s="486">
        <v>1497</v>
      </c>
      <c r="AH232" s="486">
        <v>1497</v>
      </c>
      <c r="AI232" s="486">
        <v>1497</v>
      </c>
      <c r="AJ232" s="486">
        <v>1402</v>
      </c>
      <c r="AK232" s="486">
        <v>1362</v>
      </c>
      <c r="AL232" s="486">
        <v>1362</v>
      </c>
      <c r="AM232" s="486">
        <v>1361</v>
      </c>
      <c r="AN232" s="486">
        <v>1361</v>
      </c>
      <c r="AO232" s="486">
        <v>1361</v>
      </c>
      <c r="AP232" s="486">
        <v>1359</v>
      </c>
      <c r="AQ232" s="486">
        <v>1358</v>
      </c>
      <c r="AR232" s="486">
        <v>1355</v>
      </c>
      <c r="AS232" s="486">
        <v>1353</v>
      </c>
      <c r="AT232" s="486">
        <v>1353</v>
      </c>
      <c r="AU232" s="486">
        <v>1352</v>
      </c>
      <c r="AV232" s="486">
        <v>1335</v>
      </c>
      <c r="AW232" s="486">
        <v>1327</v>
      </c>
      <c r="AX232" s="486">
        <v>1327</v>
      </c>
      <c r="AY232" s="486">
        <v>1326</v>
      </c>
      <c r="AZ232" s="486">
        <v>1326</v>
      </c>
      <c r="BA232" s="486">
        <v>1326</v>
      </c>
      <c r="BB232" s="486">
        <v>1326</v>
      </c>
      <c r="BC232" s="486">
        <v>1326</v>
      </c>
      <c r="BD232" s="486">
        <v>1326</v>
      </c>
      <c r="BE232" s="486">
        <v>1326</v>
      </c>
      <c r="BF232" s="486">
        <v>1324</v>
      </c>
      <c r="BG232" s="486">
        <v>1324</v>
      </c>
      <c r="BH232" s="486">
        <v>1324</v>
      </c>
      <c r="BI232" s="486">
        <v>1318</v>
      </c>
      <c r="BJ232" s="486">
        <v>1309</v>
      </c>
      <c r="BK232" s="486">
        <v>1305</v>
      </c>
      <c r="BL232" s="486">
        <v>1305</v>
      </c>
      <c r="BM232" s="486">
        <v>1304</v>
      </c>
      <c r="BN232" s="486">
        <v>1304</v>
      </c>
      <c r="BO232" s="486">
        <v>1303</v>
      </c>
      <c r="BP232" s="486">
        <v>1303</v>
      </c>
      <c r="BQ232" s="486">
        <v>1302</v>
      </c>
      <c r="BR232" s="486">
        <v>1302</v>
      </c>
      <c r="BS232" s="486">
        <v>1296</v>
      </c>
      <c r="BT232" s="486">
        <v>1295</v>
      </c>
      <c r="BU232" s="486">
        <v>1286</v>
      </c>
      <c r="BV232" s="486">
        <v>1286</v>
      </c>
      <c r="BW232" s="486">
        <v>1286</v>
      </c>
      <c r="BX232" s="486">
        <v>1286</v>
      </c>
      <c r="BY232" s="486">
        <v>1286</v>
      </c>
      <c r="BZ232" s="486">
        <v>1286</v>
      </c>
      <c r="CA232" s="486">
        <v>1286</v>
      </c>
      <c r="CB232" s="486">
        <v>1286</v>
      </c>
      <c r="CC232" s="486">
        <v>1286</v>
      </c>
      <c r="CD232" s="486">
        <v>1285</v>
      </c>
      <c r="CE232" s="486">
        <v>1268</v>
      </c>
      <c r="CF232" s="486">
        <v>1253</v>
      </c>
      <c r="CG232" s="486">
        <v>1253</v>
      </c>
      <c r="CH232" s="486">
        <v>1253</v>
      </c>
      <c r="CI232" s="486">
        <v>1253</v>
      </c>
      <c r="CJ232" s="486">
        <v>1253</v>
      </c>
      <c r="CK232" s="486">
        <v>1253</v>
      </c>
      <c r="CL232" s="486">
        <v>1253</v>
      </c>
      <c r="CM232" s="486">
        <v>1252</v>
      </c>
      <c r="CN232" s="486">
        <v>1245</v>
      </c>
      <c r="CO232" s="486">
        <v>1245</v>
      </c>
      <c r="CP232" s="486">
        <v>1245</v>
      </c>
      <c r="CQ232" s="486">
        <v>1245</v>
      </c>
      <c r="CR232" s="486">
        <v>1245</v>
      </c>
      <c r="CS232" s="486">
        <v>1244</v>
      </c>
      <c r="CT232" s="486">
        <v>0</v>
      </c>
      <c r="CU232" s="486">
        <v>0</v>
      </c>
      <c r="CV232" s="486">
        <v>0</v>
      </c>
      <c r="CW232" s="486">
        <v>0</v>
      </c>
      <c r="CX232" s="486">
        <v>0</v>
      </c>
      <c r="CY232" s="486">
        <v>0</v>
      </c>
      <c r="CZ232" s="486">
        <v>0</v>
      </c>
      <c r="DA232" s="486">
        <v>0</v>
      </c>
      <c r="DB232" s="486">
        <v>0</v>
      </c>
      <c r="DC232" s="486">
        <v>0</v>
      </c>
      <c r="DD232" s="486">
        <v>0</v>
      </c>
      <c r="DE232" s="728">
        <v>0</v>
      </c>
      <c r="DF232" s="483"/>
    </row>
    <row r="233" spans="2:110" hidden="1" x14ac:dyDescent="0.35">
      <c r="B233" s="484" t="s">
        <v>764</v>
      </c>
      <c r="C233" s="485" t="s">
        <v>765</v>
      </c>
      <c r="D233" s="486"/>
      <c r="E233" s="486"/>
      <c r="F233" s="486"/>
      <c r="G233" s="486"/>
      <c r="H233" s="486"/>
      <c r="I233" s="486"/>
      <c r="J233" s="486"/>
      <c r="K233" s="486"/>
      <c r="L233" s="486"/>
      <c r="M233" s="486"/>
      <c r="N233" s="486"/>
      <c r="O233" s="486"/>
      <c r="P233" s="486"/>
      <c r="Q233" s="486"/>
      <c r="R233" s="486">
        <v>1203</v>
      </c>
      <c r="S233" s="486">
        <v>1405</v>
      </c>
      <c r="T233" s="486">
        <v>2005</v>
      </c>
      <c r="U233" s="486">
        <v>2005</v>
      </c>
      <c r="V233" s="486">
        <v>2405</v>
      </c>
      <c r="W233" s="486">
        <v>2405</v>
      </c>
      <c r="X233" s="486">
        <v>2805</v>
      </c>
      <c r="Y233" s="486">
        <v>2805</v>
      </c>
      <c r="Z233" s="486">
        <v>3205</v>
      </c>
      <c r="AA233" s="486">
        <v>3205</v>
      </c>
      <c r="AB233" s="486">
        <v>3205</v>
      </c>
      <c r="AC233" s="486">
        <v>3205</v>
      </c>
      <c r="AD233" s="486">
        <v>3202</v>
      </c>
      <c r="AE233" s="486">
        <v>3051</v>
      </c>
      <c r="AF233" s="486">
        <v>3007</v>
      </c>
      <c r="AG233" s="486">
        <v>3006</v>
      </c>
      <c r="AH233" s="486">
        <v>2918</v>
      </c>
      <c r="AI233" s="486">
        <v>2915</v>
      </c>
      <c r="AJ233" s="486">
        <v>2915</v>
      </c>
      <c r="AK233" s="486">
        <v>3136</v>
      </c>
      <c r="AL233" s="486">
        <v>3434</v>
      </c>
      <c r="AM233" s="486">
        <v>3733</v>
      </c>
      <c r="AN233" s="486">
        <v>3733</v>
      </c>
      <c r="AO233" s="486">
        <v>4316</v>
      </c>
      <c r="AP233" s="486">
        <v>4616</v>
      </c>
      <c r="AQ233" s="486">
        <v>4616</v>
      </c>
      <c r="AR233" s="486">
        <v>4812</v>
      </c>
      <c r="AS233" s="486">
        <v>4810</v>
      </c>
      <c r="AT233" s="486">
        <v>5007</v>
      </c>
      <c r="AU233" s="486">
        <v>5007</v>
      </c>
      <c r="AV233" s="486">
        <v>5457</v>
      </c>
      <c r="AW233" s="486">
        <v>5901</v>
      </c>
      <c r="AX233" s="486">
        <v>6500</v>
      </c>
      <c r="AY233" s="486">
        <v>6500</v>
      </c>
      <c r="AZ233" s="486">
        <v>6699</v>
      </c>
      <c r="BA233" s="486">
        <v>6699</v>
      </c>
      <c r="BB233" s="486">
        <v>6699</v>
      </c>
      <c r="BC233" s="486">
        <v>6699</v>
      </c>
      <c r="BD233" s="486">
        <v>6696</v>
      </c>
      <c r="BE233" s="486">
        <v>6696</v>
      </c>
      <c r="BF233" s="486">
        <v>6696</v>
      </c>
      <c r="BG233" s="486">
        <v>6696</v>
      </c>
      <c r="BH233" s="486">
        <v>6696</v>
      </c>
      <c r="BI233" s="486">
        <v>6384</v>
      </c>
      <c r="BJ233" s="486">
        <v>6382</v>
      </c>
      <c r="BK233" s="486">
        <v>6089</v>
      </c>
      <c r="BL233" s="486">
        <v>6139</v>
      </c>
      <c r="BM233" s="486">
        <v>6141</v>
      </c>
      <c r="BN233" s="486">
        <v>6121</v>
      </c>
      <c r="BO233" s="486">
        <v>6229</v>
      </c>
      <c r="BP233" s="486">
        <v>6579</v>
      </c>
      <c r="BQ233" s="486">
        <v>6579</v>
      </c>
      <c r="BR233" s="486">
        <v>6576</v>
      </c>
      <c r="BS233" s="486">
        <v>6797</v>
      </c>
      <c r="BT233" s="486">
        <v>6796</v>
      </c>
      <c r="BU233" s="486">
        <v>6794</v>
      </c>
      <c r="BV233" s="486">
        <v>6790</v>
      </c>
      <c r="BW233" s="486">
        <v>6271</v>
      </c>
      <c r="BX233" s="486">
        <v>6270</v>
      </c>
      <c r="BY233" s="486">
        <v>6269</v>
      </c>
      <c r="BZ233" s="486">
        <v>6267</v>
      </c>
      <c r="CA233" s="486">
        <v>6266</v>
      </c>
      <c r="CB233" s="486">
        <v>6263</v>
      </c>
      <c r="CC233" s="486">
        <v>6262</v>
      </c>
      <c r="CD233" s="486">
        <v>6117</v>
      </c>
      <c r="CE233" s="486">
        <v>6117</v>
      </c>
      <c r="CF233" s="486">
        <v>6116</v>
      </c>
      <c r="CG233" s="486">
        <v>5822</v>
      </c>
      <c r="CH233" s="486">
        <v>5822</v>
      </c>
      <c r="CI233" s="486">
        <v>5822</v>
      </c>
      <c r="CJ233" s="486">
        <v>5821</v>
      </c>
      <c r="CK233" s="486">
        <v>5821</v>
      </c>
      <c r="CL233" s="486">
        <v>5821</v>
      </c>
      <c r="CM233" s="486">
        <v>4425</v>
      </c>
      <c r="CN233" s="486">
        <v>4361</v>
      </c>
      <c r="CO233" s="486">
        <v>4059</v>
      </c>
      <c r="CP233" s="486">
        <v>4053</v>
      </c>
      <c r="CQ233" s="486">
        <v>3008</v>
      </c>
      <c r="CR233" s="486">
        <v>2928</v>
      </c>
      <c r="CS233" s="486">
        <v>2927</v>
      </c>
      <c r="CT233" s="486">
        <v>2925</v>
      </c>
      <c r="CU233" s="486">
        <v>1082</v>
      </c>
      <c r="CV233" s="486">
        <v>451</v>
      </c>
      <c r="CW233" s="486">
        <v>306</v>
      </c>
      <c r="CX233" s="486">
        <v>0</v>
      </c>
      <c r="CY233" s="486">
        <v>0</v>
      </c>
      <c r="CZ233" s="486">
        <v>0</v>
      </c>
      <c r="DA233" s="486">
        <v>0</v>
      </c>
      <c r="DB233" s="486">
        <v>0</v>
      </c>
      <c r="DC233" s="486">
        <v>0</v>
      </c>
      <c r="DD233" s="486">
        <v>0</v>
      </c>
      <c r="DE233" s="728">
        <v>0</v>
      </c>
      <c r="DF233" s="483"/>
    </row>
    <row r="234" spans="2:110" hidden="1" x14ac:dyDescent="0.35">
      <c r="B234" s="484" t="s">
        <v>766</v>
      </c>
      <c r="C234" s="484" t="s">
        <v>767</v>
      </c>
      <c r="D234" s="486"/>
      <c r="E234" s="486"/>
      <c r="F234" s="486"/>
      <c r="G234" s="486"/>
      <c r="H234" s="486"/>
      <c r="I234" s="486"/>
      <c r="J234" s="486"/>
      <c r="K234" s="486"/>
      <c r="L234" s="486"/>
      <c r="M234" s="486"/>
      <c r="N234" s="486"/>
      <c r="O234" s="486"/>
      <c r="P234" s="486"/>
      <c r="Q234" s="486"/>
      <c r="R234" s="486"/>
      <c r="S234" s="486"/>
      <c r="T234" s="486"/>
      <c r="U234" s="486"/>
      <c r="V234" s="486"/>
      <c r="W234" s="486"/>
      <c r="X234" s="486"/>
      <c r="Y234" s="486"/>
      <c r="Z234" s="486"/>
      <c r="AA234" s="486"/>
      <c r="AB234" s="486"/>
      <c r="AC234" s="486"/>
      <c r="AD234" s="486"/>
      <c r="AE234" s="486"/>
      <c r="AF234" s="486"/>
      <c r="AG234" s="486"/>
      <c r="AH234" s="486"/>
      <c r="AI234" s="486"/>
      <c r="AJ234" s="486"/>
      <c r="AK234" s="486"/>
      <c r="AL234" s="486"/>
      <c r="AM234" s="486"/>
      <c r="AN234" s="486"/>
      <c r="AO234" s="483"/>
      <c r="AP234" s="483"/>
      <c r="AQ234" s="483"/>
      <c r="AR234" s="483"/>
      <c r="AS234" s="486"/>
      <c r="AT234" s="486"/>
      <c r="AU234" s="486"/>
      <c r="AV234" s="486"/>
      <c r="AZ234" s="486"/>
      <c r="BA234" s="486"/>
      <c r="BB234" s="486"/>
      <c r="BC234" s="486">
        <v>1121</v>
      </c>
      <c r="BD234" s="486">
        <v>1312</v>
      </c>
      <c r="BE234" s="486">
        <v>1605</v>
      </c>
      <c r="BF234" s="486">
        <v>1604</v>
      </c>
      <c r="BG234" s="486">
        <v>1604</v>
      </c>
      <c r="BH234" s="486">
        <v>1605</v>
      </c>
      <c r="BI234" s="486">
        <v>1626</v>
      </c>
      <c r="BJ234" s="486">
        <v>1630</v>
      </c>
      <c r="BK234" s="486">
        <v>1630</v>
      </c>
      <c r="BL234" s="486">
        <v>1819</v>
      </c>
      <c r="BM234" s="486">
        <v>1850</v>
      </c>
      <c r="BN234" s="486">
        <v>1848</v>
      </c>
      <c r="BO234" s="486">
        <v>1952</v>
      </c>
      <c r="BP234" s="486">
        <v>2126</v>
      </c>
      <c r="BQ234" s="486">
        <v>2334</v>
      </c>
      <c r="BR234" s="486">
        <v>2349</v>
      </c>
      <c r="BS234" s="486">
        <v>2349</v>
      </c>
      <c r="BT234" s="486">
        <v>1545</v>
      </c>
      <c r="BU234" s="486">
        <v>1549</v>
      </c>
      <c r="BV234" s="486">
        <v>1615</v>
      </c>
      <c r="BW234" s="486">
        <v>1643</v>
      </c>
      <c r="BX234" s="486">
        <v>1665</v>
      </c>
      <c r="BY234" s="486">
        <v>1666</v>
      </c>
      <c r="BZ234" s="486">
        <v>1698</v>
      </c>
      <c r="CA234" s="486">
        <v>1701</v>
      </c>
      <c r="CB234" s="486">
        <v>1710</v>
      </c>
      <c r="CC234" s="486">
        <v>1727</v>
      </c>
      <c r="CD234" s="486">
        <v>1728</v>
      </c>
      <c r="CE234" s="486">
        <v>1740</v>
      </c>
      <c r="CF234" s="486">
        <v>1744</v>
      </c>
      <c r="CG234" s="486">
        <v>1746</v>
      </c>
      <c r="CH234" s="486">
        <v>1756</v>
      </c>
      <c r="CI234" s="486">
        <v>459</v>
      </c>
      <c r="CJ234" s="486">
        <v>516</v>
      </c>
      <c r="CK234" s="486">
        <v>516</v>
      </c>
      <c r="CL234" s="486">
        <v>516</v>
      </c>
      <c r="CM234" s="486">
        <v>516</v>
      </c>
      <c r="CN234" s="486">
        <v>516</v>
      </c>
      <c r="CO234" s="486">
        <v>516</v>
      </c>
      <c r="CP234" s="486">
        <v>516</v>
      </c>
      <c r="CQ234" s="486">
        <v>516</v>
      </c>
      <c r="CR234" s="486">
        <v>516</v>
      </c>
      <c r="CS234" s="486">
        <v>516</v>
      </c>
      <c r="CT234" s="486">
        <v>516</v>
      </c>
      <c r="CU234" s="486">
        <v>0</v>
      </c>
      <c r="CV234" s="486">
        <v>0</v>
      </c>
      <c r="CW234" s="486">
        <v>0</v>
      </c>
      <c r="CX234" s="486">
        <v>0</v>
      </c>
      <c r="CY234" s="486">
        <v>0</v>
      </c>
      <c r="CZ234" s="486">
        <v>0</v>
      </c>
      <c r="DA234" s="486">
        <v>0</v>
      </c>
      <c r="DB234" s="486">
        <v>0</v>
      </c>
      <c r="DC234" s="486">
        <v>0</v>
      </c>
      <c r="DD234" s="486">
        <v>0</v>
      </c>
      <c r="DE234" s="728">
        <v>0</v>
      </c>
      <c r="DF234" s="483"/>
    </row>
    <row r="235" spans="2:110" hidden="1" x14ac:dyDescent="0.35">
      <c r="B235" s="484" t="s">
        <v>768</v>
      </c>
      <c r="C235" s="485" t="s">
        <v>769</v>
      </c>
      <c r="D235" s="486"/>
      <c r="E235" s="486"/>
      <c r="F235" s="486"/>
      <c r="G235" s="486"/>
      <c r="H235" s="486"/>
      <c r="I235" s="486"/>
      <c r="J235" s="486"/>
      <c r="K235" s="486"/>
      <c r="L235" s="486"/>
      <c r="M235" s="486"/>
      <c r="N235" s="486"/>
      <c r="O235" s="486"/>
      <c r="P235" s="486"/>
      <c r="Q235" s="486"/>
      <c r="R235" s="486"/>
      <c r="S235" s="486"/>
      <c r="T235" s="486"/>
      <c r="U235" s="486"/>
      <c r="V235" s="486"/>
      <c r="W235" s="486"/>
      <c r="X235" s="486"/>
      <c r="Y235" s="486"/>
      <c r="Z235" s="486"/>
      <c r="AA235" s="486"/>
      <c r="AB235" s="486"/>
      <c r="AC235" s="486"/>
      <c r="AD235" s="486"/>
      <c r="AE235" s="486"/>
      <c r="AF235" s="486"/>
      <c r="AG235" s="486"/>
      <c r="AH235" s="486"/>
      <c r="AI235" s="486"/>
      <c r="AJ235" s="486"/>
      <c r="AK235" s="486"/>
      <c r="AL235" s="486"/>
      <c r="AM235" s="486"/>
      <c r="AN235" s="486"/>
      <c r="AO235" s="486"/>
      <c r="AP235" s="486"/>
      <c r="AQ235" s="486"/>
      <c r="AR235" s="486"/>
      <c r="AS235" s="486"/>
      <c r="AT235" s="486"/>
      <c r="AU235" s="486"/>
      <c r="AV235" s="486"/>
      <c r="AZ235" s="486"/>
      <c r="BA235" s="486"/>
      <c r="BB235" s="486"/>
      <c r="BC235" s="486"/>
      <c r="BD235" s="486"/>
      <c r="BE235" s="483"/>
      <c r="BF235" s="483"/>
      <c r="BG235" s="486"/>
      <c r="BH235" s="486"/>
      <c r="BI235" s="486"/>
      <c r="BJ235" s="486"/>
      <c r="BK235" s="486"/>
      <c r="BL235" s="486"/>
      <c r="BM235" s="486"/>
      <c r="BN235" s="486"/>
      <c r="BO235" s="486"/>
      <c r="BP235" s="486"/>
      <c r="BQ235" s="486"/>
      <c r="BR235" s="486"/>
      <c r="BS235" s="486"/>
      <c r="BT235" s="486"/>
      <c r="BU235" s="486">
        <v>18</v>
      </c>
      <c r="BV235" s="486">
        <v>18</v>
      </c>
      <c r="BW235" s="486">
        <v>18</v>
      </c>
      <c r="BX235" s="486">
        <v>18</v>
      </c>
      <c r="BY235" s="486">
        <v>18</v>
      </c>
      <c r="BZ235" s="486">
        <v>18</v>
      </c>
      <c r="CA235" s="486">
        <v>18</v>
      </c>
      <c r="CB235" s="486">
        <v>18</v>
      </c>
      <c r="CC235" s="486">
        <v>18</v>
      </c>
      <c r="CD235" s="486">
        <v>18</v>
      </c>
      <c r="CE235" s="486">
        <v>18</v>
      </c>
      <c r="CF235" s="486">
        <v>18</v>
      </c>
      <c r="CG235" s="486">
        <v>18</v>
      </c>
      <c r="CH235" s="486">
        <v>18</v>
      </c>
      <c r="CI235" s="486">
        <v>18</v>
      </c>
      <c r="CJ235" s="486">
        <v>18</v>
      </c>
      <c r="CK235" s="486">
        <v>18</v>
      </c>
      <c r="CL235" s="486">
        <v>18</v>
      </c>
      <c r="CM235" s="486">
        <v>18</v>
      </c>
      <c r="CN235" s="486">
        <v>18</v>
      </c>
      <c r="CO235" s="486">
        <v>18</v>
      </c>
      <c r="CP235" s="486">
        <v>18</v>
      </c>
      <c r="CQ235" s="486">
        <v>18</v>
      </c>
      <c r="CR235" s="486">
        <v>18</v>
      </c>
      <c r="CS235" s="486">
        <v>18</v>
      </c>
      <c r="CT235" s="486">
        <v>0</v>
      </c>
      <c r="CU235" s="486">
        <v>0</v>
      </c>
      <c r="CV235" s="486">
        <v>0</v>
      </c>
      <c r="CW235" s="486">
        <v>0</v>
      </c>
      <c r="CX235" s="486">
        <v>0</v>
      </c>
      <c r="CY235" s="486">
        <v>0</v>
      </c>
      <c r="CZ235" s="486">
        <v>0</v>
      </c>
      <c r="DA235" s="486">
        <v>0</v>
      </c>
      <c r="DB235" s="486">
        <v>0</v>
      </c>
      <c r="DC235" s="486">
        <v>0</v>
      </c>
      <c r="DD235" s="486">
        <v>0</v>
      </c>
      <c r="DE235" s="728">
        <v>0</v>
      </c>
      <c r="DF235" s="483"/>
    </row>
    <row r="236" spans="2:110" hidden="1" x14ac:dyDescent="0.35">
      <c r="B236" s="484" t="s">
        <v>770</v>
      </c>
      <c r="C236" s="485" t="s">
        <v>771</v>
      </c>
      <c r="D236" s="486"/>
      <c r="E236" s="486"/>
      <c r="F236" s="486"/>
      <c r="G236" s="486"/>
      <c r="H236" s="486"/>
      <c r="I236" s="486"/>
      <c r="J236" s="486"/>
      <c r="K236" s="486"/>
      <c r="L236" s="486"/>
      <c r="M236" s="486"/>
      <c r="N236" s="486"/>
      <c r="O236" s="486">
        <v>937</v>
      </c>
      <c r="P236" s="486">
        <v>3050</v>
      </c>
      <c r="Q236" s="486">
        <v>3731</v>
      </c>
      <c r="R236" s="486">
        <v>4453</v>
      </c>
      <c r="S236" s="486">
        <v>4501</v>
      </c>
      <c r="T236" s="486">
        <v>4506</v>
      </c>
      <c r="U236" s="486">
        <v>4506</v>
      </c>
      <c r="V236" s="486">
        <v>4557</v>
      </c>
      <c r="W236" s="486">
        <v>4597</v>
      </c>
      <c r="X236" s="486">
        <v>4606</v>
      </c>
      <c r="Y236" s="486">
        <v>4617</v>
      </c>
      <c r="Z236" s="486">
        <v>4619</v>
      </c>
      <c r="AA236" s="486">
        <v>4686</v>
      </c>
      <c r="AB236" s="486">
        <v>4734</v>
      </c>
      <c r="AC236" s="486">
        <v>4850</v>
      </c>
      <c r="AD236" s="486">
        <v>5085</v>
      </c>
      <c r="AE236" s="486">
        <v>5097</v>
      </c>
      <c r="AF236" s="486">
        <v>5204</v>
      </c>
      <c r="AG236" s="486">
        <v>5271</v>
      </c>
      <c r="AH236" s="486">
        <v>5271</v>
      </c>
      <c r="AI236" s="486">
        <v>5296</v>
      </c>
      <c r="AJ236" s="486">
        <v>5316</v>
      </c>
      <c r="AK236" s="486">
        <v>5435</v>
      </c>
      <c r="AL236" s="486">
        <v>5701</v>
      </c>
      <c r="AM236" s="486">
        <v>5701</v>
      </c>
      <c r="AN236" s="486">
        <v>5701</v>
      </c>
      <c r="AO236" s="486">
        <v>5701</v>
      </c>
      <c r="AP236" s="486">
        <v>5701</v>
      </c>
      <c r="AQ236" s="486">
        <v>5701</v>
      </c>
      <c r="AR236" s="486">
        <v>5701</v>
      </c>
      <c r="AS236" s="486">
        <v>5701</v>
      </c>
      <c r="AT236" s="486">
        <v>5701</v>
      </c>
      <c r="AU236" s="486">
        <v>5701</v>
      </c>
      <c r="AV236" s="486">
        <v>5701</v>
      </c>
      <c r="AW236" s="486">
        <v>5701</v>
      </c>
      <c r="AX236" s="486">
        <v>5701</v>
      </c>
      <c r="AY236" s="486">
        <v>5701</v>
      </c>
      <c r="AZ236" s="486">
        <v>5330</v>
      </c>
      <c r="BA236" s="486">
        <v>5568</v>
      </c>
      <c r="BB236" s="486">
        <v>5604</v>
      </c>
      <c r="BC236" s="486">
        <v>5610</v>
      </c>
      <c r="BD236" s="486">
        <v>4210</v>
      </c>
      <c r="BE236" s="486">
        <v>4209</v>
      </c>
      <c r="BF236" s="486">
        <v>4210</v>
      </c>
      <c r="BG236" s="486">
        <v>4210</v>
      </c>
      <c r="BH236" s="486">
        <v>4210</v>
      </c>
      <c r="BI236" s="486">
        <v>2764</v>
      </c>
      <c r="BJ236" s="486">
        <v>1803</v>
      </c>
      <c r="BK236" s="486">
        <v>1182</v>
      </c>
      <c r="BL236" s="486">
        <v>1052</v>
      </c>
      <c r="BM236" s="486">
        <v>1039</v>
      </c>
      <c r="BN236" s="486">
        <v>1037</v>
      </c>
      <c r="BO236" s="486">
        <v>1037</v>
      </c>
      <c r="BP236" s="486">
        <v>1037</v>
      </c>
      <c r="BQ236" s="486">
        <v>1037</v>
      </c>
      <c r="BR236" s="486">
        <v>1037</v>
      </c>
      <c r="BS236" s="486">
        <v>1037</v>
      </c>
      <c r="BT236" s="486">
        <v>1037</v>
      </c>
      <c r="BU236" s="486">
        <v>1037</v>
      </c>
      <c r="BV236" s="486">
        <v>1037</v>
      </c>
      <c r="BW236" s="486">
        <v>285</v>
      </c>
      <c r="BX236" s="486">
        <v>285</v>
      </c>
      <c r="BY236" s="486">
        <v>285</v>
      </c>
      <c r="BZ236" s="486">
        <v>285</v>
      </c>
      <c r="CA236" s="486">
        <v>285</v>
      </c>
      <c r="CB236" s="486"/>
      <c r="CC236" s="486">
        <v>286</v>
      </c>
      <c r="CD236" s="486">
        <v>286</v>
      </c>
      <c r="CE236" s="486">
        <v>286</v>
      </c>
      <c r="CF236" s="486">
        <v>286</v>
      </c>
      <c r="CG236" s="486">
        <v>124</v>
      </c>
      <c r="CH236" s="486">
        <v>123</v>
      </c>
      <c r="CI236" s="486">
        <v>123</v>
      </c>
      <c r="CJ236" s="486">
        <v>123</v>
      </c>
      <c r="CK236" s="486">
        <v>123</v>
      </c>
      <c r="CL236" s="486">
        <v>123</v>
      </c>
      <c r="CM236" s="486">
        <v>123</v>
      </c>
      <c r="CN236" s="486">
        <v>123</v>
      </c>
      <c r="CO236" s="486">
        <v>123</v>
      </c>
      <c r="CP236" s="486">
        <v>123</v>
      </c>
      <c r="CQ236" s="486">
        <v>123</v>
      </c>
      <c r="CR236" s="486">
        <v>123</v>
      </c>
      <c r="CS236" s="486">
        <v>123</v>
      </c>
      <c r="CT236" s="486">
        <v>123</v>
      </c>
      <c r="CU236" s="486">
        <v>123</v>
      </c>
      <c r="CV236" s="486">
        <v>1</v>
      </c>
      <c r="CW236" s="486">
        <v>0</v>
      </c>
      <c r="CX236" s="486">
        <v>0</v>
      </c>
      <c r="CY236" s="486">
        <v>0</v>
      </c>
      <c r="CZ236" s="486">
        <v>0</v>
      </c>
      <c r="DA236" s="486">
        <v>0</v>
      </c>
      <c r="DB236" s="486">
        <v>0</v>
      </c>
      <c r="DC236" s="486">
        <v>0</v>
      </c>
      <c r="DD236" s="486">
        <v>0</v>
      </c>
      <c r="DE236" s="728">
        <v>0</v>
      </c>
      <c r="DF236" s="483"/>
    </row>
    <row r="237" spans="2:110" hidden="1" x14ac:dyDescent="0.35">
      <c r="B237" s="484" t="s">
        <v>772</v>
      </c>
      <c r="C237" s="484" t="s">
        <v>773</v>
      </c>
      <c r="D237" s="486"/>
      <c r="E237" s="486"/>
      <c r="F237" s="486"/>
      <c r="G237" s="486"/>
      <c r="H237" s="486"/>
      <c r="I237" s="486"/>
      <c r="J237" s="486"/>
      <c r="K237" s="486"/>
      <c r="L237" s="486"/>
      <c r="M237" s="486"/>
      <c r="N237" s="486"/>
      <c r="O237" s="486"/>
      <c r="P237" s="486"/>
      <c r="Q237" s="486"/>
      <c r="R237" s="486"/>
      <c r="S237" s="486"/>
      <c r="T237" s="486"/>
      <c r="U237" s="486"/>
      <c r="V237" s="486"/>
      <c r="W237" s="486"/>
      <c r="X237" s="486"/>
      <c r="Y237" s="486"/>
      <c r="Z237" s="486"/>
      <c r="AA237" s="486"/>
      <c r="AB237" s="486"/>
      <c r="AC237" s="486"/>
      <c r="AD237" s="486"/>
      <c r="AE237" s="486"/>
      <c r="AF237" s="486"/>
      <c r="AG237" s="486"/>
      <c r="AH237" s="486"/>
      <c r="AI237" s="486"/>
      <c r="AJ237" s="486"/>
      <c r="AK237" s="486"/>
      <c r="AL237" s="486"/>
      <c r="AM237" s="486"/>
      <c r="AN237" s="486"/>
      <c r="AO237" s="483"/>
      <c r="AP237" s="483"/>
      <c r="AQ237" s="483"/>
      <c r="AR237" s="483"/>
      <c r="AS237" s="486"/>
      <c r="AT237" s="486"/>
      <c r="AU237" s="486"/>
      <c r="AV237" s="486"/>
      <c r="AZ237" s="486">
        <v>1051</v>
      </c>
      <c r="BA237" s="486">
        <v>1053</v>
      </c>
      <c r="BB237" s="486">
        <v>1101</v>
      </c>
      <c r="BC237" s="486"/>
      <c r="BD237" s="486"/>
      <c r="BE237" s="483"/>
      <c r="BF237" s="483"/>
      <c r="BG237" s="483"/>
      <c r="BH237" s="483"/>
      <c r="BM237" s="486"/>
      <c r="BN237" s="486">
        <v>8</v>
      </c>
      <c r="BO237" s="486"/>
      <c r="BP237" s="486"/>
      <c r="BQ237" s="486"/>
      <c r="BR237" s="486"/>
      <c r="BS237" s="486">
        <v>7</v>
      </c>
      <c r="BT237" s="486"/>
      <c r="BU237" s="486">
        <v>7</v>
      </c>
      <c r="BV237" s="486">
        <v>7</v>
      </c>
      <c r="BW237" s="486">
        <v>7</v>
      </c>
      <c r="BX237" s="486">
        <v>8</v>
      </c>
      <c r="BY237" s="486">
        <v>8</v>
      </c>
      <c r="BZ237" s="486">
        <v>8</v>
      </c>
      <c r="CA237" s="486">
        <v>8</v>
      </c>
      <c r="CB237" s="486"/>
      <c r="CC237" s="486">
        <v>8</v>
      </c>
      <c r="CD237" s="486">
        <v>8</v>
      </c>
      <c r="CE237" s="486">
        <v>8</v>
      </c>
      <c r="CF237" s="486">
        <v>8</v>
      </c>
      <c r="CG237" s="486">
        <v>10</v>
      </c>
      <c r="CH237" s="486">
        <v>10</v>
      </c>
      <c r="CI237" s="486">
        <v>4</v>
      </c>
      <c r="CJ237" s="486">
        <v>4</v>
      </c>
      <c r="CK237" s="486">
        <v>4</v>
      </c>
      <c r="CL237" s="486">
        <v>4</v>
      </c>
      <c r="CM237" s="486">
        <v>4</v>
      </c>
      <c r="CN237" s="486">
        <v>4</v>
      </c>
      <c r="CO237" s="486">
        <v>4</v>
      </c>
      <c r="CP237" s="486">
        <v>4</v>
      </c>
      <c r="CQ237" s="486">
        <v>4</v>
      </c>
      <c r="CR237" s="486">
        <v>4</v>
      </c>
      <c r="CS237" s="486">
        <v>4</v>
      </c>
      <c r="CT237" s="486">
        <v>4</v>
      </c>
      <c r="CU237" s="486">
        <v>0</v>
      </c>
      <c r="CV237" s="486">
        <v>0</v>
      </c>
      <c r="CW237" s="486">
        <v>0</v>
      </c>
      <c r="CX237" s="486">
        <v>0</v>
      </c>
      <c r="CY237" s="486">
        <v>0</v>
      </c>
      <c r="CZ237" s="486">
        <v>0</v>
      </c>
      <c r="DA237" s="486">
        <v>0</v>
      </c>
      <c r="DB237" s="486">
        <v>0</v>
      </c>
      <c r="DC237" s="486">
        <v>0</v>
      </c>
      <c r="DD237" s="486">
        <v>0</v>
      </c>
      <c r="DE237" s="728">
        <v>0</v>
      </c>
      <c r="DF237" s="483"/>
    </row>
    <row r="238" spans="2:110" hidden="1" x14ac:dyDescent="0.35">
      <c r="B238" s="484" t="s">
        <v>774</v>
      </c>
      <c r="C238" s="485" t="s">
        <v>775</v>
      </c>
      <c r="D238" s="486"/>
      <c r="E238" s="486"/>
      <c r="F238" s="486"/>
      <c r="G238" s="486"/>
      <c r="H238" s="486"/>
      <c r="I238" s="486"/>
      <c r="J238" s="486"/>
      <c r="K238" s="486"/>
      <c r="L238" s="486"/>
      <c r="M238" s="486"/>
      <c r="N238" s="486"/>
      <c r="O238" s="486"/>
      <c r="P238" s="486"/>
      <c r="Q238" s="486"/>
      <c r="R238" s="486"/>
      <c r="S238" s="486"/>
      <c r="T238" s="486"/>
      <c r="U238" s="486"/>
      <c r="V238" s="486"/>
      <c r="W238" s="486"/>
      <c r="X238" s="486"/>
      <c r="Y238" s="486"/>
      <c r="Z238" s="486"/>
      <c r="AA238" s="486"/>
      <c r="AB238" s="486"/>
      <c r="AC238" s="486"/>
      <c r="AD238" s="486"/>
      <c r="AE238" s="486"/>
      <c r="AF238" s="486"/>
      <c r="AG238" s="486"/>
      <c r="AH238" s="486"/>
      <c r="AI238" s="486"/>
      <c r="AJ238" s="486"/>
      <c r="AK238" s="486"/>
      <c r="AL238" s="486"/>
      <c r="AM238" s="486"/>
      <c r="AN238" s="486"/>
      <c r="AO238" s="486"/>
      <c r="AP238" s="486"/>
      <c r="AQ238" s="486"/>
      <c r="AR238" s="486"/>
      <c r="AS238" s="486"/>
      <c r="AT238" s="483"/>
      <c r="AU238" s="483"/>
      <c r="AV238" s="483"/>
      <c r="BE238" s="483"/>
      <c r="BF238" s="483"/>
      <c r="BG238" s="483"/>
      <c r="BH238" s="483"/>
      <c r="BM238" s="486"/>
      <c r="BN238" s="486"/>
      <c r="BO238" s="486"/>
      <c r="BP238" s="486"/>
      <c r="BQ238" s="486"/>
      <c r="BR238" s="486"/>
      <c r="BS238" s="486"/>
      <c r="BT238" s="486">
        <v>1177</v>
      </c>
      <c r="BU238" s="486">
        <v>1177</v>
      </c>
      <c r="BV238" s="486">
        <v>1177</v>
      </c>
      <c r="BW238" s="486">
        <v>1377</v>
      </c>
      <c r="BX238" s="486">
        <v>1536</v>
      </c>
      <c r="BY238" s="486">
        <v>1536</v>
      </c>
      <c r="BZ238" s="486">
        <v>1536</v>
      </c>
      <c r="CA238" s="486">
        <v>1536</v>
      </c>
      <c r="CB238" s="486">
        <v>1736</v>
      </c>
      <c r="CC238" s="486">
        <v>1376</v>
      </c>
      <c r="CD238" s="486">
        <v>1376</v>
      </c>
      <c r="CE238" s="486">
        <v>1376</v>
      </c>
      <c r="CF238" s="486">
        <v>1497</v>
      </c>
      <c r="CG238" s="486">
        <v>1116</v>
      </c>
      <c r="CH238" s="486">
        <v>1121</v>
      </c>
      <c r="CI238" s="486">
        <v>1024</v>
      </c>
      <c r="CJ238" s="486">
        <v>962</v>
      </c>
      <c r="CK238" s="486">
        <v>916</v>
      </c>
      <c r="CL238" s="486">
        <v>837</v>
      </c>
      <c r="CM238" s="486">
        <v>885</v>
      </c>
      <c r="CN238" s="486">
        <v>918</v>
      </c>
      <c r="CO238" s="486">
        <v>963</v>
      </c>
      <c r="CP238" s="486">
        <v>1033</v>
      </c>
      <c r="CQ238" s="486">
        <v>1151</v>
      </c>
      <c r="CR238" s="486">
        <v>1169</v>
      </c>
      <c r="CS238" s="486">
        <v>1185</v>
      </c>
      <c r="CT238" s="486">
        <v>1177</v>
      </c>
      <c r="CU238" s="486">
        <v>1177</v>
      </c>
      <c r="CV238" s="486">
        <v>0</v>
      </c>
      <c r="CW238" s="486">
        <v>0</v>
      </c>
      <c r="CX238" s="486">
        <v>0</v>
      </c>
      <c r="CY238" s="486">
        <v>0</v>
      </c>
      <c r="CZ238" s="486">
        <v>0</v>
      </c>
      <c r="DA238" s="486">
        <v>0</v>
      </c>
      <c r="DB238" s="486">
        <v>0</v>
      </c>
      <c r="DC238" s="486">
        <v>0</v>
      </c>
      <c r="DD238" s="486">
        <v>0</v>
      </c>
      <c r="DE238" s="728">
        <v>0</v>
      </c>
      <c r="DF238" s="483"/>
    </row>
    <row r="239" spans="2:110" x14ac:dyDescent="0.35">
      <c r="B239" s="484"/>
      <c r="C239" s="484"/>
      <c r="D239" s="486"/>
      <c r="E239" s="486"/>
      <c r="F239" s="486"/>
      <c r="G239" s="486"/>
      <c r="H239" s="486"/>
      <c r="I239" s="486"/>
      <c r="J239" s="486"/>
      <c r="K239" s="486"/>
      <c r="L239" s="486"/>
      <c r="M239" s="486"/>
      <c r="N239" s="486"/>
      <c r="O239" s="486"/>
      <c r="P239" s="486"/>
      <c r="Q239" s="486"/>
      <c r="R239" s="486"/>
      <c r="S239" s="486"/>
      <c r="T239" s="486"/>
      <c r="U239" s="486"/>
      <c r="V239" s="486"/>
      <c r="W239" s="486"/>
      <c r="X239" s="486"/>
      <c r="Y239" s="486"/>
      <c r="Z239" s="486"/>
      <c r="AA239" s="486"/>
      <c r="AB239" s="486"/>
      <c r="AC239" s="486"/>
      <c r="AD239" s="486"/>
      <c r="AE239" s="486"/>
      <c r="AF239" s="486"/>
      <c r="AG239" s="486"/>
      <c r="AH239" s="486"/>
      <c r="AI239" s="486"/>
      <c r="AJ239" s="486"/>
      <c r="AK239" s="486"/>
      <c r="AL239" s="486"/>
      <c r="AM239" s="486"/>
      <c r="AN239" s="486"/>
      <c r="AO239" s="483"/>
      <c r="AP239" s="483"/>
      <c r="AQ239" s="483"/>
      <c r="AR239" s="483"/>
      <c r="AS239" s="486"/>
      <c r="AT239" s="486"/>
      <c r="AU239" s="486"/>
      <c r="AV239" s="486"/>
      <c r="AZ239" s="486"/>
      <c r="BA239" s="486"/>
      <c r="BB239" s="486"/>
      <c r="BC239" s="486"/>
      <c r="BD239" s="486"/>
      <c r="BE239" s="483"/>
      <c r="BF239" s="483"/>
      <c r="BG239" s="483"/>
      <c r="BH239" s="483"/>
      <c r="BM239" s="486"/>
      <c r="BN239" s="486"/>
      <c r="BO239" s="486"/>
      <c r="BP239" s="486"/>
      <c r="BQ239" s="486"/>
      <c r="BR239" s="486"/>
      <c r="BS239" s="486"/>
      <c r="BT239" s="486"/>
      <c r="BU239" s="486"/>
      <c r="BV239" s="486"/>
      <c r="BW239" s="486"/>
      <c r="BX239" s="486"/>
      <c r="BY239" s="486"/>
      <c r="BZ239" s="486"/>
      <c r="CA239" s="486"/>
      <c r="CB239" s="486"/>
      <c r="CC239" s="486"/>
      <c r="CD239" s="486"/>
      <c r="CE239" s="486"/>
      <c r="CF239" s="486"/>
      <c r="CG239" s="486"/>
      <c r="CH239" s="486"/>
      <c r="CI239" s="486"/>
      <c r="CJ239" s="486"/>
      <c r="CK239" s="486"/>
      <c r="CL239" s="486"/>
      <c r="CM239" s="486"/>
      <c r="CN239" s="486"/>
      <c r="CO239" s="486"/>
      <c r="CP239" s="486"/>
      <c r="CQ239" s="486"/>
      <c r="CR239" s="486"/>
      <c r="CS239" s="486"/>
      <c r="CT239" s="486"/>
      <c r="CU239" s="486"/>
      <c r="CV239" s="486"/>
      <c r="CW239" s="486"/>
      <c r="CX239" s="486"/>
    </row>
    <row r="240" spans="2:110" x14ac:dyDescent="0.35">
      <c r="B240" s="484"/>
      <c r="C240" s="485"/>
      <c r="D240" s="486"/>
      <c r="E240" s="486"/>
      <c r="F240" s="486"/>
      <c r="G240" s="486"/>
      <c r="H240" s="486"/>
      <c r="I240" s="486"/>
      <c r="J240" s="486"/>
      <c r="K240" s="486"/>
      <c r="L240" s="486"/>
      <c r="M240" s="486"/>
      <c r="N240" s="486"/>
      <c r="O240" s="486"/>
      <c r="P240" s="486"/>
      <c r="Q240" s="486"/>
      <c r="R240" s="486"/>
      <c r="S240" s="486"/>
      <c r="T240" s="486"/>
      <c r="U240" s="486"/>
      <c r="V240" s="486"/>
      <c r="W240" s="486"/>
      <c r="X240" s="486"/>
      <c r="Y240" s="486"/>
      <c r="Z240" s="486"/>
      <c r="AA240" s="486"/>
      <c r="AB240" s="486"/>
      <c r="AC240" s="486"/>
      <c r="AD240" s="486"/>
      <c r="AE240" s="486"/>
      <c r="AF240" s="486"/>
      <c r="AG240" s="486"/>
      <c r="AH240" s="486"/>
      <c r="AI240" s="486"/>
      <c r="AJ240" s="486"/>
      <c r="AK240" s="486"/>
      <c r="AL240" s="486"/>
      <c r="AM240" s="486"/>
      <c r="AN240" s="486"/>
      <c r="AO240" s="486"/>
      <c r="AP240" s="486"/>
      <c r="AQ240" s="486"/>
      <c r="AR240" s="486"/>
      <c r="AS240" s="486"/>
      <c r="AT240" s="486"/>
      <c r="AU240" s="486"/>
      <c r="AV240" s="486"/>
      <c r="AW240" s="486"/>
      <c r="AX240" s="486"/>
      <c r="AY240" s="486"/>
      <c r="AZ240" s="486"/>
      <c r="BA240" s="486"/>
      <c r="BB240" s="486"/>
      <c r="BC240" s="486"/>
      <c r="BD240" s="486"/>
      <c r="BE240" s="486"/>
      <c r="BF240" s="486"/>
      <c r="BG240" s="486"/>
      <c r="BH240" s="486"/>
      <c r="BI240" s="486"/>
      <c r="BJ240" s="486"/>
      <c r="BK240" s="486"/>
      <c r="BL240" s="486"/>
      <c r="BM240" s="486"/>
      <c r="BN240" s="486"/>
      <c r="BO240" s="486"/>
      <c r="BP240" s="486"/>
      <c r="BQ240" s="486"/>
      <c r="BR240" s="486"/>
      <c r="BS240" s="486"/>
      <c r="BT240" s="486"/>
      <c r="BU240" s="486"/>
      <c r="BV240" s="486"/>
      <c r="BW240" s="486"/>
      <c r="BX240" s="486"/>
      <c r="BY240" s="486"/>
      <c r="BZ240" s="486"/>
      <c r="CA240" s="486"/>
      <c r="CB240" s="486"/>
      <c r="CC240" s="486"/>
      <c r="CD240" s="486"/>
      <c r="CE240" s="486"/>
      <c r="CF240" s="486"/>
      <c r="CG240" s="486"/>
      <c r="CH240" s="486"/>
      <c r="CI240" s="486"/>
      <c r="CJ240" s="486"/>
      <c r="CK240" s="486"/>
      <c r="CL240" s="486"/>
      <c r="CM240" s="486"/>
      <c r="CN240" s="486"/>
      <c r="CO240" s="486"/>
      <c r="CP240" s="486"/>
      <c r="CQ240" s="486"/>
      <c r="CR240" s="486"/>
      <c r="CS240" s="486"/>
      <c r="CT240" s="486"/>
      <c r="CU240" s="486"/>
      <c r="CV240" s="486"/>
      <c r="CW240" s="486"/>
      <c r="CX240" s="486"/>
    </row>
    <row r="241" spans="2:109" x14ac:dyDescent="0.35">
      <c r="B241" s="484"/>
      <c r="C241" s="485"/>
      <c r="D241" s="486"/>
      <c r="E241" s="486"/>
      <c r="F241" s="486"/>
      <c r="G241" s="486"/>
      <c r="H241" s="486"/>
      <c r="I241" s="486"/>
      <c r="J241" s="486"/>
      <c r="K241" s="486"/>
      <c r="L241" s="486"/>
      <c r="M241" s="486"/>
      <c r="N241" s="486"/>
      <c r="O241" s="486"/>
      <c r="P241" s="486"/>
      <c r="Q241" s="486"/>
      <c r="R241" s="486"/>
      <c r="S241" s="486"/>
      <c r="T241" s="486"/>
      <c r="U241" s="486"/>
      <c r="V241" s="486"/>
      <c r="W241" s="486"/>
      <c r="X241" s="486"/>
      <c r="Y241" s="486"/>
      <c r="Z241" s="486"/>
      <c r="AA241" s="486"/>
      <c r="AB241" s="486"/>
      <c r="AC241" s="486"/>
      <c r="AD241" s="486"/>
      <c r="AE241" s="486"/>
      <c r="AF241" s="486"/>
      <c r="AG241" s="486"/>
      <c r="AH241" s="486"/>
      <c r="AI241" s="486"/>
      <c r="AJ241" s="486"/>
      <c r="AK241" s="486"/>
      <c r="AL241" s="486"/>
      <c r="AM241" s="486"/>
      <c r="AN241" s="486"/>
      <c r="AO241" s="486"/>
      <c r="AP241" s="486"/>
      <c r="AQ241" s="486"/>
      <c r="AR241" s="486"/>
      <c r="AS241" s="486"/>
      <c r="AT241" s="486"/>
      <c r="AU241" s="486"/>
      <c r="AV241" s="486"/>
      <c r="AW241" s="486"/>
      <c r="AX241" s="486"/>
      <c r="AY241" s="486"/>
      <c r="AZ241" s="486"/>
      <c r="BA241" s="486"/>
      <c r="BB241" s="486"/>
      <c r="BC241" s="486"/>
      <c r="BD241" s="486"/>
      <c r="BE241" s="486"/>
      <c r="BF241" s="486"/>
      <c r="BG241" s="486"/>
      <c r="BH241" s="486"/>
      <c r="BI241" s="486"/>
      <c r="BJ241" s="486"/>
      <c r="BK241" s="486"/>
      <c r="BL241" s="486"/>
      <c r="BM241" s="486"/>
      <c r="BN241" s="486"/>
      <c r="BO241" s="486"/>
      <c r="BP241" s="486"/>
      <c r="BQ241" s="486"/>
      <c r="BR241" s="486"/>
      <c r="BS241" s="486"/>
      <c r="BT241" s="486"/>
      <c r="BU241" s="486"/>
      <c r="BV241" s="486"/>
      <c r="BW241" s="486"/>
      <c r="BX241" s="486"/>
      <c r="BY241" s="486"/>
      <c r="BZ241" s="486"/>
      <c r="CA241" s="486"/>
      <c r="CB241" s="486"/>
      <c r="CC241" s="486"/>
      <c r="CD241" s="486"/>
      <c r="CE241" s="486"/>
      <c r="CF241" s="486"/>
      <c r="CG241" s="486"/>
      <c r="CH241" s="486"/>
      <c r="CI241" s="486"/>
      <c r="CJ241" s="486"/>
      <c r="CK241" s="486"/>
      <c r="CL241" s="486"/>
      <c r="CM241" s="486"/>
      <c r="CN241" s="486"/>
      <c r="CO241" s="486"/>
      <c r="CP241" s="486"/>
      <c r="CQ241" s="486"/>
      <c r="CR241" s="486"/>
      <c r="CS241" s="486"/>
      <c r="CT241" s="486"/>
      <c r="CU241" s="486"/>
      <c r="CV241" s="486"/>
      <c r="CW241" s="486"/>
      <c r="CX241" s="486"/>
    </row>
    <row r="242" spans="2:109" ht="18.5" x14ac:dyDescent="0.45">
      <c r="B242" s="63" t="s">
        <v>776</v>
      </c>
      <c r="C242" s="63"/>
      <c r="D242" s="491"/>
      <c r="E242" s="491"/>
      <c r="J242" s="486"/>
      <c r="L242" s="492"/>
      <c r="M242" s="486"/>
      <c r="P242" s="102"/>
      <c r="Q242" s="493"/>
      <c r="R242" s="493"/>
      <c r="S242" s="493"/>
      <c r="T242" s="493"/>
      <c r="U242" s="493"/>
      <c r="V242" s="493"/>
      <c r="W242" s="493"/>
      <c r="X242" s="486"/>
      <c r="Y242" s="486"/>
      <c r="Z242" s="486"/>
      <c r="AA242" s="486"/>
      <c r="AB242" s="486"/>
      <c r="AC242" s="486"/>
      <c r="AD242" s="486"/>
      <c r="AE242" s="486"/>
      <c r="AF242" s="486"/>
      <c r="AG242" s="486"/>
      <c r="AH242" s="486"/>
      <c r="AI242" s="486"/>
      <c r="AJ242" s="486"/>
      <c r="AK242" s="486"/>
      <c r="AL242" s="486"/>
      <c r="AM242" s="486"/>
      <c r="BE242" s="483"/>
      <c r="BF242" s="483"/>
      <c r="BG242" s="483"/>
      <c r="BH242" s="483"/>
      <c r="BM242" s="486"/>
      <c r="BN242" s="486"/>
      <c r="BO242" s="486"/>
      <c r="BP242" s="486"/>
      <c r="BQ242" s="486"/>
      <c r="BR242" s="486"/>
      <c r="BS242" s="486"/>
      <c r="BT242" s="486"/>
      <c r="BU242" s="486"/>
      <c r="BV242" s="486"/>
      <c r="BW242" s="486"/>
      <c r="BX242" s="486"/>
      <c r="BY242" s="486"/>
      <c r="BZ242" s="483"/>
      <c r="CB242" s="486"/>
      <c r="CD242" s="529"/>
      <c r="CR242" s="486"/>
    </row>
    <row r="243" spans="2:109" x14ac:dyDescent="0.35">
      <c r="B243" s="494" t="s">
        <v>777</v>
      </c>
      <c r="C243" s="494"/>
      <c r="D243" s="481">
        <v>40878</v>
      </c>
      <c r="E243" s="481">
        <v>41244</v>
      </c>
      <c r="F243" s="481">
        <v>41609</v>
      </c>
      <c r="G243" s="481">
        <v>41974</v>
      </c>
      <c r="H243" s="481">
        <v>42339</v>
      </c>
      <c r="I243" s="481">
        <v>42705</v>
      </c>
      <c r="J243" s="481">
        <v>43070</v>
      </c>
      <c r="K243" s="481"/>
      <c r="L243" s="481">
        <v>43101</v>
      </c>
      <c r="M243" s="481">
        <v>43132</v>
      </c>
      <c r="N243" s="481">
        <v>43160</v>
      </c>
      <c r="O243" s="481">
        <v>43191</v>
      </c>
      <c r="P243" s="495">
        <v>43221</v>
      </c>
      <c r="Q243" s="495">
        <v>43252</v>
      </c>
      <c r="R243" s="495">
        <v>43282</v>
      </c>
      <c r="S243" s="495">
        <v>43313</v>
      </c>
      <c r="T243" s="495">
        <v>43344</v>
      </c>
      <c r="U243" s="495">
        <v>43374</v>
      </c>
      <c r="V243" s="495">
        <v>43405</v>
      </c>
      <c r="W243" s="495">
        <v>43435</v>
      </c>
      <c r="X243" s="495">
        <v>43466</v>
      </c>
      <c r="Y243" s="495">
        <v>43497</v>
      </c>
      <c r="Z243" s="495">
        <v>43525</v>
      </c>
      <c r="AA243" s="495">
        <v>43556</v>
      </c>
      <c r="AB243" s="495">
        <v>43586</v>
      </c>
      <c r="AC243" s="495">
        <v>43617</v>
      </c>
      <c r="AD243" s="495">
        <v>43647</v>
      </c>
      <c r="AE243" s="495">
        <v>43678</v>
      </c>
      <c r="AF243" s="495">
        <v>43709</v>
      </c>
      <c r="AG243" s="495">
        <v>43739</v>
      </c>
      <c r="AH243" s="495">
        <v>43770</v>
      </c>
      <c r="AI243" s="495">
        <v>43800</v>
      </c>
      <c r="AJ243" s="495">
        <v>43831</v>
      </c>
      <c r="AK243" s="495">
        <v>43862</v>
      </c>
      <c r="AL243" s="495">
        <v>43891</v>
      </c>
      <c r="AM243" s="495">
        <v>43922</v>
      </c>
      <c r="AN243" s="495">
        <v>43952</v>
      </c>
      <c r="AO243" s="495">
        <v>43983</v>
      </c>
      <c r="AP243" s="495">
        <v>44013</v>
      </c>
      <c r="AQ243" s="495">
        <v>44044</v>
      </c>
      <c r="AR243" s="495">
        <v>44075</v>
      </c>
      <c r="AS243" s="495">
        <v>44105</v>
      </c>
      <c r="AT243" s="495">
        <v>44136</v>
      </c>
      <c r="AU243" s="495">
        <v>44166</v>
      </c>
      <c r="AV243" s="495">
        <v>44197</v>
      </c>
      <c r="AW243" s="495">
        <v>44228</v>
      </c>
      <c r="AX243" s="495">
        <v>44256</v>
      </c>
      <c r="AY243" s="495">
        <v>44287</v>
      </c>
      <c r="AZ243" s="495">
        <v>44317</v>
      </c>
      <c r="BA243" s="495">
        <v>44348</v>
      </c>
      <c r="BB243" s="495">
        <v>44378</v>
      </c>
      <c r="BC243" s="495">
        <v>44409</v>
      </c>
      <c r="BD243" s="495">
        <v>44440</v>
      </c>
      <c r="BE243" s="482">
        <v>44470</v>
      </c>
      <c r="BF243" s="482">
        <v>44501</v>
      </c>
      <c r="BG243" s="482">
        <v>44531</v>
      </c>
      <c r="BH243" s="482">
        <v>44562</v>
      </c>
      <c r="BI243" s="482">
        <v>44593</v>
      </c>
      <c r="BJ243" s="482">
        <v>44621</v>
      </c>
      <c r="BK243" s="482">
        <v>44652</v>
      </c>
      <c r="BL243" s="482">
        <v>44682</v>
      </c>
      <c r="BM243" s="482">
        <v>44713</v>
      </c>
      <c r="BN243" s="482">
        <v>44743</v>
      </c>
      <c r="BO243" s="482">
        <v>44774</v>
      </c>
      <c r="BP243" s="482">
        <v>44805</v>
      </c>
      <c r="BQ243" s="482">
        <v>44835</v>
      </c>
      <c r="BR243" s="482">
        <v>44866</v>
      </c>
      <c r="BS243" s="482">
        <v>44896</v>
      </c>
      <c r="BT243" s="482">
        <v>44927</v>
      </c>
      <c r="BU243" s="482">
        <v>44958</v>
      </c>
      <c r="BV243" s="482">
        <v>44986</v>
      </c>
      <c r="BW243" s="482">
        <v>45017</v>
      </c>
      <c r="BX243" s="482">
        <v>45047</v>
      </c>
      <c r="BY243" s="482">
        <v>45078</v>
      </c>
      <c r="BZ243" s="482">
        <v>45108</v>
      </c>
      <c r="CA243" s="482">
        <v>45139</v>
      </c>
      <c r="CB243" s="482">
        <v>45170</v>
      </c>
      <c r="CC243" s="482">
        <v>45200</v>
      </c>
      <c r="CD243" s="482">
        <v>45231</v>
      </c>
      <c r="CE243" s="482">
        <v>45261</v>
      </c>
      <c r="CF243" s="482">
        <v>45292</v>
      </c>
      <c r="CG243" s="482">
        <v>45323</v>
      </c>
      <c r="CH243" s="482">
        <v>45352</v>
      </c>
      <c r="CI243" s="482">
        <v>45383</v>
      </c>
      <c r="CJ243" s="482">
        <v>45413</v>
      </c>
      <c r="CK243" s="482">
        <v>45444</v>
      </c>
      <c r="CL243" s="482">
        <v>45474</v>
      </c>
      <c r="CM243" s="482">
        <v>45505</v>
      </c>
      <c r="CN243" s="482">
        <v>45536</v>
      </c>
      <c r="CO243" s="482">
        <v>45566</v>
      </c>
      <c r="CP243" s="482">
        <v>45597</v>
      </c>
      <c r="CQ243" s="482">
        <v>45627</v>
      </c>
      <c r="CR243" s="482">
        <v>45658</v>
      </c>
      <c r="CS243" s="482">
        <v>45689</v>
      </c>
      <c r="CT243" s="482">
        <v>45717</v>
      </c>
      <c r="CU243" s="482">
        <v>45748</v>
      </c>
      <c r="CV243" s="482">
        <v>45778</v>
      </c>
      <c r="CW243" s="482">
        <v>45809</v>
      </c>
      <c r="CX243" s="482">
        <v>45839</v>
      </c>
      <c r="CY243" s="482">
        <v>45870</v>
      </c>
      <c r="CZ243" s="482">
        <v>45901</v>
      </c>
      <c r="DA243" s="482">
        <v>45931</v>
      </c>
      <c r="DB243" s="482">
        <v>45962</v>
      </c>
      <c r="DC243" s="482">
        <v>45992</v>
      </c>
      <c r="DD243" s="482">
        <v>46023</v>
      </c>
      <c r="DE243" s="482">
        <v>46054</v>
      </c>
    </row>
    <row r="244" spans="2:109" x14ac:dyDescent="0.35">
      <c r="B244" s="224">
        <v>1</v>
      </c>
      <c r="C244" s="224"/>
      <c r="D244" s="496">
        <v>141</v>
      </c>
      <c r="E244" s="496">
        <v>160</v>
      </c>
      <c r="F244" s="496">
        <v>204</v>
      </c>
      <c r="G244" s="496">
        <v>221</v>
      </c>
      <c r="H244" s="496">
        <v>203</v>
      </c>
      <c r="I244" s="496">
        <v>222</v>
      </c>
      <c r="J244" s="496">
        <v>276</v>
      </c>
      <c r="K244" s="496"/>
      <c r="L244" s="496">
        <v>274</v>
      </c>
      <c r="M244" s="496">
        <v>293</v>
      </c>
      <c r="N244" s="496">
        <v>273</v>
      </c>
      <c r="O244" s="496">
        <v>318</v>
      </c>
      <c r="P244">
        <v>295</v>
      </c>
      <c r="Q244">
        <v>302</v>
      </c>
      <c r="R244">
        <v>301</v>
      </c>
      <c r="S244">
        <v>308</v>
      </c>
      <c r="T244">
        <v>307</v>
      </c>
      <c r="U244">
        <v>309</v>
      </c>
      <c r="V244">
        <v>309</v>
      </c>
      <c r="W244">
        <v>309</v>
      </c>
      <c r="X244">
        <v>319</v>
      </c>
      <c r="Y244">
        <v>323</v>
      </c>
      <c r="Z244">
        <v>320</v>
      </c>
      <c r="AA244">
        <v>294</v>
      </c>
      <c r="AB244">
        <v>288</v>
      </c>
      <c r="AC244">
        <v>288</v>
      </c>
      <c r="AD244">
        <v>281</v>
      </c>
      <c r="AE244">
        <v>282</v>
      </c>
      <c r="AF244">
        <v>287</v>
      </c>
      <c r="AG244">
        <v>273</v>
      </c>
      <c r="AH244">
        <v>260</v>
      </c>
      <c r="AI244">
        <v>261</v>
      </c>
      <c r="AJ244">
        <v>257</v>
      </c>
      <c r="AK244">
        <v>258</v>
      </c>
      <c r="AL244">
        <v>264</v>
      </c>
      <c r="AM244">
        <v>257</v>
      </c>
      <c r="AN244">
        <v>254</v>
      </c>
      <c r="AO244">
        <v>246</v>
      </c>
      <c r="AP244">
        <v>245</v>
      </c>
      <c r="AQ244">
        <v>246</v>
      </c>
      <c r="AR244">
        <v>249</v>
      </c>
      <c r="AS244">
        <v>249</v>
      </c>
      <c r="AT244">
        <v>252</v>
      </c>
      <c r="AU244">
        <v>249</v>
      </c>
      <c r="AV244">
        <v>242</v>
      </c>
      <c r="AW244">
        <v>233</v>
      </c>
      <c r="AX244">
        <v>233</v>
      </c>
      <c r="AY244">
        <v>232</v>
      </c>
      <c r="AZ244">
        <v>231</v>
      </c>
      <c r="BA244">
        <v>228</v>
      </c>
      <c r="BB244">
        <v>225</v>
      </c>
      <c r="BC244">
        <v>189</v>
      </c>
      <c r="BD244">
        <v>193</v>
      </c>
      <c r="BE244">
        <v>197</v>
      </c>
      <c r="BF244">
        <v>192</v>
      </c>
      <c r="BG244">
        <v>194</v>
      </c>
      <c r="BH244">
        <v>188</v>
      </c>
      <c r="BI244">
        <v>187</v>
      </c>
      <c r="BJ244">
        <v>141</v>
      </c>
      <c r="BK244">
        <v>185</v>
      </c>
      <c r="BL244">
        <v>186</v>
      </c>
      <c r="BM244">
        <v>146</v>
      </c>
      <c r="BN244">
        <v>172</v>
      </c>
      <c r="BO244">
        <v>157</v>
      </c>
      <c r="BP244">
        <v>110</v>
      </c>
      <c r="BQ244">
        <v>142</v>
      </c>
      <c r="BR244">
        <v>102</v>
      </c>
      <c r="BS244">
        <v>97</v>
      </c>
      <c r="BT244">
        <v>94</v>
      </c>
      <c r="BU244">
        <v>129</v>
      </c>
      <c r="BV244">
        <v>113</v>
      </c>
      <c r="BW244">
        <v>104</v>
      </c>
      <c r="BX244">
        <v>104</v>
      </c>
      <c r="BY244">
        <v>107</v>
      </c>
      <c r="BZ244" s="243">
        <v>104</v>
      </c>
      <c r="CA244">
        <v>103</v>
      </c>
      <c r="CB244">
        <v>105</v>
      </c>
      <c r="CC244">
        <v>103</v>
      </c>
      <c r="CD244">
        <v>106</v>
      </c>
      <c r="CE244">
        <v>108</v>
      </c>
      <c r="CF244">
        <v>103</v>
      </c>
      <c r="CG244">
        <v>100</v>
      </c>
      <c r="CH244">
        <v>94</v>
      </c>
      <c r="CI244">
        <v>94</v>
      </c>
      <c r="CJ244">
        <v>94</v>
      </c>
      <c r="CK244">
        <v>94</v>
      </c>
      <c r="CL244">
        <v>109</v>
      </c>
      <c r="CM244">
        <v>84</v>
      </c>
      <c r="CN244">
        <v>90</v>
      </c>
      <c r="CO244">
        <v>86</v>
      </c>
      <c r="CP244">
        <v>85</v>
      </c>
      <c r="CQ244" s="224">
        <v>82</v>
      </c>
      <c r="CR244" s="224">
        <v>81</v>
      </c>
      <c r="CS244" s="224">
        <v>78</v>
      </c>
      <c r="CT244" s="224">
        <v>77</v>
      </c>
      <c r="CU244" s="224">
        <v>77</v>
      </c>
      <c r="CV244" s="224">
        <v>77</v>
      </c>
      <c r="CW244">
        <v>78</v>
      </c>
      <c r="CX244">
        <v>73</v>
      </c>
      <c r="CY244">
        <v>71</v>
      </c>
      <c r="CZ244">
        <v>71</v>
      </c>
      <c r="DA244">
        <v>69</v>
      </c>
      <c r="DB244">
        <v>69</v>
      </c>
      <c r="DC244">
        <v>70</v>
      </c>
      <c r="DD244">
        <v>68</v>
      </c>
      <c r="DE244" s="79">
        <v>67</v>
      </c>
    </row>
    <row r="245" spans="2:109" x14ac:dyDescent="0.35">
      <c r="B245" s="224" t="s">
        <v>778</v>
      </c>
      <c r="C245" s="224"/>
      <c r="D245" s="496">
        <v>128</v>
      </c>
      <c r="E245" s="496">
        <v>128</v>
      </c>
      <c r="F245" s="496">
        <v>196</v>
      </c>
      <c r="G245" s="496">
        <v>203</v>
      </c>
      <c r="H245" s="496">
        <v>213</v>
      </c>
      <c r="I245" s="496">
        <v>250</v>
      </c>
      <c r="J245" s="496">
        <v>313</v>
      </c>
      <c r="K245" s="496"/>
      <c r="L245" s="496">
        <v>317</v>
      </c>
      <c r="M245" s="496">
        <v>324</v>
      </c>
      <c r="N245" s="496">
        <v>378</v>
      </c>
      <c r="O245" s="496">
        <v>371</v>
      </c>
      <c r="P245">
        <v>385</v>
      </c>
      <c r="Q245">
        <v>402</v>
      </c>
      <c r="R245">
        <v>372</v>
      </c>
      <c r="S245">
        <v>381</v>
      </c>
      <c r="T245">
        <v>388</v>
      </c>
      <c r="U245">
        <v>370</v>
      </c>
      <c r="V245">
        <v>373</v>
      </c>
      <c r="W245">
        <v>367</v>
      </c>
      <c r="X245">
        <v>364</v>
      </c>
      <c r="Y245">
        <v>365</v>
      </c>
      <c r="Z245">
        <v>384</v>
      </c>
      <c r="AA245">
        <v>374</v>
      </c>
      <c r="AB245">
        <v>383</v>
      </c>
      <c r="AC245">
        <v>384</v>
      </c>
      <c r="AD245">
        <v>380</v>
      </c>
      <c r="AE245">
        <v>390</v>
      </c>
      <c r="AF245">
        <v>370</v>
      </c>
      <c r="AG245">
        <v>361</v>
      </c>
      <c r="AH245">
        <v>359</v>
      </c>
      <c r="AI245">
        <v>350</v>
      </c>
      <c r="AJ245">
        <v>352</v>
      </c>
      <c r="AK245">
        <v>352</v>
      </c>
      <c r="AL245">
        <v>355</v>
      </c>
      <c r="AM245">
        <v>330</v>
      </c>
      <c r="AN245">
        <v>318</v>
      </c>
      <c r="AO245">
        <v>323</v>
      </c>
      <c r="AP245">
        <v>307</v>
      </c>
      <c r="AQ245">
        <v>296</v>
      </c>
      <c r="AR245">
        <v>300</v>
      </c>
      <c r="AS245">
        <v>297</v>
      </c>
      <c r="AT245">
        <v>298</v>
      </c>
      <c r="AU245">
        <v>301</v>
      </c>
      <c r="AV245">
        <v>295</v>
      </c>
      <c r="AW245">
        <v>289</v>
      </c>
      <c r="AX245">
        <v>284</v>
      </c>
      <c r="AY245">
        <v>268</v>
      </c>
      <c r="AZ245">
        <v>272</v>
      </c>
      <c r="BA245">
        <v>274</v>
      </c>
      <c r="BB245">
        <v>277</v>
      </c>
      <c r="BC245">
        <v>256</v>
      </c>
      <c r="BD245">
        <v>265</v>
      </c>
      <c r="BE245">
        <v>247</v>
      </c>
      <c r="BF245">
        <v>248</v>
      </c>
      <c r="BG245">
        <v>247</v>
      </c>
      <c r="BH245">
        <v>241</v>
      </c>
      <c r="BI245">
        <v>242</v>
      </c>
      <c r="BJ245">
        <v>263</v>
      </c>
      <c r="BK245">
        <v>237</v>
      </c>
      <c r="BL245">
        <v>246</v>
      </c>
      <c r="BM245">
        <v>278</v>
      </c>
      <c r="BN245">
        <v>248</v>
      </c>
      <c r="BO245">
        <v>220</v>
      </c>
      <c r="BP245">
        <v>246</v>
      </c>
      <c r="BQ245">
        <v>216</v>
      </c>
      <c r="BR245">
        <v>246</v>
      </c>
      <c r="BS245">
        <v>247</v>
      </c>
      <c r="BT245">
        <v>246</v>
      </c>
      <c r="BU245">
        <v>217</v>
      </c>
      <c r="BV245">
        <v>181</v>
      </c>
      <c r="BW245">
        <v>181</v>
      </c>
      <c r="BX245">
        <v>183</v>
      </c>
      <c r="BY245">
        <v>183</v>
      </c>
      <c r="BZ245" s="243">
        <v>182</v>
      </c>
      <c r="CA245">
        <v>190</v>
      </c>
      <c r="CB245">
        <v>195</v>
      </c>
      <c r="CC245">
        <v>202</v>
      </c>
      <c r="CD245">
        <v>200</v>
      </c>
      <c r="CE245">
        <v>199</v>
      </c>
      <c r="CF245">
        <v>191</v>
      </c>
      <c r="CG245">
        <v>190</v>
      </c>
      <c r="CH245">
        <v>178</v>
      </c>
      <c r="CI245">
        <v>185</v>
      </c>
      <c r="CJ245">
        <v>173</v>
      </c>
      <c r="CK245">
        <v>175</v>
      </c>
      <c r="CL245">
        <v>164</v>
      </c>
      <c r="CM245">
        <v>176</v>
      </c>
      <c r="CN245">
        <v>168</v>
      </c>
      <c r="CO245">
        <v>178</v>
      </c>
      <c r="CP245">
        <v>186</v>
      </c>
      <c r="CQ245" s="224">
        <v>159</v>
      </c>
      <c r="CR245" s="224">
        <v>159</v>
      </c>
      <c r="CS245" s="224">
        <v>157</v>
      </c>
      <c r="CT245" s="224">
        <v>168</v>
      </c>
      <c r="CU245" s="224">
        <v>178</v>
      </c>
      <c r="CV245" s="224">
        <v>173</v>
      </c>
      <c r="CW245">
        <v>176</v>
      </c>
      <c r="CX245">
        <v>184</v>
      </c>
      <c r="CY245">
        <v>184</v>
      </c>
      <c r="CZ245">
        <v>255</v>
      </c>
      <c r="DA245">
        <v>192</v>
      </c>
      <c r="DB245">
        <v>202</v>
      </c>
      <c r="DC245">
        <v>196</v>
      </c>
      <c r="DD245">
        <v>174</v>
      </c>
      <c r="DE245" s="79">
        <v>185</v>
      </c>
    </row>
    <row r="246" spans="2:109" x14ac:dyDescent="0.35">
      <c r="B246" s="224" t="s">
        <v>779</v>
      </c>
      <c r="C246" s="224"/>
      <c r="D246" s="496">
        <v>45</v>
      </c>
      <c r="E246" s="496">
        <v>80</v>
      </c>
      <c r="F246" s="496">
        <v>93</v>
      </c>
      <c r="G246" s="496">
        <v>103</v>
      </c>
      <c r="H246" s="496">
        <v>102</v>
      </c>
      <c r="I246" s="496">
        <v>113</v>
      </c>
      <c r="J246" s="496">
        <v>157</v>
      </c>
      <c r="K246" s="496"/>
      <c r="L246" s="496">
        <v>161</v>
      </c>
      <c r="M246" s="496">
        <v>162</v>
      </c>
      <c r="N246" s="496">
        <v>191</v>
      </c>
      <c r="O246" s="496">
        <v>182</v>
      </c>
      <c r="P246">
        <v>227</v>
      </c>
      <c r="Q246">
        <v>242</v>
      </c>
      <c r="R246">
        <v>257</v>
      </c>
      <c r="S246">
        <v>251</v>
      </c>
      <c r="T246">
        <v>252</v>
      </c>
      <c r="U246">
        <v>261</v>
      </c>
      <c r="V246">
        <v>264</v>
      </c>
      <c r="W246">
        <v>268</v>
      </c>
      <c r="X246">
        <v>275</v>
      </c>
      <c r="Y246">
        <v>282</v>
      </c>
      <c r="Z246">
        <v>286</v>
      </c>
      <c r="AA246">
        <v>298</v>
      </c>
      <c r="AB246">
        <v>293</v>
      </c>
      <c r="AC246">
        <v>300</v>
      </c>
      <c r="AD246">
        <v>299</v>
      </c>
      <c r="AE246">
        <v>306</v>
      </c>
      <c r="AF246">
        <v>310</v>
      </c>
      <c r="AG246">
        <v>313</v>
      </c>
      <c r="AH246">
        <v>308</v>
      </c>
      <c r="AI246">
        <v>309</v>
      </c>
      <c r="AJ246">
        <v>303</v>
      </c>
      <c r="AK246">
        <v>300</v>
      </c>
      <c r="AL246">
        <v>304</v>
      </c>
      <c r="AM246">
        <v>312</v>
      </c>
      <c r="AN246">
        <v>306</v>
      </c>
      <c r="AO246">
        <v>305</v>
      </c>
      <c r="AP246">
        <v>299</v>
      </c>
      <c r="AQ246">
        <v>301</v>
      </c>
      <c r="AR246">
        <v>296</v>
      </c>
      <c r="AS246">
        <v>291</v>
      </c>
      <c r="AT246">
        <v>288</v>
      </c>
      <c r="AU246">
        <v>275</v>
      </c>
      <c r="AV246">
        <v>274</v>
      </c>
      <c r="AW246">
        <v>279</v>
      </c>
      <c r="AX246">
        <v>284</v>
      </c>
      <c r="AY246">
        <v>251</v>
      </c>
      <c r="AZ246">
        <v>256</v>
      </c>
      <c r="BA246">
        <v>255</v>
      </c>
      <c r="BB246">
        <v>252</v>
      </c>
      <c r="BC246">
        <v>245</v>
      </c>
      <c r="BD246">
        <v>249</v>
      </c>
      <c r="BE246">
        <v>243</v>
      </c>
      <c r="BF246">
        <v>236</v>
      </c>
      <c r="BG246">
        <v>231</v>
      </c>
      <c r="BH246">
        <v>230</v>
      </c>
      <c r="BI246">
        <v>232</v>
      </c>
      <c r="BJ246">
        <v>253</v>
      </c>
      <c r="BK246">
        <v>239</v>
      </c>
      <c r="BL246">
        <v>256</v>
      </c>
      <c r="BM246">
        <v>261</v>
      </c>
      <c r="BN246">
        <v>243</v>
      </c>
      <c r="BO246">
        <v>235</v>
      </c>
      <c r="BP246">
        <v>248</v>
      </c>
      <c r="BQ246">
        <v>232</v>
      </c>
      <c r="BR246">
        <v>236</v>
      </c>
      <c r="BS246">
        <v>232</v>
      </c>
      <c r="BT246">
        <v>235</v>
      </c>
      <c r="BU246">
        <v>214</v>
      </c>
      <c r="BV246">
        <v>216</v>
      </c>
      <c r="BW246">
        <v>210</v>
      </c>
      <c r="BX246">
        <v>206</v>
      </c>
      <c r="BY246">
        <v>214</v>
      </c>
      <c r="BZ246" s="243">
        <v>219</v>
      </c>
      <c r="CA246">
        <v>211</v>
      </c>
      <c r="CB246">
        <v>212</v>
      </c>
      <c r="CC246">
        <v>214</v>
      </c>
      <c r="CD246">
        <v>209</v>
      </c>
      <c r="CE246">
        <v>216</v>
      </c>
      <c r="CF246">
        <v>213</v>
      </c>
      <c r="CG246">
        <v>217</v>
      </c>
      <c r="CH246">
        <v>214</v>
      </c>
      <c r="CI246">
        <v>216</v>
      </c>
      <c r="CJ246">
        <v>223</v>
      </c>
      <c r="CK246">
        <v>225</v>
      </c>
      <c r="CL246">
        <v>232</v>
      </c>
      <c r="CM246">
        <v>227</v>
      </c>
      <c r="CN246">
        <v>227</v>
      </c>
      <c r="CO246">
        <v>224</v>
      </c>
      <c r="CP246">
        <v>217</v>
      </c>
      <c r="CQ246" s="224">
        <v>218</v>
      </c>
      <c r="CR246" s="224">
        <v>214</v>
      </c>
      <c r="CS246" s="224">
        <v>213</v>
      </c>
      <c r="CT246" s="224">
        <v>210</v>
      </c>
      <c r="CU246" s="224">
        <v>197</v>
      </c>
      <c r="CV246" s="224">
        <v>201</v>
      </c>
      <c r="CW246">
        <v>199</v>
      </c>
      <c r="CX246">
        <v>197</v>
      </c>
      <c r="CY246">
        <v>191</v>
      </c>
      <c r="CZ246">
        <v>124</v>
      </c>
      <c r="DA246">
        <v>190</v>
      </c>
      <c r="DB246">
        <v>196</v>
      </c>
      <c r="DC246">
        <v>201</v>
      </c>
      <c r="DD246">
        <v>199</v>
      </c>
      <c r="DE246" s="79">
        <v>202</v>
      </c>
    </row>
    <row r="247" spans="2:109" x14ac:dyDescent="0.35">
      <c r="B247" s="224" t="s">
        <v>780</v>
      </c>
      <c r="C247" s="224"/>
      <c r="D247" s="496">
        <v>7</v>
      </c>
      <c r="E247" s="496">
        <v>9</v>
      </c>
      <c r="F247" s="496">
        <v>15</v>
      </c>
      <c r="G247" s="496">
        <v>24</v>
      </c>
      <c r="H247" s="496">
        <v>30</v>
      </c>
      <c r="I247" s="496">
        <v>29</v>
      </c>
      <c r="J247" s="496">
        <v>52</v>
      </c>
      <c r="K247" s="496"/>
      <c r="L247" s="496">
        <v>58</v>
      </c>
      <c r="M247" s="496">
        <v>58</v>
      </c>
      <c r="N247" s="496">
        <v>61</v>
      </c>
      <c r="O247" s="496">
        <v>58</v>
      </c>
      <c r="P247">
        <v>68</v>
      </c>
      <c r="Q247">
        <v>66</v>
      </c>
      <c r="R247">
        <v>71</v>
      </c>
      <c r="S247">
        <v>85</v>
      </c>
      <c r="T247">
        <v>83</v>
      </c>
      <c r="U247">
        <v>80</v>
      </c>
      <c r="V247">
        <v>88</v>
      </c>
      <c r="W247">
        <v>93</v>
      </c>
      <c r="X247">
        <v>104</v>
      </c>
      <c r="Y247">
        <v>108</v>
      </c>
      <c r="Z247">
        <v>104</v>
      </c>
      <c r="AA247">
        <v>109</v>
      </c>
      <c r="AB247">
        <v>114</v>
      </c>
      <c r="AC247">
        <v>120</v>
      </c>
      <c r="AD247">
        <v>118</v>
      </c>
      <c r="AE247">
        <v>117</v>
      </c>
      <c r="AF247">
        <v>117</v>
      </c>
      <c r="AG247">
        <v>113</v>
      </c>
      <c r="AH247">
        <v>113</v>
      </c>
      <c r="AI247">
        <v>109</v>
      </c>
      <c r="AJ247">
        <v>112</v>
      </c>
      <c r="AK247">
        <v>107</v>
      </c>
      <c r="AL247">
        <v>103</v>
      </c>
      <c r="AM247">
        <v>106</v>
      </c>
      <c r="AN247">
        <v>106</v>
      </c>
      <c r="AO247">
        <v>100</v>
      </c>
      <c r="AP247">
        <v>98</v>
      </c>
      <c r="AQ247">
        <v>94</v>
      </c>
      <c r="AR247">
        <v>94</v>
      </c>
      <c r="AS247">
        <v>91</v>
      </c>
      <c r="AT247">
        <v>89</v>
      </c>
      <c r="AU247">
        <v>87</v>
      </c>
      <c r="AV247">
        <v>80</v>
      </c>
      <c r="AW247">
        <v>78</v>
      </c>
      <c r="AX247">
        <v>73</v>
      </c>
      <c r="AY247">
        <v>67</v>
      </c>
      <c r="AZ247">
        <v>62</v>
      </c>
      <c r="BA247">
        <v>64</v>
      </c>
      <c r="BB247">
        <v>66</v>
      </c>
      <c r="BC247">
        <v>66</v>
      </c>
      <c r="BD247">
        <v>66</v>
      </c>
      <c r="BE247">
        <v>67</v>
      </c>
      <c r="BF247">
        <v>70</v>
      </c>
      <c r="BG247">
        <v>72</v>
      </c>
      <c r="BH247">
        <v>73</v>
      </c>
      <c r="BI247">
        <v>74</v>
      </c>
      <c r="BJ247">
        <v>79</v>
      </c>
      <c r="BK247">
        <v>69</v>
      </c>
      <c r="BL247">
        <v>65</v>
      </c>
      <c r="BM247">
        <v>72</v>
      </c>
      <c r="BN247">
        <v>67</v>
      </c>
      <c r="BO247">
        <v>66</v>
      </c>
      <c r="BP247">
        <v>66</v>
      </c>
      <c r="BQ247">
        <v>63</v>
      </c>
      <c r="BR247">
        <v>71</v>
      </c>
      <c r="BS247">
        <v>74</v>
      </c>
      <c r="BT247">
        <v>71</v>
      </c>
      <c r="BU247">
        <v>70</v>
      </c>
      <c r="BV247">
        <v>64</v>
      </c>
      <c r="BW247">
        <v>67</v>
      </c>
      <c r="BX247">
        <v>64</v>
      </c>
      <c r="BY247">
        <v>66</v>
      </c>
      <c r="BZ247" s="243">
        <v>64</v>
      </c>
      <c r="CA247">
        <v>70</v>
      </c>
      <c r="CB247">
        <v>66</v>
      </c>
      <c r="CC247">
        <v>64</v>
      </c>
      <c r="CD247">
        <v>67</v>
      </c>
      <c r="CE247">
        <v>66</v>
      </c>
      <c r="CF247">
        <v>66</v>
      </c>
      <c r="CG247">
        <v>67</v>
      </c>
      <c r="CH247">
        <v>71</v>
      </c>
      <c r="CI247">
        <v>71</v>
      </c>
      <c r="CJ247">
        <v>77</v>
      </c>
      <c r="CK247">
        <v>84</v>
      </c>
      <c r="CL247">
        <v>93</v>
      </c>
      <c r="CM247">
        <v>99</v>
      </c>
      <c r="CN247">
        <v>97</v>
      </c>
      <c r="CO247">
        <v>100</v>
      </c>
      <c r="CP247">
        <v>101</v>
      </c>
      <c r="CQ247" s="224">
        <v>100</v>
      </c>
      <c r="CR247" s="224">
        <v>92</v>
      </c>
      <c r="CS247" s="224">
        <v>94</v>
      </c>
      <c r="CT247" s="224">
        <v>92</v>
      </c>
      <c r="CU247" s="224">
        <v>94</v>
      </c>
      <c r="CV247" s="224">
        <v>97</v>
      </c>
      <c r="CW247">
        <v>92</v>
      </c>
      <c r="CX247">
        <v>93</v>
      </c>
      <c r="CY247">
        <v>96</v>
      </c>
      <c r="CZ247">
        <v>92</v>
      </c>
      <c r="DA247">
        <v>92</v>
      </c>
      <c r="DB247">
        <v>86</v>
      </c>
      <c r="DC247">
        <v>88</v>
      </c>
      <c r="DD247">
        <v>87</v>
      </c>
      <c r="DE247" s="79">
        <v>96</v>
      </c>
    </row>
    <row r="248" spans="2:109" x14ac:dyDescent="0.35">
      <c r="B248" s="224" t="s">
        <v>781</v>
      </c>
      <c r="C248" s="224"/>
      <c r="D248" s="496">
        <v>12</v>
      </c>
      <c r="E248" s="496">
        <v>17</v>
      </c>
      <c r="F248" s="496">
        <v>20</v>
      </c>
      <c r="G248" s="496">
        <v>38</v>
      </c>
      <c r="H248" s="496">
        <v>50</v>
      </c>
      <c r="I248" s="496">
        <v>51</v>
      </c>
      <c r="J248" s="496">
        <v>71</v>
      </c>
      <c r="K248" s="496"/>
      <c r="L248" s="496">
        <v>75</v>
      </c>
      <c r="M248" s="496">
        <v>88</v>
      </c>
      <c r="N248" s="496">
        <v>75</v>
      </c>
      <c r="O248" s="496">
        <v>102</v>
      </c>
      <c r="P248">
        <v>107</v>
      </c>
      <c r="Q248">
        <v>109</v>
      </c>
      <c r="R248">
        <v>115</v>
      </c>
      <c r="S248">
        <v>125</v>
      </c>
      <c r="T248">
        <v>140</v>
      </c>
      <c r="U248">
        <v>150</v>
      </c>
      <c r="V248">
        <v>158</v>
      </c>
      <c r="W248">
        <v>169</v>
      </c>
      <c r="X248">
        <v>164</v>
      </c>
      <c r="Y248">
        <v>168</v>
      </c>
      <c r="Z248">
        <v>174</v>
      </c>
      <c r="AA248">
        <v>177</v>
      </c>
      <c r="AB248">
        <v>180</v>
      </c>
      <c r="AC248">
        <v>186</v>
      </c>
      <c r="AD248">
        <v>192</v>
      </c>
      <c r="AE248">
        <v>189</v>
      </c>
      <c r="AF248">
        <v>194</v>
      </c>
      <c r="AG248">
        <v>195</v>
      </c>
      <c r="AH248">
        <v>193</v>
      </c>
      <c r="AI248">
        <v>193</v>
      </c>
      <c r="AJ248">
        <v>196</v>
      </c>
      <c r="AK248">
        <v>195</v>
      </c>
      <c r="AL248">
        <v>195</v>
      </c>
      <c r="AM248">
        <v>191</v>
      </c>
      <c r="AN248">
        <v>189</v>
      </c>
      <c r="AO248">
        <v>193</v>
      </c>
      <c r="AP248">
        <v>190</v>
      </c>
      <c r="AQ248">
        <v>190</v>
      </c>
      <c r="AR248">
        <v>191</v>
      </c>
      <c r="AS248">
        <v>190</v>
      </c>
      <c r="AT248">
        <v>194</v>
      </c>
      <c r="AU248">
        <v>198</v>
      </c>
      <c r="AV248">
        <v>204</v>
      </c>
      <c r="AW248">
        <v>196</v>
      </c>
      <c r="AX248">
        <v>202</v>
      </c>
      <c r="AY248">
        <v>188</v>
      </c>
      <c r="AZ248">
        <v>190</v>
      </c>
      <c r="BA248">
        <v>190</v>
      </c>
      <c r="BB248">
        <v>188</v>
      </c>
      <c r="BC248">
        <v>192</v>
      </c>
      <c r="BD248">
        <v>185</v>
      </c>
      <c r="BE248">
        <v>185</v>
      </c>
      <c r="BF248">
        <v>184</v>
      </c>
      <c r="BG248">
        <v>183</v>
      </c>
      <c r="BH248">
        <v>174</v>
      </c>
      <c r="BI248">
        <v>176</v>
      </c>
      <c r="BJ248">
        <v>175</v>
      </c>
      <c r="BK248">
        <v>180</v>
      </c>
      <c r="BL248">
        <v>186</v>
      </c>
      <c r="BM248">
        <v>183</v>
      </c>
      <c r="BN248">
        <v>182</v>
      </c>
      <c r="BO248">
        <v>178</v>
      </c>
      <c r="BP248">
        <v>174</v>
      </c>
      <c r="BQ248">
        <v>147</v>
      </c>
      <c r="BR248">
        <v>177</v>
      </c>
      <c r="BS248">
        <v>171</v>
      </c>
      <c r="BT248">
        <v>173</v>
      </c>
      <c r="BU248">
        <v>170</v>
      </c>
      <c r="BV248">
        <v>174</v>
      </c>
      <c r="BW248">
        <v>172</v>
      </c>
      <c r="BX248">
        <v>174</v>
      </c>
      <c r="BY248">
        <v>172</v>
      </c>
      <c r="BZ248" s="243">
        <v>175</v>
      </c>
      <c r="CA248">
        <v>172</v>
      </c>
      <c r="CB248">
        <v>178</v>
      </c>
      <c r="CC248">
        <v>176</v>
      </c>
      <c r="CD248">
        <v>180</v>
      </c>
      <c r="CE248">
        <v>180</v>
      </c>
      <c r="CF248">
        <v>185</v>
      </c>
      <c r="CG248">
        <v>184</v>
      </c>
      <c r="CH248">
        <v>186</v>
      </c>
      <c r="CI248">
        <v>189</v>
      </c>
      <c r="CJ248">
        <v>188</v>
      </c>
      <c r="CK248">
        <v>187</v>
      </c>
      <c r="CL248">
        <v>186</v>
      </c>
      <c r="CM248">
        <v>190</v>
      </c>
      <c r="CN248">
        <v>202</v>
      </c>
      <c r="CO248">
        <v>209</v>
      </c>
      <c r="CP248">
        <v>216</v>
      </c>
      <c r="CQ248" s="224">
        <v>219</v>
      </c>
      <c r="CR248" s="224">
        <v>227</v>
      </c>
      <c r="CS248" s="224">
        <v>236</v>
      </c>
      <c r="CT248" s="224">
        <v>242</v>
      </c>
      <c r="CU248" s="224">
        <v>242</v>
      </c>
      <c r="CV248" s="224">
        <v>245</v>
      </c>
      <c r="CW248">
        <v>246</v>
      </c>
      <c r="CX248">
        <v>239</v>
      </c>
      <c r="CY248">
        <v>242</v>
      </c>
      <c r="CZ248">
        <v>335</v>
      </c>
      <c r="DA248">
        <v>245</v>
      </c>
      <c r="DB248">
        <v>244</v>
      </c>
      <c r="DC248">
        <v>241</v>
      </c>
      <c r="DD248">
        <v>245</v>
      </c>
      <c r="DE248" s="79">
        <v>243</v>
      </c>
    </row>
    <row r="249" spans="2:109" x14ac:dyDescent="0.35">
      <c r="B249" s="224" t="s">
        <v>782</v>
      </c>
      <c r="C249" s="224"/>
      <c r="D249" s="496">
        <v>3</v>
      </c>
      <c r="E249" s="496">
        <v>2</v>
      </c>
      <c r="F249" s="496">
        <v>5</v>
      </c>
      <c r="G249" s="496">
        <v>6</v>
      </c>
      <c r="H249" s="496">
        <v>14</v>
      </c>
      <c r="I249" s="496">
        <v>17</v>
      </c>
      <c r="J249" s="496">
        <v>24</v>
      </c>
      <c r="K249" s="496"/>
      <c r="L249" s="496">
        <v>20</v>
      </c>
      <c r="M249" s="496">
        <v>21</v>
      </c>
      <c r="N249" s="496">
        <v>41</v>
      </c>
      <c r="O249" s="496">
        <v>27</v>
      </c>
      <c r="P249">
        <v>30</v>
      </c>
      <c r="Q249">
        <v>34</v>
      </c>
      <c r="R249">
        <v>29</v>
      </c>
      <c r="S249">
        <v>29</v>
      </c>
      <c r="T249">
        <v>33</v>
      </c>
      <c r="U249">
        <v>37</v>
      </c>
      <c r="V249">
        <v>37</v>
      </c>
      <c r="W249">
        <v>39</v>
      </c>
      <c r="X249">
        <v>44</v>
      </c>
      <c r="Y249">
        <v>47</v>
      </c>
      <c r="Z249">
        <v>49</v>
      </c>
      <c r="AA249">
        <v>51</v>
      </c>
      <c r="AB249">
        <v>48</v>
      </c>
      <c r="AC249">
        <v>44</v>
      </c>
      <c r="AD249">
        <v>45</v>
      </c>
      <c r="AE249">
        <v>49</v>
      </c>
      <c r="AF249">
        <v>52</v>
      </c>
      <c r="AG249">
        <v>51</v>
      </c>
      <c r="AH249">
        <v>49</v>
      </c>
      <c r="AI249">
        <v>49</v>
      </c>
      <c r="AJ249">
        <v>47</v>
      </c>
      <c r="AK249">
        <v>48</v>
      </c>
      <c r="AL249">
        <v>49</v>
      </c>
      <c r="AM249">
        <v>51</v>
      </c>
      <c r="AN249">
        <v>51</v>
      </c>
      <c r="AO249">
        <v>50</v>
      </c>
      <c r="AP249">
        <v>48</v>
      </c>
      <c r="AQ249">
        <v>49</v>
      </c>
      <c r="AR249">
        <v>51</v>
      </c>
      <c r="AS249">
        <v>51</v>
      </c>
      <c r="AT249">
        <v>50</v>
      </c>
      <c r="AU249">
        <v>51</v>
      </c>
      <c r="AV249">
        <v>46</v>
      </c>
      <c r="AW249">
        <v>52</v>
      </c>
      <c r="AX249">
        <v>48</v>
      </c>
      <c r="AY249">
        <v>47</v>
      </c>
      <c r="AZ249">
        <v>47</v>
      </c>
      <c r="BA249">
        <v>54</v>
      </c>
      <c r="BB249">
        <v>60</v>
      </c>
      <c r="BC249">
        <v>59</v>
      </c>
      <c r="BD249">
        <v>56</v>
      </c>
      <c r="BE249">
        <v>62</v>
      </c>
      <c r="BF249">
        <v>65</v>
      </c>
      <c r="BG249">
        <v>65</v>
      </c>
      <c r="BH249">
        <v>73</v>
      </c>
      <c r="BI249">
        <v>73</v>
      </c>
      <c r="BJ249">
        <v>72</v>
      </c>
      <c r="BK249">
        <v>71</v>
      </c>
      <c r="BL249">
        <v>69</v>
      </c>
      <c r="BM249">
        <v>67</v>
      </c>
      <c r="BN249">
        <v>69</v>
      </c>
      <c r="BO249">
        <v>66</v>
      </c>
      <c r="BP249">
        <v>76</v>
      </c>
      <c r="BQ249">
        <v>73</v>
      </c>
      <c r="BR249">
        <v>67</v>
      </c>
      <c r="BS249">
        <v>67</v>
      </c>
      <c r="BT249">
        <v>70</v>
      </c>
      <c r="BU249">
        <v>66</v>
      </c>
      <c r="BV249">
        <v>65</v>
      </c>
      <c r="BW249">
        <v>68</v>
      </c>
      <c r="BX249">
        <v>64</v>
      </c>
      <c r="BY249">
        <v>64</v>
      </c>
      <c r="BZ249" s="243">
        <v>61</v>
      </c>
      <c r="CA249">
        <v>64</v>
      </c>
      <c r="CB249">
        <v>63</v>
      </c>
      <c r="CC249">
        <v>69</v>
      </c>
      <c r="CD249">
        <v>69</v>
      </c>
      <c r="CE249">
        <v>69</v>
      </c>
      <c r="CF249">
        <v>68</v>
      </c>
      <c r="CG249">
        <v>72</v>
      </c>
      <c r="CH249">
        <v>72</v>
      </c>
      <c r="CI249">
        <v>77</v>
      </c>
      <c r="CJ249">
        <v>77</v>
      </c>
      <c r="CK249">
        <v>75</v>
      </c>
      <c r="CL249">
        <v>83</v>
      </c>
      <c r="CM249">
        <v>78</v>
      </c>
      <c r="CN249">
        <v>78</v>
      </c>
      <c r="CO249">
        <v>82</v>
      </c>
      <c r="CP249">
        <v>81</v>
      </c>
      <c r="CQ249" s="224">
        <v>76</v>
      </c>
      <c r="CR249" s="224">
        <v>75</v>
      </c>
      <c r="CS249" s="224">
        <v>70</v>
      </c>
      <c r="CT249" s="224">
        <v>67</v>
      </c>
      <c r="CU249" s="224">
        <v>67</v>
      </c>
      <c r="CV249" s="224">
        <v>68</v>
      </c>
      <c r="CW249">
        <v>70</v>
      </c>
      <c r="CX249">
        <v>76</v>
      </c>
      <c r="CY249">
        <v>76</v>
      </c>
      <c r="CZ249">
        <v>-15</v>
      </c>
      <c r="DA249">
        <v>75</v>
      </c>
      <c r="DB249">
        <v>78</v>
      </c>
      <c r="DC249">
        <v>81</v>
      </c>
      <c r="DD249">
        <v>86</v>
      </c>
      <c r="DE249" s="79">
        <v>86</v>
      </c>
    </row>
    <row r="250" spans="2:109" x14ac:dyDescent="0.35">
      <c r="B250" s="224" t="s">
        <v>783</v>
      </c>
      <c r="C250" s="224"/>
      <c r="D250" s="496">
        <v>3</v>
      </c>
      <c r="E250" s="496">
        <v>8</v>
      </c>
      <c r="F250" s="496">
        <v>11</v>
      </c>
      <c r="G250" s="496">
        <v>12</v>
      </c>
      <c r="H250" s="496">
        <v>23</v>
      </c>
      <c r="I250" s="496">
        <v>30</v>
      </c>
      <c r="J250" s="496">
        <v>36</v>
      </c>
      <c r="K250" s="496"/>
      <c r="L250" s="496">
        <f t="shared" ref="L250:AQ250" si="0">COUNTIFS(L7:L242,"&gt;=1000",L7:L242,"&lt;=4999")</f>
        <v>42</v>
      </c>
      <c r="M250" s="496">
        <f t="shared" si="0"/>
        <v>42</v>
      </c>
      <c r="N250" s="496">
        <f t="shared" si="0"/>
        <v>42</v>
      </c>
      <c r="O250" s="496">
        <f t="shared" si="0"/>
        <v>39</v>
      </c>
      <c r="P250">
        <f t="shared" si="0"/>
        <v>40</v>
      </c>
      <c r="Q250">
        <f t="shared" si="0"/>
        <v>43</v>
      </c>
      <c r="R250">
        <f t="shared" si="0"/>
        <v>46</v>
      </c>
      <c r="S250">
        <f t="shared" si="0"/>
        <v>48</v>
      </c>
      <c r="T250">
        <f t="shared" si="0"/>
        <v>50</v>
      </c>
      <c r="U250">
        <f t="shared" si="0"/>
        <v>50</v>
      </c>
      <c r="V250">
        <f t="shared" si="0"/>
        <v>52</v>
      </c>
      <c r="W250">
        <f t="shared" si="0"/>
        <v>53</v>
      </c>
      <c r="X250">
        <f t="shared" si="0"/>
        <v>55</v>
      </c>
      <c r="Y250">
        <f t="shared" si="0"/>
        <v>54</v>
      </c>
      <c r="Z250">
        <f t="shared" si="0"/>
        <v>57</v>
      </c>
      <c r="AA250">
        <f t="shared" si="0"/>
        <v>61</v>
      </c>
      <c r="AB250">
        <f t="shared" si="0"/>
        <v>66</v>
      </c>
      <c r="AC250">
        <f t="shared" si="0"/>
        <v>72</v>
      </c>
      <c r="AD250">
        <f t="shared" si="0"/>
        <v>69</v>
      </c>
      <c r="AE250">
        <f t="shared" si="0"/>
        <v>69</v>
      </c>
      <c r="AF250">
        <f t="shared" si="0"/>
        <v>69</v>
      </c>
      <c r="AG250">
        <f t="shared" si="0"/>
        <v>72</v>
      </c>
      <c r="AH250">
        <f t="shared" si="0"/>
        <v>74</v>
      </c>
      <c r="AI250">
        <f t="shared" si="0"/>
        <v>74</v>
      </c>
      <c r="AJ250">
        <f t="shared" si="0"/>
        <v>76</v>
      </c>
      <c r="AK250">
        <f t="shared" si="0"/>
        <v>77</v>
      </c>
      <c r="AL250">
        <f t="shared" si="0"/>
        <v>75</v>
      </c>
      <c r="AM250">
        <f t="shared" si="0"/>
        <v>72</v>
      </c>
      <c r="AN250">
        <f t="shared" si="0"/>
        <v>70</v>
      </c>
      <c r="AO250">
        <f t="shared" si="0"/>
        <v>70</v>
      </c>
      <c r="AP250">
        <f t="shared" si="0"/>
        <v>75</v>
      </c>
      <c r="AQ250">
        <f t="shared" si="0"/>
        <v>76</v>
      </c>
      <c r="AR250">
        <f t="shared" ref="AR250:BW250" si="1">COUNTIFS(AR7:AR242,"&gt;=1000",AR7:AR242,"&lt;=4999")</f>
        <v>75</v>
      </c>
      <c r="AS250">
        <f t="shared" si="1"/>
        <v>78</v>
      </c>
      <c r="AT250">
        <f t="shared" si="1"/>
        <v>78</v>
      </c>
      <c r="AU250">
        <f t="shared" si="1"/>
        <v>76</v>
      </c>
      <c r="AV250">
        <f t="shared" si="1"/>
        <v>81</v>
      </c>
      <c r="AW250">
        <f t="shared" si="1"/>
        <v>80</v>
      </c>
      <c r="AX250">
        <f t="shared" si="1"/>
        <v>83</v>
      </c>
      <c r="AY250">
        <f t="shared" si="1"/>
        <v>79</v>
      </c>
      <c r="AZ250">
        <f t="shared" si="1"/>
        <v>80</v>
      </c>
      <c r="BA250">
        <f t="shared" si="1"/>
        <v>79</v>
      </c>
      <c r="BB250">
        <f t="shared" si="1"/>
        <v>80</v>
      </c>
      <c r="BC250">
        <f t="shared" si="1"/>
        <v>81</v>
      </c>
      <c r="BD250">
        <f t="shared" si="1"/>
        <v>88</v>
      </c>
      <c r="BE250">
        <f t="shared" si="1"/>
        <v>87</v>
      </c>
      <c r="BF250">
        <f t="shared" si="1"/>
        <v>89</v>
      </c>
      <c r="BG250">
        <f t="shared" si="1"/>
        <v>91</v>
      </c>
      <c r="BH250">
        <f t="shared" si="1"/>
        <v>92</v>
      </c>
      <c r="BI250">
        <f t="shared" si="1"/>
        <v>89</v>
      </c>
      <c r="BJ250">
        <f t="shared" si="1"/>
        <v>92</v>
      </c>
      <c r="BK250">
        <f t="shared" si="1"/>
        <v>90</v>
      </c>
      <c r="BL250">
        <f t="shared" si="1"/>
        <v>92</v>
      </c>
      <c r="BM250">
        <f t="shared" si="1"/>
        <v>97</v>
      </c>
      <c r="BN250">
        <f t="shared" si="1"/>
        <v>98</v>
      </c>
      <c r="BO250">
        <f t="shared" si="1"/>
        <v>97</v>
      </c>
      <c r="BP250">
        <f t="shared" si="1"/>
        <v>96</v>
      </c>
      <c r="BQ250">
        <f t="shared" si="1"/>
        <v>99</v>
      </c>
      <c r="BR250">
        <f t="shared" si="1"/>
        <v>101</v>
      </c>
      <c r="BS250">
        <f t="shared" si="1"/>
        <v>105</v>
      </c>
      <c r="BT250">
        <f t="shared" si="1"/>
        <v>105</v>
      </c>
      <c r="BU250">
        <f t="shared" si="1"/>
        <v>109</v>
      </c>
      <c r="BV250">
        <f t="shared" si="1"/>
        <v>110</v>
      </c>
      <c r="BW250">
        <f t="shared" si="1"/>
        <v>110</v>
      </c>
      <c r="BX250" s="487">
        <v>114</v>
      </c>
      <c r="BY250" s="487">
        <v>111</v>
      </c>
      <c r="BZ250">
        <v>114</v>
      </c>
      <c r="CA250">
        <v>110</v>
      </c>
      <c r="CB250">
        <v>110</v>
      </c>
      <c r="CC250">
        <v>110</v>
      </c>
      <c r="CD250">
        <v>110</v>
      </c>
      <c r="CE250">
        <v>108</v>
      </c>
      <c r="CF250">
        <v>103</v>
      </c>
      <c r="CG250">
        <v>104</v>
      </c>
      <c r="CH250">
        <v>106</v>
      </c>
      <c r="CI250">
        <v>102</v>
      </c>
      <c r="CJ250">
        <v>100</v>
      </c>
      <c r="CK250">
        <v>101</v>
      </c>
      <c r="CL250">
        <v>99</v>
      </c>
      <c r="CM250">
        <v>105</v>
      </c>
      <c r="CN250">
        <v>103</v>
      </c>
      <c r="CO250">
        <v>103</v>
      </c>
      <c r="CP250">
        <v>105</v>
      </c>
      <c r="CQ250" s="224">
        <v>109</v>
      </c>
      <c r="CR250" s="224">
        <v>112</v>
      </c>
      <c r="CS250" s="224">
        <v>111</v>
      </c>
      <c r="CT250" s="224">
        <v>114</v>
      </c>
      <c r="CU250" s="224">
        <v>116</v>
      </c>
      <c r="CV250" s="224">
        <v>112</v>
      </c>
      <c r="CW250">
        <v>113</v>
      </c>
      <c r="CX250">
        <v>115</v>
      </c>
      <c r="CY250">
        <v>119</v>
      </c>
      <c r="CZ250">
        <v>121</v>
      </c>
      <c r="DA250">
        <v>123</v>
      </c>
      <c r="DB250">
        <v>128</v>
      </c>
      <c r="DC250">
        <v>126</v>
      </c>
      <c r="DD250">
        <v>120</v>
      </c>
      <c r="DE250" s="79">
        <v>121</v>
      </c>
    </row>
    <row r="251" spans="2:109" x14ac:dyDescent="0.35">
      <c r="B251" s="224" t="s">
        <v>784</v>
      </c>
      <c r="C251" s="224"/>
      <c r="D251" s="496"/>
      <c r="E251" s="496">
        <v>1</v>
      </c>
      <c r="F251" s="496">
        <v>0</v>
      </c>
      <c r="G251" s="496">
        <v>3</v>
      </c>
      <c r="H251" s="496">
        <v>6</v>
      </c>
      <c r="I251" s="496">
        <v>9</v>
      </c>
      <c r="J251" s="496">
        <v>10</v>
      </c>
      <c r="K251" s="496"/>
      <c r="L251" s="496">
        <f t="shared" ref="L251:AQ251" si="2">COUNTIFS(L7:L242,"&gt;=5000",L7:L242,"&lt;=9999")</f>
        <v>9</v>
      </c>
      <c r="M251" s="496">
        <f t="shared" si="2"/>
        <v>9</v>
      </c>
      <c r="N251" s="496">
        <f t="shared" si="2"/>
        <v>9</v>
      </c>
      <c r="O251" s="496">
        <f t="shared" si="2"/>
        <v>10</v>
      </c>
      <c r="P251">
        <f t="shared" si="2"/>
        <v>10</v>
      </c>
      <c r="Q251">
        <f t="shared" si="2"/>
        <v>10</v>
      </c>
      <c r="R251">
        <f t="shared" si="2"/>
        <v>11</v>
      </c>
      <c r="S251">
        <f t="shared" si="2"/>
        <v>10</v>
      </c>
      <c r="T251">
        <f t="shared" si="2"/>
        <v>10</v>
      </c>
      <c r="U251">
        <f t="shared" si="2"/>
        <v>11</v>
      </c>
      <c r="V251">
        <f t="shared" si="2"/>
        <v>13</v>
      </c>
      <c r="W251">
        <f t="shared" si="2"/>
        <v>12</v>
      </c>
      <c r="X251">
        <f t="shared" si="2"/>
        <v>12</v>
      </c>
      <c r="Y251">
        <f t="shared" si="2"/>
        <v>13</v>
      </c>
      <c r="Z251">
        <f t="shared" si="2"/>
        <v>13</v>
      </c>
      <c r="AA251">
        <f t="shared" si="2"/>
        <v>13</v>
      </c>
      <c r="AB251">
        <f t="shared" si="2"/>
        <v>12</v>
      </c>
      <c r="AC251">
        <f t="shared" si="2"/>
        <v>12</v>
      </c>
      <c r="AD251">
        <f t="shared" si="2"/>
        <v>17</v>
      </c>
      <c r="AE251">
        <f t="shared" si="2"/>
        <v>17</v>
      </c>
      <c r="AF251">
        <f t="shared" si="2"/>
        <v>16</v>
      </c>
      <c r="AG251">
        <f t="shared" si="2"/>
        <v>14</v>
      </c>
      <c r="AH251">
        <f t="shared" si="2"/>
        <v>15</v>
      </c>
      <c r="AI251">
        <f t="shared" si="2"/>
        <v>16</v>
      </c>
      <c r="AJ251">
        <f t="shared" si="2"/>
        <v>16</v>
      </c>
      <c r="AK251">
        <f t="shared" si="2"/>
        <v>15</v>
      </c>
      <c r="AL251">
        <f t="shared" si="2"/>
        <v>17</v>
      </c>
      <c r="AM251">
        <f t="shared" si="2"/>
        <v>16</v>
      </c>
      <c r="AN251">
        <f t="shared" si="2"/>
        <v>16</v>
      </c>
      <c r="AO251">
        <f t="shared" si="2"/>
        <v>16</v>
      </c>
      <c r="AP251">
        <f t="shared" si="2"/>
        <v>15</v>
      </c>
      <c r="AQ251">
        <f t="shared" si="2"/>
        <v>16</v>
      </c>
      <c r="AR251">
        <f t="shared" ref="AR251:BT251" si="3">COUNTIFS(AR7:AR242,"&gt;=5000",AR7:AR242,"&lt;=9999")</f>
        <v>15</v>
      </c>
      <c r="AS251">
        <f t="shared" si="3"/>
        <v>15</v>
      </c>
      <c r="AT251">
        <f t="shared" si="3"/>
        <v>17</v>
      </c>
      <c r="AU251">
        <f t="shared" si="3"/>
        <v>20</v>
      </c>
      <c r="AV251">
        <f t="shared" si="3"/>
        <v>21</v>
      </c>
      <c r="AW251">
        <f t="shared" si="3"/>
        <v>22</v>
      </c>
      <c r="AX251">
        <f t="shared" si="3"/>
        <v>21</v>
      </c>
      <c r="AY251">
        <f t="shared" si="3"/>
        <v>21</v>
      </c>
      <c r="AZ251">
        <f t="shared" si="3"/>
        <v>23</v>
      </c>
      <c r="BA251">
        <f t="shared" si="3"/>
        <v>23</v>
      </c>
      <c r="BB251">
        <f t="shared" si="3"/>
        <v>25</v>
      </c>
      <c r="BC251">
        <f t="shared" si="3"/>
        <v>23</v>
      </c>
      <c r="BD251">
        <f t="shared" si="3"/>
        <v>25</v>
      </c>
      <c r="BE251">
        <f t="shared" si="3"/>
        <v>26</v>
      </c>
      <c r="BF251">
        <f t="shared" si="3"/>
        <v>25</v>
      </c>
      <c r="BG251">
        <f t="shared" si="3"/>
        <v>24</v>
      </c>
      <c r="BH251">
        <f t="shared" si="3"/>
        <v>23</v>
      </c>
      <c r="BI251">
        <f t="shared" si="3"/>
        <v>24</v>
      </c>
      <c r="BJ251">
        <f t="shared" si="3"/>
        <v>25</v>
      </c>
      <c r="BK251">
        <f t="shared" si="3"/>
        <v>27</v>
      </c>
      <c r="BL251">
        <f t="shared" si="3"/>
        <v>28</v>
      </c>
      <c r="BM251">
        <f t="shared" si="3"/>
        <v>24</v>
      </c>
      <c r="BN251">
        <f t="shared" si="3"/>
        <v>23</v>
      </c>
      <c r="BO251">
        <f t="shared" si="3"/>
        <v>24</v>
      </c>
      <c r="BP251">
        <f t="shared" si="3"/>
        <v>25</v>
      </c>
      <c r="BQ251">
        <f t="shared" si="3"/>
        <v>24</v>
      </c>
      <c r="BR251">
        <f t="shared" si="3"/>
        <v>23</v>
      </c>
      <c r="BS251">
        <f t="shared" si="3"/>
        <v>22</v>
      </c>
      <c r="BT251">
        <f t="shared" si="3"/>
        <v>21</v>
      </c>
      <c r="BU251">
        <v>21</v>
      </c>
      <c r="BV251">
        <v>21</v>
      </c>
      <c r="BW251">
        <v>20</v>
      </c>
      <c r="BX251" s="487">
        <v>19</v>
      </c>
      <c r="BY251" s="487">
        <v>22</v>
      </c>
      <c r="BZ251">
        <v>21</v>
      </c>
      <c r="CA251">
        <v>24</v>
      </c>
      <c r="CB251">
        <v>23</v>
      </c>
      <c r="CC251">
        <v>23</v>
      </c>
      <c r="CD251">
        <v>25</v>
      </c>
      <c r="CE251">
        <v>28</v>
      </c>
      <c r="CF251">
        <v>29</v>
      </c>
      <c r="CG251">
        <v>28</v>
      </c>
      <c r="CH251">
        <v>28</v>
      </c>
      <c r="CI251">
        <v>30</v>
      </c>
      <c r="CJ251">
        <v>28</v>
      </c>
      <c r="CK251">
        <v>32</v>
      </c>
      <c r="CL251">
        <v>32</v>
      </c>
      <c r="CM251">
        <v>31</v>
      </c>
      <c r="CN251">
        <v>33</v>
      </c>
      <c r="CO251">
        <v>32</v>
      </c>
      <c r="CP251">
        <v>33</v>
      </c>
      <c r="CQ251" s="224">
        <v>33</v>
      </c>
      <c r="CR251" s="224">
        <v>33</v>
      </c>
      <c r="CS251" s="224">
        <v>33</v>
      </c>
      <c r="CT251" s="224">
        <v>33</v>
      </c>
      <c r="CU251" s="224">
        <v>33</v>
      </c>
      <c r="CV251" s="224">
        <v>35</v>
      </c>
      <c r="CW251">
        <v>37</v>
      </c>
      <c r="CX251">
        <v>35</v>
      </c>
      <c r="CY251">
        <v>33</v>
      </c>
      <c r="CZ251">
        <v>32</v>
      </c>
      <c r="DA251">
        <v>33</v>
      </c>
      <c r="DB251">
        <v>31</v>
      </c>
      <c r="DC251">
        <v>31</v>
      </c>
      <c r="DD251">
        <v>32</v>
      </c>
      <c r="DE251" s="79">
        <v>31</v>
      </c>
    </row>
    <row r="252" spans="2:109" x14ac:dyDescent="0.35">
      <c r="B252" s="224" t="s">
        <v>785</v>
      </c>
      <c r="C252" s="224"/>
      <c r="D252" s="496"/>
      <c r="E252" s="496">
        <v>1</v>
      </c>
      <c r="F252" s="496">
        <v>4</v>
      </c>
      <c r="G252" s="496">
        <v>3</v>
      </c>
      <c r="H252" s="496">
        <v>5</v>
      </c>
      <c r="I252" s="496">
        <v>6</v>
      </c>
      <c r="J252" s="496">
        <v>10</v>
      </c>
      <c r="K252" s="496"/>
      <c r="L252" s="496">
        <f t="shared" ref="L252:AQ252" si="4">COUNTIFS(L7:L242,"&gt;=10000",L7:L242,"&lt;=49999")</f>
        <v>8</v>
      </c>
      <c r="M252" s="496">
        <f t="shared" si="4"/>
        <v>8</v>
      </c>
      <c r="N252" s="496">
        <f t="shared" si="4"/>
        <v>9</v>
      </c>
      <c r="O252" s="496">
        <f t="shared" si="4"/>
        <v>9</v>
      </c>
      <c r="P252">
        <f t="shared" si="4"/>
        <v>10</v>
      </c>
      <c r="Q252">
        <f t="shared" si="4"/>
        <v>9</v>
      </c>
      <c r="R252">
        <f t="shared" si="4"/>
        <v>10</v>
      </c>
      <c r="S252">
        <f t="shared" si="4"/>
        <v>11</v>
      </c>
      <c r="T252">
        <f t="shared" si="4"/>
        <v>11</v>
      </c>
      <c r="U252">
        <f t="shared" si="4"/>
        <v>11</v>
      </c>
      <c r="V252">
        <f t="shared" si="4"/>
        <v>11</v>
      </c>
      <c r="W252">
        <f t="shared" si="4"/>
        <v>11</v>
      </c>
      <c r="X252">
        <f t="shared" si="4"/>
        <v>11</v>
      </c>
      <c r="Y252">
        <f t="shared" si="4"/>
        <v>10</v>
      </c>
      <c r="Z252">
        <f t="shared" si="4"/>
        <v>10</v>
      </c>
      <c r="AA252">
        <f t="shared" si="4"/>
        <v>10</v>
      </c>
      <c r="AB252">
        <f t="shared" si="4"/>
        <v>11</v>
      </c>
      <c r="AC252">
        <f t="shared" si="4"/>
        <v>11</v>
      </c>
      <c r="AD252">
        <f t="shared" si="4"/>
        <v>11</v>
      </c>
      <c r="AE252">
        <f t="shared" si="4"/>
        <v>11</v>
      </c>
      <c r="AF252">
        <f t="shared" si="4"/>
        <v>12</v>
      </c>
      <c r="AG252">
        <f t="shared" si="4"/>
        <v>14</v>
      </c>
      <c r="AH252">
        <f t="shared" si="4"/>
        <v>14</v>
      </c>
      <c r="AI252">
        <f t="shared" si="4"/>
        <v>14</v>
      </c>
      <c r="AJ252">
        <f t="shared" si="4"/>
        <v>14</v>
      </c>
      <c r="AK252">
        <f t="shared" si="4"/>
        <v>16</v>
      </c>
      <c r="AL252">
        <f t="shared" si="4"/>
        <v>16</v>
      </c>
      <c r="AM252">
        <f t="shared" si="4"/>
        <v>16</v>
      </c>
      <c r="AN252">
        <f t="shared" si="4"/>
        <v>16</v>
      </c>
      <c r="AO252">
        <f t="shared" si="4"/>
        <v>16</v>
      </c>
      <c r="AP252">
        <f t="shared" si="4"/>
        <v>18</v>
      </c>
      <c r="AQ252">
        <f t="shared" si="4"/>
        <v>17</v>
      </c>
      <c r="AR252">
        <f t="shared" ref="AR252:BT252" si="5">COUNTIFS(AR7:AR242,"&gt;=10000",AR7:AR242,"&lt;=49999")</f>
        <v>17</v>
      </c>
      <c r="AS252">
        <f t="shared" si="5"/>
        <v>17</v>
      </c>
      <c r="AT252">
        <f t="shared" si="5"/>
        <v>17</v>
      </c>
      <c r="AU252">
        <f t="shared" si="5"/>
        <v>16</v>
      </c>
      <c r="AV252">
        <f t="shared" si="5"/>
        <v>16</v>
      </c>
      <c r="AW252">
        <f t="shared" si="5"/>
        <v>16</v>
      </c>
      <c r="AX252">
        <f t="shared" si="5"/>
        <v>18</v>
      </c>
      <c r="AY252">
        <f t="shared" si="5"/>
        <v>20</v>
      </c>
      <c r="AZ252">
        <f t="shared" si="5"/>
        <v>19</v>
      </c>
      <c r="BA252">
        <f t="shared" si="5"/>
        <v>18</v>
      </c>
      <c r="BB252">
        <f t="shared" si="5"/>
        <v>17</v>
      </c>
      <c r="BC252">
        <f t="shared" si="5"/>
        <v>18</v>
      </c>
      <c r="BD252">
        <f t="shared" si="5"/>
        <v>18</v>
      </c>
      <c r="BE252">
        <f t="shared" si="5"/>
        <v>18</v>
      </c>
      <c r="BF252">
        <f t="shared" si="5"/>
        <v>18</v>
      </c>
      <c r="BG252">
        <f t="shared" si="5"/>
        <v>19</v>
      </c>
      <c r="BH252">
        <f t="shared" si="5"/>
        <v>19</v>
      </c>
      <c r="BI252">
        <f t="shared" si="5"/>
        <v>19</v>
      </c>
      <c r="BJ252">
        <f t="shared" si="5"/>
        <v>19</v>
      </c>
      <c r="BK252">
        <f t="shared" si="5"/>
        <v>18</v>
      </c>
      <c r="BL252">
        <f t="shared" si="5"/>
        <v>18</v>
      </c>
      <c r="BM252">
        <f t="shared" si="5"/>
        <v>21</v>
      </c>
      <c r="BN252">
        <f t="shared" si="5"/>
        <v>21</v>
      </c>
      <c r="BO252">
        <f t="shared" si="5"/>
        <v>22</v>
      </c>
      <c r="BP252">
        <f t="shared" si="5"/>
        <v>24</v>
      </c>
      <c r="BQ252">
        <f t="shared" si="5"/>
        <v>24</v>
      </c>
      <c r="BR252">
        <f t="shared" si="5"/>
        <v>23</v>
      </c>
      <c r="BS252">
        <f t="shared" si="5"/>
        <v>23</v>
      </c>
      <c r="BT252">
        <f t="shared" si="5"/>
        <v>25</v>
      </c>
      <c r="BU252">
        <v>24</v>
      </c>
      <c r="BV252">
        <v>23</v>
      </c>
      <c r="BW252">
        <v>24</v>
      </c>
      <c r="BX252" s="487">
        <v>25</v>
      </c>
      <c r="BY252" s="487">
        <v>24</v>
      </c>
      <c r="BZ252">
        <v>23</v>
      </c>
      <c r="CA252">
        <v>24</v>
      </c>
      <c r="CB252">
        <v>25</v>
      </c>
      <c r="CC252">
        <v>27</v>
      </c>
      <c r="CD252">
        <v>26</v>
      </c>
      <c r="CE252">
        <v>25</v>
      </c>
      <c r="CF252">
        <v>28</v>
      </c>
      <c r="CG252">
        <v>29</v>
      </c>
      <c r="CH252">
        <v>29</v>
      </c>
      <c r="CI252">
        <v>29</v>
      </c>
      <c r="CJ252">
        <v>31</v>
      </c>
      <c r="CK252">
        <v>30</v>
      </c>
      <c r="CL252">
        <v>30</v>
      </c>
      <c r="CM252">
        <v>28</v>
      </c>
      <c r="CN252">
        <v>27</v>
      </c>
      <c r="CO252">
        <v>29</v>
      </c>
      <c r="CP252">
        <v>29</v>
      </c>
      <c r="CQ252" s="224">
        <v>28</v>
      </c>
      <c r="CR252" s="224">
        <v>28</v>
      </c>
      <c r="CS252" s="224">
        <v>28</v>
      </c>
      <c r="CT252" s="224">
        <v>28</v>
      </c>
      <c r="CU252" s="224">
        <v>28</v>
      </c>
      <c r="CV252" s="224">
        <v>27</v>
      </c>
      <c r="CW252">
        <v>27</v>
      </c>
      <c r="CX252">
        <v>28</v>
      </c>
      <c r="CY252">
        <v>28</v>
      </c>
      <c r="CZ252">
        <v>29</v>
      </c>
      <c r="DA252">
        <v>29</v>
      </c>
      <c r="DB252">
        <v>27</v>
      </c>
      <c r="DC252">
        <v>28</v>
      </c>
      <c r="DD252">
        <v>29</v>
      </c>
      <c r="DE252" s="79">
        <v>29</v>
      </c>
    </row>
    <row r="253" spans="2:109" x14ac:dyDescent="0.35">
      <c r="B253" s="224" t="s">
        <v>786</v>
      </c>
      <c r="C253" s="224"/>
      <c r="D253" s="496"/>
      <c r="E253" s="496">
        <v>0</v>
      </c>
      <c r="F253" s="496">
        <v>0</v>
      </c>
      <c r="G253" s="496">
        <v>0</v>
      </c>
      <c r="H253" s="496">
        <v>0</v>
      </c>
      <c r="I253" s="496">
        <v>2</v>
      </c>
      <c r="J253" s="496">
        <v>2</v>
      </c>
      <c r="K253" s="496"/>
      <c r="L253" s="496">
        <f t="shared" ref="L253:AQ253" si="6">COUNTIFS(L7:L242,"&gt;=50000",L7:L242,"&lt;=99999")</f>
        <v>1</v>
      </c>
      <c r="M253" s="496">
        <f t="shared" si="6"/>
        <v>1</v>
      </c>
      <c r="N253" s="496">
        <f t="shared" si="6"/>
        <v>2</v>
      </c>
      <c r="O253" s="496">
        <f t="shared" si="6"/>
        <v>2</v>
      </c>
      <c r="P253">
        <f t="shared" si="6"/>
        <v>1</v>
      </c>
      <c r="Q253">
        <f t="shared" si="6"/>
        <v>2</v>
      </c>
      <c r="R253">
        <f t="shared" si="6"/>
        <v>2</v>
      </c>
      <c r="S253">
        <f t="shared" si="6"/>
        <v>2</v>
      </c>
      <c r="T253">
        <f t="shared" si="6"/>
        <v>1</v>
      </c>
      <c r="U253">
        <f t="shared" si="6"/>
        <v>1</v>
      </c>
      <c r="V253">
        <f t="shared" si="6"/>
        <v>0</v>
      </c>
      <c r="W253">
        <f t="shared" si="6"/>
        <v>0</v>
      </c>
      <c r="X253">
        <f t="shared" si="6"/>
        <v>0</v>
      </c>
      <c r="Y253">
        <f t="shared" si="6"/>
        <v>1</v>
      </c>
      <c r="Z253">
        <f t="shared" si="6"/>
        <v>1</v>
      </c>
      <c r="AA253">
        <f t="shared" si="6"/>
        <v>1</v>
      </c>
      <c r="AB253">
        <f t="shared" si="6"/>
        <v>1</v>
      </c>
      <c r="AC253">
        <f t="shared" si="6"/>
        <v>1</v>
      </c>
      <c r="AD253">
        <f t="shared" si="6"/>
        <v>1</v>
      </c>
      <c r="AE253">
        <f t="shared" si="6"/>
        <v>1</v>
      </c>
      <c r="AF253">
        <f t="shared" si="6"/>
        <v>1</v>
      </c>
      <c r="AG253">
        <f t="shared" si="6"/>
        <v>1</v>
      </c>
      <c r="AH253">
        <f t="shared" si="6"/>
        <v>1</v>
      </c>
      <c r="AI253">
        <f t="shared" si="6"/>
        <v>1</v>
      </c>
      <c r="AJ253">
        <f t="shared" si="6"/>
        <v>1</v>
      </c>
      <c r="AK253">
        <f t="shared" si="6"/>
        <v>1</v>
      </c>
      <c r="AL253">
        <f t="shared" si="6"/>
        <v>1</v>
      </c>
      <c r="AM253">
        <f t="shared" si="6"/>
        <v>1</v>
      </c>
      <c r="AN253">
        <f t="shared" si="6"/>
        <v>1</v>
      </c>
      <c r="AO253">
        <f t="shared" si="6"/>
        <v>1</v>
      </c>
      <c r="AP253">
        <f t="shared" si="6"/>
        <v>1</v>
      </c>
      <c r="AQ253">
        <f t="shared" si="6"/>
        <v>1</v>
      </c>
      <c r="AR253">
        <f t="shared" ref="AR253:BT253" si="7">COUNTIFS(AR7:AR242,"&gt;=50000",AR7:AR242,"&lt;=99999")</f>
        <v>1</v>
      </c>
      <c r="AS253">
        <f t="shared" si="7"/>
        <v>1</v>
      </c>
      <c r="AT253">
        <f t="shared" si="7"/>
        <v>1</v>
      </c>
      <c r="AU253">
        <f t="shared" si="7"/>
        <v>1</v>
      </c>
      <c r="AV253">
        <f t="shared" si="7"/>
        <v>1</v>
      </c>
      <c r="AW253">
        <f t="shared" si="7"/>
        <v>1</v>
      </c>
      <c r="AX253">
        <f t="shared" si="7"/>
        <v>1</v>
      </c>
      <c r="AY253">
        <f t="shared" si="7"/>
        <v>1</v>
      </c>
      <c r="AZ253">
        <f t="shared" si="7"/>
        <v>2</v>
      </c>
      <c r="BA253">
        <f t="shared" si="7"/>
        <v>2</v>
      </c>
      <c r="BB253">
        <f t="shared" si="7"/>
        <v>3</v>
      </c>
      <c r="BC253">
        <f t="shared" si="7"/>
        <v>3</v>
      </c>
      <c r="BD253">
        <f t="shared" si="7"/>
        <v>2</v>
      </c>
      <c r="BE253">
        <f t="shared" si="7"/>
        <v>2</v>
      </c>
      <c r="BF253">
        <f t="shared" si="7"/>
        <v>2</v>
      </c>
      <c r="BG253">
        <f t="shared" si="7"/>
        <v>3</v>
      </c>
      <c r="BH253">
        <f t="shared" si="7"/>
        <v>3</v>
      </c>
      <c r="BI253">
        <f t="shared" si="7"/>
        <v>3</v>
      </c>
      <c r="BJ253">
        <f t="shared" si="7"/>
        <v>3</v>
      </c>
      <c r="BK253">
        <f t="shared" si="7"/>
        <v>3</v>
      </c>
      <c r="BL253">
        <f t="shared" si="7"/>
        <v>3</v>
      </c>
      <c r="BM253">
        <f t="shared" si="7"/>
        <v>3</v>
      </c>
      <c r="BN253">
        <f t="shared" si="7"/>
        <v>3</v>
      </c>
      <c r="BO253">
        <f t="shared" si="7"/>
        <v>3</v>
      </c>
      <c r="BP253">
        <f t="shared" si="7"/>
        <v>2</v>
      </c>
      <c r="BQ253">
        <f t="shared" si="7"/>
        <v>3</v>
      </c>
      <c r="BR253">
        <f t="shared" si="7"/>
        <v>3</v>
      </c>
      <c r="BS253">
        <f t="shared" si="7"/>
        <v>3</v>
      </c>
      <c r="BT253">
        <f t="shared" si="7"/>
        <v>3</v>
      </c>
      <c r="BU253">
        <v>3</v>
      </c>
      <c r="BV253">
        <v>4</v>
      </c>
      <c r="BW253">
        <v>4</v>
      </c>
      <c r="BX253" s="487">
        <v>3</v>
      </c>
      <c r="BY253" s="487">
        <v>4</v>
      </c>
      <c r="BZ253">
        <v>5</v>
      </c>
      <c r="CA253">
        <v>5</v>
      </c>
      <c r="CB253">
        <v>4</v>
      </c>
      <c r="CC253">
        <v>4</v>
      </c>
      <c r="CD253">
        <v>4</v>
      </c>
      <c r="CE253">
        <v>5</v>
      </c>
      <c r="CF253">
        <v>4</v>
      </c>
      <c r="CG253">
        <v>4</v>
      </c>
      <c r="CH253">
        <v>4</v>
      </c>
      <c r="CI253">
        <v>4</v>
      </c>
      <c r="CJ253">
        <v>4</v>
      </c>
      <c r="CK253">
        <v>4</v>
      </c>
      <c r="CL253">
        <v>4</v>
      </c>
      <c r="CM253">
        <v>5</v>
      </c>
      <c r="CN253">
        <v>6</v>
      </c>
      <c r="CO253">
        <v>6</v>
      </c>
      <c r="CP253">
        <v>6</v>
      </c>
      <c r="CQ253" s="224">
        <v>7</v>
      </c>
      <c r="CR253" s="224">
        <v>7</v>
      </c>
      <c r="CS253" s="224">
        <v>7</v>
      </c>
      <c r="CT253" s="224">
        <v>7</v>
      </c>
      <c r="CU253" s="224">
        <v>7</v>
      </c>
      <c r="CV253" s="224">
        <v>7</v>
      </c>
      <c r="CW253">
        <v>7</v>
      </c>
      <c r="CX253">
        <v>7</v>
      </c>
      <c r="CY253">
        <v>8</v>
      </c>
      <c r="CZ253">
        <v>8</v>
      </c>
      <c r="DA253">
        <v>8</v>
      </c>
      <c r="DB253">
        <v>9</v>
      </c>
      <c r="DC253">
        <v>9</v>
      </c>
      <c r="DD253">
        <v>9</v>
      </c>
      <c r="DE253" s="79">
        <v>10</v>
      </c>
    </row>
    <row r="254" spans="2:109" x14ac:dyDescent="0.35">
      <c r="B254" s="224" t="s">
        <v>787</v>
      </c>
      <c r="C254" s="224"/>
      <c r="D254" s="496"/>
      <c r="E254" s="496"/>
      <c r="F254" s="496"/>
      <c r="G254" s="496">
        <v>2</v>
      </c>
      <c r="H254" s="496">
        <v>2</v>
      </c>
      <c r="I254" s="496">
        <v>2</v>
      </c>
      <c r="J254" s="496">
        <v>2</v>
      </c>
      <c r="K254" s="496"/>
      <c r="L254" s="496">
        <f t="shared" ref="L254:AQ254" si="8">COUNTIF(L7:L242,"&gt;=100000")</f>
        <v>2</v>
      </c>
      <c r="M254" s="496">
        <f t="shared" si="8"/>
        <v>2</v>
      </c>
      <c r="N254" s="496">
        <f t="shared" si="8"/>
        <v>2</v>
      </c>
      <c r="O254" s="496">
        <f t="shared" si="8"/>
        <v>2</v>
      </c>
      <c r="P254">
        <f t="shared" si="8"/>
        <v>2</v>
      </c>
      <c r="Q254">
        <f t="shared" si="8"/>
        <v>2</v>
      </c>
      <c r="R254">
        <f t="shared" si="8"/>
        <v>2</v>
      </c>
      <c r="S254">
        <f t="shared" si="8"/>
        <v>2</v>
      </c>
      <c r="T254">
        <f t="shared" si="8"/>
        <v>3</v>
      </c>
      <c r="U254">
        <f t="shared" si="8"/>
        <v>3</v>
      </c>
      <c r="V254">
        <f t="shared" si="8"/>
        <v>3</v>
      </c>
      <c r="W254">
        <f t="shared" si="8"/>
        <v>3</v>
      </c>
      <c r="X254">
        <f t="shared" si="8"/>
        <v>3</v>
      </c>
      <c r="Y254">
        <f t="shared" si="8"/>
        <v>3</v>
      </c>
      <c r="Z254">
        <f t="shared" si="8"/>
        <v>3</v>
      </c>
      <c r="AA254">
        <f t="shared" si="8"/>
        <v>3</v>
      </c>
      <c r="AB254">
        <f t="shared" si="8"/>
        <v>3</v>
      </c>
      <c r="AC254">
        <f t="shared" si="8"/>
        <v>3</v>
      </c>
      <c r="AD254">
        <f t="shared" si="8"/>
        <v>3</v>
      </c>
      <c r="AE254">
        <f t="shared" si="8"/>
        <v>3</v>
      </c>
      <c r="AF254">
        <f t="shared" si="8"/>
        <v>3</v>
      </c>
      <c r="AG254">
        <f t="shared" si="8"/>
        <v>3</v>
      </c>
      <c r="AH254">
        <f t="shared" si="8"/>
        <v>3</v>
      </c>
      <c r="AI254">
        <f t="shared" si="8"/>
        <v>3</v>
      </c>
      <c r="AJ254">
        <f t="shared" si="8"/>
        <v>3</v>
      </c>
      <c r="AK254">
        <f t="shared" si="8"/>
        <v>3</v>
      </c>
      <c r="AL254">
        <f t="shared" si="8"/>
        <v>3</v>
      </c>
      <c r="AM254">
        <f t="shared" si="8"/>
        <v>3</v>
      </c>
      <c r="AN254">
        <f t="shared" si="8"/>
        <v>3</v>
      </c>
      <c r="AO254">
        <f t="shared" si="8"/>
        <v>3</v>
      </c>
      <c r="AP254">
        <f t="shared" si="8"/>
        <v>3</v>
      </c>
      <c r="AQ254">
        <f t="shared" si="8"/>
        <v>3</v>
      </c>
      <c r="AR254">
        <f t="shared" ref="AR254:BT254" si="9">COUNTIF(AR7:AR242,"&gt;=100000")</f>
        <v>3</v>
      </c>
      <c r="AS254">
        <f t="shared" si="9"/>
        <v>3</v>
      </c>
      <c r="AT254">
        <f t="shared" si="9"/>
        <v>3</v>
      </c>
      <c r="AU254">
        <f t="shared" si="9"/>
        <v>3</v>
      </c>
      <c r="AV254">
        <f t="shared" si="9"/>
        <v>3</v>
      </c>
      <c r="AW254">
        <f t="shared" si="9"/>
        <v>3</v>
      </c>
      <c r="AX254">
        <f t="shared" si="9"/>
        <v>3</v>
      </c>
      <c r="AY254">
        <f t="shared" si="9"/>
        <v>3</v>
      </c>
      <c r="AZ254">
        <f t="shared" si="9"/>
        <v>3</v>
      </c>
      <c r="BA254">
        <f t="shared" si="9"/>
        <v>4</v>
      </c>
      <c r="BB254">
        <f t="shared" si="9"/>
        <v>4</v>
      </c>
      <c r="BC254">
        <f t="shared" si="9"/>
        <v>4</v>
      </c>
      <c r="BD254">
        <f t="shared" si="9"/>
        <v>5</v>
      </c>
      <c r="BE254">
        <f t="shared" si="9"/>
        <v>5</v>
      </c>
      <c r="BF254">
        <f t="shared" si="9"/>
        <v>5</v>
      </c>
      <c r="BG254">
        <f t="shared" si="9"/>
        <v>5</v>
      </c>
      <c r="BH254">
        <f t="shared" si="9"/>
        <v>5</v>
      </c>
      <c r="BI254">
        <f t="shared" si="9"/>
        <v>5</v>
      </c>
      <c r="BJ254">
        <f t="shared" si="9"/>
        <v>5</v>
      </c>
      <c r="BK254">
        <f t="shared" si="9"/>
        <v>6</v>
      </c>
      <c r="BL254">
        <f t="shared" si="9"/>
        <v>6</v>
      </c>
      <c r="BM254">
        <f t="shared" si="9"/>
        <v>6</v>
      </c>
      <c r="BN254">
        <f t="shared" si="9"/>
        <v>6</v>
      </c>
      <c r="BO254">
        <f t="shared" si="9"/>
        <v>6</v>
      </c>
      <c r="BP254">
        <f t="shared" si="9"/>
        <v>6</v>
      </c>
      <c r="BQ254">
        <f t="shared" si="9"/>
        <v>6</v>
      </c>
      <c r="BR254">
        <f t="shared" si="9"/>
        <v>7</v>
      </c>
      <c r="BS254">
        <f t="shared" si="9"/>
        <v>7</v>
      </c>
      <c r="BT254">
        <f t="shared" si="9"/>
        <v>5</v>
      </c>
      <c r="BU254">
        <v>5</v>
      </c>
      <c r="BV254">
        <v>5</v>
      </c>
      <c r="BW254">
        <v>5</v>
      </c>
      <c r="BX254" s="487">
        <v>6</v>
      </c>
      <c r="BY254" s="487">
        <v>5</v>
      </c>
      <c r="BZ254">
        <v>5</v>
      </c>
      <c r="CA254" s="487">
        <v>5</v>
      </c>
      <c r="CB254" s="487">
        <v>6</v>
      </c>
      <c r="CC254">
        <v>6</v>
      </c>
      <c r="CD254">
        <v>6</v>
      </c>
      <c r="CE254">
        <v>6</v>
      </c>
      <c r="CF254">
        <v>6</v>
      </c>
      <c r="CG254">
        <v>6</v>
      </c>
      <c r="CH254">
        <v>6</v>
      </c>
      <c r="CI254">
        <v>6</v>
      </c>
      <c r="CJ254">
        <v>6</v>
      </c>
      <c r="CK254">
        <v>6</v>
      </c>
      <c r="CL254">
        <v>6</v>
      </c>
      <c r="CM254">
        <v>6</v>
      </c>
      <c r="CN254">
        <v>6</v>
      </c>
      <c r="CO254">
        <v>6</v>
      </c>
      <c r="CP254">
        <v>6</v>
      </c>
      <c r="CQ254" s="224">
        <v>6</v>
      </c>
      <c r="CR254" s="224">
        <v>6</v>
      </c>
      <c r="CS254" s="224">
        <v>6</v>
      </c>
      <c r="CT254" s="224">
        <v>6</v>
      </c>
      <c r="CU254" s="224">
        <v>6</v>
      </c>
      <c r="CV254" s="224">
        <v>7</v>
      </c>
      <c r="CW254">
        <v>7</v>
      </c>
      <c r="CX254">
        <v>8</v>
      </c>
      <c r="CY254">
        <v>7</v>
      </c>
      <c r="CZ254">
        <v>7</v>
      </c>
      <c r="DA254">
        <v>7</v>
      </c>
      <c r="DB254">
        <v>7</v>
      </c>
      <c r="DC254">
        <v>7</v>
      </c>
      <c r="DD254">
        <v>7</v>
      </c>
      <c r="DE254" s="79">
        <v>6</v>
      </c>
    </row>
    <row r="255" spans="2:109" x14ac:dyDescent="0.35">
      <c r="B255" s="10"/>
      <c r="C255" s="10"/>
      <c r="D255" s="497"/>
      <c r="E255" s="497"/>
      <c r="F255" s="497"/>
      <c r="G255" s="497"/>
      <c r="H255" s="497"/>
      <c r="I255" s="497"/>
      <c r="J255" s="497"/>
      <c r="K255" s="497"/>
      <c r="L255" s="497"/>
      <c r="M255" s="497"/>
      <c r="N255" s="497"/>
      <c r="O255" s="497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CD255" s="529"/>
    </row>
    <row r="256" spans="2:109" ht="15.5" x14ac:dyDescent="0.35">
      <c r="B256" s="498" t="s">
        <v>788</v>
      </c>
      <c r="C256" s="498"/>
      <c r="D256" s="481">
        <v>40878</v>
      </c>
      <c r="E256" s="481">
        <v>41244</v>
      </c>
      <c r="F256" s="481">
        <v>41609</v>
      </c>
      <c r="G256" s="481">
        <v>41974</v>
      </c>
      <c r="H256" s="481">
        <v>42339</v>
      </c>
      <c r="I256" s="481">
        <v>42705</v>
      </c>
      <c r="J256" s="481">
        <v>43070</v>
      </c>
      <c r="K256" s="481"/>
      <c r="L256" s="481">
        <v>43101</v>
      </c>
      <c r="M256" s="481">
        <v>43132</v>
      </c>
      <c r="N256" s="481">
        <v>43160</v>
      </c>
      <c r="O256" s="481">
        <v>43191</v>
      </c>
      <c r="P256" s="495">
        <v>43221</v>
      </c>
      <c r="Q256" s="495">
        <v>43252</v>
      </c>
      <c r="R256" s="495">
        <v>43282</v>
      </c>
      <c r="S256" s="495">
        <v>43313</v>
      </c>
      <c r="T256" s="495">
        <v>43344</v>
      </c>
      <c r="U256" s="495">
        <v>43374</v>
      </c>
      <c r="V256" s="495">
        <v>43405</v>
      </c>
      <c r="W256" s="495">
        <v>43435</v>
      </c>
      <c r="X256" s="495">
        <v>43466</v>
      </c>
      <c r="Y256" s="495">
        <v>43497</v>
      </c>
      <c r="Z256" s="495">
        <v>43525</v>
      </c>
      <c r="AA256" s="495">
        <v>43556</v>
      </c>
      <c r="AB256" s="495">
        <v>43586</v>
      </c>
      <c r="AC256" s="495">
        <v>43617</v>
      </c>
      <c r="AD256" s="495">
        <v>43647</v>
      </c>
      <c r="AE256" s="495">
        <v>43678</v>
      </c>
      <c r="AF256" s="495">
        <v>43709</v>
      </c>
      <c r="AG256" s="495">
        <v>43739</v>
      </c>
      <c r="AH256" s="495">
        <v>43770</v>
      </c>
      <c r="AI256" s="495">
        <v>43800</v>
      </c>
      <c r="AJ256" s="495">
        <v>43831</v>
      </c>
      <c r="AK256" s="495">
        <v>43862</v>
      </c>
      <c r="AL256" s="495">
        <v>43891</v>
      </c>
      <c r="AM256" s="495">
        <v>43922</v>
      </c>
      <c r="AN256" s="495">
        <v>43952</v>
      </c>
      <c r="AO256" s="495">
        <v>43983</v>
      </c>
      <c r="AP256" s="495">
        <v>44013</v>
      </c>
      <c r="AQ256" s="495">
        <v>44044</v>
      </c>
      <c r="AR256" s="495">
        <v>44075</v>
      </c>
      <c r="AS256" s="495">
        <v>44105</v>
      </c>
      <c r="AT256" s="495">
        <v>44136</v>
      </c>
      <c r="AU256" s="495">
        <v>44166</v>
      </c>
      <c r="AV256" s="495">
        <v>44197</v>
      </c>
      <c r="AW256" s="495">
        <v>44228</v>
      </c>
      <c r="AX256" s="495">
        <v>44256</v>
      </c>
      <c r="AY256" s="495">
        <v>44287</v>
      </c>
      <c r="AZ256" s="495">
        <v>44317</v>
      </c>
      <c r="BA256" s="495">
        <v>44348</v>
      </c>
      <c r="BB256" s="495">
        <v>44378</v>
      </c>
      <c r="BC256" s="495">
        <v>44409</v>
      </c>
      <c r="BD256" s="495">
        <v>44440</v>
      </c>
      <c r="BE256" s="482">
        <v>44470</v>
      </c>
      <c r="BF256" s="482">
        <v>44501</v>
      </c>
      <c r="BG256" s="482">
        <v>44531</v>
      </c>
      <c r="BH256" s="482">
        <v>44562</v>
      </c>
      <c r="BI256" s="482">
        <v>44593</v>
      </c>
      <c r="BJ256" s="482">
        <v>44621</v>
      </c>
      <c r="BK256" s="482">
        <v>44652</v>
      </c>
      <c r="BL256" s="482">
        <v>44682</v>
      </c>
      <c r="BM256" s="482">
        <v>44713</v>
      </c>
      <c r="BN256" s="482">
        <v>44743</v>
      </c>
      <c r="BO256" s="482">
        <v>44774</v>
      </c>
      <c r="BP256" s="482">
        <v>44805</v>
      </c>
      <c r="BQ256" s="482">
        <v>44835</v>
      </c>
      <c r="BR256" s="482">
        <v>44866</v>
      </c>
      <c r="BS256" s="482">
        <v>44896</v>
      </c>
      <c r="BT256" s="482">
        <v>44927</v>
      </c>
      <c r="BU256" s="482">
        <v>44958</v>
      </c>
      <c r="BV256" s="482">
        <v>44986</v>
      </c>
      <c r="BW256" s="482">
        <v>45017</v>
      </c>
      <c r="BX256" s="482">
        <v>45047</v>
      </c>
      <c r="BY256" s="482">
        <v>45078</v>
      </c>
      <c r="BZ256" s="482">
        <v>45108</v>
      </c>
      <c r="CA256" s="482">
        <v>45139</v>
      </c>
      <c r="CB256" s="482">
        <v>45170</v>
      </c>
      <c r="CC256" s="482">
        <v>45200</v>
      </c>
      <c r="CD256" s="482">
        <v>45231</v>
      </c>
      <c r="CE256" s="482">
        <v>45261</v>
      </c>
      <c r="CF256" s="482">
        <v>45292</v>
      </c>
      <c r="CG256" s="482">
        <v>45323</v>
      </c>
      <c r="CH256" s="482">
        <v>45352</v>
      </c>
      <c r="CI256" s="482">
        <v>45383</v>
      </c>
      <c r="CJ256" s="482">
        <v>45413</v>
      </c>
      <c r="CK256" s="482">
        <v>45444</v>
      </c>
      <c r="CL256" s="482">
        <v>45474</v>
      </c>
      <c r="CM256" s="482">
        <v>45505</v>
      </c>
      <c r="CN256" s="482">
        <v>45536</v>
      </c>
      <c r="CO256" s="482">
        <v>45566</v>
      </c>
      <c r="CP256" s="482">
        <v>45597</v>
      </c>
      <c r="CQ256" s="482">
        <v>45627</v>
      </c>
      <c r="CR256" s="482">
        <v>45658</v>
      </c>
      <c r="CS256" s="482">
        <v>45689</v>
      </c>
      <c r="CT256" s="482">
        <v>45717</v>
      </c>
      <c r="CU256" s="482">
        <v>45748</v>
      </c>
      <c r="CV256" s="482">
        <v>45778</v>
      </c>
      <c r="CW256" s="482">
        <v>45809</v>
      </c>
      <c r="CX256" s="482">
        <v>45839</v>
      </c>
      <c r="CY256" s="482">
        <v>45870</v>
      </c>
      <c r="CZ256" s="482">
        <v>45901</v>
      </c>
      <c r="DA256" s="482">
        <v>45931</v>
      </c>
      <c r="DB256" s="482">
        <v>45962</v>
      </c>
      <c r="DC256" s="482">
        <v>45992</v>
      </c>
      <c r="DD256" s="482">
        <v>46023</v>
      </c>
      <c r="DE256" s="482">
        <v>46054</v>
      </c>
    </row>
    <row r="257" spans="2:109" ht="15.5" x14ac:dyDescent="0.35">
      <c r="B257" s="63"/>
      <c r="C257" s="63"/>
      <c r="D257" s="497"/>
      <c r="E257" s="497"/>
      <c r="F257" s="497"/>
      <c r="G257" s="497"/>
      <c r="H257" s="497"/>
      <c r="I257" s="497"/>
      <c r="J257" s="497"/>
      <c r="K257" s="497"/>
      <c r="L257" s="497"/>
      <c r="M257" s="497"/>
      <c r="N257" s="497"/>
      <c r="O257" s="497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502"/>
      <c r="AD257" s="502"/>
      <c r="AE257" s="502"/>
      <c r="AF257" s="502"/>
      <c r="AG257" s="502"/>
      <c r="AH257" s="502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CS257" s="44"/>
    </row>
    <row r="258" spans="2:109" x14ac:dyDescent="0.35">
      <c r="B258" t="s">
        <v>789</v>
      </c>
      <c r="D258" s="497"/>
      <c r="E258" s="497"/>
      <c r="F258" s="497"/>
      <c r="G258" s="497"/>
      <c r="H258" s="497"/>
      <c r="I258" s="102">
        <v>844469</v>
      </c>
      <c r="J258" s="492">
        <v>991514</v>
      </c>
      <c r="K258" s="492"/>
      <c r="L258" s="492">
        <v>997681</v>
      </c>
      <c r="M258" s="492">
        <v>1011809</v>
      </c>
      <c r="N258" s="492">
        <v>1054447</v>
      </c>
      <c r="O258" s="492">
        <v>946983</v>
      </c>
      <c r="P258" s="323">
        <v>968106</v>
      </c>
      <c r="Q258" s="323">
        <f>1544727-901043+Q7</f>
        <v>988289</v>
      </c>
      <c r="R258" s="323">
        <f>1556204-901043+R7</f>
        <v>999982</v>
      </c>
      <c r="S258" s="323">
        <f>1575590-901007+S7</f>
        <v>1019404</v>
      </c>
      <c r="T258" s="323">
        <f>1588213-901008+T7</f>
        <v>1032026</v>
      </c>
      <c r="U258" s="323">
        <f>1600900-901008+U7</f>
        <v>1055467</v>
      </c>
      <c r="V258" s="323">
        <f>1641110-931008+V7</f>
        <v>1065677</v>
      </c>
      <c r="W258" s="502">
        <f>1649740-930678+W7</f>
        <v>1074637</v>
      </c>
      <c r="X258" s="502">
        <f>1660411-930219+X7</f>
        <v>1089520</v>
      </c>
      <c r="Y258" s="502">
        <f>1674058-930056+Y7</f>
        <v>1092624</v>
      </c>
      <c r="Z258" s="502">
        <f>1701858-930056+Z7</f>
        <v>1101393</v>
      </c>
      <c r="AA258" s="502">
        <f>1765931-980063+AA7</f>
        <v>1144687</v>
      </c>
      <c r="AB258" s="502">
        <f>1800710-990060+AB7</f>
        <v>1148786</v>
      </c>
      <c r="AC258" s="502">
        <f>1857082-1030065+AC7</f>
        <v>1184987</v>
      </c>
      <c r="AD258" s="502">
        <f>1871257-1029269+AD7</f>
        <v>1207786</v>
      </c>
      <c r="AE258" s="502">
        <f>1904894-1049269+AE7</f>
        <v>1204322</v>
      </c>
      <c r="AF258" s="502">
        <f>1922717-1049412+AF7</f>
        <v>1231101</v>
      </c>
      <c r="AG258" s="502">
        <f>1942205-1050025+AG7</f>
        <v>1250166</v>
      </c>
      <c r="AH258" s="502">
        <f>1963579-1052148+AH7</f>
        <v>1263204</v>
      </c>
      <c r="AI258" s="499">
        <f>2001994-1082148+AI7</f>
        <v>1296375</v>
      </c>
      <c r="AJ258" s="499">
        <f>2018688-1082148+AJ7</f>
        <v>1291698</v>
      </c>
      <c r="AK258" s="499">
        <f>2034164-1082148+AK7</f>
        <v>1327688</v>
      </c>
      <c r="AL258" s="499">
        <f>2053518-1084193+AL7</f>
        <v>1326448</v>
      </c>
      <c r="AM258" s="499">
        <f>2092738-1124181+AM7</f>
        <v>1322711</v>
      </c>
      <c r="AN258" s="308">
        <f>2100674-1124178+AN7</f>
        <v>1358794</v>
      </c>
      <c r="AO258" s="308">
        <f>2122395-1124195+AO7</f>
        <v>1391760</v>
      </c>
      <c r="AP258" s="308">
        <f>2143968-1124195+AP7</f>
        <v>1413521</v>
      </c>
      <c r="AQ258" s="308">
        <f>2157703-1124195+AQ7</f>
        <v>1425872</v>
      </c>
      <c r="AR258" s="308">
        <f>2164833-1124195+AR7</f>
        <v>1442924</v>
      </c>
      <c r="AS258" s="308">
        <f>2179645-1124195+AS7</f>
        <v>1427432</v>
      </c>
      <c r="AT258" s="308">
        <f>2192867-1124195+AT7</f>
        <v>1440186</v>
      </c>
      <c r="AU258" s="499">
        <f>2218721-1148194+AU7</f>
        <v>1431382</v>
      </c>
      <c r="AV258" s="499">
        <f>2236350-1148194+AV7</f>
        <v>1450313</v>
      </c>
      <c r="AW258" s="499">
        <f>2281938-1168191+AW7</f>
        <v>1467226</v>
      </c>
      <c r="AX258" s="499">
        <f>2318565-1168191+AX7</f>
        <v>1503853</v>
      </c>
      <c r="AY258" s="499">
        <f>2388569-1170492+AY7</f>
        <v>1577177</v>
      </c>
      <c r="AZ258" s="499">
        <f>2425033-1170492+AZ7</f>
        <v>1612586</v>
      </c>
      <c r="BA258" s="499">
        <f>2494014-1170494+BA7</f>
        <v>1681566</v>
      </c>
      <c r="BB258" s="499">
        <f>2541971-1170494+BB7</f>
        <v>1711496</v>
      </c>
      <c r="BC258" s="499">
        <f>2569467-1170494+BC7</f>
        <v>1734078</v>
      </c>
      <c r="BD258" s="499">
        <f>2629136-1170494+BD7</f>
        <v>1788994</v>
      </c>
      <c r="BE258" s="499">
        <f>2671814-1170494+BE7</f>
        <v>1827973</v>
      </c>
      <c r="BF258" s="499">
        <f>2717818-1170494+BF7</f>
        <v>1870175</v>
      </c>
      <c r="BG258" s="499">
        <f>2744302-1170493+BG7</f>
        <v>1890458</v>
      </c>
      <c r="BH258" s="499">
        <f>2785070-1170493+BH7</f>
        <v>1931866</v>
      </c>
      <c r="BI258" s="499">
        <f>2829942+BI7-1180493</f>
        <v>1963862</v>
      </c>
      <c r="BJ258" s="499">
        <f>2859665+BJ7-1180503</f>
        <v>1984697</v>
      </c>
      <c r="BK258" s="499">
        <f>2891453+BK7-1180503</f>
        <v>2016406</v>
      </c>
      <c r="BL258" s="499">
        <f>2934483+BL7-1180513</f>
        <v>2053640</v>
      </c>
      <c r="BM258" s="499">
        <f>2974060+BM7-1180513</f>
        <v>2088197</v>
      </c>
      <c r="BN258" s="499">
        <f>3015322+BN7-1180512</f>
        <v>2135438</v>
      </c>
      <c r="BO258" s="499">
        <f>3032399+BO7-1180507</f>
        <v>2143372</v>
      </c>
      <c r="BP258" s="499">
        <f>3083038-1180506+BP7</f>
        <v>2191839</v>
      </c>
      <c r="BQ258" s="499">
        <f>3109703-1180507+BQ7</f>
        <v>2209769</v>
      </c>
      <c r="BR258" s="499">
        <f>3167245-1180506+BR7</f>
        <v>2268154</v>
      </c>
      <c r="BS258" s="499">
        <f>3211610+BS7-1180507</f>
        <v>2305815</v>
      </c>
      <c r="BT258" s="499">
        <f>1944635+BT7</f>
        <v>2217942</v>
      </c>
      <c r="BU258" s="499">
        <f>1991530+BU7</f>
        <v>2263188</v>
      </c>
      <c r="BV258" s="499">
        <f>1961908+BV7</f>
        <v>2233713</v>
      </c>
      <c r="BW258" s="499">
        <f>1983716+BW7</f>
        <v>2252940</v>
      </c>
      <c r="BX258" s="499">
        <f>2015214+BX7</f>
        <v>2274733</v>
      </c>
      <c r="BY258" s="499">
        <f>2032402+BY7</f>
        <v>2273461</v>
      </c>
      <c r="BZ258" s="499">
        <f>2055920+BZ7</f>
        <v>2295970</v>
      </c>
      <c r="CA258" s="499">
        <f>2086988+CA7</f>
        <v>2315629</v>
      </c>
      <c r="CB258" s="499">
        <f>2128491+CB7</f>
        <v>2356192</v>
      </c>
      <c r="CC258" s="499">
        <f>2162246+CC7</f>
        <v>2390388</v>
      </c>
      <c r="CD258" s="499">
        <f>2199037+CD7</f>
        <v>2427721</v>
      </c>
      <c r="CE258" s="499">
        <f>2216473+CE7</f>
        <v>2446291</v>
      </c>
      <c r="CF258" s="668">
        <f>2230054+CF7</f>
        <v>2459405</v>
      </c>
      <c r="CG258" s="668">
        <f>2230054+CG7</f>
        <v>2457246</v>
      </c>
      <c r="CH258" s="668">
        <f>2309233+CH7</f>
        <v>2522738</v>
      </c>
      <c r="CI258" s="668">
        <f>2320154+CI7</f>
        <v>2533659</v>
      </c>
      <c r="CJ258" s="668">
        <f>2350645+CJ7</f>
        <v>2563997</v>
      </c>
      <c r="CK258" s="668">
        <f>2341491+CK7</f>
        <v>2553022</v>
      </c>
      <c r="CL258" s="668">
        <f>2311974+CL7</f>
        <v>2523552</v>
      </c>
      <c r="CM258" s="668">
        <f>2348100+CM7</f>
        <v>2559076</v>
      </c>
      <c r="CN258" s="668">
        <f>2370391+CN7</f>
        <v>2545871</v>
      </c>
      <c r="CO258" s="668">
        <f>2394218+CO7</f>
        <v>2560325</v>
      </c>
      <c r="CP258" s="668">
        <f>2474711+CP7</f>
        <v>2632476</v>
      </c>
      <c r="CQ258" s="668">
        <f>2502750+CQ7</f>
        <v>2630733</v>
      </c>
      <c r="CR258" s="668">
        <f>2512922+CR7</f>
        <v>2637984</v>
      </c>
      <c r="CS258" s="668">
        <f>2514914+CS7</f>
        <v>2636271</v>
      </c>
      <c r="CT258" s="668">
        <f>2548383+CT7</f>
        <v>2653831</v>
      </c>
      <c r="CU258" s="668">
        <f>2562099+CU7</f>
        <v>2655581</v>
      </c>
      <c r="CV258" s="668">
        <f>2575704+CV7</f>
        <v>2668243</v>
      </c>
      <c r="CW258" s="668">
        <f>2615098+CW7</f>
        <v>2706020</v>
      </c>
      <c r="CX258" s="668">
        <f>4736318+CX7</f>
        <v>4827926</v>
      </c>
      <c r="CY258" s="668">
        <f>4736316+CY7</f>
        <v>4831176</v>
      </c>
      <c r="CZ258" s="668">
        <f>4770774+CZ7</f>
        <v>4866013</v>
      </c>
      <c r="DA258" s="668">
        <f>4792636+DA7</f>
        <v>4888166</v>
      </c>
      <c r="DB258" s="668">
        <f>4832225+DB7</f>
        <v>4927670</v>
      </c>
      <c r="DC258" s="668">
        <f>4912289+DC7</f>
        <v>4983825</v>
      </c>
      <c r="DD258" s="668">
        <f>4923978+DD7</f>
        <v>4996737</v>
      </c>
      <c r="DE258" s="669">
        <f>4954027+DE7</f>
        <v>5026348</v>
      </c>
    </row>
    <row r="259" spans="2:109" x14ac:dyDescent="0.35">
      <c r="B259" t="s">
        <v>295</v>
      </c>
      <c r="J259" s="492"/>
      <c r="K259" s="492"/>
      <c r="L259" s="492">
        <v>6000</v>
      </c>
      <c r="M259" s="492">
        <v>6000</v>
      </c>
      <c r="N259" s="492">
        <v>6000</v>
      </c>
      <c r="O259" s="492">
        <v>6000</v>
      </c>
      <c r="P259" s="492">
        <v>6000</v>
      </c>
      <c r="Q259" s="492">
        <v>6000</v>
      </c>
      <c r="R259" s="492">
        <v>6001</v>
      </c>
      <c r="S259" s="492">
        <v>6002</v>
      </c>
      <c r="T259" s="492">
        <v>6002</v>
      </c>
      <c r="U259" s="492">
        <v>6002</v>
      </c>
      <c r="V259" s="492">
        <v>6002</v>
      </c>
      <c r="W259" s="492">
        <v>6003</v>
      </c>
      <c r="X259" s="492">
        <v>6004</v>
      </c>
      <c r="Y259" s="492">
        <v>6005</v>
      </c>
      <c r="Z259" s="492">
        <v>6006</v>
      </c>
      <c r="AA259" s="492">
        <v>6007</v>
      </c>
      <c r="AB259" s="492">
        <v>6000</v>
      </c>
      <c r="AC259" s="492">
        <v>6000</v>
      </c>
      <c r="AD259" s="492">
        <v>6000</v>
      </c>
      <c r="AE259" s="492">
        <v>6000</v>
      </c>
      <c r="AF259" s="492">
        <v>6000</v>
      </c>
      <c r="AG259" s="492">
        <v>6000</v>
      </c>
      <c r="AH259" s="492">
        <v>6000</v>
      </c>
      <c r="AI259" s="500">
        <v>6000</v>
      </c>
      <c r="AJ259" s="500">
        <v>6000</v>
      </c>
      <c r="AK259" s="500">
        <v>6000</v>
      </c>
      <c r="AL259" s="500">
        <v>6000</v>
      </c>
      <c r="AM259" s="500">
        <v>6000</v>
      </c>
      <c r="AN259" s="500">
        <v>6000</v>
      </c>
      <c r="AO259" s="500">
        <v>6000</v>
      </c>
      <c r="AP259" s="500">
        <v>6000</v>
      </c>
      <c r="AQ259" s="500">
        <v>6000</v>
      </c>
      <c r="AR259" s="500">
        <v>6000</v>
      </c>
      <c r="AS259" s="500">
        <v>6000</v>
      </c>
      <c r="AT259" s="500">
        <v>6000</v>
      </c>
      <c r="AU259" s="500">
        <v>6000</v>
      </c>
      <c r="AV259" s="500">
        <v>6000</v>
      </c>
      <c r="AW259" s="500">
        <v>6000</v>
      </c>
      <c r="AX259" s="500">
        <v>6000</v>
      </c>
      <c r="AY259" s="500">
        <v>6000</v>
      </c>
      <c r="AZ259" s="500">
        <v>6000</v>
      </c>
      <c r="BA259" s="500">
        <v>6000</v>
      </c>
      <c r="BB259" s="500">
        <v>6000</v>
      </c>
      <c r="BC259" s="500">
        <v>6000</v>
      </c>
      <c r="BD259" s="500">
        <v>6000</v>
      </c>
      <c r="BE259" s="500">
        <v>6000</v>
      </c>
      <c r="BF259" s="500">
        <v>6000</v>
      </c>
      <c r="BG259" s="500">
        <v>6000</v>
      </c>
      <c r="BH259" s="500">
        <v>6000</v>
      </c>
      <c r="BI259" s="500">
        <v>6000</v>
      </c>
      <c r="BJ259" s="500">
        <v>6000</v>
      </c>
      <c r="BK259" s="500">
        <v>6000</v>
      </c>
      <c r="BL259" s="500">
        <v>6000</v>
      </c>
      <c r="BM259" s="500">
        <v>6000</v>
      </c>
      <c r="BN259" s="500">
        <v>6000</v>
      </c>
      <c r="BO259" s="500">
        <v>6000</v>
      </c>
      <c r="BP259" s="500">
        <v>6000</v>
      </c>
      <c r="BQ259" s="500">
        <v>6000</v>
      </c>
      <c r="BR259" s="500">
        <v>6000</v>
      </c>
      <c r="BS259" s="500">
        <v>6000</v>
      </c>
      <c r="BT259" s="500">
        <v>6000</v>
      </c>
      <c r="BU259" s="500">
        <v>6000</v>
      </c>
      <c r="BV259" s="500">
        <v>6000</v>
      </c>
      <c r="BW259" s="500">
        <v>6000</v>
      </c>
      <c r="BX259" s="500">
        <v>6000</v>
      </c>
      <c r="BY259" s="500">
        <v>6000</v>
      </c>
      <c r="BZ259" s="500">
        <v>6000</v>
      </c>
      <c r="CA259" s="500">
        <v>6000</v>
      </c>
      <c r="CB259" s="500">
        <v>6000</v>
      </c>
      <c r="CC259" s="500">
        <v>6000</v>
      </c>
      <c r="CD259" s="499">
        <v>6000</v>
      </c>
      <c r="CE259" s="499">
        <v>6000</v>
      </c>
      <c r="CF259" s="499">
        <v>6000</v>
      </c>
      <c r="CG259" s="499">
        <v>6000</v>
      </c>
      <c r="CH259" s="499">
        <v>6000</v>
      </c>
      <c r="CI259" s="499">
        <v>6000</v>
      </c>
      <c r="CJ259" s="499">
        <v>6000</v>
      </c>
      <c r="CK259" s="499">
        <v>6000</v>
      </c>
      <c r="CL259" s="499">
        <v>6000</v>
      </c>
      <c r="CM259" s="499">
        <v>6000</v>
      </c>
      <c r="CN259" s="499">
        <v>6000</v>
      </c>
      <c r="CO259" s="499">
        <v>6000</v>
      </c>
      <c r="CP259" s="499">
        <v>6001</v>
      </c>
      <c r="CQ259" s="499">
        <v>6000</v>
      </c>
      <c r="CR259" s="499">
        <v>6000</v>
      </c>
      <c r="CS259" s="499">
        <v>6000</v>
      </c>
      <c r="CT259" s="499">
        <v>6000</v>
      </c>
      <c r="CU259" s="499">
        <v>6000</v>
      </c>
      <c r="CV259" s="499">
        <v>6000</v>
      </c>
      <c r="CW259" s="499">
        <v>6000</v>
      </c>
      <c r="CX259" s="499">
        <v>6000</v>
      </c>
      <c r="CY259" s="499">
        <v>6000</v>
      </c>
      <c r="CZ259" s="499">
        <v>6001</v>
      </c>
      <c r="DA259" s="499">
        <v>6000</v>
      </c>
      <c r="DB259" s="499">
        <v>6000</v>
      </c>
      <c r="DC259" s="499">
        <v>6000</v>
      </c>
      <c r="DD259" s="499">
        <v>6000</v>
      </c>
      <c r="DE259" s="670">
        <v>6000</v>
      </c>
    </row>
    <row r="260" spans="2:109" x14ac:dyDescent="0.35">
      <c r="B260" t="s">
        <v>790</v>
      </c>
      <c r="J260" s="492"/>
      <c r="K260" s="492"/>
      <c r="L260" s="492">
        <f>SUM(L258:L259)</f>
        <v>1003681</v>
      </c>
      <c r="M260" s="492">
        <f t="shared" ref="M260:AR260" si="10">SUM(M258:M258)</f>
        <v>1011809</v>
      </c>
      <c r="N260" s="492">
        <f t="shared" si="10"/>
        <v>1054447</v>
      </c>
      <c r="O260" s="492">
        <f t="shared" si="10"/>
        <v>946983</v>
      </c>
      <c r="P260" s="492">
        <f t="shared" si="10"/>
        <v>968106</v>
      </c>
      <c r="Q260" s="492">
        <f t="shared" si="10"/>
        <v>988289</v>
      </c>
      <c r="R260" s="492">
        <f t="shared" si="10"/>
        <v>999982</v>
      </c>
      <c r="S260" s="492">
        <f t="shared" si="10"/>
        <v>1019404</v>
      </c>
      <c r="T260" s="492">
        <f t="shared" si="10"/>
        <v>1032026</v>
      </c>
      <c r="U260" s="492">
        <f t="shared" si="10"/>
        <v>1055467</v>
      </c>
      <c r="V260" s="492">
        <f t="shared" si="10"/>
        <v>1065677</v>
      </c>
      <c r="W260" s="492">
        <f t="shared" si="10"/>
        <v>1074637</v>
      </c>
      <c r="X260" s="492">
        <f t="shared" si="10"/>
        <v>1089520</v>
      </c>
      <c r="Y260" s="492">
        <f t="shared" si="10"/>
        <v>1092624</v>
      </c>
      <c r="Z260" s="492">
        <f t="shared" si="10"/>
        <v>1101393</v>
      </c>
      <c r="AA260" s="492">
        <f t="shared" si="10"/>
        <v>1144687</v>
      </c>
      <c r="AB260" s="492">
        <f t="shared" si="10"/>
        <v>1148786</v>
      </c>
      <c r="AC260" s="492">
        <f t="shared" si="10"/>
        <v>1184987</v>
      </c>
      <c r="AD260" s="492">
        <f t="shared" si="10"/>
        <v>1207786</v>
      </c>
      <c r="AE260" s="492">
        <f t="shared" si="10"/>
        <v>1204322</v>
      </c>
      <c r="AF260" s="492">
        <f t="shared" si="10"/>
        <v>1231101</v>
      </c>
      <c r="AG260" s="492">
        <f t="shared" si="10"/>
        <v>1250166</v>
      </c>
      <c r="AH260" s="492">
        <f t="shared" si="10"/>
        <v>1263204</v>
      </c>
      <c r="AI260" s="500">
        <f t="shared" si="10"/>
        <v>1296375</v>
      </c>
      <c r="AJ260" s="500">
        <f t="shared" si="10"/>
        <v>1291698</v>
      </c>
      <c r="AK260" s="500">
        <f t="shared" si="10"/>
        <v>1327688</v>
      </c>
      <c r="AL260" s="500">
        <f t="shared" si="10"/>
        <v>1326448</v>
      </c>
      <c r="AM260" s="500">
        <f t="shared" si="10"/>
        <v>1322711</v>
      </c>
      <c r="AN260" s="500">
        <f t="shared" si="10"/>
        <v>1358794</v>
      </c>
      <c r="AO260" s="500">
        <f t="shared" si="10"/>
        <v>1391760</v>
      </c>
      <c r="AP260" s="500">
        <f t="shared" si="10"/>
        <v>1413521</v>
      </c>
      <c r="AQ260" s="500">
        <f t="shared" si="10"/>
        <v>1425872</v>
      </c>
      <c r="AR260" s="500">
        <f t="shared" si="10"/>
        <v>1442924</v>
      </c>
      <c r="AS260" s="500">
        <f t="shared" ref="AS260:BJ260" si="11">SUM(AS258:AS258)</f>
        <v>1427432</v>
      </c>
      <c r="AT260" s="500">
        <f t="shared" si="11"/>
        <v>1440186</v>
      </c>
      <c r="AU260" s="500">
        <f t="shared" si="11"/>
        <v>1431382</v>
      </c>
      <c r="AV260" s="500">
        <f t="shared" si="11"/>
        <v>1450313</v>
      </c>
      <c r="AW260" s="500">
        <f t="shared" si="11"/>
        <v>1467226</v>
      </c>
      <c r="AX260" s="500">
        <f t="shared" si="11"/>
        <v>1503853</v>
      </c>
      <c r="AY260" s="500">
        <f t="shared" si="11"/>
        <v>1577177</v>
      </c>
      <c r="AZ260" s="500">
        <f t="shared" si="11"/>
        <v>1612586</v>
      </c>
      <c r="BA260" s="500">
        <f t="shared" si="11"/>
        <v>1681566</v>
      </c>
      <c r="BB260" s="500">
        <f t="shared" si="11"/>
        <v>1711496</v>
      </c>
      <c r="BC260" s="500">
        <f t="shared" si="11"/>
        <v>1734078</v>
      </c>
      <c r="BD260" s="500">
        <f t="shared" si="11"/>
        <v>1788994</v>
      </c>
      <c r="BE260" s="500">
        <f t="shared" si="11"/>
        <v>1827973</v>
      </c>
      <c r="BF260" s="500">
        <f t="shared" si="11"/>
        <v>1870175</v>
      </c>
      <c r="BG260" s="500">
        <f t="shared" si="11"/>
        <v>1890458</v>
      </c>
      <c r="BH260" s="500">
        <f t="shared" si="11"/>
        <v>1931866</v>
      </c>
      <c r="BI260" s="500">
        <f t="shared" si="11"/>
        <v>1963862</v>
      </c>
      <c r="BJ260" s="500">
        <f t="shared" si="11"/>
        <v>1984697</v>
      </c>
      <c r="BK260" s="500">
        <f t="shared" ref="BK260:DA260" si="12">SUM(BK258:BK259)</f>
        <v>2022406</v>
      </c>
      <c r="BL260" s="500">
        <f t="shared" si="12"/>
        <v>2059640</v>
      </c>
      <c r="BM260" s="500">
        <f t="shared" si="12"/>
        <v>2094197</v>
      </c>
      <c r="BN260" s="500">
        <f t="shared" si="12"/>
        <v>2141438</v>
      </c>
      <c r="BO260" s="500">
        <f t="shared" si="12"/>
        <v>2149372</v>
      </c>
      <c r="BP260" s="500">
        <f t="shared" si="12"/>
        <v>2197839</v>
      </c>
      <c r="BQ260" s="500">
        <f t="shared" si="12"/>
        <v>2215769</v>
      </c>
      <c r="BR260" s="500">
        <f t="shared" si="12"/>
        <v>2274154</v>
      </c>
      <c r="BS260" s="500">
        <f t="shared" si="12"/>
        <v>2311815</v>
      </c>
      <c r="BT260" s="500">
        <f t="shared" si="12"/>
        <v>2223942</v>
      </c>
      <c r="BU260" s="500">
        <f t="shared" si="12"/>
        <v>2269188</v>
      </c>
      <c r="BV260" s="500">
        <f t="shared" si="12"/>
        <v>2239713</v>
      </c>
      <c r="BW260" s="500">
        <f t="shared" si="12"/>
        <v>2258940</v>
      </c>
      <c r="BX260" s="500">
        <f t="shared" si="12"/>
        <v>2280733</v>
      </c>
      <c r="BY260" s="500">
        <f t="shared" si="12"/>
        <v>2279461</v>
      </c>
      <c r="BZ260" s="500">
        <f t="shared" si="12"/>
        <v>2301970</v>
      </c>
      <c r="CA260" s="500">
        <f t="shared" si="12"/>
        <v>2321629</v>
      </c>
      <c r="CB260" s="500">
        <f t="shared" si="12"/>
        <v>2362192</v>
      </c>
      <c r="CC260" s="500">
        <f t="shared" si="12"/>
        <v>2396388</v>
      </c>
      <c r="CD260" s="500">
        <f t="shared" si="12"/>
        <v>2433721</v>
      </c>
      <c r="CE260" s="500">
        <f t="shared" si="12"/>
        <v>2452291</v>
      </c>
      <c r="CF260" s="500">
        <f t="shared" si="12"/>
        <v>2465405</v>
      </c>
      <c r="CG260" s="500">
        <f t="shared" si="12"/>
        <v>2463246</v>
      </c>
      <c r="CH260" s="500">
        <f t="shared" si="12"/>
        <v>2528738</v>
      </c>
      <c r="CI260" s="500">
        <f t="shared" si="12"/>
        <v>2539659</v>
      </c>
      <c r="CJ260" s="500">
        <f t="shared" si="12"/>
        <v>2569997</v>
      </c>
      <c r="CK260" s="500">
        <f t="shared" si="12"/>
        <v>2559022</v>
      </c>
      <c r="CL260" s="500">
        <f t="shared" si="12"/>
        <v>2529552</v>
      </c>
      <c r="CM260" s="500">
        <f t="shared" si="12"/>
        <v>2565076</v>
      </c>
      <c r="CN260" s="500">
        <f t="shared" si="12"/>
        <v>2551871</v>
      </c>
      <c r="CO260" s="500">
        <f t="shared" si="12"/>
        <v>2566325</v>
      </c>
      <c r="CP260" s="500">
        <f t="shared" si="12"/>
        <v>2638477</v>
      </c>
      <c r="CQ260" s="500">
        <f t="shared" si="12"/>
        <v>2636733</v>
      </c>
      <c r="CR260" s="500">
        <f t="shared" si="12"/>
        <v>2643984</v>
      </c>
      <c r="CS260" s="500">
        <f t="shared" si="12"/>
        <v>2642271</v>
      </c>
      <c r="CT260" s="500">
        <f t="shared" si="12"/>
        <v>2659831</v>
      </c>
      <c r="CU260" s="499">
        <f t="shared" si="12"/>
        <v>2661581</v>
      </c>
      <c r="CV260" s="499">
        <f t="shared" si="12"/>
        <v>2674243</v>
      </c>
      <c r="CW260" s="499">
        <f t="shared" si="12"/>
        <v>2712020</v>
      </c>
      <c r="CX260" s="499">
        <f t="shared" si="12"/>
        <v>4833926</v>
      </c>
      <c r="CY260" s="499">
        <f t="shared" si="12"/>
        <v>4837176</v>
      </c>
      <c r="CZ260" s="499">
        <f t="shared" si="12"/>
        <v>4872014</v>
      </c>
      <c r="DA260" s="499">
        <f t="shared" si="12"/>
        <v>4894166</v>
      </c>
      <c r="DB260" s="499">
        <f t="shared" ref="DB260" si="13">SUM(DB258:DB259)</f>
        <v>4933670</v>
      </c>
      <c r="DC260" s="499">
        <f>SUM(DC258:DC259)</f>
        <v>4989825</v>
      </c>
      <c r="DD260" s="499">
        <f>SUM(DD258:DD259)</f>
        <v>5002737</v>
      </c>
      <c r="DE260" s="670">
        <f>SUM(DE258:DE259)</f>
        <v>5032348</v>
      </c>
    </row>
    <row r="261" spans="2:109" x14ac:dyDescent="0.35">
      <c r="J261" s="501"/>
      <c r="K261" s="492"/>
      <c r="L261" s="492"/>
      <c r="M261" s="492"/>
      <c r="N261" s="492"/>
      <c r="O261" s="492"/>
      <c r="P261" s="323"/>
      <c r="Q261" s="323"/>
      <c r="R261" s="323"/>
      <c r="S261" s="323"/>
      <c r="T261" s="323"/>
      <c r="U261" s="323"/>
      <c r="V261" s="323"/>
      <c r="W261" s="502"/>
      <c r="X261" s="503"/>
      <c r="Y261" s="503"/>
      <c r="Z261" s="503"/>
      <c r="AA261" s="503"/>
      <c r="AB261" s="503"/>
      <c r="AC261" s="503"/>
      <c r="AD261" s="503"/>
      <c r="AE261" s="503"/>
      <c r="AF261" s="503"/>
      <c r="AG261" s="503"/>
      <c r="AI261" s="224"/>
      <c r="AJ261" s="224"/>
      <c r="AK261" s="224"/>
      <c r="AL261" s="224"/>
      <c r="AM261" s="224"/>
      <c r="AN261" s="224"/>
      <c r="AO261" s="224"/>
      <c r="AU261" s="224"/>
      <c r="AV261" s="224"/>
      <c r="AW261" s="224"/>
      <c r="AX261" s="224"/>
      <c r="AY261" s="224"/>
      <c r="AZ261" s="224"/>
      <c r="BA261" s="224"/>
      <c r="BB261" s="224"/>
      <c r="BC261" s="224"/>
      <c r="BD261" s="224"/>
      <c r="BE261" s="224"/>
      <c r="BF261" s="224"/>
      <c r="BG261" s="224"/>
      <c r="BH261" s="224"/>
      <c r="BI261" s="224"/>
      <c r="BJ261" s="224"/>
      <c r="BK261" s="224"/>
      <c r="BL261" s="224"/>
      <c r="BM261" s="224"/>
      <c r="BN261" s="224"/>
      <c r="BO261" s="224"/>
      <c r="BP261" s="224"/>
      <c r="BQ261" s="224"/>
      <c r="BR261" s="224"/>
      <c r="BS261" s="224"/>
      <c r="BT261" s="224"/>
      <c r="BU261" s="224"/>
      <c r="BV261" s="224"/>
      <c r="BW261" s="224"/>
      <c r="BX261" s="224"/>
      <c r="BY261" s="224"/>
      <c r="BZ261" s="224"/>
      <c r="CA261" s="224"/>
      <c r="CB261" s="224"/>
      <c r="CC261" s="224"/>
      <c r="CD261" s="224"/>
      <c r="CE261" s="224"/>
      <c r="CF261" s="224"/>
      <c r="CG261" s="224"/>
      <c r="CH261" s="224"/>
      <c r="CI261" s="224"/>
      <c r="CJ261" s="224"/>
      <c r="CK261" s="224"/>
      <c r="CL261" s="224"/>
      <c r="CM261" s="224"/>
      <c r="CN261" s="224"/>
      <c r="CO261" s="224"/>
      <c r="CP261" s="224"/>
      <c r="CQ261" s="224"/>
      <c r="CR261" s="224"/>
      <c r="CS261" s="224"/>
      <c r="CT261" s="224"/>
      <c r="CU261" s="224"/>
      <c r="CV261" s="224"/>
      <c r="CW261" s="224"/>
      <c r="CX261" s="224"/>
      <c r="CY261" s="224"/>
      <c r="CZ261" s="224"/>
      <c r="DA261" s="224"/>
      <c r="DB261" s="224"/>
      <c r="DC261" s="224"/>
      <c r="DD261" s="224"/>
      <c r="DE261" s="672"/>
    </row>
    <row r="262" spans="2:109" x14ac:dyDescent="0.35">
      <c r="B262" t="s">
        <v>791</v>
      </c>
      <c r="J262" s="492"/>
      <c r="K262" s="492"/>
      <c r="L262" s="492">
        <f t="shared" ref="L262:AQ262" si="14">L7</f>
        <v>442174</v>
      </c>
      <c r="M262" s="492">
        <f t="shared" si="14"/>
        <v>442257</v>
      </c>
      <c r="N262" s="492">
        <f t="shared" si="14"/>
        <v>455778</v>
      </c>
      <c r="O262" s="492">
        <f t="shared" si="14"/>
        <v>344605</v>
      </c>
      <c r="P262" s="492">
        <f t="shared" si="14"/>
        <v>344605</v>
      </c>
      <c r="Q262" s="492">
        <f t="shared" si="14"/>
        <v>344605</v>
      </c>
      <c r="R262" s="492">
        <f t="shared" si="14"/>
        <v>344821</v>
      </c>
      <c r="S262" s="492">
        <f t="shared" si="14"/>
        <v>344821</v>
      </c>
      <c r="T262" s="492">
        <f t="shared" si="14"/>
        <v>344821</v>
      </c>
      <c r="U262" s="492">
        <f t="shared" si="14"/>
        <v>355575</v>
      </c>
      <c r="V262" s="492">
        <f t="shared" si="14"/>
        <v>355575</v>
      </c>
      <c r="W262" s="492">
        <f t="shared" si="14"/>
        <v>355575</v>
      </c>
      <c r="X262" s="492">
        <f t="shared" si="14"/>
        <v>359328</v>
      </c>
      <c r="Y262" s="492">
        <f t="shared" si="14"/>
        <v>348622</v>
      </c>
      <c r="Z262" s="492">
        <f t="shared" si="14"/>
        <v>329591</v>
      </c>
      <c r="AA262" s="492">
        <f t="shared" si="14"/>
        <v>358819</v>
      </c>
      <c r="AB262" s="492">
        <f t="shared" si="14"/>
        <v>338136</v>
      </c>
      <c r="AC262" s="492">
        <f t="shared" si="14"/>
        <v>357970</v>
      </c>
      <c r="AD262" s="492">
        <f t="shared" si="14"/>
        <v>365798</v>
      </c>
      <c r="AE262" s="492">
        <f t="shared" si="14"/>
        <v>348697</v>
      </c>
      <c r="AF262" s="492">
        <f t="shared" si="14"/>
        <v>357796</v>
      </c>
      <c r="AG262" s="492">
        <f t="shared" si="14"/>
        <v>357986</v>
      </c>
      <c r="AH262" s="492">
        <f t="shared" si="14"/>
        <v>351773</v>
      </c>
      <c r="AI262" s="500">
        <f t="shared" si="14"/>
        <v>376529</v>
      </c>
      <c r="AJ262" s="500">
        <f t="shared" si="14"/>
        <v>355158</v>
      </c>
      <c r="AK262" s="500">
        <f t="shared" si="14"/>
        <v>375672</v>
      </c>
      <c r="AL262" s="500">
        <f t="shared" si="14"/>
        <v>357123</v>
      </c>
      <c r="AM262" s="500">
        <f t="shared" si="14"/>
        <v>354154</v>
      </c>
      <c r="AN262" s="500">
        <f t="shared" si="14"/>
        <v>382298</v>
      </c>
      <c r="AO262" s="500">
        <f t="shared" si="14"/>
        <v>393560</v>
      </c>
      <c r="AP262" s="500">
        <f t="shared" si="14"/>
        <v>393748</v>
      </c>
      <c r="AQ262" s="500">
        <f t="shared" si="14"/>
        <v>392364</v>
      </c>
      <c r="AR262" s="500">
        <f t="shared" ref="AR262:BW262" si="15">AR7</f>
        <v>402286</v>
      </c>
      <c r="AS262" s="500">
        <f t="shared" si="15"/>
        <v>371982</v>
      </c>
      <c r="AT262" s="500">
        <f t="shared" si="15"/>
        <v>371514</v>
      </c>
      <c r="AU262" s="500">
        <f t="shared" si="15"/>
        <v>360855</v>
      </c>
      <c r="AV262" s="500">
        <f t="shared" si="15"/>
        <v>362157</v>
      </c>
      <c r="AW262" s="500">
        <f t="shared" si="15"/>
        <v>353479</v>
      </c>
      <c r="AX262" s="500">
        <f t="shared" si="15"/>
        <v>353479</v>
      </c>
      <c r="AY262" s="500">
        <f t="shared" si="15"/>
        <v>359100</v>
      </c>
      <c r="AZ262" s="500">
        <f t="shared" si="15"/>
        <v>358045</v>
      </c>
      <c r="BA262" s="500">
        <f t="shared" si="15"/>
        <v>358046</v>
      </c>
      <c r="BB262" s="500">
        <f t="shared" si="15"/>
        <v>340019</v>
      </c>
      <c r="BC262" s="500">
        <f t="shared" si="15"/>
        <v>335105</v>
      </c>
      <c r="BD262" s="500">
        <f t="shared" si="15"/>
        <v>330352</v>
      </c>
      <c r="BE262" s="500">
        <f t="shared" si="15"/>
        <v>326653</v>
      </c>
      <c r="BF262" s="500">
        <f t="shared" si="15"/>
        <v>322851</v>
      </c>
      <c r="BG262" s="500">
        <f t="shared" si="15"/>
        <v>316649</v>
      </c>
      <c r="BH262" s="500">
        <f t="shared" si="15"/>
        <v>317289</v>
      </c>
      <c r="BI262" s="500">
        <f t="shared" si="15"/>
        <v>314413</v>
      </c>
      <c r="BJ262" s="500">
        <f t="shared" si="15"/>
        <v>305535</v>
      </c>
      <c r="BK262" s="500">
        <f t="shared" si="15"/>
        <v>305456</v>
      </c>
      <c r="BL262" s="500">
        <f t="shared" si="15"/>
        <v>299670</v>
      </c>
      <c r="BM262" s="500">
        <f t="shared" si="15"/>
        <v>294650</v>
      </c>
      <c r="BN262" s="500">
        <f t="shared" si="15"/>
        <v>300628</v>
      </c>
      <c r="BO262" s="500">
        <f t="shared" si="15"/>
        <v>291480</v>
      </c>
      <c r="BP262" s="500">
        <f t="shared" si="15"/>
        <v>289307</v>
      </c>
      <c r="BQ262" s="500">
        <f t="shared" si="15"/>
        <v>280573</v>
      </c>
      <c r="BR262" s="500">
        <f t="shared" si="15"/>
        <v>281415</v>
      </c>
      <c r="BS262" s="500">
        <f t="shared" si="15"/>
        <v>274712</v>
      </c>
      <c r="BT262" s="500">
        <f t="shared" si="15"/>
        <v>273307</v>
      </c>
      <c r="BU262" s="500">
        <f t="shared" si="15"/>
        <v>271658</v>
      </c>
      <c r="BV262" s="500">
        <f t="shared" si="15"/>
        <v>271805</v>
      </c>
      <c r="BW262" s="500">
        <f t="shared" si="15"/>
        <v>269224</v>
      </c>
      <c r="BX262" s="500">
        <f t="shared" ref="BX262:CW262" si="16">BX7</f>
        <v>259519</v>
      </c>
      <c r="BY262" s="500">
        <f t="shared" si="16"/>
        <v>241059</v>
      </c>
      <c r="BZ262" s="500">
        <f t="shared" si="16"/>
        <v>240050</v>
      </c>
      <c r="CA262" s="500">
        <f t="shared" si="16"/>
        <v>228641</v>
      </c>
      <c r="CB262" s="500">
        <f t="shared" si="16"/>
        <v>227701</v>
      </c>
      <c r="CC262" s="500">
        <f t="shared" si="16"/>
        <v>228142</v>
      </c>
      <c r="CD262" s="500">
        <f t="shared" si="16"/>
        <v>228684</v>
      </c>
      <c r="CE262" s="500">
        <f t="shared" si="16"/>
        <v>229818</v>
      </c>
      <c r="CF262" s="500">
        <f t="shared" si="16"/>
        <v>229351</v>
      </c>
      <c r="CG262" s="500">
        <f t="shared" si="16"/>
        <v>227192</v>
      </c>
      <c r="CH262" s="500">
        <f t="shared" si="16"/>
        <v>213505</v>
      </c>
      <c r="CI262" s="500">
        <f t="shared" si="16"/>
        <v>213505</v>
      </c>
      <c r="CJ262" s="500">
        <f t="shared" si="16"/>
        <v>213352</v>
      </c>
      <c r="CK262" s="500">
        <f t="shared" si="16"/>
        <v>211531</v>
      </c>
      <c r="CL262" s="500">
        <f t="shared" si="16"/>
        <v>211578</v>
      </c>
      <c r="CM262" s="500">
        <f t="shared" si="16"/>
        <v>210976</v>
      </c>
      <c r="CN262" s="500">
        <f t="shared" si="16"/>
        <v>175480</v>
      </c>
      <c r="CO262" s="500">
        <f t="shared" si="16"/>
        <v>166107</v>
      </c>
      <c r="CP262" s="500">
        <f t="shared" si="16"/>
        <v>157765</v>
      </c>
      <c r="CQ262" s="500">
        <f t="shared" si="16"/>
        <v>127983</v>
      </c>
      <c r="CR262" s="500">
        <f t="shared" si="16"/>
        <v>125062</v>
      </c>
      <c r="CS262" s="500">
        <f t="shared" si="16"/>
        <v>121357</v>
      </c>
      <c r="CT262" s="500">
        <f t="shared" si="16"/>
        <v>105448</v>
      </c>
      <c r="CU262" s="500">
        <f t="shared" si="16"/>
        <v>93482</v>
      </c>
      <c r="CV262" s="500">
        <f t="shared" si="16"/>
        <v>92539</v>
      </c>
      <c r="CW262" s="500">
        <f t="shared" si="16"/>
        <v>90922</v>
      </c>
      <c r="CX262" s="723">
        <f t="shared" ref="CX262:DB262" si="17">CX7</f>
        <v>91608</v>
      </c>
      <c r="CY262" s="723">
        <f t="shared" si="17"/>
        <v>94860</v>
      </c>
      <c r="CZ262" s="723">
        <f t="shared" si="17"/>
        <v>95239</v>
      </c>
      <c r="DA262" s="723">
        <f t="shared" si="17"/>
        <v>95530</v>
      </c>
      <c r="DB262" s="723">
        <f t="shared" si="17"/>
        <v>95445</v>
      </c>
      <c r="DC262" s="500">
        <f>DC7</f>
        <v>71536</v>
      </c>
      <c r="DD262" s="723">
        <f>DD7</f>
        <v>72759</v>
      </c>
      <c r="DE262" s="671">
        <f>DE7</f>
        <v>72321</v>
      </c>
    </row>
    <row r="263" spans="2:109" x14ac:dyDescent="0.35">
      <c r="B263" t="s">
        <v>792</v>
      </c>
      <c r="J263" s="492"/>
      <c r="K263" s="492"/>
      <c r="L263" s="500">
        <f>SUM('Revenue data'!D49+'Revenue data'!D53)</f>
        <v>0</v>
      </c>
      <c r="M263" s="500">
        <f>SUM('Revenue data'!E49+'Revenue data'!E53)</f>
        <v>0</v>
      </c>
      <c r="N263" s="500">
        <f>SUM('Revenue data'!F49+'Revenue data'!F53)</f>
        <v>0</v>
      </c>
      <c r="O263" s="500">
        <f>SUM('Revenue data'!G49+'Revenue data'!G53)</f>
        <v>356103</v>
      </c>
      <c r="P263" s="500">
        <f>SUM('Revenue data'!H49+'Revenue data'!H53)</f>
        <v>358724</v>
      </c>
      <c r="Q263" s="500">
        <f>SUM('Revenue data'!I49+'Revenue data'!I53)</f>
        <v>370830</v>
      </c>
      <c r="R263" s="500">
        <f>SUM('Revenue data'!J49+'Revenue data'!J53)</f>
        <v>371622</v>
      </c>
      <c r="S263" s="500">
        <f>SUM('Revenue data'!K49+'Revenue data'!K53)</f>
        <v>383716</v>
      </c>
      <c r="T263" s="500">
        <f>SUM('Revenue data'!L49+'Revenue data'!L53)</f>
        <v>390226</v>
      </c>
      <c r="U263" s="500">
        <f>SUM('Revenue data'!M49+'Revenue data'!M53)</f>
        <v>413176</v>
      </c>
      <c r="V263" s="500">
        <f>SUM('Revenue data'!N49+'Revenue data'!N53)</f>
        <v>419899</v>
      </c>
      <c r="W263" s="500">
        <f>SUM('Revenue data'!O49+'Revenue data'!O53)</f>
        <v>424123</v>
      </c>
      <c r="X263" s="500">
        <f>SUM('Revenue data'!P49+'Revenue data'!P53)</f>
        <v>427940</v>
      </c>
      <c r="Y263" s="500">
        <f>SUM('Revenue data'!Q49+'Revenue data'!Q53)</f>
        <v>421747</v>
      </c>
      <c r="Z263" s="500">
        <f>SUM('Revenue data'!R49+'Revenue data'!R53)</f>
        <v>405881</v>
      </c>
      <c r="AA263" s="500">
        <f>SUM('Revenue data'!S49+'Revenue data'!S53)</f>
        <v>443756</v>
      </c>
      <c r="AB263" s="500">
        <f>SUM('Revenue data'!T49+'Revenue data'!T53)</f>
        <v>427811</v>
      </c>
      <c r="AC263" s="500">
        <f>SUM('Revenue data'!U49+'Revenue data'!U53)</f>
        <v>454695</v>
      </c>
      <c r="AD263" s="500">
        <f>SUM('Revenue data'!V49+'Revenue data'!V53)</f>
        <v>468785</v>
      </c>
      <c r="AE263" s="500">
        <f>SUM('Revenue data'!W49+'Revenue data'!W53)</f>
        <v>455916</v>
      </c>
      <c r="AF263" s="500">
        <f>SUM('Revenue data'!X49+'Revenue data'!X53)</f>
        <v>478185</v>
      </c>
      <c r="AG263" s="500">
        <f>SUM('Revenue data'!Y49+'Revenue data'!Y53)</f>
        <v>482640</v>
      </c>
      <c r="AH263" s="500">
        <f>SUM('Revenue data'!Z49+'Revenue data'!Z53)</f>
        <v>486143</v>
      </c>
      <c r="AI263" s="500">
        <f>SUM('Revenue data'!AA49+'Revenue data'!AA53)</f>
        <v>517061</v>
      </c>
      <c r="AJ263" s="500">
        <f>SUM('Revenue data'!AB49+'Revenue data'!AB53)</f>
        <v>496972</v>
      </c>
      <c r="AK263" s="500">
        <f>SUM('Revenue data'!AC49+'Revenue data'!AC53)</f>
        <v>519378</v>
      </c>
      <c r="AL263" s="500">
        <f>SUM('Revenue data'!AD49+'Revenue data'!AD53)</f>
        <v>502550</v>
      </c>
      <c r="AM263" s="500">
        <f>SUM('Revenue data'!AE49+'Revenue data'!AE53)</f>
        <v>504656</v>
      </c>
      <c r="AN263" s="500">
        <f>SUM('Revenue data'!AF49+'Revenue data'!AF53)</f>
        <v>533189</v>
      </c>
      <c r="AO263" s="500">
        <f>SUM('Revenue data'!AG49+'Revenue data'!AG53)</f>
        <v>543657</v>
      </c>
      <c r="AP263" s="500">
        <f>SUM('Revenue data'!AH49+'Revenue data'!AH53)</f>
        <v>554074</v>
      </c>
      <c r="AQ263" s="500">
        <f>SUM('Revenue data'!AI49+'Revenue data'!AI53)</f>
        <v>560478</v>
      </c>
      <c r="AR263" s="500">
        <f>SUM('Revenue data'!AJ49+'Revenue data'!AJ53)</f>
        <v>579825</v>
      </c>
      <c r="AS263" s="500">
        <f>SUM('Revenue data'!AK49+'Revenue data'!AK53)</f>
        <v>550390</v>
      </c>
      <c r="AT263" s="500">
        <f>SUM('Revenue data'!AL49+'Revenue data'!AL53)</f>
        <v>555182</v>
      </c>
      <c r="AU263" s="500">
        <f>SUM('Revenue data'!AM49+'Revenue data'!AM53)</f>
        <v>546956</v>
      </c>
      <c r="AV263" s="500">
        <f>SUM('Revenue data'!AN49+'Revenue data'!AN53)</f>
        <v>547140</v>
      </c>
      <c r="AW263" s="500">
        <f>SUM('Revenue data'!AO49+'Revenue data'!AO53)</f>
        <v>541647</v>
      </c>
      <c r="AX263" s="500">
        <f>SUM('Revenue data'!AP49+'Revenue data'!AP53)</f>
        <v>545903</v>
      </c>
      <c r="AY263" s="500">
        <f>SUM('Revenue data'!AQ49+'Revenue data'!AQ53)</f>
        <v>553981</v>
      </c>
      <c r="AZ263" s="500">
        <f>SUM('Revenue data'!AR49+'Revenue data'!AR53)</f>
        <v>553827</v>
      </c>
      <c r="BA263" s="500">
        <f>SUM('Revenue data'!AS49+'Revenue data'!AS53)</f>
        <v>555455</v>
      </c>
      <c r="BB263" s="500">
        <f>SUM('Revenue data'!AT49+'Revenue data'!AT53)</f>
        <v>543029</v>
      </c>
      <c r="BC263" s="500">
        <f>SUM('Revenue data'!AU49+'Revenue data'!AU53)</f>
        <v>542803</v>
      </c>
      <c r="BD263" s="500">
        <f>SUM('Revenue data'!AV49+'Revenue data'!AV53)</f>
        <v>539423</v>
      </c>
      <c r="BE263" s="500">
        <f>SUM('Revenue data'!AW49+'Revenue data'!AW53)</f>
        <v>539432</v>
      </c>
      <c r="BF263" s="500">
        <f>SUM('Revenue data'!AX49+'Revenue data'!AX53)</f>
        <v>541447</v>
      </c>
      <c r="BG263" s="500">
        <f>SUM('Revenue data'!AY49+'Revenue data'!AY53)</f>
        <v>536635</v>
      </c>
      <c r="BH263" s="500">
        <f>SUM('Revenue data'!AZ49+'Revenue data'!AZ53)</f>
        <v>540951</v>
      </c>
      <c r="BI263" s="500">
        <f>SUM('Revenue data'!BA49+'Revenue data'!BA53)</f>
        <v>540168</v>
      </c>
      <c r="BJ263" s="500">
        <f>SUM('Revenue data'!BB49+'Revenue data'!BB53)</f>
        <v>538045</v>
      </c>
      <c r="BK263" s="500">
        <f>SUM('Revenue data'!BC49+'Revenue data'!BC53)</f>
        <v>540649</v>
      </c>
      <c r="BL263" s="500">
        <f>SUM('Revenue data'!BD49+'Revenue data'!BD53)</f>
        <v>538662</v>
      </c>
      <c r="BM263" s="500">
        <f>SUM('Revenue data'!BE49+'Revenue data'!BE53)</f>
        <v>541141</v>
      </c>
      <c r="BN263" s="500">
        <f>SUM('Revenue data'!BF49+'Revenue data'!BF53)</f>
        <v>552434</v>
      </c>
      <c r="BO263" s="500">
        <f>SUM('Revenue data'!BG49+'Revenue data'!BG53)</f>
        <v>546574</v>
      </c>
      <c r="BP263" s="500">
        <f>SUM('Revenue data'!BH49+'Revenue data'!BH53)</f>
        <v>553088</v>
      </c>
      <c r="BQ263" s="500">
        <f>SUM('Revenue data'!BI49+'Revenue data'!BI53)</f>
        <v>551807</v>
      </c>
      <c r="BR263" s="500">
        <f>SUM('Revenue data'!BJ49+'Revenue data'!BJ53)</f>
        <v>564269</v>
      </c>
      <c r="BS263" s="500">
        <f>SUM('Revenue data'!BK49+'Revenue data'!BK53)</f>
        <v>567254</v>
      </c>
      <c r="BT263" s="500">
        <f>SUM('Revenue data'!BL49+'Revenue data'!BL53)</f>
        <v>566445</v>
      </c>
      <c r="BU263" s="500">
        <f>SUM('Revenue data'!BM49+'Revenue data'!BM53)</f>
        <v>565485</v>
      </c>
      <c r="BV263" s="500">
        <f>SUM('Revenue data'!BN49+'Revenue data'!BN53)</f>
        <v>566348</v>
      </c>
      <c r="BW263" s="500">
        <f>SUM('Revenue data'!BO49+'Revenue data'!BO53)</f>
        <v>572461</v>
      </c>
      <c r="BX263" s="500">
        <f>SUM('Revenue data'!BP49+'Revenue data'!BP53)</f>
        <v>567793</v>
      </c>
      <c r="BY263" s="500">
        <f>SUM('Revenue data'!BQ49+'Revenue data'!BQ53)</f>
        <v>549097</v>
      </c>
      <c r="BZ263" s="500">
        <f>SUM('Revenue data'!BR49+'Revenue data'!BR53)</f>
        <v>544793</v>
      </c>
      <c r="CA263" s="500">
        <f>SUM('Revenue data'!BS49+'Revenue data'!BS53)</f>
        <v>544507</v>
      </c>
      <c r="CB263" s="500">
        <f>SUM('Revenue data'!BT49+'Revenue data'!BT53)</f>
        <v>552363</v>
      </c>
      <c r="CC263" s="500">
        <f>SUM('Revenue data'!BU49+'Revenue data'!BU53)</f>
        <v>559722</v>
      </c>
      <c r="CD263" s="500">
        <f>SUM('Revenue data'!BV49+'Revenue data'!BV53)</f>
        <v>567320</v>
      </c>
      <c r="CE263" s="500">
        <f>SUM('Revenue data'!BW49+'Revenue data'!BW53)</f>
        <v>574290</v>
      </c>
      <c r="CF263" s="500">
        <f>SUM('Revenue data'!BX49+'Revenue data'!BX53)</f>
        <v>580199</v>
      </c>
      <c r="CG263" s="500">
        <f>SUM('Revenue data'!BY49+'Revenue data'!BY53)</f>
        <v>584274</v>
      </c>
      <c r="CH263" s="500">
        <f>SUM('Revenue data'!BZ49+'Revenue data'!BZ53)</f>
        <v>577058</v>
      </c>
      <c r="CI263" s="500">
        <f>SUM('Revenue data'!CA49+'Revenue data'!CA53)</f>
        <v>588669</v>
      </c>
      <c r="CJ263" s="500">
        <f>SUM('Revenue data'!CB49+'Revenue data'!CB53)</f>
        <v>588106</v>
      </c>
      <c r="CK263" s="500">
        <f>SUM('Revenue data'!CC49+'Revenue data'!CC53)</f>
        <v>585247</v>
      </c>
      <c r="CL263" s="500">
        <f>SUM('Revenue data'!CD49+'Revenue data'!CD53)</f>
        <v>586467</v>
      </c>
      <c r="CM263" s="500">
        <f>SUM('Revenue data'!CE49+'Revenue data'!CE53)</f>
        <v>592618</v>
      </c>
      <c r="CN263" s="500">
        <f>SUM('Revenue data'!CF49+'Revenue data'!CF53)</f>
        <v>563523</v>
      </c>
      <c r="CO263" s="500">
        <f>SUM('Revenue data'!CG49+'Revenue data'!CG53)</f>
        <v>561586</v>
      </c>
      <c r="CP263" s="500">
        <f>SUM('Revenue data'!CH49+'Revenue data'!CH53)</f>
        <v>558235</v>
      </c>
      <c r="CQ263" s="500">
        <f>SUM('Revenue data'!CI49+'Revenue data'!CI53)</f>
        <v>530849</v>
      </c>
      <c r="CR263" s="500">
        <f>SUM('Revenue data'!CJ49+'Revenue data'!CJ53)</f>
        <v>531085</v>
      </c>
      <c r="CS263" s="500">
        <f>SUM('Revenue data'!CK49+'Revenue data'!CK53)</f>
        <v>529952</v>
      </c>
      <c r="CT263" s="500">
        <f>SUM('Revenue data'!CL49+'Revenue data'!CL53)</f>
        <v>521351</v>
      </c>
      <c r="CU263" s="500">
        <f>SUM('Revenue data'!CM49+'Revenue data'!CM53)</f>
        <v>514213</v>
      </c>
      <c r="CV263" s="500">
        <f>SUM('Revenue data'!CN49+'Revenue data'!CN53)</f>
        <v>517559</v>
      </c>
      <c r="CW263" s="500">
        <f>SUM('Revenue data'!CO49+'Revenue data'!CO53)</f>
        <v>516900</v>
      </c>
      <c r="CX263" s="723">
        <f>SUM('Revenue data'!CP49+'Revenue data'!CP53)</f>
        <v>523752</v>
      </c>
      <c r="CY263" s="723">
        <f>SUM('Revenue data'!CQ49+'Revenue data'!CQ53)</f>
        <v>524709</v>
      </c>
      <c r="CZ263" s="723">
        <f>SUM('Revenue data'!CR49+'Revenue data'!CR53)</f>
        <v>535909</v>
      </c>
      <c r="DA263" s="723">
        <f>SUM('Revenue data'!CS49+'Revenue data'!CS53)</f>
        <v>541184</v>
      </c>
      <c r="DB263" s="723">
        <f>SUM('Revenue data'!CT49+'Revenue data'!CT53)</f>
        <v>546941</v>
      </c>
      <c r="DC263" s="723">
        <f>SUM('Revenue data'!CU49+'Revenue data'!CU53)</f>
        <v>528323</v>
      </c>
      <c r="DD263" s="723">
        <f>SUM('Revenue data'!CV49+'Revenue data'!CV53)</f>
        <v>523968</v>
      </c>
      <c r="DE263" s="671">
        <f>SUM('Revenue data'!CW49+'Revenue data'!CW53)</f>
        <v>519535</v>
      </c>
    </row>
    <row r="264" spans="2:109" x14ac:dyDescent="0.35"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224"/>
      <c r="AJ264" s="224"/>
      <c r="AK264" s="224"/>
      <c r="AL264" s="224"/>
      <c r="AM264" s="224"/>
      <c r="AN264" s="224"/>
      <c r="AO264" s="224"/>
      <c r="AU264" s="224"/>
      <c r="AV264" s="224"/>
      <c r="AW264" s="224"/>
      <c r="AX264" s="224"/>
      <c r="AY264" s="224"/>
      <c r="AZ264" s="224"/>
      <c r="BA264" s="224"/>
      <c r="BB264" s="224"/>
      <c r="BC264" s="224"/>
      <c r="BD264" s="224"/>
      <c r="BE264" s="224"/>
      <c r="BF264" s="224"/>
      <c r="BG264" s="224"/>
      <c r="BH264" s="224"/>
      <c r="BI264" s="224"/>
      <c r="BJ264" s="224"/>
      <c r="BK264" s="224"/>
      <c r="BL264" s="224"/>
      <c r="BM264" s="224"/>
      <c r="BN264" s="224"/>
      <c r="BO264" s="224"/>
      <c r="BP264" s="224"/>
      <c r="BQ264" s="224"/>
      <c r="BR264" s="224"/>
      <c r="BS264" s="224"/>
      <c r="BT264" s="224"/>
      <c r="BU264" s="224"/>
      <c r="BV264" s="224"/>
      <c r="BW264" s="224"/>
      <c r="BX264" s="224"/>
      <c r="BY264" s="224"/>
      <c r="BZ264" s="224"/>
      <c r="CA264" s="224"/>
      <c r="CB264" s="224"/>
      <c r="CC264" s="224"/>
      <c r="CD264" s="224"/>
      <c r="CE264" s="224"/>
      <c r="CF264" s="224"/>
      <c r="CG264" s="224"/>
      <c r="CH264" s="224"/>
      <c r="CI264" s="224"/>
      <c r="CJ264" s="224"/>
      <c r="CK264" s="224"/>
      <c r="CL264" s="224"/>
      <c r="CM264" s="224"/>
      <c r="CN264" s="224"/>
      <c r="CO264" s="224"/>
      <c r="CP264" s="224"/>
      <c r="CQ264" s="224"/>
      <c r="CR264" s="224"/>
      <c r="CS264" s="224"/>
      <c r="CT264" s="224"/>
      <c r="CU264" s="224"/>
      <c r="CV264" s="224"/>
      <c r="CW264" s="224"/>
      <c r="CX264" s="224"/>
      <c r="CY264" s="224"/>
      <c r="CZ264" s="224"/>
      <c r="DA264" s="224"/>
      <c r="DB264" s="224"/>
      <c r="DC264" s="224"/>
      <c r="DD264" s="224"/>
      <c r="DE264" s="672"/>
    </row>
    <row r="265" spans="2:109" x14ac:dyDescent="0.35">
      <c r="B265" t="s">
        <v>22</v>
      </c>
      <c r="L265" s="504">
        <f t="shared" ref="L265:AQ265" si="18">L262/L260</f>
        <v>0.44055232688473728</v>
      </c>
      <c r="M265" s="504">
        <f t="shared" si="18"/>
        <v>0.43709534111675225</v>
      </c>
      <c r="N265" s="504">
        <f t="shared" si="18"/>
        <v>0.43224363102175833</v>
      </c>
      <c r="O265" s="504">
        <f t="shared" si="18"/>
        <v>0.36389776796415563</v>
      </c>
      <c r="P265" s="504">
        <f t="shared" si="18"/>
        <v>0.35595792196309084</v>
      </c>
      <c r="Q265" s="504">
        <f t="shared" si="18"/>
        <v>0.3486884909171305</v>
      </c>
      <c r="R265" s="504">
        <f t="shared" si="18"/>
        <v>0.34482720688972401</v>
      </c>
      <c r="S265" s="504">
        <f t="shared" si="18"/>
        <v>0.33825745239375166</v>
      </c>
      <c r="T265" s="504">
        <f t="shared" si="18"/>
        <v>0.33412045820551034</v>
      </c>
      <c r="U265" s="504">
        <f t="shared" si="18"/>
        <v>0.33688878951213064</v>
      </c>
      <c r="V265" s="504">
        <f t="shared" si="18"/>
        <v>0.33366113747411269</v>
      </c>
      <c r="W265" s="504">
        <f t="shared" si="18"/>
        <v>0.33087917129225963</v>
      </c>
      <c r="X265" s="504">
        <f t="shared" si="18"/>
        <v>0.32980395036346283</v>
      </c>
      <c r="Y265" s="504">
        <f t="shared" si="18"/>
        <v>0.31906859084186323</v>
      </c>
      <c r="Z265" s="504">
        <f t="shared" si="18"/>
        <v>0.29924922348335242</v>
      </c>
      <c r="AA265" s="504">
        <f t="shared" si="18"/>
        <v>0.3134647287861223</v>
      </c>
      <c r="AB265" s="504">
        <f t="shared" si="18"/>
        <v>0.29434202714865954</v>
      </c>
      <c r="AC265" s="504">
        <f t="shared" si="18"/>
        <v>0.30208770222795694</v>
      </c>
      <c r="AD265" s="504">
        <f t="shared" si="18"/>
        <v>0.30286656742171214</v>
      </c>
      <c r="AE265" s="504">
        <f t="shared" si="18"/>
        <v>0.28953801391986528</v>
      </c>
      <c r="AF265" s="504">
        <f t="shared" si="18"/>
        <v>0.29063090680618403</v>
      </c>
      <c r="AG265" s="504">
        <f t="shared" si="18"/>
        <v>0.28635077261739639</v>
      </c>
      <c r="AH265" s="504">
        <f t="shared" si="18"/>
        <v>0.27847679393035485</v>
      </c>
      <c r="AI265" s="505">
        <f t="shared" si="18"/>
        <v>0.29044759425320604</v>
      </c>
      <c r="AJ265" s="505">
        <f t="shared" si="18"/>
        <v>0.27495436239740251</v>
      </c>
      <c r="AK265" s="505">
        <f t="shared" si="18"/>
        <v>0.28295201884780158</v>
      </c>
      <c r="AL265" s="505">
        <f t="shared" si="18"/>
        <v>0.26923256697586334</v>
      </c>
      <c r="AM265" s="505">
        <f t="shared" si="18"/>
        <v>0.26774858604789709</v>
      </c>
      <c r="AN265" s="505">
        <f t="shared" si="18"/>
        <v>0.28135096269191651</v>
      </c>
      <c r="AO265" s="505">
        <f t="shared" si="18"/>
        <v>0.28277863999540148</v>
      </c>
      <c r="AP265" s="505">
        <f t="shared" si="18"/>
        <v>0.27855829520749958</v>
      </c>
      <c r="AQ265" s="505">
        <f t="shared" si="18"/>
        <v>0.27517477024585657</v>
      </c>
      <c r="AR265" s="505">
        <f t="shared" ref="AR265:BW265" si="19">AR262/AR260</f>
        <v>0.27879916059335075</v>
      </c>
      <c r="AS265" s="505">
        <f t="shared" si="19"/>
        <v>0.26059525077201579</v>
      </c>
      <c r="AT265" s="505">
        <f t="shared" si="19"/>
        <v>0.25796251317538149</v>
      </c>
      <c r="AU265" s="505">
        <f t="shared" si="19"/>
        <v>0.25210251351491075</v>
      </c>
      <c r="AV265" s="505">
        <f t="shared" si="19"/>
        <v>0.24970954545673935</v>
      </c>
      <c r="AW265" s="505">
        <f t="shared" si="19"/>
        <v>0.24091653228609636</v>
      </c>
      <c r="AX265" s="505">
        <f t="shared" si="19"/>
        <v>0.2350489043809468</v>
      </c>
      <c r="AY265" s="505">
        <f t="shared" si="19"/>
        <v>0.22768528833479057</v>
      </c>
      <c r="AZ265" s="505">
        <f t="shared" si="19"/>
        <v>0.22203156916902417</v>
      </c>
      <c r="BA265" s="505">
        <f t="shared" si="19"/>
        <v>0.21292414332830231</v>
      </c>
      <c r="BB265" s="505">
        <f t="shared" si="19"/>
        <v>0.19866771526196964</v>
      </c>
      <c r="BC265" s="505">
        <f t="shared" si="19"/>
        <v>0.19324678590005756</v>
      </c>
      <c r="BD265" s="505">
        <f t="shared" si="19"/>
        <v>0.18465796978637156</v>
      </c>
      <c r="BE265" s="505">
        <f t="shared" si="19"/>
        <v>0.17869684070825992</v>
      </c>
      <c r="BF265" s="505">
        <f t="shared" si="19"/>
        <v>0.17263143823438984</v>
      </c>
      <c r="BG265" s="505">
        <f t="shared" si="19"/>
        <v>0.16749856384008532</v>
      </c>
      <c r="BH265" s="505">
        <f t="shared" si="19"/>
        <v>0.16423965223260825</v>
      </c>
      <c r="BI265" s="505">
        <f t="shared" si="19"/>
        <v>0.16009933488198255</v>
      </c>
      <c r="BJ265" s="505">
        <f t="shared" si="19"/>
        <v>0.15394541333009523</v>
      </c>
      <c r="BK265" s="505">
        <f t="shared" si="19"/>
        <v>0.15103594431582976</v>
      </c>
      <c r="BL265" s="505">
        <f t="shared" si="19"/>
        <v>0.14549630032432853</v>
      </c>
      <c r="BM265" s="505">
        <f t="shared" si="19"/>
        <v>0.1406983201675869</v>
      </c>
      <c r="BN265" s="505">
        <f t="shared" si="19"/>
        <v>0.14038603966119961</v>
      </c>
      <c r="BO265" s="505">
        <f t="shared" si="19"/>
        <v>0.1356117042559408</v>
      </c>
      <c r="BP265" s="505">
        <f t="shared" si="19"/>
        <v>0.13163248081410878</v>
      </c>
      <c r="BQ265" s="505">
        <f t="shared" si="19"/>
        <v>0.12662556430747068</v>
      </c>
      <c r="BR265" s="505">
        <f t="shared" si="19"/>
        <v>0.12374491789034515</v>
      </c>
      <c r="BS265" s="505">
        <f t="shared" si="19"/>
        <v>0.11882957762623739</v>
      </c>
      <c r="BT265" s="505">
        <f t="shared" si="19"/>
        <v>0.12289304307396506</v>
      </c>
      <c r="BU265" s="505">
        <f t="shared" si="19"/>
        <v>0.11971595125657283</v>
      </c>
      <c r="BV265" s="505">
        <f t="shared" si="19"/>
        <v>0.12135706673131781</v>
      </c>
      <c r="BW265" s="505">
        <f t="shared" si="19"/>
        <v>0.1191815630339894</v>
      </c>
      <c r="BX265" s="505">
        <f t="shared" ref="BX265:DA265" si="20">BX262/BX260</f>
        <v>0.11378754111068679</v>
      </c>
      <c r="BY265" s="505">
        <f t="shared" si="20"/>
        <v>0.10575263187218382</v>
      </c>
      <c r="BZ265" s="505">
        <f t="shared" si="20"/>
        <v>0.10428024691894335</v>
      </c>
      <c r="CA265" s="505">
        <f t="shared" si="20"/>
        <v>9.8483004821183745E-2</v>
      </c>
      <c r="CB265" s="505">
        <f t="shared" si="20"/>
        <v>9.6393942575370678E-2</v>
      </c>
      <c r="CC265" s="505">
        <f t="shared" si="20"/>
        <v>9.5202446348421038E-2</v>
      </c>
      <c r="CD265" s="505">
        <f t="shared" si="20"/>
        <v>9.3964756025855065E-2</v>
      </c>
      <c r="CE265" s="505">
        <f t="shared" si="20"/>
        <v>9.3715631627730972E-2</v>
      </c>
      <c r="CF265" s="505">
        <f t="shared" si="20"/>
        <v>9.3027717555533476E-2</v>
      </c>
      <c r="CG265" s="505">
        <f t="shared" si="20"/>
        <v>9.2232769280859481E-2</v>
      </c>
      <c r="CH265" s="505">
        <f t="shared" si="20"/>
        <v>8.4431443668739115E-2</v>
      </c>
      <c r="CI265" s="505">
        <f t="shared" si="20"/>
        <v>8.406837295873186E-2</v>
      </c>
      <c r="CJ265" s="505">
        <f t="shared" si="20"/>
        <v>8.3016439318800761E-2</v>
      </c>
      <c r="CK265" s="505">
        <f t="shared" si="20"/>
        <v>8.266087591275105E-2</v>
      </c>
      <c r="CL265" s="505">
        <f t="shared" si="20"/>
        <v>8.3642478984420954E-2</v>
      </c>
      <c r="CM265" s="505">
        <f t="shared" si="20"/>
        <v>8.2249414832153117E-2</v>
      </c>
      <c r="CN265" s="505">
        <f t="shared" si="20"/>
        <v>6.8765231471340046E-2</v>
      </c>
      <c r="CO265" s="505">
        <f t="shared" si="20"/>
        <v>6.4725629061011369E-2</v>
      </c>
      <c r="CP265" s="505">
        <f t="shared" si="20"/>
        <v>5.9793964472686326E-2</v>
      </c>
      <c r="CQ265" s="505">
        <f t="shared" si="20"/>
        <v>4.8538475454283768E-2</v>
      </c>
      <c r="CR265" s="505">
        <f t="shared" si="20"/>
        <v>4.7300588808404286E-2</v>
      </c>
      <c r="CS265" s="505">
        <f t="shared" si="20"/>
        <v>4.592905118362197E-2</v>
      </c>
      <c r="CT265" s="505">
        <f t="shared" si="20"/>
        <v>3.9644624038143776E-2</v>
      </c>
      <c r="CU265" s="505">
        <f t="shared" si="20"/>
        <v>3.5122733443017515E-2</v>
      </c>
      <c r="CV265" s="505">
        <f t="shared" si="20"/>
        <v>3.4603811246771518E-2</v>
      </c>
      <c r="CW265" s="505">
        <f t="shared" si="20"/>
        <v>3.3525563970767176E-2</v>
      </c>
      <c r="CX265" s="724">
        <f t="shared" si="20"/>
        <v>1.8951055518847414E-2</v>
      </c>
      <c r="CY265" s="724">
        <f t="shared" si="20"/>
        <v>1.9610615780777874E-2</v>
      </c>
      <c r="CZ265" s="724">
        <f t="shared" si="20"/>
        <v>1.9548178638238725E-2</v>
      </c>
      <c r="DA265" s="724">
        <f t="shared" si="20"/>
        <v>1.951915811600996E-2</v>
      </c>
      <c r="DB265" s="724">
        <f t="shared" ref="DB265" si="21">DB262/DB260</f>
        <v>1.9345639250294405E-2</v>
      </c>
      <c r="DC265" s="505">
        <f>DC262/DC260</f>
        <v>1.4336374522152581E-2</v>
      </c>
      <c r="DD265" s="724">
        <f>DD262/DD260</f>
        <v>1.4543838702694146E-2</v>
      </c>
      <c r="DE265" s="673">
        <f>DE262/DE260</f>
        <v>1.4371223929664641E-2</v>
      </c>
    </row>
    <row r="266" spans="2:109" x14ac:dyDescent="0.35">
      <c r="B266" t="s">
        <v>23</v>
      </c>
      <c r="L266" s="504">
        <f t="shared" ref="L266:AQ266" si="22">L263/L260</f>
        <v>0</v>
      </c>
      <c r="M266" s="504">
        <f t="shared" si="22"/>
        <v>0</v>
      </c>
      <c r="N266" s="504">
        <f t="shared" si="22"/>
        <v>0</v>
      </c>
      <c r="O266" s="504">
        <f t="shared" si="22"/>
        <v>0.37603948539730914</v>
      </c>
      <c r="P266" s="504">
        <f t="shared" si="22"/>
        <v>0.37054206874040652</v>
      </c>
      <c r="Q266" s="504">
        <f t="shared" si="22"/>
        <v>0.37522425120587194</v>
      </c>
      <c r="R266" s="504">
        <f t="shared" si="22"/>
        <v>0.37162868931640769</v>
      </c>
      <c r="S266" s="504">
        <f t="shared" si="22"/>
        <v>0.37641209961899308</v>
      </c>
      <c r="T266" s="504">
        <f t="shared" si="22"/>
        <v>0.3781164428027976</v>
      </c>
      <c r="U266" s="504">
        <f t="shared" si="22"/>
        <v>0.39146273640009588</v>
      </c>
      <c r="V266" s="504">
        <f t="shared" si="22"/>
        <v>0.39402089000700963</v>
      </c>
      <c r="W266" s="504">
        <f t="shared" si="22"/>
        <v>0.39466629196649661</v>
      </c>
      <c r="X266" s="504">
        <f t="shared" si="22"/>
        <v>0.39277847125339599</v>
      </c>
      <c r="Y266" s="504">
        <f t="shared" si="22"/>
        <v>0.38599463310342808</v>
      </c>
      <c r="Z266" s="504">
        <f t="shared" si="22"/>
        <v>0.36851605194512765</v>
      </c>
      <c r="AA266" s="504">
        <f t="shared" si="22"/>
        <v>0.38766579859821942</v>
      </c>
      <c r="AB266" s="504">
        <f t="shared" si="22"/>
        <v>0.3724026929297537</v>
      </c>
      <c r="AC266" s="504">
        <f t="shared" si="22"/>
        <v>0.3837130702699692</v>
      </c>
      <c r="AD266" s="504">
        <f t="shared" si="22"/>
        <v>0.38813581213890541</v>
      </c>
      <c r="AE266" s="504">
        <f t="shared" si="22"/>
        <v>0.37856652954940623</v>
      </c>
      <c r="AF266" s="504">
        <f t="shared" si="22"/>
        <v>0.3884206088696216</v>
      </c>
      <c r="AG266" s="504">
        <f t="shared" si="22"/>
        <v>0.3860607311349053</v>
      </c>
      <c r="AH266" s="504">
        <f t="shared" si="22"/>
        <v>0.38484916133894448</v>
      </c>
      <c r="AI266" s="505">
        <f t="shared" si="22"/>
        <v>0.39885141259280688</v>
      </c>
      <c r="AJ266" s="505">
        <f t="shared" si="22"/>
        <v>0.38474318300407678</v>
      </c>
      <c r="AK266" s="505">
        <f t="shared" si="22"/>
        <v>0.39118979760305134</v>
      </c>
      <c r="AL266" s="505">
        <f t="shared" si="22"/>
        <v>0.37886897940967157</v>
      </c>
      <c r="AM266" s="505">
        <f t="shared" si="22"/>
        <v>0.38153156660827647</v>
      </c>
      <c r="AN266" s="505">
        <f t="shared" si="22"/>
        <v>0.39239870061245485</v>
      </c>
      <c r="AO266" s="505">
        <f t="shared" si="22"/>
        <v>0.39062553888601481</v>
      </c>
      <c r="AP266" s="505">
        <f t="shared" si="22"/>
        <v>0.39198144208681723</v>
      </c>
      <c r="AQ266" s="505">
        <f t="shared" si="22"/>
        <v>0.39307735897752394</v>
      </c>
      <c r="AR266" s="505">
        <f t="shared" ref="AR266:BW266" si="23">AR263/AR260</f>
        <v>0.4018402909647355</v>
      </c>
      <c r="AS266" s="505">
        <f t="shared" si="23"/>
        <v>0.38558053903793665</v>
      </c>
      <c r="AT266" s="505">
        <f t="shared" si="23"/>
        <v>0.38549326267579326</v>
      </c>
      <c r="AU266" s="505">
        <f t="shared" si="23"/>
        <v>0.38211742218359601</v>
      </c>
      <c r="AV266" s="505">
        <f t="shared" si="23"/>
        <v>0.37725649566679742</v>
      </c>
      <c r="AW266" s="505">
        <f t="shared" si="23"/>
        <v>0.36916398700677333</v>
      </c>
      <c r="AX266" s="505">
        <f t="shared" si="23"/>
        <v>0.36300289988449669</v>
      </c>
      <c r="AY266" s="505">
        <f t="shared" si="23"/>
        <v>0.35124846482037209</v>
      </c>
      <c r="AZ266" s="505">
        <f t="shared" si="23"/>
        <v>0.34344028783581154</v>
      </c>
      <c r="BA266" s="505">
        <f t="shared" si="23"/>
        <v>0.330320070696006</v>
      </c>
      <c r="BB266" s="505">
        <f t="shared" si="23"/>
        <v>0.31728324226290916</v>
      </c>
      <c r="BC266" s="505">
        <f t="shared" si="23"/>
        <v>0.31302109824356228</v>
      </c>
      <c r="BD266" s="505">
        <f t="shared" si="23"/>
        <v>0.30152309063082383</v>
      </c>
      <c r="BE266" s="505">
        <f t="shared" si="23"/>
        <v>0.29509845057886525</v>
      </c>
      <c r="BF266" s="505">
        <f t="shared" si="23"/>
        <v>0.28951675645327307</v>
      </c>
      <c r="BG266" s="505">
        <f t="shared" si="23"/>
        <v>0.28386507396620292</v>
      </c>
      <c r="BH266" s="505">
        <f t="shared" si="23"/>
        <v>0.28001476292869176</v>
      </c>
      <c r="BI266" s="505">
        <f t="shared" si="23"/>
        <v>0.27505394981928466</v>
      </c>
      <c r="BJ266" s="505">
        <f t="shared" si="23"/>
        <v>0.27109679714334228</v>
      </c>
      <c r="BK266" s="505">
        <f t="shared" si="23"/>
        <v>0.26732960641928477</v>
      </c>
      <c r="BL266" s="505">
        <f t="shared" si="23"/>
        <v>0.26153211240799362</v>
      </c>
      <c r="BM266" s="505">
        <f t="shared" si="23"/>
        <v>0.25840023646294974</v>
      </c>
      <c r="BN266" s="505">
        <f t="shared" si="23"/>
        <v>0.25797338050412855</v>
      </c>
      <c r="BO266" s="505">
        <f t="shared" si="23"/>
        <v>0.25429474283651227</v>
      </c>
      <c r="BP266" s="505">
        <f t="shared" si="23"/>
        <v>0.25165082610691686</v>
      </c>
      <c r="BQ266" s="505">
        <f t="shared" si="23"/>
        <v>0.24903633907686226</v>
      </c>
      <c r="BR266" s="505">
        <f t="shared" si="23"/>
        <v>0.24812259855752952</v>
      </c>
      <c r="BS266" s="505">
        <f t="shared" si="23"/>
        <v>0.24537171010656131</v>
      </c>
      <c r="BT266" s="505">
        <f t="shared" si="23"/>
        <v>0.25470313524363497</v>
      </c>
      <c r="BU266" s="505">
        <f t="shared" si="23"/>
        <v>0.24920147647528543</v>
      </c>
      <c r="BV266" s="505">
        <f t="shared" si="23"/>
        <v>0.25286632706958434</v>
      </c>
      <c r="BW266" s="505">
        <f t="shared" si="23"/>
        <v>0.25342018822987772</v>
      </c>
      <c r="BX266" s="505">
        <f t="shared" ref="BX266:DA266" si="24">BX263/BX260</f>
        <v>0.2489519816655435</v>
      </c>
      <c r="BY266" s="505">
        <f t="shared" si="24"/>
        <v>0.24088896454030143</v>
      </c>
      <c r="BZ266" s="505">
        <f t="shared" si="24"/>
        <v>0.23666381403754175</v>
      </c>
      <c r="CA266" s="505">
        <f t="shared" si="24"/>
        <v>0.2345366120082063</v>
      </c>
      <c r="CB266" s="505">
        <f t="shared" si="24"/>
        <v>0.23383492959082072</v>
      </c>
      <c r="CC266" s="505">
        <f t="shared" si="24"/>
        <v>0.23356902137717264</v>
      </c>
      <c r="CD266" s="505">
        <f t="shared" si="24"/>
        <v>0.23310806785165597</v>
      </c>
      <c r="CE266" s="505">
        <f t="shared" si="24"/>
        <v>0.23418509467269585</v>
      </c>
      <c r="CF266" s="505">
        <f t="shared" si="24"/>
        <v>0.23533618208772999</v>
      </c>
      <c r="CG266" s="505">
        <f t="shared" si="24"/>
        <v>0.23719677206417872</v>
      </c>
      <c r="CH266" s="505">
        <f t="shared" si="24"/>
        <v>0.22819999541273156</v>
      </c>
      <c r="CI266" s="505">
        <f t="shared" si="24"/>
        <v>0.23179056715881935</v>
      </c>
      <c r="CJ266" s="505">
        <f t="shared" si="24"/>
        <v>0.22883528657815555</v>
      </c>
      <c r="CK266" s="505">
        <f t="shared" si="24"/>
        <v>0.22869947972311297</v>
      </c>
      <c r="CL266" s="505">
        <f t="shared" si="24"/>
        <v>0.23184619252737243</v>
      </c>
      <c r="CM266" s="505">
        <f t="shared" si="24"/>
        <v>0.23103331051399648</v>
      </c>
      <c r="CN266" s="505">
        <f t="shared" si="24"/>
        <v>0.22082738508333688</v>
      </c>
      <c r="CO266" s="505">
        <f t="shared" si="24"/>
        <v>0.21882887007686089</v>
      </c>
      <c r="CP266" s="505">
        <f t="shared" si="24"/>
        <v>0.21157470768174216</v>
      </c>
      <c r="CQ266" s="505">
        <f t="shared" si="24"/>
        <v>0.20132831045084959</v>
      </c>
      <c r="CR266" s="505">
        <f t="shared" si="24"/>
        <v>0.20086543640203572</v>
      </c>
      <c r="CS266" s="505">
        <f t="shared" si="24"/>
        <v>0.2005668608556806</v>
      </c>
      <c r="CT266" s="505">
        <f t="shared" si="24"/>
        <v>0.19600906974916826</v>
      </c>
      <c r="CU266" s="505">
        <f t="shared" si="24"/>
        <v>0.19319832836197734</v>
      </c>
      <c r="CV266" s="505">
        <f t="shared" si="24"/>
        <v>0.19353476853075804</v>
      </c>
      <c r="CW266" s="505">
        <f t="shared" si="24"/>
        <v>0.19059593955796786</v>
      </c>
      <c r="CX266" s="724">
        <f t="shared" si="24"/>
        <v>0.10834919690537256</v>
      </c>
      <c r="CY266" s="724">
        <f t="shared" si="24"/>
        <v>0.10847424199574297</v>
      </c>
      <c r="CZ266" s="724">
        <f t="shared" si="24"/>
        <v>0.1099974261157706</v>
      </c>
      <c r="DA266" s="724">
        <f t="shared" si="24"/>
        <v>0.11057736905532015</v>
      </c>
      <c r="DB266" s="724">
        <f t="shared" ref="DB266" si="25">DB263/DB260</f>
        <v>0.11085885355121036</v>
      </c>
      <c r="DC266" s="505">
        <f>DC263/DC260</f>
        <v>0.10588006593417605</v>
      </c>
      <c r="DD266" s="724">
        <f>DD263/DD260</f>
        <v>0.10473626736724317</v>
      </c>
      <c r="DE266" s="673">
        <f>DE263/DE260</f>
        <v>0.10323908441943999</v>
      </c>
    </row>
    <row r="267" spans="2:109" x14ac:dyDescent="0.35"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224"/>
      <c r="AJ267" s="224"/>
      <c r="AK267" s="224"/>
      <c r="AL267" s="224"/>
      <c r="AM267" s="224"/>
      <c r="AN267" s="224"/>
      <c r="AO267" s="224"/>
      <c r="AU267" s="224"/>
      <c r="AV267" s="224"/>
      <c r="AW267" s="224"/>
      <c r="AX267" s="224"/>
      <c r="AY267" s="224"/>
      <c r="AZ267" s="224"/>
      <c r="BA267" s="224"/>
      <c r="BB267" s="224"/>
      <c r="BC267" s="224"/>
      <c r="BD267" s="224"/>
      <c r="BE267" s="224"/>
      <c r="BF267" s="224"/>
      <c r="BG267" s="224"/>
      <c r="BH267" s="224"/>
      <c r="BI267" s="224"/>
      <c r="BJ267" s="224"/>
      <c r="BK267" s="224"/>
      <c r="BL267" s="224"/>
      <c r="BM267" s="224"/>
      <c r="BN267" s="224"/>
      <c r="BO267" s="224"/>
      <c r="BP267" s="224"/>
      <c r="BQ267" s="224"/>
      <c r="BR267" s="224"/>
      <c r="BS267" s="224"/>
      <c r="BT267" s="224"/>
      <c r="BU267" s="224"/>
      <c r="BV267" s="224"/>
      <c r="BW267" s="224"/>
      <c r="BX267" s="224"/>
      <c r="BY267" s="224"/>
      <c r="BZ267" s="224"/>
      <c r="CA267" s="224"/>
      <c r="CB267" s="224"/>
      <c r="CC267" s="224"/>
      <c r="CD267" s="224"/>
      <c r="CE267" s="224"/>
      <c r="CF267" s="224"/>
      <c r="CG267" s="224"/>
      <c r="CH267" s="224"/>
      <c r="CI267" s="224"/>
      <c r="CJ267" s="224"/>
      <c r="CK267" s="224"/>
      <c r="CL267" s="224"/>
      <c r="CM267" s="224"/>
      <c r="CN267" s="224"/>
      <c r="CO267" s="224"/>
      <c r="CP267" s="224"/>
      <c r="CQ267" s="224"/>
      <c r="CR267" s="224"/>
      <c r="CS267" s="224"/>
      <c r="CT267" s="224"/>
      <c r="CU267" s="224"/>
      <c r="CV267" s="224"/>
      <c r="CW267" s="224"/>
      <c r="CX267" s="224"/>
      <c r="CY267" s="224"/>
      <c r="CZ267" s="224"/>
      <c r="DA267" s="224"/>
      <c r="DB267" s="224"/>
      <c r="DC267" s="224"/>
      <c r="DD267" s="224"/>
      <c r="DE267" s="672"/>
    </row>
    <row r="268" spans="2:109" x14ac:dyDescent="0.35">
      <c r="B268" t="s">
        <v>793</v>
      </c>
      <c r="L268" s="226">
        <f t="shared" ref="L268:T268" si="26">SUM(L244:L254)</f>
        <v>967</v>
      </c>
      <c r="M268" s="226">
        <f t="shared" si="26"/>
        <v>1008</v>
      </c>
      <c r="N268" s="226">
        <f t="shared" si="26"/>
        <v>1083</v>
      </c>
      <c r="O268" s="226">
        <f t="shared" si="26"/>
        <v>1120</v>
      </c>
      <c r="P268" s="226">
        <f t="shared" si="26"/>
        <v>1175</v>
      </c>
      <c r="Q268" s="226">
        <f t="shared" si="26"/>
        <v>1221</v>
      </c>
      <c r="R268" s="226">
        <f t="shared" si="26"/>
        <v>1216</v>
      </c>
      <c r="S268" s="226">
        <f t="shared" si="26"/>
        <v>1252</v>
      </c>
      <c r="T268" s="226">
        <f t="shared" si="26"/>
        <v>1278</v>
      </c>
      <c r="U268" s="226">
        <v>1284</v>
      </c>
      <c r="V268">
        <v>1308</v>
      </c>
      <c r="W268" s="44">
        <v>1324</v>
      </c>
      <c r="X268" s="44">
        <v>1351</v>
      </c>
      <c r="Y268" s="44">
        <v>1374</v>
      </c>
      <c r="Z268" s="44">
        <v>1402</v>
      </c>
      <c r="AA268" s="44">
        <v>1392</v>
      </c>
      <c r="AB268" s="44">
        <v>1393</v>
      </c>
      <c r="AC268" s="44">
        <v>1422</v>
      </c>
      <c r="AD268" s="44">
        <v>1417</v>
      </c>
      <c r="AE268" s="44">
        <v>1432</v>
      </c>
      <c r="AF268">
        <v>1432</v>
      </c>
      <c r="AG268">
        <v>1412</v>
      </c>
      <c r="AH268" s="44">
        <v>1391</v>
      </c>
      <c r="AI268" s="224">
        <v>1381</v>
      </c>
      <c r="AJ268" s="224">
        <v>1379</v>
      </c>
      <c r="AK268" s="224">
        <v>1374</v>
      </c>
      <c r="AL268">
        <v>1384</v>
      </c>
      <c r="AM268">
        <v>1357</v>
      </c>
      <c r="AN268" s="224">
        <v>1332</v>
      </c>
      <c r="AO268">
        <v>1325</v>
      </c>
      <c r="AP268">
        <v>1301</v>
      </c>
      <c r="AQ268">
        <v>1291</v>
      </c>
      <c r="AR268">
        <v>1295</v>
      </c>
      <c r="AS268">
        <v>1285</v>
      </c>
      <c r="AT268">
        <v>1289</v>
      </c>
      <c r="AU268" s="224">
        <v>1279</v>
      </c>
      <c r="AV268" s="224">
        <v>1265</v>
      </c>
      <c r="AW268" s="224">
        <v>1251</v>
      </c>
      <c r="AX268" s="224">
        <v>1252</v>
      </c>
      <c r="AY268" s="224">
        <v>1179</v>
      </c>
      <c r="AZ268" s="224">
        <v>1186</v>
      </c>
      <c r="BA268" s="224">
        <v>1192</v>
      </c>
      <c r="BB268" s="224">
        <v>1197</v>
      </c>
      <c r="BC268" s="224">
        <v>1137</v>
      </c>
      <c r="BD268" s="224">
        <v>1146</v>
      </c>
      <c r="BE268" s="224">
        <v>1139</v>
      </c>
      <c r="BF268" s="224">
        <v>1134</v>
      </c>
      <c r="BG268" s="224">
        <v>1134</v>
      </c>
      <c r="BH268" s="224">
        <v>1122</v>
      </c>
      <c r="BI268" s="224">
        <v>1125</v>
      </c>
      <c r="BJ268" s="224">
        <v>1129</v>
      </c>
      <c r="BK268" s="224">
        <v>1125</v>
      </c>
      <c r="BL268" s="224">
        <v>1155</v>
      </c>
      <c r="BM268" s="224">
        <v>1160</v>
      </c>
      <c r="BN268" s="224">
        <v>1133</v>
      </c>
      <c r="BO268" s="224">
        <v>1076</v>
      </c>
      <c r="BP268" s="224">
        <v>1076</v>
      </c>
      <c r="BQ268" s="224">
        <v>1058</v>
      </c>
      <c r="BR268" s="224">
        <v>1059</v>
      </c>
      <c r="BS268" s="224">
        <v>1051</v>
      </c>
      <c r="BT268" s="224">
        <v>1049</v>
      </c>
      <c r="BU268" s="224">
        <v>1030</v>
      </c>
      <c r="BV268" s="224">
        <v>978</v>
      </c>
      <c r="BW268" s="224">
        <v>966</v>
      </c>
      <c r="BX268" s="224">
        <v>962</v>
      </c>
      <c r="BY268" s="224">
        <v>972</v>
      </c>
      <c r="BZ268" s="224">
        <v>973</v>
      </c>
      <c r="CA268" s="224">
        <v>978</v>
      </c>
      <c r="CB268" s="224">
        <v>987</v>
      </c>
      <c r="CC268" s="224">
        <v>998</v>
      </c>
      <c r="CD268" s="224">
        <v>1002</v>
      </c>
      <c r="CE268" s="224">
        <v>1010</v>
      </c>
      <c r="CF268" s="224">
        <v>996</v>
      </c>
      <c r="CG268" s="224">
        <v>1001</v>
      </c>
      <c r="CH268" s="224">
        <v>988</v>
      </c>
      <c r="CI268" s="224">
        <v>1003</v>
      </c>
      <c r="CJ268" s="224">
        <v>1001</v>
      </c>
      <c r="CK268" s="224">
        <v>1013</v>
      </c>
      <c r="CL268" s="224">
        <v>1038</v>
      </c>
      <c r="CM268" s="224">
        <v>1029</v>
      </c>
      <c r="CN268" s="224">
        <v>1037</v>
      </c>
      <c r="CO268" s="224">
        <v>1055</v>
      </c>
      <c r="CP268" s="224">
        <v>1065</v>
      </c>
      <c r="CQ268" s="224">
        <v>1037</v>
      </c>
      <c r="CR268" s="224">
        <v>1034</v>
      </c>
      <c r="CS268" s="224">
        <v>1033</v>
      </c>
      <c r="CT268" s="224">
        <v>1044</v>
      </c>
      <c r="CU268" s="224">
        <v>1045</v>
      </c>
      <c r="CV268" s="224">
        <v>1049</v>
      </c>
      <c r="CW268" s="224">
        <v>1052</v>
      </c>
      <c r="CX268" s="224">
        <v>1055</v>
      </c>
      <c r="CY268" s="224">
        <v>1055</v>
      </c>
      <c r="CZ268" s="224">
        <v>1059</v>
      </c>
      <c r="DA268" s="224">
        <v>1063</v>
      </c>
      <c r="DB268" s="224">
        <v>1077</v>
      </c>
      <c r="DC268" s="224">
        <v>1078</v>
      </c>
      <c r="DD268" s="224">
        <v>1056</v>
      </c>
      <c r="DE268" s="672">
        <v>1076</v>
      </c>
    </row>
    <row r="269" spans="2:109" x14ac:dyDescent="0.35">
      <c r="AK269" s="225"/>
      <c r="CN269" s="257"/>
    </row>
    <row r="270" spans="2:109" x14ac:dyDescent="0.35">
      <c r="L270"/>
      <c r="M270"/>
      <c r="N270"/>
      <c r="O270"/>
      <c r="CN270" s="257"/>
    </row>
    <row r="271" spans="2:109" x14ac:dyDescent="0.35">
      <c r="D271"/>
      <c r="E271"/>
      <c r="F271"/>
      <c r="G271"/>
      <c r="H271"/>
      <c r="I271"/>
      <c r="J271"/>
      <c r="K271"/>
      <c r="L271"/>
      <c r="M271"/>
      <c r="N271"/>
      <c r="O271"/>
      <c r="AK271" s="225"/>
    </row>
    <row r="272" spans="2:109" x14ac:dyDescent="0.35">
      <c r="AK272" s="225"/>
    </row>
    <row r="273" spans="37:37" x14ac:dyDescent="0.35">
      <c r="AK273" s="225"/>
    </row>
    <row r="274" spans="37:37" x14ac:dyDescent="0.35">
      <c r="AK274" s="225"/>
    </row>
    <row r="275" spans="37:37" x14ac:dyDescent="0.35">
      <c r="AK275" s="225"/>
    </row>
    <row r="276" spans="37:37" x14ac:dyDescent="0.35">
      <c r="AK276" s="225"/>
    </row>
  </sheetData>
  <conditionalFormatting sqref="C80">
    <cfRule type="duplicateValues" dxfId="51" priority="3"/>
  </conditionalFormatting>
  <conditionalFormatting sqref="C184 C180:C182 C14:C24 C7:C12 C221:C226 C166:C167 C171:C172 C188:C192 C79 C157:C163 C136:C140 C229:C234 C240:C241 C236 C143:C151 C101:C116 C118:C133 C81:C85 C87:C99 C71:C74 C65:C68 C76:C77 C26:C57 C59:C62">
    <cfRule type="duplicateValues" dxfId="50" priority="4"/>
  </conditionalFormatting>
  <conditionalFormatting sqref="C219">
    <cfRule type="duplicateValues" dxfId="49" priority="2"/>
  </conditionalFormatting>
  <conditionalFormatting sqref="C220">
    <cfRule type="duplicateValues" dxfId="48" priority="1"/>
  </conditionalFormatting>
  <pageMargins left="0.70866141732283472" right="0.70866141732283472" top="0.35433070866141736" bottom="0.35433070866141736" header="0.31496062992125984" footer="0.11811023622047245"/>
  <pageSetup paperSize="9" fitToHeight="0" orientation="landscape" r:id="rId1"/>
  <headerFooter>
    <oddFooter xml:space="preserve">&amp;L&amp;F &amp;D&amp;C&amp;P of &amp;N&amp;REseye  Private and Confidential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EECA2-29CB-44F6-A4C0-A9B88A28B745}">
  <sheetPr codeName="Sheet11">
    <pageSetUpPr fitToPage="1"/>
  </sheetPr>
  <dimension ref="A1:DH57"/>
  <sheetViews>
    <sheetView showGridLines="0" topLeftCell="B2" zoomScale="85" zoomScaleNormal="85" workbookViewId="0">
      <selection activeCell="DM30" sqref="DM30"/>
    </sheetView>
  </sheetViews>
  <sheetFormatPr defaultColWidth="9" defaultRowHeight="14.5" outlineLevelCol="1" x14ac:dyDescent="0.35"/>
  <cols>
    <col min="1" max="1" width="9" hidden="1" customWidth="1"/>
    <col min="2" max="2" width="12.453125" customWidth="1"/>
    <col min="3" max="3" width="10.453125" hidden="1" customWidth="1" outlineLevel="1"/>
    <col min="4" max="4" width="11" hidden="1" customWidth="1" outlineLevel="1"/>
    <col min="5" max="5" width="11.453125" hidden="1" customWidth="1" outlineLevel="1"/>
    <col min="6" max="6" width="2.453125" hidden="1" customWidth="1" outlineLevel="1"/>
    <col min="7" max="9" width="11.453125" hidden="1" customWidth="1" outlineLevel="1"/>
    <col min="10" max="14" width="11" hidden="1" customWidth="1" outlineLevel="1"/>
    <col min="15" max="15" width="12.453125" hidden="1" customWidth="1" outlineLevel="1"/>
    <col min="16" max="18" width="11" hidden="1" customWidth="1" outlineLevel="1"/>
    <col min="19" max="19" width="3.453125" hidden="1" customWidth="1" outlineLevel="1"/>
    <col min="20" max="21" width="10.453125" hidden="1" customWidth="1" outlineLevel="1"/>
    <col min="22" max="22" width="12.453125" hidden="1" customWidth="1" outlineLevel="1"/>
    <col min="23" max="23" width="11.453125" hidden="1" customWidth="1" outlineLevel="1"/>
    <col min="24" max="24" width="11" hidden="1" customWidth="1" outlineLevel="1"/>
    <col min="25" max="25" width="13" hidden="1" customWidth="1" outlineLevel="1"/>
    <col min="26" max="26" width="10.453125" hidden="1" customWidth="1" outlineLevel="1"/>
    <col min="27" max="27" width="11.453125" hidden="1" customWidth="1" outlineLevel="1"/>
    <col min="28" max="29" width="12.453125" hidden="1" customWidth="1" outlineLevel="1"/>
    <col min="30" max="30" width="14" hidden="1" customWidth="1" outlineLevel="1"/>
    <col min="31" max="31" width="13" hidden="1" customWidth="1" outlineLevel="1"/>
    <col min="32" max="32" width="3.453125" hidden="1" customWidth="1" outlineLevel="1"/>
    <col min="33" max="33" width="10.453125" hidden="1" customWidth="1" outlineLevel="1"/>
    <col min="34" max="34" width="11" hidden="1" customWidth="1" outlineLevel="1"/>
    <col min="35" max="35" width="13" hidden="1" customWidth="1" outlineLevel="1"/>
    <col min="36" max="36" width="11.453125" hidden="1" customWidth="1" outlineLevel="1"/>
    <col min="37" max="37" width="11" hidden="1" customWidth="1" outlineLevel="1"/>
    <col min="38" max="38" width="12" hidden="1" customWidth="1" outlineLevel="1"/>
    <col min="39" max="41" width="11" hidden="1" customWidth="1" outlineLevel="1"/>
    <col min="42" max="42" width="11.453125" hidden="1" customWidth="1" outlineLevel="1"/>
    <col min="43" max="43" width="13" hidden="1" customWidth="1" outlineLevel="1"/>
    <col min="44" max="44" width="13" bestFit="1" customWidth="1" collapsed="1"/>
    <col min="45" max="45" width="3.453125" customWidth="1"/>
    <col min="46" max="47" width="10.54296875" hidden="1" customWidth="1" outlineLevel="1"/>
    <col min="48" max="48" width="10.453125" hidden="1" customWidth="1" outlineLevel="1"/>
    <col min="49" max="50" width="12" hidden="1" customWidth="1" outlineLevel="1"/>
    <col min="51" max="51" width="10.453125" hidden="1" customWidth="1" outlineLevel="1"/>
    <col min="52" max="53" width="12" hidden="1" customWidth="1" outlineLevel="1"/>
    <col min="54" max="56" width="10.54296875" hidden="1" customWidth="1" outlineLevel="1"/>
    <col min="57" max="57" width="10.54296875" customWidth="1" collapsed="1"/>
    <col min="58" max="58" width="3.453125" customWidth="1"/>
    <col min="59" max="69" width="10.453125" hidden="1" customWidth="1" outlineLevel="1"/>
    <col min="70" max="70" width="11.453125" customWidth="1" collapsed="1"/>
    <col min="71" max="71" width="3.453125" customWidth="1"/>
    <col min="72" max="73" width="11" hidden="1" customWidth="1" outlineLevel="1"/>
    <col min="74" max="74" width="10.54296875" hidden="1" customWidth="1" outlineLevel="1"/>
    <col min="75" max="75" width="12" hidden="1" customWidth="1" outlineLevel="1"/>
    <col min="76" max="76" width="11.54296875" hidden="1" customWidth="1" outlineLevel="1"/>
    <col min="77" max="77" width="10.453125" hidden="1" customWidth="1" outlineLevel="1"/>
    <col min="78" max="78" width="11.453125" hidden="1" customWidth="1" outlineLevel="1"/>
    <col min="79" max="79" width="11" hidden="1" customWidth="1" outlineLevel="1"/>
    <col min="80" max="80" width="10.54296875" hidden="1" customWidth="1" outlineLevel="1"/>
    <col min="81" max="81" width="10.453125" hidden="1" customWidth="1" outlineLevel="1"/>
    <col min="82" max="82" width="10.54296875" hidden="1" customWidth="1" outlineLevel="1"/>
    <col min="83" max="83" width="12" customWidth="1" collapsed="1"/>
    <col min="84" max="84" width="3" customWidth="1"/>
    <col min="85" max="92" width="10.453125" hidden="1" customWidth="1" outlineLevel="1"/>
    <col min="93" max="93" width="10.26953125" hidden="1" customWidth="1" outlineLevel="1"/>
    <col min="94" max="94" width="11.26953125" hidden="1" customWidth="1" outlineLevel="1"/>
    <col min="95" max="95" width="11" hidden="1" customWidth="1" outlineLevel="1"/>
    <col min="96" max="96" width="11.81640625" customWidth="1" collapsed="1"/>
    <col min="97" max="97" width="4.26953125" customWidth="1"/>
    <col min="98" max="99" width="11" hidden="1" customWidth="1" outlineLevel="1"/>
    <col min="100" max="100" width="10.54296875" hidden="1" customWidth="1" outlineLevel="1"/>
    <col min="101" max="101" width="12.54296875" hidden="1" customWidth="1" outlineLevel="1"/>
    <col min="102" max="103" width="12" hidden="1" customWidth="1" outlineLevel="1"/>
    <col min="104" max="104" width="11" hidden="1" customWidth="1" outlineLevel="1"/>
    <col min="105" max="105" width="11.54296875" hidden="1" customWidth="1" outlineLevel="1"/>
    <col min="106" max="106" width="11" hidden="1" customWidth="1" outlineLevel="1"/>
    <col min="107" max="107" width="10.54296875" hidden="1" customWidth="1" outlineLevel="1"/>
    <col min="108" max="108" width="11.54296875" hidden="1" customWidth="1" outlineLevel="1"/>
    <col min="109" max="109" width="12.81640625" customWidth="1" collapsed="1"/>
    <col min="110" max="110" width="3.54296875" customWidth="1"/>
    <col min="111" max="111" width="13.26953125" customWidth="1"/>
    <col min="112" max="112" width="15" customWidth="1"/>
    <col min="113" max="113" width="11.36328125" customWidth="1"/>
    <col min="114" max="114" width="11.453125" customWidth="1"/>
    <col min="115" max="115" width="10.6328125" customWidth="1"/>
  </cols>
  <sheetData>
    <row r="1" spans="1:112" hidden="1" x14ac:dyDescent="0.35">
      <c r="A1" t="s">
        <v>0</v>
      </c>
    </row>
    <row r="2" spans="1:112" ht="18.5" x14ac:dyDescent="0.45">
      <c r="B2" s="248" t="s">
        <v>794</v>
      </c>
    </row>
    <row r="3" spans="1:112" x14ac:dyDescent="0.35">
      <c r="B3" s="10"/>
      <c r="F3" s="351">
        <v>1.3946210000000001</v>
      </c>
      <c r="G3" s="351">
        <v>1.7910509999999999</v>
      </c>
      <c r="H3" s="351">
        <v>1.7910509999999999</v>
      </c>
      <c r="I3" s="351">
        <v>1.3946210000000001</v>
      </c>
      <c r="J3" s="351">
        <v>149.78867399999999</v>
      </c>
      <c r="K3" s="351">
        <v>1.3946210000000001</v>
      </c>
      <c r="L3" s="351">
        <v>19.874269000000002</v>
      </c>
      <c r="M3" s="351">
        <v>103.297979</v>
      </c>
      <c r="N3" s="351">
        <v>103.297979</v>
      </c>
      <c r="O3" s="351">
        <v>7.5081980000000001</v>
      </c>
      <c r="P3" s="351">
        <v>7.5081980000000001</v>
      </c>
      <c r="Q3" s="351">
        <v>7.5081980000000001</v>
      </c>
      <c r="R3" s="351">
        <v>7.5081980000000001</v>
      </c>
      <c r="S3" s="351">
        <v>7.5081980000000001</v>
      </c>
      <c r="T3" s="351"/>
      <c r="U3" s="351">
        <v>1.2683899999999999</v>
      </c>
      <c r="V3" s="351">
        <v>1.150212</v>
      </c>
      <c r="W3" s="351">
        <v>11.465287999999999</v>
      </c>
      <c r="X3" s="351"/>
    </row>
    <row r="4" spans="1:112" x14ac:dyDescent="0.35">
      <c r="B4" s="10" t="s">
        <v>795</v>
      </c>
      <c r="C4" t="s">
        <v>223</v>
      </c>
      <c r="W4" t="s">
        <v>224</v>
      </c>
      <c r="X4" t="s">
        <v>225</v>
      </c>
    </row>
    <row r="5" spans="1:112" x14ac:dyDescent="0.35">
      <c r="B5" s="249"/>
      <c r="C5" s="250">
        <v>42353</v>
      </c>
      <c r="D5" s="250">
        <v>42719</v>
      </c>
      <c r="E5" s="250">
        <v>43070</v>
      </c>
      <c r="G5" s="250">
        <v>43101</v>
      </c>
      <c r="H5" s="250">
        <v>43132</v>
      </c>
      <c r="I5" s="250">
        <v>43160</v>
      </c>
      <c r="J5" s="250">
        <v>43191</v>
      </c>
      <c r="K5" s="250">
        <v>43221</v>
      </c>
      <c r="L5" s="250">
        <v>43252</v>
      </c>
      <c r="M5" s="250">
        <v>43282</v>
      </c>
      <c r="N5" s="250">
        <v>43313</v>
      </c>
      <c r="O5" s="250">
        <v>43344</v>
      </c>
      <c r="P5" s="250">
        <v>43374</v>
      </c>
      <c r="Q5" s="250">
        <v>43405</v>
      </c>
      <c r="R5" s="250">
        <v>43435</v>
      </c>
      <c r="S5" s="251"/>
      <c r="T5" s="250">
        <v>43466</v>
      </c>
      <c r="U5" s="250">
        <v>43497</v>
      </c>
      <c r="V5" s="250">
        <v>43525</v>
      </c>
      <c r="W5" s="250">
        <v>43556</v>
      </c>
      <c r="X5" s="250">
        <v>43586</v>
      </c>
      <c r="Y5" s="250">
        <v>43617</v>
      </c>
      <c r="Z5" s="250">
        <v>43647</v>
      </c>
      <c r="AA5" s="250">
        <v>43678</v>
      </c>
      <c r="AB5" s="250">
        <v>43709</v>
      </c>
      <c r="AC5" s="250">
        <v>43739</v>
      </c>
      <c r="AD5" s="250">
        <v>43770</v>
      </c>
      <c r="AE5" s="250">
        <v>43800</v>
      </c>
      <c r="AF5" s="251"/>
      <c r="AG5" s="250">
        <v>43831</v>
      </c>
      <c r="AH5" s="250">
        <v>43862</v>
      </c>
      <c r="AI5" s="250">
        <v>43891</v>
      </c>
      <c r="AJ5" s="250">
        <v>43922</v>
      </c>
      <c r="AK5" s="250">
        <v>43952</v>
      </c>
      <c r="AL5" s="250">
        <v>43983</v>
      </c>
      <c r="AM5" s="250">
        <v>44013</v>
      </c>
      <c r="AN5" s="250">
        <v>44044</v>
      </c>
      <c r="AO5" s="250">
        <v>44075</v>
      </c>
      <c r="AP5" s="250">
        <v>44105</v>
      </c>
      <c r="AQ5" s="250">
        <v>44136</v>
      </c>
      <c r="AR5" s="250">
        <v>44166</v>
      </c>
      <c r="AS5" s="251"/>
      <c r="AT5" s="250">
        <v>44197</v>
      </c>
      <c r="AU5" s="250">
        <v>44228</v>
      </c>
      <c r="AV5" s="250">
        <v>44256</v>
      </c>
      <c r="AW5" s="250">
        <v>44287</v>
      </c>
      <c r="AX5" s="250">
        <v>44317</v>
      </c>
      <c r="AY5" s="250">
        <v>44348</v>
      </c>
      <c r="AZ5" s="250">
        <v>44378</v>
      </c>
      <c r="BA5" s="250">
        <v>44409</v>
      </c>
      <c r="BB5" s="250">
        <v>44440</v>
      </c>
      <c r="BC5" s="250">
        <v>44470</v>
      </c>
      <c r="BD5" s="250">
        <v>44501</v>
      </c>
      <c r="BE5" s="250">
        <v>44531</v>
      </c>
      <c r="BF5" s="251"/>
      <c r="BG5" s="250">
        <v>44562</v>
      </c>
      <c r="BH5" s="417">
        <v>44593</v>
      </c>
      <c r="BI5" s="417">
        <v>44621</v>
      </c>
      <c r="BJ5" s="417">
        <v>44652</v>
      </c>
      <c r="BK5" s="417">
        <v>44682</v>
      </c>
      <c r="BL5" s="417">
        <v>44713</v>
      </c>
      <c r="BM5" s="417">
        <v>44743</v>
      </c>
      <c r="BN5" s="417">
        <v>44774</v>
      </c>
      <c r="BO5" s="417">
        <v>44805</v>
      </c>
      <c r="BP5" s="417">
        <v>44835</v>
      </c>
      <c r="BQ5" s="417">
        <v>44866</v>
      </c>
      <c r="BR5" s="417">
        <v>44896</v>
      </c>
      <c r="BT5" s="417">
        <v>44927</v>
      </c>
      <c r="BU5" s="417">
        <v>44958</v>
      </c>
      <c r="BV5" s="417">
        <v>44986</v>
      </c>
      <c r="BW5" s="417">
        <v>45017</v>
      </c>
      <c r="BX5" s="417">
        <v>45047</v>
      </c>
      <c r="BY5" s="417">
        <v>45078</v>
      </c>
      <c r="BZ5" s="417">
        <v>45108</v>
      </c>
      <c r="CA5" s="417">
        <v>45139</v>
      </c>
      <c r="CB5" s="417">
        <v>45170</v>
      </c>
      <c r="CC5" s="417">
        <v>45200</v>
      </c>
      <c r="CD5" s="417">
        <v>45231</v>
      </c>
      <c r="CE5" s="417">
        <v>45261</v>
      </c>
      <c r="CF5" s="227"/>
      <c r="CG5" s="417">
        <v>45292</v>
      </c>
      <c r="CH5" s="417">
        <v>45323</v>
      </c>
      <c r="CI5" s="417">
        <v>45352</v>
      </c>
      <c r="CJ5" s="417">
        <v>45383</v>
      </c>
      <c r="CK5" s="417">
        <v>45413</v>
      </c>
      <c r="CL5" s="417">
        <v>45444</v>
      </c>
      <c r="CM5" s="417">
        <v>45474</v>
      </c>
      <c r="CN5" s="417">
        <v>45505</v>
      </c>
      <c r="CO5" s="417">
        <v>45536</v>
      </c>
      <c r="CP5" s="417">
        <v>45566</v>
      </c>
      <c r="CQ5" s="417">
        <v>45597</v>
      </c>
      <c r="CR5" s="417">
        <v>45627</v>
      </c>
      <c r="CS5" s="227"/>
      <c r="CT5" s="417">
        <v>45658</v>
      </c>
      <c r="CU5" s="417">
        <v>45689</v>
      </c>
      <c r="CV5" s="417">
        <v>45717</v>
      </c>
      <c r="CW5" s="417">
        <v>45748</v>
      </c>
      <c r="CX5" s="417">
        <v>45778</v>
      </c>
      <c r="CY5" s="417">
        <v>45809</v>
      </c>
      <c r="CZ5" s="417">
        <v>45839</v>
      </c>
      <c r="DA5" s="417">
        <v>45870</v>
      </c>
      <c r="DB5" s="417">
        <v>45901</v>
      </c>
      <c r="DC5" s="417">
        <v>45931</v>
      </c>
      <c r="DD5" s="417">
        <v>45962</v>
      </c>
      <c r="DE5" s="417">
        <v>45992</v>
      </c>
      <c r="DF5" s="227"/>
      <c r="DG5" s="417">
        <v>46023</v>
      </c>
      <c r="DH5" s="417">
        <v>46054</v>
      </c>
    </row>
    <row r="6" spans="1:112" x14ac:dyDescent="0.35">
      <c r="B6" s="249"/>
      <c r="C6" s="253">
        <v>11986678.050000001</v>
      </c>
      <c r="D6" s="252" t="s">
        <v>796</v>
      </c>
      <c r="E6" s="252" t="s">
        <v>796</v>
      </c>
      <c r="F6" s="224"/>
      <c r="G6" s="252" t="s">
        <v>796</v>
      </c>
      <c r="H6" s="252" t="s">
        <v>796</v>
      </c>
      <c r="I6" s="252" t="s">
        <v>796</v>
      </c>
      <c r="J6" s="252" t="s">
        <v>796</v>
      </c>
      <c r="K6" s="252" t="s">
        <v>796</v>
      </c>
      <c r="L6" s="252" t="s">
        <v>796</v>
      </c>
      <c r="M6" s="252" t="s">
        <v>796</v>
      </c>
      <c r="N6" s="252" t="s">
        <v>796</v>
      </c>
      <c r="O6" s="252" t="s">
        <v>796</v>
      </c>
      <c r="P6" s="252" t="s">
        <v>796</v>
      </c>
      <c r="Q6" s="252" t="s">
        <v>796</v>
      </c>
      <c r="R6" s="252" t="s">
        <v>796</v>
      </c>
      <c r="S6" s="253"/>
      <c r="T6" s="252" t="s">
        <v>796</v>
      </c>
      <c r="U6" s="252" t="s">
        <v>796</v>
      </c>
      <c r="V6" s="252" t="s">
        <v>796</v>
      </c>
      <c r="W6" s="252" t="s">
        <v>796</v>
      </c>
      <c r="X6" s="252" t="s">
        <v>796</v>
      </c>
      <c r="Y6" s="252" t="s">
        <v>796</v>
      </c>
      <c r="Z6" s="252" t="s">
        <v>796</v>
      </c>
      <c r="AA6" s="252" t="s">
        <v>796</v>
      </c>
      <c r="AB6" s="252" t="s">
        <v>796</v>
      </c>
      <c r="AC6" s="252" t="s">
        <v>796</v>
      </c>
      <c r="AD6" s="252" t="s">
        <v>796</v>
      </c>
      <c r="AE6" s="252" t="s">
        <v>796</v>
      </c>
      <c r="AF6" s="253"/>
      <c r="AG6" s="252" t="s">
        <v>796</v>
      </c>
      <c r="AH6" s="252" t="s">
        <v>796</v>
      </c>
      <c r="AI6" s="252" t="s">
        <v>796</v>
      </c>
      <c r="AJ6" s="252" t="s">
        <v>796</v>
      </c>
      <c r="AK6" s="252" t="s">
        <v>796</v>
      </c>
      <c r="AL6" s="252" t="s">
        <v>796</v>
      </c>
      <c r="AM6" s="252" t="s">
        <v>796</v>
      </c>
      <c r="AN6" s="252" t="s">
        <v>796</v>
      </c>
      <c r="AO6" s="252" t="s">
        <v>796</v>
      </c>
      <c r="AP6" s="252" t="s">
        <v>796</v>
      </c>
      <c r="AQ6" s="252" t="s">
        <v>796</v>
      </c>
      <c r="AR6" s="252" t="s">
        <v>796</v>
      </c>
      <c r="AS6" s="253"/>
      <c r="AT6" s="252" t="s">
        <v>796</v>
      </c>
      <c r="AU6" s="252" t="s">
        <v>796</v>
      </c>
      <c r="AV6" s="252" t="s">
        <v>796</v>
      </c>
      <c r="AW6" s="252" t="s">
        <v>796</v>
      </c>
      <c r="AX6" s="252" t="s">
        <v>796</v>
      </c>
      <c r="AY6" s="252" t="s">
        <v>796</v>
      </c>
      <c r="AZ6" s="252" t="s">
        <v>796</v>
      </c>
      <c r="BA6" s="252" t="s">
        <v>796</v>
      </c>
      <c r="BB6" s="252" t="s">
        <v>796</v>
      </c>
      <c r="BC6" s="252" t="s">
        <v>796</v>
      </c>
      <c r="BD6" s="252" t="s">
        <v>796</v>
      </c>
      <c r="BE6" s="252" t="s">
        <v>796</v>
      </c>
      <c r="BF6" s="253"/>
      <c r="BG6" s="252" t="s">
        <v>796</v>
      </c>
      <c r="BH6" s="417" t="s">
        <v>796</v>
      </c>
      <c r="BI6" s="417" t="s">
        <v>796</v>
      </c>
      <c r="BJ6" s="417" t="s">
        <v>796</v>
      </c>
      <c r="BK6" s="417" t="s">
        <v>796</v>
      </c>
      <c r="BL6" s="417" t="s">
        <v>796</v>
      </c>
      <c r="BM6" s="417" t="s">
        <v>796</v>
      </c>
      <c r="BN6" s="417" t="s">
        <v>796</v>
      </c>
      <c r="BO6" s="417" t="s">
        <v>796</v>
      </c>
      <c r="BP6" s="417" t="s">
        <v>796</v>
      </c>
      <c r="BQ6" s="417" t="s">
        <v>796</v>
      </c>
      <c r="BR6" s="417" t="s">
        <v>796</v>
      </c>
      <c r="BT6" s="417" t="s">
        <v>796</v>
      </c>
      <c r="BU6" s="417" t="s">
        <v>796</v>
      </c>
      <c r="BV6" s="417" t="s">
        <v>796</v>
      </c>
      <c r="BW6" s="417" t="s">
        <v>796</v>
      </c>
      <c r="BX6" s="417" t="s">
        <v>796</v>
      </c>
      <c r="BY6" s="417" t="s">
        <v>796</v>
      </c>
      <c r="BZ6" s="417" t="s">
        <v>796</v>
      </c>
      <c r="CA6" s="417" t="s">
        <v>796</v>
      </c>
      <c r="CB6" s="417" t="s">
        <v>796</v>
      </c>
      <c r="CC6" s="417" t="s">
        <v>796</v>
      </c>
      <c r="CD6" s="417" t="s">
        <v>796</v>
      </c>
      <c r="CE6" s="417" t="s">
        <v>796</v>
      </c>
      <c r="CF6" s="227"/>
      <c r="CG6" s="417" t="s">
        <v>796</v>
      </c>
      <c r="CH6" s="417" t="s">
        <v>796</v>
      </c>
      <c r="CI6" s="417" t="s">
        <v>796</v>
      </c>
      <c r="CJ6" s="417" t="s">
        <v>796</v>
      </c>
      <c r="CK6" s="417" t="s">
        <v>796</v>
      </c>
      <c r="CL6" s="417" t="s">
        <v>796</v>
      </c>
      <c r="CM6" s="417" t="s">
        <v>796</v>
      </c>
      <c r="CN6" s="417" t="s">
        <v>796</v>
      </c>
      <c r="CO6" s="417" t="s">
        <v>796</v>
      </c>
      <c r="CP6" s="417" t="s">
        <v>796</v>
      </c>
      <c r="CQ6" s="417" t="s">
        <v>796</v>
      </c>
      <c r="CR6" s="417" t="s">
        <v>796</v>
      </c>
      <c r="CS6" s="227"/>
      <c r="CT6" s="417" t="s">
        <v>796</v>
      </c>
      <c r="CU6" s="417" t="s">
        <v>796</v>
      </c>
      <c r="CV6" s="417" t="s">
        <v>796</v>
      </c>
      <c r="CW6" s="417" t="s">
        <v>796</v>
      </c>
      <c r="CX6" s="417" t="s">
        <v>796</v>
      </c>
      <c r="CY6" s="417" t="s">
        <v>796</v>
      </c>
      <c r="CZ6" s="417" t="s">
        <v>796</v>
      </c>
      <c r="DA6" s="417" t="s">
        <v>796</v>
      </c>
      <c r="DB6" s="417" t="s">
        <v>796</v>
      </c>
      <c r="DC6" s="417" t="s">
        <v>796</v>
      </c>
      <c r="DD6" s="417" t="s">
        <v>796</v>
      </c>
      <c r="DE6" s="417" t="s">
        <v>796</v>
      </c>
      <c r="DF6" s="227"/>
      <c r="DG6" s="417" t="s">
        <v>796</v>
      </c>
      <c r="DH6" s="417" t="s">
        <v>796</v>
      </c>
    </row>
    <row r="7" spans="1:112" x14ac:dyDescent="0.35">
      <c r="B7" s="254" t="s">
        <v>797</v>
      </c>
      <c r="C7" s="322">
        <v>39833.68</v>
      </c>
      <c r="D7" s="324">
        <v>9201</v>
      </c>
      <c r="E7" s="324">
        <v>73432</v>
      </c>
      <c r="F7" s="324"/>
      <c r="G7" s="339">
        <v>107490</v>
      </c>
      <c r="H7" s="339">
        <v>94667</v>
      </c>
      <c r="I7" s="339">
        <v>107359</v>
      </c>
      <c r="J7" s="339">
        <v>128516</v>
      </c>
      <c r="K7" s="126">
        <v>110550</v>
      </c>
      <c r="L7" s="339">
        <v>115325</v>
      </c>
      <c r="M7" s="339">
        <v>217101</v>
      </c>
      <c r="N7" s="339">
        <v>274128</v>
      </c>
      <c r="O7" s="339">
        <v>314889</v>
      </c>
      <c r="P7" s="339">
        <v>427371</v>
      </c>
      <c r="Q7" s="339">
        <v>354071</v>
      </c>
      <c r="R7" s="339">
        <v>374660</v>
      </c>
      <c r="S7" s="339"/>
      <c r="T7" s="339">
        <v>367432</v>
      </c>
      <c r="U7" s="339">
        <v>389463</v>
      </c>
      <c r="V7" s="339">
        <v>442678</v>
      </c>
      <c r="W7" s="339">
        <v>457612</v>
      </c>
      <c r="X7" s="339">
        <v>449743</v>
      </c>
      <c r="Y7" s="339">
        <v>456587</v>
      </c>
      <c r="Z7" s="339">
        <v>502997</v>
      </c>
      <c r="AA7" s="339">
        <v>558418</v>
      </c>
      <c r="AB7" s="339">
        <v>579313</v>
      </c>
      <c r="AC7" s="339">
        <v>618192</v>
      </c>
      <c r="AD7" s="339">
        <v>666344</v>
      </c>
      <c r="AE7" s="339">
        <v>632452</v>
      </c>
      <c r="AF7" s="339"/>
      <c r="AG7" s="339">
        <v>600300</v>
      </c>
      <c r="AH7" s="339">
        <v>673346</v>
      </c>
      <c r="AI7" s="339">
        <v>718859</v>
      </c>
      <c r="AJ7" s="339">
        <v>748840</v>
      </c>
      <c r="AK7" s="340">
        <v>870590</v>
      </c>
      <c r="AL7" s="340">
        <v>819473</v>
      </c>
      <c r="AM7" s="340">
        <v>930778</v>
      </c>
      <c r="AN7" s="324">
        <v>914966</v>
      </c>
      <c r="AO7" s="322">
        <v>959540</v>
      </c>
      <c r="AP7" s="322">
        <v>1010378</v>
      </c>
      <c r="AQ7" s="322">
        <v>1117366</v>
      </c>
      <c r="AR7" s="322">
        <v>1215330</v>
      </c>
      <c r="AS7" s="339"/>
      <c r="AT7" s="322">
        <v>1330057</v>
      </c>
      <c r="AU7" s="322">
        <v>1208218</v>
      </c>
      <c r="AV7" s="352">
        <v>1286067</v>
      </c>
      <c r="AW7" s="352">
        <v>1193165</v>
      </c>
      <c r="AX7" s="352">
        <v>1199827</v>
      </c>
      <c r="AY7" s="352">
        <v>1060618</v>
      </c>
      <c r="AZ7" s="352">
        <v>1375733</v>
      </c>
      <c r="BA7" s="352">
        <v>1232780</v>
      </c>
      <c r="BB7" s="352">
        <v>1316285.7023744583</v>
      </c>
      <c r="BC7" s="352">
        <v>1413808.3687801361</v>
      </c>
      <c r="BD7" s="352">
        <v>1270482.8082532883</v>
      </c>
      <c r="BE7" s="322">
        <v>1201094.7294664383</v>
      </c>
      <c r="BF7" s="339"/>
      <c r="BG7" s="352">
        <v>1229256.7423763275</v>
      </c>
      <c r="BH7" s="352">
        <v>1155307.6501550674</v>
      </c>
      <c r="BI7" s="352">
        <v>1526217.7822380066</v>
      </c>
      <c r="BJ7" s="352">
        <v>1296915.7607822418</v>
      </c>
      <c r="BK7" s="427">
        <v>1967906.2218551636</v>
      </c>
      <c r="BL7" s="427">
        <v>2185062.9693508148</v>
      </c>
      <c r="BM7" s="427">
        <v>2227276.0886335373</v>
      </c>
      <c r="BN7" s="427">
        <v>1318549.7533388138</v>
      </c>
      <c r="BO7" s="427">
        <v>3793712.0254850388</v>
      </c>
      <c r="BP7" s="427">
        <v>2679024.3217067719</v>
      </c>
      <c r="BQ7" s="427">
        <v>2482926.4797830582</v>
      </c>
      <c r="BR7" s="427">
        <v>2510796.8494939804</v>
      </c>
      <c r="BT7" s="340">
        <v>2687459.3799495697</v>
      </c>
      <c r="BU7" s="423">
        <v>2378877.2931728363</v>
      </c>
      <c r="BV7" s="423">
        <v>2759952.5636348724</v>
      </c>
      <c r="BW7" s="423">
        <v>2585945.7118349075</v>
      </c>
      <c r="BX7" s="423">
        <v>2813911.3104734421</v>
      </c>
      <c r="BY7" s="423">
        <v>3065919.0302762985</v>
      </c>
      <c r="BZ7" s="423">
        <v>3340867.8067378998</v>
      </c>
      <c r="CA7" s="423">
        <v>3837753.919500351</v>
      </c>
      <c r="CB7" s="423">
        <v>7387468.4300479889</v>
      </c>
      <c r="CC7" s="423">
        <v>3109008.2886228561</v>
      </c>
      <c r="CD7" s="521">
        <v>3373745.0361433029</v>
      </c>
      <c r="CE7" s="521">
        <v>5950331.0354824066</v>
      </c>
      <c r="CF7" s="423"/>
      <c r="CG7" s="423">
        <v>2782257.5712804794</v>
      </c>
      <c r="CH7" s="423">
        <v>2752338.97286129</v>
      </c>
      <c r="CI7" s="423">
        <v>2800687.2421627045</v>
      </c>
      <c r="CJ7" s="423">
        <v>2757111.5020608902</v>
      </c>
      <c r="CK7" s="423">
        <v>2676850.1917581558</v>
      </c>
      <c r="CL7" s="423">
        <v>2817134.2652359009</v>
      </c>
      <c r="CM7" s="423">
        <v>3104748.1059474945</v>
      </c>
      <c r="CN7" s="423">
        <v>3678615.6884336472</v>
      </c>
      <c r="CO7" s="423">
        <v>3641104.5617647171</v>
      </c>
      <c r="CP7" s="423">
        <v>4172280.9098911285</v>
      </c>
      <c r="CQ7" s="423">
        <v>3498612.01836586</v>
      </c>
      <c r="CR7" s="423">
        <v>3203392.5536556244</v>
      </c>
      <c r="CS7" s="423"/>
      <c r="CT7" s="423">
        <v>2484532.3167724609</v>
      </c>
      <c r="CU7" s="423">
        <v>3102868.1824808121</v>
      </c>
      <c r="CV7" s="423">
        <v>2605616.6514625549</v>
      </c>
      <c r="CW7" s="423">
        <v>2623540.8080368042</v>
      </c>
      <c r="CX7" s="423">
        <v>2364706.159740448</v>
      </c>
      <c r="CY7" s="423">
        <v>2279183.8184461594</v>
      </c>
      <c r="CZ7" s="423">
        <v>2499601.9276208878</v>
      </c>
      <c r="DA7" s="423">
        <v>1843627.7590379715</v>
      </c>
      <c r="DB7" s="423">
        <v>1972576.652929306</v>
      </c>
      <c r="DC7" s="423">
        <v>2605616.6514625549</v>
      </c>
      <c r="DD7" s="423">
        <v>1919698.3145141602</v>
      </c>
      <c r="DE7" s="423">
        <v>2045684.466173172</v>
      </c>
      <c r="DF7" s="423"/>
      <c r="DG7" s="423">
        <v>2377569.1040830612</v>
      </c>
      <c r="DH7" s="686">
        <v>2380073.4679441452</v>
      </c>
    </row>
    <row r="8" spans="1:112" x14ac:dyDescent="0.35">
      <c r="B8" s="254" t="s">
        <v>798</v>
      </c>
      <c r="C8" s="324">
        <v>65807</v>
      </c>
      <c r="D8" s="324">
        <v>80777</v>
      </c>
      <c r="E8" s="324">
        <v>151217</v>
      </c>
      <c r="F8" s="324"/>
      <c r="G8" s="339">
        <v>159960</v>
      </c>
      <c r="H8" s="339">
        <v>145495</v>
      </c>
      <c r="I8" s="339">
        <v>203013</v>
      </c>
      <c r="J8" s="339">
        <v>202806</v>
      </c>
      <c r="K8" s="339">
        <v>277717</v>
      </c>
      <c r="L8" s="339">
        <v>191060</v>
      </c>
      <c r="M8" s="339">
        <v>250327</v>
      </c>
      <c r="N8" s="339">
        <v>329107</v>
      </c>
      <c r="O8" s="339">
        <v>380246</v>
      </c>
      <c r="P8" s="339">
        <v>429902</v>
      </c>
      <c r="Q8" s="339">
        <v>466264</v>
      </c>
      <c r="R8" s="339">
        <v>548383</v>
      </c>
      <c r="S8" s="339"/>
      <c r="T8" s="339">
        <v>645170</v>
      </c>
      <c r="U8" s="339">
        <v>645555</v>
      </c>
      <c r="V8" s="339">
        <v>627821</v>
      </c>
      <c r="W8" s="339">
        <v>642367</v>
      </c>
      <c r="X8" s="339">
        <v>803729</v>
      </c>
      <c r="Y8" s="339">
        <v>711253</v>
      </c>
      <c r="Z8" s="339">
        <v>819250.99562168121</v>
      </c>
      <c r="AA8" s="339">
        <v>826037</v>
      </c>
      <c r="AB8" s="339">
        <v>892993.45513820648</v>
      </c>
      <c r="AC8" s="339">
        <v>966705.96848106384</v>
      </c>
      <c r="AD8" s="339">
        <v>1040324</v>
      </c>
      <c r="AE8" s="339">
        <v>1060785</v>
      </c>
      <c r="AF8" s="339"/>
      <c r="AG8" s="339">
        <v>1110170</v>
      </c>
      <c r="AH8" s="339">
        <v>1368025</v>
      </c>
      <c r="AI8" s="339">
        <v>883238.94594860077</v>
      </c>
      <c r="AJ8" s="339">
        <v>697133</v>
      </c>
      <c r="AK8" s="340">
        <v>688924</v>
      </c>
      <c r="AL8" s="340">
        <v>667336</v>
      </c>
      <c r="AM8" s="340">
        <v>730371</v>
      </c>
      <c r="AN8" s="324">
        <v>822223</v>
      </c>
      <c r="AO8" s="322">
        <v>936474</v>
      </c>
      <c r="AP8" s="322">
        <v>866510</v>
      </c>
      <c r="AQ8" s="322">
        <v>579913.14942836761</v>
      </c>
      <c r="AR8" s="322">
        <v>605413</v>
      </c>
      <c r="AS8" s="339"/>
      <c r="AT8" s="322">
        <v>314290</v>
      </c>
      <c r="AU8" s="322">
        <v>1000739.6422748566</v>
      </c>
      <c r="AV8" s="352">
        <v>712855</v>
      </c>
      <c r="AW8" s="352">
        <v>662949</v>
      </c>
      <c r="AX8" s="352">
        <v>682106</v>
      </c>
      <c r="AY8" s="352">
        <v>661937.182554245</v>
      </c>
      <c r="AZ8" s="352">
        <v>695163.58463001251</v>
      </c>
      <c r="BA8" s="352">
        <v>1080793.1340475082</v>
      </c>
      <c r="BB8" s="352">
        <v>940626.00103092194</v>
      </c>
      <c r="BC8" s="352">
        <v>966931.7087430954</v>
      </c>
      <c r="BD8" s="352">
        <v>762323.84274864197</v>
      </c>
      <c r="BE8" s="322">
        <v>701954.73459243774</v>
      </c>
      <c r="BF8" s="339"/>
      <c r="BG8" s="352">
        <v>687897.90783691406</v>
      </c>
      <c r="BH8" s="352">
        <v>725350.92488193512</v>
      </c>
      <c r="BI8" s="352">
        <v>898255.09587574005</v>
      </c>
      <c r="BJ8" s="352">
        <v>748380.64960479736</v>
      </c>
      <c r="BK8" s="427">
        <v>805188.57956218719</v>
      </c>
      <c r="BL8" s="427">
        <v>776498.77496623993</v>
      </c>
      <c r="BM8" s="427">
        <v>791686.29352760315</v>
      </c>
      <c r="BN8" s="427">
        <v>498877.51435756683</v>
      </c>
      <c r="BO8" s="427">
        <v>1068512.7850294113</v>
      </c>
      <c r="BP8" s="427">
        <v>807665.93587112427</v>
      </c>
      <c r="BQ8" s="427">
        <v>816083</v>
      </c>
      <c r="BR8" s="427">
        <v>773770.97896575928</v>
      </c>
      <c r="BS8" s="340"/>
      <c r="BT8" s="340">
        <v>646571.2550945282</v>
      </c>
      <c r="BU8" s="423">
        <v>676587.92220497131</v>
      </c>
      <c r="BV8" s="423">
        <v>379594.26409721375</v>
      </c>
      <c r="BW8" s="423">
        <v>789651.46230316162</v>
      </c>
      <c r="BX8" s="423">
        <v>773601.08220291138</v>
      </c>
      <c r="BY8" s="423">
        <v>819543.39343357086</v>
      </c>
      <c r="BZ8" s="423">
        <v>745831.20344924927</v>
      </c>
      <c r="CA8" s="423">
        <v>1009585.1405515671</v>
      </c>
      <c r="CB8" s="423">
        <v>1351805.1362581253</v>
      </c>
      <c r="CC8" s="423">
        <v>1605547.545800209</v>
      </c>
      <c r="CD8" s="521">
        <v>1762252.8799352646</v>
      </c>
      <c r="CE8" s="521">
        <v>1346540.7434015274</v>
      </c>
      <c r="CF8" s="423"/>
      <c r="CG8" s="546">
        <v>1841452.7849159241</v>
      </c>
      <c r="CH8" s="423">
        <v>1926080.5047006607</v>
      </c>
      <c r="CI8" s="423">
        <v>1976126.0210056305</v>
      </c>
      <c r="CJ8" s="423">
        <v>1351073.6689300537</v>
      </c>
      <c r="CK8" s="423">
        <v>1261008.8754901886</v>
      </c>
      <c r="CL8" s="423">
        <v>1208056.7729415894</v>
      </c>
      <c r="CM8" s="423">
        <v>1654725.9105920792</v>
      </c>
      <c r="CN8" s="423">
        <v>1578222.5239658356</v>
      </c>
      <c r="CO8" s="423">
        <v>1700007.9467611313</v>
      </c>
      <c r="CP8" s="423">
        <v>1423109.2695131302</v>
      </c>
      <c r="CQ8" s="423">
        <v>1723158.6446638107</v>
      </c>
      <c r="CR8" s="423">
        <v>1588123.3183116913</v>
      </c>
      <c r="CS8" s="423"/>
      <c r="CT8" s="423">
        <v>1350911.6287927628</v>
      </c>
      <c r="CU8" s="423">
        <v>1394939.1121320724</v>
      </c>
      <c r="CV8" s="423">
        <v>1394230.223192215</v>
      </c>
      <c r="CW8" s="423">
        <v>1194450.3449258804</v>
      </c>
      <c r="CX8" s="423">
        <v>1767091.4079627991</v>
      </c>
      <c r="CY8" s="423">
        <v>1702025.9963607788</v>
      </c>
      <c r="CZ8" s="423">
        <v>1560886.488656044</v>
      </c>
      <c r="DA8" s="423">
        <v>1101762.2414236069</v>
      </c>
      <c r="DB8" s="423">
        <v>1136356.555891037</v>
      </c>
      <c r="DC8" s="423">
        <v>1394230.223192215</v>
      </c>
      <c r="DD8" s="423">
        <v>1413834.7937660217</v>
      </c>
      <c r="DE8" s="423">
        <v>1491429.74106884</v>
      </c>
      <c r="DF8" s="423"/>
      <c r="DG8" s="423">
        <v>1620915.6911001205</v>
      </c>
      <c r="DH8" s="686">
        <v>1172396.0690889359</v>
      </c>
    </row>
    <row r="9" spans="1:112" x14ac:dyDescent="0.35">
      <c r="B9" s="254" t="s">
        <v>799</v>
      </c>
      <c r="C9" s="324">
        <v>11601</v>
      </c>
      <c r="D9" s="324">
        <v>51400</v>
      </c>
      <c r="E9" s="324">
        <v>72467</v>
      </c>
      <c r="F9" s="324"/>
      <c r="G9" s="339">
        <v>75932</v>
      </c>
      <c r="H9" s="339">
        <v>76509</v>
      </c>
      <c r="I9" s="339">
        <v>104392</v>
      </c>
      <c r="J9" s="339">
        <v>110328</v>
      </c>
      <c r="K9" s="339">
        <v>108602</v>
      </c>
      <c r="L9" s="339">
        <v>108720</v>
      </c>
      <c r="M9" s="339">
        <v>80699</v>
      </c>
      <c r="N9" s="339">
        <v>81350</v>
      </c>
      <c r="O9" s="339">
        <v>82921</v>
      </c>
      <c r="P9" s="339">
        <v>94277</v>
      </c>
      <c r="Q9" s="339">
        <v>95601</v>
      </c>
      <c r="R9" s="339">
        <v>92748</v>
      </c>
      <c r="S9" s="339"/>
      <c r="T9" s="339">
        <v>114210</v>
      </c>
      <c r="U9" s="339">
        <v>80663</v>
      </c>
      <c r="V9" s="339">
        <v>92827</v>
      </c>
      <c r="W9" s="339">
        <v>107214</v>
      </c>
      <c r="X9" s="339">
        <v>121957</v>
      </c>
      <c r="Y9" s="339">
        <v>123244</v>
      </c>
      <c r="Z9" s="339">
        <v>162533.50976467133</v>
      </c>
      <c r="AA9" s="339">
        <v>159736</v>
      </c>
      <c r="AB9" s="339">
        <v>100499.79571437836</v>
      </c>
      <c r="AC9" s="339">
        <v>103470.39288139343</v>
      </c>
      <c r="AD9" s="339">
        <v>100145</v>
      </c>
      <c r="AE9" s="339">
        <v>92661</v>
      </c>
      <c r="AF9" s="339"/>
      <c r="AG9" s="339">
        <v>232133</v>
      </c>
      <c r="AH9" s="339">
        <v>92943</v>
      </c>
      <c r="AI9" s="339">
        <v>102927.10432910919</v>
      </c>
      <c r="AJ9" s="339">
        <v>61598.411466598511</v>
      </c>
      <c r="AK9" s="340">
        <v>72852</v>
      </c>
      <c r="AL9" s="340">
        <v>68262</v>
      </c>
      <c r="AM9" s="340">
        <v>158902</v>
      </c>
      <c r="AN9" s="340">
        <v>154822.52683925629</v>
      </c>
      <c r="AO9" s="340">
        <v>172552.00952148438</v>
      </c>
      <c r="AP9" s="322">
        <v>179590</v>
      </c>
      <c r="AQ9" s="322">
        <v>93014.926724433899</v>
      </c>
      <c r="AR9" s="322">
        <v>85297</v>
      </c>
      <c r="AS9" s="339"/>
      <c r="AT9" s="322">
        <v>62223</v>
      </c>
      <c r="AU9" s="322">
        <v>55484</v>
      </c>
      <c r="AV9" s="352">
        <v>65266</v>
      </c>
      <c r="AW9" s="352">
        <v>64127</v>
      </c>
      <c r="AX9" s="352">
        <v>57051</v>
      </c>
      <c r="AY9" s="352">
        <v>63471.128173828125</v>
      </c>
      <c r="AZ9" s="352">
        <v>77498.320379257202</v>
      </c>
      <c r="BA9" s="352">
        <v>73114</v>
      </c>
      <c r="BB9" s="352">
        <v>80362.95575428009</v>
      </c>
      <c r="BC9" s="352">
        <v>73866.599809646606</v>
      </c>
      <c r="BD9" s="352">
        <v>65609.882902145386</v>
      </c>
      <c r="BE9" s="322">
        <v>78057.562062263489</v>
      </c>
      <c r="BF9" s="339"/>
      <c r="BG9" s="352">
        <v>72352.08563709259</v>
      </c>
      <c r="BH9" s="352">
        <v>71781.946935653687</v>
      </c>
      <c r="BI9" s="352">
        <v>83915</v>
      </c>
      <c r="BJ9" s="352">
        <v>71533.086498260498</v>
      </c>
      <c r="BK9" s="427">
        <v>105078.35117530823</v>
      </c>
      <c r="BL9" s="427">
        <v>84701.305248260498</v>
      </c>
      <c r="BM9" s="427">
        <v>81362.295842170715</v>
      </c>
      <c r="BN9" s="427">
        <v>48296.205644607544</v>
      </c>
      <c r="BO9" s="427">
        <v>127058.7910490036</v>
      </c>
      <c r="BP9" s="427">
        <v>65503.475547790527</v>
      </c>
      <c r="BQ9" s="427">
        <v>154224</v>
      </c>
      <c r="BR9" s="427">
        <v>316914.04296302795</v>
      </c>
      <c r="BS9" s="340"/>
      <c r="BT9" s="340">
        <v>365212.04603004456</v>
      </c>
      <c r="BU9" s="423">
        <v>378761.21440029144</v>
      </c>
      <c r="BV9" s="423">
        <v>678112.06056499481</v>
      </c>
      <c r="BW9" s="423">
        <v>680471.58677005768</v>
      </c>
      <c r="BX9" s="423">
        <v>588554.33927345276</v>
      </c>
      <c r="BY9" s="423">
        <v>511787.67680454254</v>
      </c>
      <c r="BZ9" s="423">
        <v>688579.16956138611</v>
      </c>
      <c r="CA9" s="423">
        <v>568483.09785842896</v>
      </c>
      <c r="CB9" s="423">
        <v>547199.94435882568</v>
      </c>
      <c r="CC9" s="423">
        <v>524321.81667709351</v>
      </c>
      <c r="CD9" s="521">
        <v>606570.82348632813</v>
      </c>
      <c r="CE9" s="521">
        <v>519449.7295999527</v>
      </c>
      <c r="CF9" s="423"/>
      <c r="CG9" s="546">
        <v>609165.08720493317</v>
      </c>
      <c r="CH9" s="423">
        <v>554370.20463943481</v>
      </c>
      <c r="CI9" s="423">
        <v>741390.10744571686</v>
      </c>
      <c r="CJ9" s="423">
        <v>535153.44254684448</v>
      </c>
      <c r="CK9" s="423">
        <v>641526.35603618622</v>
      </c>
      <c r="CL9" s="423">
        <v>700985.3645324707</v>
      </c>
      <c r="CM9" s="423">
        <v>931740.7429189682</v>
      </c>
      <c r="CN9" s="423">
        <v>776089.0693321228</v>
      </c>
      <c r="CO9" s="423">
        <v>1758437.9508657455</v>
      </c>
      <c r="CP9" s="423">
        <v>2670360.058924675</v>
      </c>
      <c r="CQ9" s="423">
        <v>1968339.0647449493</v>
      </c>
      <c r="CR9" s="423">
        <v>1910750.848031044</v>
      </c>
      <c r="CS9" s="423"/>
      <c r="CT9" s="423">
        <v>762563.47826385498</v>
      </c>
      <c r="CU9" s="423">
        <v>1088303.5074243546</v>
      </c>
      <c r="CV9" s="423">
        <v>1180510.9411325455</v>
      </c>
      <c r="CW9" s="423">
        <v>1038425.0795536041</v>
      </c>
      <c r="CX9" s="423">
        <v>1453713.7236919403</v>
      </c>
      <c r="CY9" s="423">
        <v>2254481.6699399948</v>
      </c>
      <c r="CZ9" s="423">
        <v>895130.69670963287</v>
      </c>
      <c r="DA9" s="423">
        <v>1100231.3854675293</v>
      </c>
      <c r="DB9" s="423">
        <v>673337.66723155975</v>
      </c>
      <c r="DC9" s="423">
        <v>1180510.9411325455</v>
      </c>
      <c r="DD9" s="423">
        <v>628858.62230682373</v>
      </c>
      <c r="DE9" s="423">
        <v>886466.15434455872</v>
      </c>
      <c r="DF9" s="423"/>
      <c r="DG9" s="423">
        <v>1100669.7256717682</v>
      </c>
      <c r="DH9" s="686">
        <v>1196148.3124799728</v>
      </c>
    </row>
    <row r="10" spans="1:112" x14ac:dyDescent="0.35">
      <c r="B10" s="255" t="s">
        <v>198</v>
      </c>
      <c r="C10" s="342">
        <v>1677.92</v>
      </c>
      <c r="D10" s="341">
        <f t="shared" ref="D10:R10" si="0">SUM(D7:D9)</f>
        <v>141378</v>
      </c>
      <c r="E10" s="341">
        <f t="shared" si="0"/>
        <v>297116</v>
      </c>
      <c r="F10" s="324"/>
      <c r="G10" s="341">
        <f t="shared" si="0"/>
        <v>343382</v>
      </c>
      <c r="H10" s="341">
        <f t="shared" si="0"/>
        <v>316671</v>
      </c>
      <c r="I10" s="341">
        <f t="shared" si="0"/>
        <v>414764</v>
      </c>
      <c r="J10" s="341">
        <f t="shared" si="0"/>
        <v>441650</v>
      </c>
      <c r="K10" s="341">
        <f t="shared" si="0"/>
        <v>496869</v>
      </c>
      <c r="L10" s="341">
        <f t="shared" si="0"/>
        <v>415105</v>
      </c>
      <c r="M10" s="341">
        <f t="shared" si="0"/>
        <v>548127</v>
      </c>
      <c r="N10" s="341">
        <f t="shared" si="0"/>
        <v>684585</v>
      </c>
      <c r="O10" s="341">
        <f t="shared" si="0"/>
        <v>778056</v>
      </c>
      <c r="P10" s="341">
        <f t="shared" si="0"/>
        <v>951550</v>
      </c>
      <c r="Q10" s="341">
        <f t="shared" si="0"/>
        <v>915936</v>
      </c>
      <c r="R10" s="341">
        <f t="shared" si="0"/>
        <v>1015791</v>
      </c>
      <c r="S10" s="341"/>
      <c r="T10" s="341">
        <f t="shared" ref="T10:AE10" si="1">SUM(T7:T9)</f>
        <v>1126812</v>
      </c>
      <c r="U10" s="341">
        <f t="shared" si="1"/>
        <v>1115681</v>
      </c>
      <c r="V10" s="353">
        <v>1929.96</v>
      </c>
      <c r="W10" s="341">
        <f t="shared" si="1"/>
        <v>1207193</v>
      </c>
      <c r="X10" s="341">
        <f t="shared" si="1"/>
        <v>1375429</v>
      </c>
      <c r="Y10" s="341">
        <f t="shared" si="1"/>
        <v>1291084</v>
      </c>
      <c r="Z10" s="341">
        <f t="shared" si="1"/>
        <v>1484781.5053863525</v>
      </c>
      <c r="AA10" s="341">
        <f t="shared" si="1"/>
        <v>1544191</v>
      </c>
      <c r="AB10" s="341">
        <f t="shared" si="1"/>
        <v>1572806.2508525848</v>
      </c>
      <c r="AC10" s="341">
        <f t="shared" si="1"/>
        <v>1688368.3613624573</v>
      </c>
      <c r="AD10" s="341">
        <f t="shared" si="1"/>
        <v>1806813</v>
      </c>
      <c r="AE10" s="341">
        <f t="shared" si="1"/>
        <v>1785898</v>
      </c>
      <c r="AF10" s="341"/>
      <c r="AG10" s="341">
        <f t="shared" ref="AG10:AP10" si="2">SUM(AG7:AG9)</f>
        <v>1942603</v>
      </c>
      <c r="AH10" s="341">
        <f t="shared" si="2"/>
        <v>2134314</v>
      </c>
      <c r="AI10" s="341">
        <f t="shared" si="2"/>
        <v>1705025.05027771</v>
      </c>
      <c r="AJ10" s="341">
        <f t="shared" si="2"/>
        <v>1507571.4114665985</v>
      </c>
      <c r="AK10" s="342">
        <f t="shared" si="2"/>
        <v>1632366</v>
      </c>
      <c r="AL10" s="342">
        <f t="shared" si="2"/>
        <v>1555071</v>
      </c>
      <c r="AM10" s="342">
        <f t="shared" si="2"/>
        <v>1820051</v>
      </c>
      <c r="AN10" s="342">
        <f t="shared" si="2"/>
        <v>1892011.5268392563</v>
      </c>
      <c r="AO10" s="342">
        <f t="shared" si="2"/>
        <v>2068566.0095214844</v>
      </c>
      <c r="AP10" s="342">
        <f t="shared" si="2"/>
        <v>2056478</v>
      </c>
      <c r="AQ10" s="342">
        <f>SUM(AQ7:AQ9)</f>
        <v>1790294.0761528015</v>
      </c>
      <c r="AR10" s="342">
        <f>SUM(AR7:AR9)</f>
        <v>1906040</v>
      </c>
      <c r="AS10" s="341"/>
      <c r="AT10" s="342">
        <f>SUM(AT7:AT9)</f>
        <v>1706570</v>
      </c>
      <c r="AU10" s="342">
        <f>SUM(AU7:AU9)</f>
        <v>2264441.6422748566</v>
      </c>
      <c r="AV10" s="342">
        <f>SUM(AV7:AV9)</f>
        <v>2064188</v>
      </c>
      <c r="AW10" s="342">
        <f t="shared" ref="AW10:BB10" si="3">SUM(AW7:AW9)</f>
        <v>1920241</v>
      </c>
      <c r="AX10" s="342">
        <f t="shared" si="3"/>
        <v>1938984</v>
      </c>
      <c r="AY10" s="342">
        <f t="shared" si="3"/>
        <v>1786026.3107280731</v>
      </c>
      <c r="AZ10" s="342">
        <f t="shared" si="3"/>
        <v>2148394.9050092697</v>
      </c>
      <c r="BA10" s="342">
        <f t="shared" si="3"/>
        <v>2386687.1340475082</v>
      </c>
      <c r="BB10" s="342">
        <f t="shared" si="3"/>
        <v>2337274.6591596603</v>
      </c>
      <c r="BC10" s="342">
        <f>SUM(BC7:BC9)</f>
        <v>2454606.6773328781</v>
      </c>
      <c r="BD10" s="342">
        <f>SUM(BD7:BD9)</f>
        <v>2098416.5339040756</v>
      </c>
      <c r="BE10" s="342">
        <f t="shared" ref="BE10" si="4">SUM(BE7:BE9)</f>
        <v>1981107.0261211395</v>
      </c>
      <c r="BF10" s="339"/>
      <c r="BG10" s="342">
        <f t="shared" ref="BG10:BL10" si="5">SUM(BG7:BG9)</f>
        <v>1989506.7358503342</v>
      </c>
      <c r="BH10" s="342">
        <f t="shared" si="5"/>
        <v>1952440.5219726563</v>
      </c>
      <c r="BI10" s="342">
        <f t="shared" si="5"/>
        <v>2508387.8781137466</v>
      </c>
      <c r="BJ10" s="342">
        <f t="shared" si="5"/>
        <v>2116829.4968852997</v>
      </c>
      <c r="BK10" s="342">
        <f t="shared" si="5"/>
        <v>2878173.152592659</v>
      </c>
      <c r="BL10" s="342">
        <f t="shared" si="5"/>
        <v>3046263.0495653152</v>
      </c>
      <c r="BM10" s="342">
        <f t="shared" ref="BM10:BN10" si="6">SUM(BM7:BM9)</f>
        <v>3100324.6780033112</v>
      </c>
      <c r="BN10" s="342">
        <f t="shared" si="6"/>
        <v>1865723.4733409882</v>
      </c>
      <c r="BO10" s="342">
        <f t="shared" ref="BO10:BP10" si="7">SUM(BO7:BO9)</f>
        <v>4989283.6015634537</v>
      </c>
      <c r="BP10" s="342">
        <f t="shared" si="7"/>
        <v>3552193.7331256866</v>
      </c>
      <c r="BQ10" s="342">
        <f t="shared" ref="BQ10:BR10" si="8">SUM(BQ7:BQ9)</f>
        <v>3453233.4797830582</v>
      </c>
      <c r="BR10" s="342">
        <f t="shared" si="8"/>
        <v>3601481.8714227676</v>
      </c>
      <c r="BS10" s="340"/>
      <c r="BT10" s="342">
        <f t="shared" ref="BT10:CL10" si="9">SUM(BT7:BT9)</f>
        <v>3699242.6810741425</v>
      </c>
      <c r="BU10" s="447">
        <f t="shared" si="9"/>
        <v>3434226.4297780991</v>
      </c>
      <c r="BV10" s="342">
        <f t="shared" si="9"/>
        <v>3817658.888297081</v>
      </c>
      <c r="BW10" s="342">
        <f t="shared" si="9"/>
        <v>4056068.7609081268</v>
      </c>
      <c r="BX10" s="342">
        <f t="shared" si="9"/>
        <v>4176066.7319498062</v>
      </c>
      <c r="BY10" s="342">
        <f t="shared" si="9"/>
        <v>4397250.1005144119</v>
      </c>
      <c r="BZ10" s="342">
        <f t="shared" si="9"/>
        <v>4775278.1797485352</v>
      </c>
      <c r="CA10" s="342">
        <f t="shared" si="9"/>
        <v>5415822.157910347</v>
      </c>
      <c r="CB10" s="447">
        <f t="shared" si="9"/>
        <v>9286473.5106649399</v>
      </c>
      <c r="CC10" s="342">
        <f t="shared" si="9"/>
        <v>5238877.6511001587</v>
      </c>
      <c r="CD10" s="342">
        <f t="shared" si="9"/>
        <v>5742568.7395648956</v>
      </c>
      <c r="CE10" s="447">
        <f t="shared" si="9"/>
        <v>7816321.5084838867</v>
      </c>
      <c r="CF10" s="447"/>
      <c r="CG10" s="447">
        <f t="shared" si="9"/>
        <v>5232875.4434013367</v>
      </c>
      <c r="CH10" s="447">
        <f t="shared" si="9"/>
        <v>5232789.6822013855</v>
      </c>
      <c r="CI10" s="447">
        <f t="shared" si="9"/>
        <v>5518203.3706140518</v>
      </c>
      <c r="CJ10" s="447">
        <f t="shared" si="9"/>
        <v>4643338.6135377884</v>
      </c>
      <c r="CK10" s="447">
        <f t="shared" si="9"/>
        <v>4579385.4232845306</v>
      </c>
      <c r="CL10" s="447">
        <f t="shared" si="9"/>
        <v>4726176.4027099609</v>
      </c>
      <c r="CM10" s="447">
        <f t="shared" ref="CM10:CY10" si="10">SUM(CM7:CM9)</f>
        <v>5691214.7594585419</v>
      </c>
      <c r="CN10" s="447">
        <f t="shared" si="10"/>
        <v>6032927.2817316055</v>
      </c>
      <c r="CO10" s="447">
        <f t="shared" si="10"/>
        <v>7099550.4593915939</v>
      </c>
      <c r="CP10" s="447">
        <f t="shared" si="10"/>
        <v>8265750.2383289337</v>
      </c>
      <c r="CQ10" s="447">
        <f t="shared" si="10"/>
        <v>7190109.7277746201</v>
      </c>
      <c r="CR10" s="447">
        <f t="shared" si="10"/>
        <v>6702266.7199983597</v>
      </c>
      <c r="CS10" s="447"/>
      <c r="CT10" s="447">
        <f t="shared" si="10"/>
        <v>4598007.4238290787</v>
      </c>
      <c r="CU10" s="447">
        <f t="shared" si="10"/>
        <v>5586110.8020372391</v>
      </c>
      <c r="CV10" s="447">
        <f t="shared" si="10"/>
        <v>5180357.8157873154</v>
      </c>
      <c r="CW10" s="447">
        <f t="shared" si="10"/>
        <v>4856416.2325162888</v>
      </c>
      <c r="CX10" s="447">
        <f t="shared" si="10"/>
        <v>5585511.2913951874</v>
      </c>
      <c r="CY10" s="447">
        <f t="shared" si="10"/>
        <v>6235691.484746933</v>
      </c>
      <c r="CZ10" s="447">
        <f t="shared" ref="CZ10:DH10" si="11">SUM(CZ7:CZ9)</f>
        <v>4955619.1129865646</v>
      </c>
      <c r="DA10" s="447">
        <f t="shared" si="11"/>
        <v>4045621.3859291077</v>
      </c>
      <c r="DB10" s="447">
        <f t="shared" si="11"/>
        <v>3782270.8760519028</v>
      </c>
      <c r="DC10" s="447">
        <f t="shared" si="11"/>
        <v>5180357.8157873154</v>
      </c>
      <c r="DD10" s="447">
        <f t="shared" si="11"/>
        <v>3962391.7305870056</v>
      </c>
      <c r="DE10" s="447">
        <f t="shared" si="11"/>
        <v>4423580.3615865707</v>
      </c>
      <c r="DF10" s="447"/>
      <c r="DG10" s="447">
        <f t="shared" si="11"/>
        <v>5099154.52085495</v>
      </c>
      <c r="DH10" s="694">
        <f t="shared" si="11"/>
        <v>4748617.8495130539</v>
      </c>
    </row>
    <row r="11" spans="1:112" x14ac:dyDescent="0.35">
      <c r="C11">
        <v>214</v>
      </c>
      <c r="T11" s="351">
        <v>33.840000000000003</v>
      </c>
      <c r="U11" s="351">
        <v>228.69</v>
      </c>
      <c r="BF11" s="339"/>
      <c r="BS11" s="340"/>
      <c r="CB11" s="126"/>
      <c r="CE11" s="521"/>
      <c r="CF11" s="423"/>
      <c r="CG11" s="340"/>
      <c r="CN11" s="423"/>
      <c r="DE11" s="423"/>
      <c r="DF11" s="423"/>
      <c r="DH11" s="384"/>
    </row>
    <row r="12" spans="1:112" x14ac:dyDescent="0.35">
      <c r="B12" s="10" t="s">
        <v>800</v>
      </c>
      <c r="C12">
        <f>424704.5+39876</f>
        <v>464580.5</v>
      </c>
      <c r="E12">
        <v>94</v>
      </c>
      <c r="O12" s="351"/>
      <c r="P12" s="351">
        <v>3113489.35</v>
      </c>
      <c r="BS12" s="340"/>
      <c r="CB12" s="126"/>
      <c r="CG12" s="340"/>
      <c r="CN12" s="423"/>
      <c r="DE12" s="423"/>
      <c r="DF12" s="423"/>
      <c r="DH12" s="384"/>
    </row>
    <row r="13" spans="1:112" x14ac:dyDescent="0.35">
      <c r="B13" s="249"/>
      <c r="C13" s="251">
        <v>8760.7199999999993</v>
      </c>
      <c r="D13" s="250">
        <f t="shared" ref="D13:R13" si="12">+D5</f>
        <v>42719</v>
      </c>
      <c r="E13" s="256">
        <f>E5</f>
        <v>43070</v>
      </c>
      <c r="F13" s="351"/>
      <c r="G13" s="354">
        <v>7561.64</v>
      </c>
      <c r="H13" s="354">
        <v>7403.26</v>
      </c>
      <c r="I13" s="250">
        <f t="shared" si="12"/>
        <v>43160</v>
      </c>
      <c r="J13" s="250">
        <f t="shared" si="12"/>
        <v>43191</v>
      </c>
      <c r="K13" s="250">
        <f t="shared" si="12"/>
        <v>43221</v>
      </c>
      <c r="L13" s="250">
        <f t="shared" si="12"/>
        <v>43252</v>
      </c>
      <c r="M13" s="250">
        <f t="shared" si="12"/>
        <v>43282</v>
      </c>
      <c r="N13" s="250">
        <f t="shared" si="12"/>
        <v>43313</v>
      </c>
      <c r="O13" s="250">
        <f t="shared" si="12"/>
        <v>43344</v>
      </c>
      <c r="P13" s="250">
        <f t="shared" si="12"/>
        <v>43374</v>
      </c>
      <c r="Q13" s="250">
        <f t="shared" si="12"/>
        <v>43405</v>
      </c>
      <c r="R13" s="250">
        <f t="shared" si="12"/>
        <v>43435</v>
      </c>
      <c r="S13" s="251"/>
      <c r="T13" s="250">
        <f t="shared" ref="T13:AE13" si="13">+T5</f>
        <v>43466</v>
      </c>
      <c r="U13" s="250">
        <f t="shared" si="13"/>
        <v>43497</v>
      </c>
      <c r="V13" s="250">
        <f t="shared" si="13"/>
        <v>43525</v>
      </c>
      <c r="W13" s="250">
        <f t="shared" si="13"/>
        <v>43556</v>
      </c>
      <c r="X13" s="250">
        <f t="shared" si="13"/>
        <v>43586</v>
      </c>
      <c r="Y13" s="250">
        <f t="shared" si="13"/>
        <v>43617</v>
      </c>
      <c r="Z13" s="250">
        <f t="shared" si="13"/>
        <v>43647</v>
      </c>
      <c r="AA13" s="250">
        <f t="shared" si="13"/>
        <v>43678</v>
      </c>
      <c r="AB13" s="250">
        <f t="shared" si="13"/>
        <v>43709</v>
      </c>
      <c r="AC13" s="250">
        <f t="shared" si="13"/>
        <v>43739</v>
      </c>
      <c r="AD13" s="250">
        <f t="shared" si="13"/>
        <v>43770</v>
      </c>
      <c r="AE13" s="250">
        <f t="shared" si="13"/>
        <v>43800</v>
      </c>
      <c r="AF13" s="251"/>
      <c r="AG13" s="250">
        <f t="shared" ref="AG13:AR13" si="14">+AG5</f>
        <v>43831</v>
      </c>
      <c r="AH13" s="250">
        <f t="shared" si="14"/>
        <v>43862</v>
      </c>
      <c r="AI13" s="250">
        <f t="shared" si="14"/>
        <v>43891</v>
      </c>
      <c r="AJ13" s="250">
        <f t="shared" si="14"/>
        <v>43922</v>
      </c>
      <c r="AK13" s="250">
        <f t="shared" si="14"/>
        <v>43952</v>
      </c>
      <c r="AL13" s="250">
        <f t="shared" si="14"/>
        <v>43983</v>
      </c>
      <c r="AM13" s="250">
        <f t="shared" si="14"/>
        <v>44013</v>
      </c>
      <c r="AN13" s="250">
        <f t="shared" si="14"/>
        <v>44044</v>
      </c>
      <c r="AO13" s="250">
        <f t="shared" si="14"/>
        <v>44075</v>
      </c>
      <c r="AP13" s="250">
        <f t="shared" si="14"/>
        <v>44105</v>
      </c>
      <c r="AQ13" s="250">
        <f t="shared" si="14"/>
        <v>44136</v>
      </c>
      <c r="AR13" s="250">
        <f t="shared" si="14"/>
        <v>44166</v>
      </c>
      <c r="AS13" s="251"/>
      <c r="AT13" s="250">
        <f t="shared" ref="AT13:BE13" si="15">+AT5</f>
        <v>44197</v>
      </c>
      <c r="AU13" s="250">
        <f t="shared" si="15"/>
        <v>44228</v>
      </c>
      <c r="AV13" s="250">
        <f t="shared" si="15"/>
        <v>44256</v>
      </c>
      <c r="AW13" s="250">
        <f t="shared" si="15"/>
        <v>44287</v>
      </c>
      <c r="AX13" s="250">
        <f t="shared" si="15"/>
        <v>44317</v>
      </c>
      <c r="AY13" s="250">
        <f t="shared" si="15"/>
        <v>44348</v>
      </c>
      <c r="AZ13" s="250">
        <f t="shared" si="15"/>
        <v>44378</v>
      </c>
      <c r="BA13" s="250">
        <f t="shared" si="15"/>
        <v>44409</v>
      </c>
      <c r="BB13" s="250">
        <f t="shared" si="15"/>
        <v>44440</v>
      </c>
      <c r="BC13" s="250">
        <f t="shared" si="15"/>
        <v>44470</v>
      </c>
      <c r="BD13" s="250">
        <f t="shared" si="15"/>
        <v>44501</v>
      </c>
      <c r="BE13" s="250">
        <f t="shared" si="15"/>
        <v>44531</v>
      </c>
      <c r="BF13" s="251"/>
      <c r="BG13" s="250">
        <v>44562</v>
      </c>
      <c r="BH13" s="417">
        <v>44593</v>
      </c>
      <c r="BI13" s="417">
        <v>44621</v>
      </c>
      <c r="BJ13" s="417">
        <v>44652</v>
      </c>
      <c r="BK13" s="417">
        <v>44682</v>
      </c>
      <c r="BL13" s="417">
        <v>44713</v>
      </c>
      <c r="BM13" s="417">
        <v>44743</v>
      </c>
      <c r="BN13" s="417">
        <v>44774</v>
      </c>
      <c r="BO13" s="417">
        <v>44805</v>
      </c>
      <c r="BP13" s="417">
        <v>44835</v>
      </c>
      <c r="BQ13" s="417">
        <v>44866</v>
      </c>
      <c r="BR13" s="417">
        <v>44896</v>
      </c>
      <c r="BS13" s="339"/>
      <c r="BT13" s="417">
        <v>44927</v>
      </c>
      <c r="BU13" s="417">
        <v>44958</v>
      </c>
      <c r="BV13" s="417">
        <v>44986</v>
      </c>
      <c r="BW13" s="417">
        <v>45017</v>
      </c>
      <c r="BX13" s="417">
        <v>45047</v>
      </c>
      <c r="BY13" s="417">
        <v>45078</v>
      </c>
      <c r="BZ13" s="417">
        <v>45108</v>
      </c>
      <c r="CA13" s="417">
        <v>45139</v>
      </c>
      <c r="CB13" s="417">
        <v>45170</v>
      </c>
      <c r="CC13" s="417">
        <v>45200</v>
      </c>
      <c r="CD13" s="417">
        <v>45231</v>
      </c>
      <c r="CE13" s="417">
        <v>45261</v>
      </c>
      <c r="CF13" s="227"/>
      <c r="CG13" s="417">
        <v>45292</v>
      </c>
      <c r="CH13" s="417">
        <v>45323</v>
      </c>
      <c r="CI13" s="417">
        <v>45352</v>
      </c>
      <c r="CJ13" s="417">
        <v>45383</v>
      </c>
      <c r="CK13" s="417">
        <v>45413</v>
      </c>
      <c r="CL13" s="417">
        <v>45444</v>
      </c>
      <c r="CM13" s="417">
        <v>45474</v>
      </c>
      <c r="CN13" s="417">
        <v>45505</v>
      </c>
      <c r="CO13" s="417">
        <v>45536</v>
      </c>
      <c r="CP13" s="417">
        <v>45566</v>
      </c>
      <c r="CQ13" s="417">
        <v>45597</v>
      </c>
      <c r="CR13" s="417">
        <v>45627</v>
      </c>
      <c r="CS13" s="227"/>
      <c r="CT13" s="417">
        <v>45658</v>
      </c>
      <c r="CU13" s="417">
        <v>45689</v>
      </c>
      <c r="CV13" s="417">
        <v>45717</v>
      </c>
      <c r="CW13" s="417">
        <v>45748</v>
      </c>
      <c r="CX13" s="417">
        <v>45778</v>
      </c>
      <c r="CY13" s="417">
        <v>45809</v>
      </c>
      <c r="CZ13" s="417">
        <v>45839</v>
      </c>
      <c r="DA13" s="417">
        <v>45870</v>
      </c>
      <c r="DB13" s="417">
        <v>45901</v>
      </c>
      <c r="DC13" s="417">
        <v>45931</v>
      </c>
      <c r="DD13" s="417">
        <v>45962</v>
      </c>
      <c r="DE13" s="417">
        <v>45992</v>
      </c>
      <c r="DF13" s="227"/>
      <c r="DG13" s="417">
        <v>46023</v>
      </c>
      <c r="DH13" s="417">
        <v>46054</v>
      </c>
    </row>
    <row r="14" spans="1:112" x14ac:dyDescent="0.35">
      <c r="B14" s="355"/>
      <c r="C14" s="356">
        <v>57169.65</v>
      </c>
      <c r="D14" s="357" t="s">
        <v>801</v>
      </c>
      <c r="E14" s="252" t="s">
        <v>801</v>
      </c>
      <c r="F14" s="224"/>
      <c r="G14" s="252" t="s">
        <v>801</v>
      </c>
      <c r="H14" s="252" t="s">
        <v>801</v>
      </c>
      <c r="I14" s="252" t="s">
        <v>801</v>
      </c>
      <c r="J14" s="252" t="s">
        <v>801</v>
      </c>
      <c r="K14" s="252" t="s">
        <v>801</v>
      </c>
      <c r="L14" s="252" t="s">
        <v>801</v>
      </c>
      <c r="M14" s="252" t="s">
        <v>801</v>
      </c>
      <c r="N14" s="252" t="s">
        <v>801</v>
      </c>
      <c r="O14" s="252" t="s">
        <v>801</v>
      </c>
      <c r="P14" s="252" t="s">
        <v>801</v>
      </c>
      <c r="Q14" s="252" t="s">
        <v>801</v>
      </c>
      <c r="R14" s="252" t="s">
        <v>801</v>
      </c>
      <c r="S14" s="253"/>
      <c r="T14" s="252" t="s">
        <v>801</v>
      </c>
      <c r="U14" s="252" t="s">
        <v>801</v>
      </c>
      <c r="V14" s="252" t="s">
        <v>801</v>
      </c>
      <c r="W14" s="252" t="s">
        <v>801</v>
      </c>
      <c r="X14" s="252" t="s">
        <v>801</v>
      </c>
      <c r="Y14" s="252" t="s">
        <v>801</v>
      </c>
      <c r="Z14" s="252" t="s">
        <v>801</v>
      </c>
      <c r="AA14" s="252" t="s">
        <v>801</v>
      </c>
      <c r="AB14" s="252" t="s">
        <v>801</v>
      </c>
      <c r="AC14" s="252" t="s">
        <v>801</v>
      </c>
      <c r="AD14" s="252" t="s">
        <v>801</v>
      </c>
      <c r="AE14" s="252" t="s">
        <v>801</v>
      </c>
      <c r="AF14" s="253"/>
      <c r="AG14" s="252" t="s">
        <v>801</v>
      </c>
      <c r="AH14" s="252" t="s">
        <v>801</v>
      </c>
      <c r="AI14" s="252" t="s">
        <v>801</v>
      </c>
      <c r="AJ14" s="252" t="s">
        <v>801</v>
      </c>
      <c r="AK14" s="252" t="s">
        <v>801</v>
      </c>
      <c r="AL14" s="252" t="s">
        <v>801</v>
      </c>
      <c r="AM14" s="252" t="s">
        <v>801</v>
      </c>
      <c r="AN14" s="252" t="s">
        <v>801</v>
      </c>
      <c r="AO14" s="252" t="s">
        <v>801</v>
      </c>
      <c r="AP14" s="252" t="s">
        <v>801</v>
      </c>
      <c r="AQ14" s="252" t="s">
        <v>801</v>
      </c>
      <c r="AR14" s="252" t="s">
        <v>801</v>
      </c>
      <c r="AS14" s="253"/>
      <c r="AT14" s="252" t="s">
        <v>801</v>
      </c>
      <c r="AU14" s="252" t="s">
        <v>801</v>
      </c>
      <c r="AV14" s="252" t="s">
        <v>801</v>
      </c>
      <c r="AW14" s="252" t="s">
        <v>801</v>
      </c>
      <c r="AX14" s="252" t="s">
        <v>801</v>
      </c>
      <c r="AY14" s="252" t="s">
        <v>801</v>
      </c>
      <c r="AZ14" s="252" t="s">
        <v>801</v>
      </c>
      <c r="BA14" s="252" t="s">
        <v>801</v>
      </c>
      <c r="BB14" s="252" t="s">
        <v>801</v>
      </c>
      <c r="BC14" s="252" t="s">
        <v>801</v>
      </c>
      <c r="BD14" s="252" t="s">
        <v>801</v>
      </c>
      <c r="BE14" s="252" t="s">
        <v>801</v>
      </c>
      <c r="BF14" s="253"/>
      <c r="BG14" s="252" t="s">
        <v>801</v>
      </c>
      <c r="BH14" s="417" t="s">
        <v>801</v>
      </c>
      <c r="BI14" s="417" t="s">
        <v>801</v>
      </c>
      <c r="BJ14" s="417" t="s">
        <v>801</v>
      </c>
      <c r="BK14" s="417" t="s">
        <v>801</v>
      </c>
      <c r="BL14" s="417" t="s">
        <v>801</v>
      </c>
      <c r="BM14" s="417" t="s">
        <v>801</v>
      </c>
      <c r="BN14" s="417" t="s">
        <v>801</v>
      </c>
      <c r="BO14" s="417" t="s">
        <v>801</v>
      </c>
      <c r="BP14" s="417" t="s">
        <v>801</v>
      </c>
      <c r="BQ14" s="417" t="s">
        <v>801</v>
      </c>
      <c r="BR14" s="417" t="s">
        <v>801</v>
      </c>
      <c r="BS14" s="339"/>
      <c r="BT14" s="417" t="s">
        <v>801</v>
      </c>
      <c r="BU14" s="417" t="s">
        <v>801</v>
      </c>
      <c r="BV14" s="417" t="s">
        <v>801</v>
      </c>
      <c r="BW14" s="417" t="s">
        <v>801</v>
      </c>
      <c r="BX14" s="417" t="s">
        <v>801</v>
      </c>
      <c r="BY14" s="417" t="s">
        <v>801</v>
      </c>
      <c r="BZ14" s="417" t="s">
        <v>801</v>
      </c>
      <c r="CA14" s="417" t="s">
        <v>801</v>
      </c>
      <c r="CB14" s="417" t="s">
        <v>801</v>
      </c>
      <c r="CC14" s="417" t="s">
        <v>801</v>
      </c>
      <c r="CD14" s="417" t="s">
        <v>801</v>
      </c>
      <c r="CE14" s="417" t="s">
        <v>801</v>
      </c>
      <c r="CF14" s="227"/>
      <c r="CG14" s="417" t="s">
        <v>801</v>
      </c>
      <c r="CH14" s="417" t="s">
        <v>801</v>
      </c>
      <c r="CI14" s="417" t="s">
        <v>801</v>
      </c>
      <c r="CJ14" s="417" t="s">
        <v>801</v>
      </c>
      <c r="CK14" s="417" t="s">
        <v>801</v>
      </c>
      <c r="CL14" s="417" t="s">
        <v>801</v>
      </c>
      <c r="CM14" s="417" t="s">
        <v>801</v>
      </c>
      <c r="CN14" s="417" t="s">
        <v>801</v>
      </c>
      <c r="CO14" s="417" t="s">
        <v>801</v>
      </c>
      <c r="CP14" s="417" t="s">
        <v>801</v>
      </c>
      <c r="CQ14" s="417" t="s">
        <v>801</v>
      </c>
      <c r="CR14" s="417" t="s">
        <v>801</v>
      </c>
      <c r="CS14" s="227"/>
      <c r="CT14" s="417" t="s">
        <v>801</v>
      </c>
      <c r="CU14" s="417" t="s">
        <v>801</v>
      </c>
      <c r="CV14" s="417" t="s">
        <v>801</v>
      </c>
      <c r="CW14" s="417" t="s">
        <v>801</v>
      </c>
      <c r="CX14" s="417" t="s">
        <v>801</v>
      </c>
      <c r="CY14" s="417" t="s">
        <v>801</v>
      </c>
      <c r="CZ14" s="417" t="s">
        <v>801</v>
      </c>
      <c r="DA14" s="417" t="s">
        <v>801</v>
      </c>
      <c r="DB14" s="417" t="s">
        <v>801</v>
      </c>
      <c r="DC14" s="417" t="s">
        <v>801</v>
      </c>
      <c r="DD14" s="417" t="s">
        <v>801</v>
      </c>
      <c r="DE14" s="417" t="s">
        <v>801</v>
      </c>
      <c r="DF14" s="227"/>
      <c r="DG14" s="417" t="s">
        <v>801</v>
      </c>
      <c r="DH14" s="417" t="s">
        <v>801</v>
      </c>
    </row>
    <row r="15" spans="1:112" x14ac:dyDescent="0.35">
      <c r="B15" s="254" t="s">
        <v>797</v>
      </c>
      <c r="C15" s="322">
        <v>24695.45</v>
      </c>
      <c r="D15" s="324">
        <v>42566</v>
      </c>
      <c r="E15" s="324"/>
      <c r="F15" s="324"/>
      <c r="G15" s="324">
        <f>3662*1.15</f>
        <v>4211.2999999999993</v>
      </c>
      <c r="H15" s="324">
        <f>2331*1.15</f>
        <v>2680.6499999999996</v>
      </c>
      <c r="I15" s="324">
        <f>2000*1.15</f>
        <v>2300</v>
      </c>
      <c r="J15" s="358">
        <v>3693743.75</v>
      </c>
      <c r="K15" s="358">
        <v>49.86</v>
      </c>
      <c r="L15" s="324">
        <f>10279*1.15</f>
        <v>11820.849999999999</v>
      </c>
      <c r="M15" s="324">
        <f>17443*1.15</f>
        <v>20059.449999999997</v>
      </c>
      <c r="N15" s="324">
        <f>6727*1.15</f>
        <v>7736.0499999999993</v>
      </c>
      <c r="O15" s="324">
        <f>6022*1.15</f>
        <v>6925.2999999999993</v>
      </c>
      <c r="P15" s="324">
        <f>4550*1.15</f>
        <v>5232.5</v>
      </c>
      <c r="Q15" s="324">
        <f>3946*1.15</f>
        <v>4537.8999999999996</v>
      </c>
      <c r="R15" s="324">
        <f>5587*1.15</f>
        <v>6425.0499999999993</v>
      </c>
      <c r="S15" s="324"/>
      <c r="T15" s="324">
        <f>7798*1.15</f>
        <v>8967.6999999999989</v>
      </c>
      <c r="U15" s="324">
        <f>8976*1.15</f>
        <v>10322.4</v>
      </c>
      <c r="V15" s="324">
        <f>12500*1.15</f>
        <v>14374.999999999998</v>
      </c>
      <c r="W15" s="324">
        <f>9361+1.15</f>
        <v>9362.15</v>
      </c>
      <c r="X15" s="324">
        <v>8878</v>
      </c>
      <c r="Y15" s="324">
        <f>10572*1.15</f>
        <v>12157.8</v>
      </c>
      <c r="Z15" s="324">
        <f>8453*1.15</f>
        <v>9720.9499999999989</v>
      </c>
      <c r="AA15" s="324">
        <f>6776*1.15</f>
        <v>7792.4</v>
      </c>
      <c r="AB15" s="324">
        <f>6446*1.15</f>
        <v>7412.9</v>
      </c>
      <c r="AC15" s="324">
        <f>7440*1.15</f>
        <v>8556</v>
      </c>
      <c r="AD15" s="324">
        <f>(39897*1.15)-30000</f>
        <v>15881.549999999996</v>
      </c>
      <c r="AE15" s="324">
        <f>(48796*1.15)-32000</f>
        <v>24115.399999999994</v>
      </c>
      <c r="AF15" s="324"/>
      <c r="AG15" s="324">
        <v>21220</v>
      </c>
      <c r="AH15" s="324">
        <f>33060*1.15</f>
        <v>38019</v>
      </c>
      <c r="AI15" s="324">
        <f>24063*1.15</f>
        <v>27672.449999999997</v>
      </c>
      <c r="AJ15" s="324">
        <f>24896*1.15</f>
        <v>28630.399999999998</v>
      </c>
      <c r="AK15" s="322">
        <f>27445*1.15</f>
        <v>31561.749999999996</v>
      </c>
      <c r="AL15" s="324">
        <f>24800*1.15</f>
        <v>28519.999999999996</v>
      </c>
      <c r="AM15" s="324">
        <f>23755*1.15</f>
        <v>27318.249999999996</v>
      </c>
      <c r="AN15" s="324">
        <f>26759*1.15</f>
        <v>30772.85</v>
      </c>
      <c r="AO15" s="322">
        <f>25023*1.15</f>
        <v>28776.449999999997</v>
      </c>
      <c r="AP15">
        <f>28070*1.15</f>
        <v>32280.499999999996</v>
      </c>
      <c r="AQ15" s="243">
        <f>42122*1.15</f>
        <v>48440.299999999996</v>
      </c>
      <c r="AR15" s="243">
        <f>31592*1.15</f>
        <v>36330.799999999996</v>
      </c>
      <c r="AS15" s="324"/>
      <c r="AT15" s="243">
        <f>30663*1.15</f>
        <v>35262.449999999997</v>
      </c>
      <c r="AU15" s="243">
        <f>27047*1.15</f>
        <v>31104.05</v>
      </c>
      <c r="AV15" s="243">
        <f>27543*1.15</f>
        <v>31674.449999999997</v>
      </c>
      <c r="AW15" s="243">
        <f>26436*1.15</f>
        <v>30401.399999999998</v>
      </c>
      <c r="AX15" s="243">
        <f>28109*1.15</f>
        <v>32325.35</v>
      </c>
      <c r="AY15" s="243">
        <f>21466*1.15</f>
        <v>24685.899999999998</v>
      </c>
      <c r="AZ15" s="243">
        <f>46377*1.15</f>
        <v>53333.549999999996</v>
      </c>
      <c r="BA15" s="243">
        <f>31470*1.15</f>
        <v>36190.5</v>
      </c>
      <c r="BB15" s="243">
        <f>32048.924916*1.15</f>
        <v>36856.263653399998</v>
      </c>
      <c r="BC15" s="352">
        <f>30909.646823*1.15</f>
        <v>35546.09384645</v>
      </c>
      <c r="BD15" s="352">
        <f>35783.3494369999*1.15</f>
        <v>41150.851852549888</v>
      </c>
      <c r="BE15" s="243">
        <f>33687.891202*1.15</f>
        <v>38741.074882299996</v>
      </c>
      <c r="BF15" s="324"/>
      <c r="BG15" s="352">
        <f>35227.402513*1.15</f>
        <v>40511.512889949998</v>
      </c>
      <c r="BH15" s="352">
        <f>31251.007696*1.15</f>
        <v>35938.658850399996</v>
      </c>
      <c r="BI15" s="352">
        <f>34518.721918*1.15</f>
        <v>39696.530205700001</v>
      </c>
      <c r="BJ15" s="352">
        <f>32109.985399*1.15</f>
        <v>36926.483208849997</v>
      </c>
      <c r="BK15" s="352">
        <f>45694.4795*1.15</f>
        <v>52548.651424999996</v>
      </c>
      <c r="BL15" s="352">
        <f>34976.277266*1.15</f>
        <v>40222.718855899991</v>
      </c>
      <c r="BM15" s="352">
        <f>35577*1.15</f>
        <v>40913.549999999996</v>
      </c>
      <c r="BN15" s="352">
        <f>19513.105939*1.15</f>
        <v>22440.07182985</v>
      </c>
      <c r="BO15" s="423">
        <f>55624.461112*1.15</f>
        <v>63968.130278799988</v>
      </c>
      <c r="BP15" s="427">
        <f>36895.485313*1.15</f>
        <v>42429.80810994999</v>
      </c>
      <c r="BQ15" s="427">
        <f>31796.08*1.15</f>
        <v>36565.491999999998</v>
      </c>
      <c r="BR15" s="427">
        <f>30549.938046*1.15</f>
        <v>35132.428752899999</v>
      </c>
      <c r="BS15" s="340"/>
      <c r="BT15" s="322">
        <f>38110.368008*1.15</f>
        <v>43826.923209199995</v>
      </c>
      <c r="BU15" s="322">
        <f>29570.191004*1.15</f>
        <v>34005.719654599998</v>
      </c>
      <c r="BV15" s="322">
        <f>36792.222399*1.15</f>
        <v>42311.055758849994</v>
      </c>
      <c r="BW15" s="322">
        <f>31066.945258*1.15</f>
        <v>35726.9870467</v>
      </c>
      <c r="BX15" s="322">
        <f>31183.129377*1.15</f>
        <v>35860.598783549998</v>
      </c>
      <c r="BY15" s="423">
        <v>29244.34034599999</v>
      </c>
      <c r="BZ15" s="423">
        <v>33459.131028999982</v>
      </c>
      <c r="CA15" s="423">
        <v>28704.95412200001</v>
      </c>
      <c r="CB15" s="423">
        <v>38198.807410000009</v>
      </c>
      <c r="CC15" s="423">
        <v>27656.261451999995</v>
      </c>
      <c r="CD15" s="521">
        <v>29030.410576000013</v>
      </c>
      <c r="CE15" s="521">
        <v>30078.88621699997</v>
      </c>
      <c r="CF15" s="423"/>
      <c r="CG15" s="340">
        <v>26113.953369999988</v>
      </c>
      <c r="CH15" s="423">
        <v>33124.155134999986</v>
      </c>
      <c r="CI15" s="423">
        <v>36628.965575999995</v>
      </c>
      <c r="CJ15" s="423">
        <v>30701.896231000013</v>
      </c>
      <c r="CK15" s="423">
        <v>26519.031955999984</v>
      </c>
      <c r="CL15" s="423">
        <v>25118.499002000019</v>
      </c>
      <c r="CM15" s="423">
        <v>29328.859126999974</v>
      </c>
      <c r="CN15" s="423">
        <v>29385.799943999995</v>
      </c>
      <c r="CO15" s="423">
        <v>29400.35409299998</v>
      </c>
      <c r="CP15" s="423">
        <v>29032.915034999984</v>
      </c>
      <c r="CQ15" s="423">
        <v>27401.469643000008</v>
      </c>
      <c r="CR15" s="423">
        <v>26723.438684000037</v>
      </c>
      <c r="CS15" s="423"/>
      <c r="CT15" s="423">
        <v>26685.112511999996</v>
      </c>
      <c r="CU15" s="423">
        <v>47393.637267000013</v>
      </c>
      <c r="CV15" s="423">
        <v>27358.095090999996</v>
      </c>
      <c r="CW15" s="423">
        <v>29191.822551999994</v>
      </c>
      <c r="CX15" s="423">
        <v>26650.983689999994</v>
      </c>
      <c r="CY15" s="423">
        <v>25239.740523999979</v>
      </c>
      <c r="CZ15" s="423">
        <v>36590.784981999997</v>
      </c>
      <c r="DA15" s="423">
        <v>38960.466316999991</v>
      </c>
      <c r="DB15" s="423">
        <v>26194.640257000006</v>
      </c>
      <c r="DC15" s="423">
        <v>27358.095090999996</v>
      </c>
      <c r="DD15" s="423">
        <v>25274.91412200002</v>
      </c>
      <c r="DE15" s="423">
        <v>20226.447164999998</v>
      </c>
      <c r="DF15" s="423"/>
      <c r="DG15" s="423">
        <v>22611.677794000003</v>
      </c>
      <c r="DH15" s="686">
        <v>24882.744116000009</v>
      </c>
    </row>
    <row r="16" spans="1:112" x14ac:dyDescent="0.35">
      <c r="B16" s="254" t="s">
        <v>798</v>
      </c>
      <c r="C16" s="322">
        <v>75997.070000000007</v>
      </c>
      <c r="D16" s="322" t="e">
        <f>E16+(F16/F$3)+(G16/G$3)+(H16/H$3)+(I16/I$3)+(J16/J$3)+(K16/K$3)+(L16/L$3)+(M16/M$3)+(N16/N$3)+(O16/O$3)+(P16/P$3)+(Q16/Q$3)+(R16/R$3)+(S16/S$3)+(T16/T$3)+(U16/U$3)+(V16/V$3)+(W16/W$3)</f>
        <v>#DIV/0!</v>
      </c>
      <c r="E16" s="324">
        <f>3314*1.15</f>
        <v>3811.1</v>
      </c>
      <c r="F16" s="324"/>
      <c r="G16" s="324">
        <f>3364*1.15</f>
        <v>3868.6</v>
      </c>
      <c r="H16" s="324">
        <f>2559*1.15</f>
        <v>2942.85</v>
      </c>
      <c r="I16" s="324">
        <f>3203*1.15</f>
        <v>3683.45</v>
      </c>
      <c r="J16" s="324">
        <f>(3158*1.15)</f>
        <v>3631.7</v>
      </c>
      <c r="K16" s="324">
        <f>2808*1.15</f>
        <v>3229.2</v>
      </c>
      <c r="L16" s="358">
        <v>1510386.21</v>
      </c>
      <c r="M16" s="324">
        <f>3127*1.15</f>
        <v>3596.0499999999997</v>
      </c>
      <c r="N16" s="324">
        <f>6736*1.15</f>
        <v>7746.4</v>
      </c>
      <c r="O16" s="324">
        <f>5913*1.15</f>
        <v>6799.95</v>
      </c>
      <c r="P16" s="324">
        <f>8977*1.15</f>
        <v>10323.549999999999</v>
      </c>
      <c r="Q16" s="324">
        <f>8026*1.15</f>
        <v>9229.9</v>
      </c>
      <c r="R16" s="324">
        <f>6572*1.15</f>
        <v>7557.7999999999993</v>
      </c>
      <c r="S16" s="324"/>
      <c r="T16" s="324">
        <f>9755*1.15</f>
        <v>11218.25</v>
      </c>
      <c r="U16" s="324">
        <f>13538*1.15</f>
        <v>15568.699999999999</v>
      </c>
      <c r="V16" s="324">
        <f>14478*1.15</f>
        <v>16649.699999999997</v>
      </c>
      <c r="W16" s="324">
        <f>13614*1.15</f>
        <v>15656.099999999999</v>
      </c>
      <c r="X16" s="324">
        <f>14420*1.15</f>
        <v>16583</v>
      </c>
      <c r="Y16" s="324">
        <f>15049.39*1.15</f>
        <v>17306.798499999997</v>
      </c>
      <c r="Z16" s="324">
        <f>18130*1.15</f>
        <v>20849.5</v>
      </c>
      <c r="AA16" s="324">
        <f>(27265*1.15)</f>
        <v>31354.749999999996</v>
      </c>
      <c r="AB16" s="324">
        <f>27083*1.15</f>
        <v>31145.449999999997</v>
      </c>
      <c r="AC16" s="324">
        <f>29385*1.15</f>
        <v>33792.75</v>
      </c>
      <c r="AD16" s="324">
        <f>15580*1.15</f>
        <v>17917</v>
      </c>
      <c r="AE16" s="324">
        <f>39250*1.15</f>
        <v>45137.5</v>
      </c>
      <c r="AF16" s="324"/>
      <c r="AG16" s="324">
        <f>40500*1.15</f>
        <v>46575</v>
      </c>
      <c r="AH16" s="324">
        <f>44192*1.15</f>
        <v>50820.799999999996</v>
      </c>
      <c r="AI16" s="324">
        <f>30603.168587*1.15</f>
        <v>35193.643875049995</v>
      </c>
      <c r="AJ16" s="324">
        <f>22924.087611*1.15</f>
        <v>26362.700752649998</v>
      </c>
      <c r="AK16" s="322">
        <f>23401.840911*1.15</f>
        <v>26912.117047649997</v>
      </c>
      <c r="AL16" s="322">
        <f>22669.364301*1.15</f>
        <v>26069.768946150001</v>
      </c>
      <c r="AM16" s="324">
        <f>21622.64*1.15</f>
        <v>24866.035999999996</v>
      </c>
      <c r="AN16" s="324">
        <f>21797*1.15</f>
        <v>25066.55</v>
      </c>
      <c r="AO16" s="322">
        <f>25276*1.15</f>
        <v>29067.399999999998</v>
      </c>
      <c r="AP16">
        <f>25540*1.15</f>
        <v>29370.999999999996</v>
      </c>
      <c r="AQ16">
        <f>17400*1.15</f>
        <v>20010</v>
      </c>
      <c r="AR16" s="243">
        <f>18134*1.15</f>
        <v>20854.099999999999</v>
      </c>
      <c r="AS16" s="324"/>
      <c r="AT16" s="243">
        <f>11921*1.15</f>
        <v>13709.15</v>
      </c>
      <c r="AU16" s="243">
        <f>28370*1.15</f>
        <v>32625.499999999996</v>
      </c>
      <c r="AV16" s="243">
        <f>20402*1.15</f>
        <v>23462.3</v>
      </c>
      <c r="AW16" s="243">
        <f>18491*1.15</f>
        <v>21264.649999999998</v>
      </c>
      <c r="AX16" s="243">
        <f>20032*1.15</f>
        <v>23036.799999999999</v>
      </c>
      <c r="AY16" s="243">
        <f>19737.034358*1.15</f>
        <v>22697.5895117</v>
      </c>
      <c r="AZ16" s="243">
        <f>23124.024811*1.15</f>
        <v>26592.628532649996</v>
      </c>
      <c r="BA16" s="243">
        <f>32278*1.15</f>
        <v>37119.699999999997</v>
      </c>
      <c r="BB16" s="243">
        <f>28916.831069*1.15</f>
        <v>33254.355729349998</v>
      </c>
      <c r="BC16" s="352">
        <f>29328.177327*1.15</f>
        <v>33727.403926049999</v>
      </c>
      <c r="BD16" s="352">
        <v>27827.477391999993</v>
      </c>
      <c r="BE16" s="243">
        <f>25778.679847*1.15</f>
        <v>29645.481824049995</v>
      </c>
      <c r="BF16" s="324"/>
      <c r="BG16" s="352">
        <f>25143.765299*1.15</f>
        <v>28915.330093849996</v>
      </c>
      <c r="BH16" s="352">
        <f>28305.157111*1.15</f>
        <v>32550.930677649998</v>
      </c>
      <c r="BI16" s="352">
        <f>29017.439212*1.15</f>
        <v>33370.055093800001</v>
      </c>
      <c r="BJ16" s="352">
        <f>26285.011326*1.15</f>
        <v>30227.763024899996</v>
      </c>
      <c r="BK16" s="352">
        <f>31017.301657*1.15</f>
        <v>35669.896905549998</v>
      </c>
      <c r="BL16" s="352">
        <f>10448.566598*1.15</f>
        <v>12015.851587699999</v>
      </c>
      <c r="BM16" s="352">
        <f>12090*1.15</f>
        <v>13903.499999999998</v>
      </c>
      <c r="BN16" s="352">
        <f>7185.701559*1.15</f>
        <v>8263.5567928499986</v>
      </c>
      <c r="BO16" s="423">
        <f>13349.143507*1.15</f>
        <v>15351.51503305</v>
      </c>
      <c r="BP16" s="427">
        <f>9951.27196*1.15</f>
        <v>11443.962753999998</v>
      </c>
      <c r="BQ16" s="427">
        <f>11038*1.15</f>
        <v>12693.699999999999</v>
      </c>
      <c r="BR16" s="427">
        <f>9380.509678*1.15</f>
        <v>10787.586129699999</v>
      </c>
      <c r="BS16" s="340"/>
      <c r="BT16" s="322">
        <f>8402.499169*1.15</f>
        <v>9662.8740443499992</v>
      </c>
      <c r="BU16" s="322">
        <f>8386.534908*1.15</f>
        <v>9644.5151441999988</v>
      </c>
      <c r="BV16" s="423">
        <f>2288.415482*1.15</f>
        <v>2631.6778042999995</v>
      </c>
      <c r="BW16" s="423">
        <f>9454.056778*1.15</f>
        <v>10872.165294699998</v>
      </c>
      <c r="BX16" s="423">
        <f>9722.2598*1.15</f>
        <v>11180.598769999999</v>
      </c>
      <c r="BY16" s="423">
        <v>9185.2014749999998</v>
      </c>
      <c r="BZ16" s="423">
        <v>8476.3133529999996</v>
      </c>
      <c r="CA16" s="423">
        <v>10554.655239</v>
      </c>
      <c r="CB16" s="423">
        <v>13561.07992</v>
      </c>
      <c r="CC16" s="423">
        <v>16153.210474</v>
      </c>
      <c r="CD16" s="521">
        <v>19258.745604</v>
      </c>
      <c r="CE16" s="521">
        <v>13852.209272999999</v>
      </c>
      <c r="CF16" s="423"/>
      <c r="CG16" s="340">
        <v>5917.0905700000003</v>
      </c>
      <c r="CH16" s="423">
        <v>6451.6154159999996</v>
      </c>
      <c r="CI16" s="423">
        <v>14821.243714999999</v>
      </c>
      <c r="CJ16" s="423">
        <v>10783.719026000001</v>
      </c>
      <c r="CK16" s="423">
        <v>10743.416901999999</v>
      </c>
      <c r="CL16" s="423">
        <v>10117.514981999999</v>
      </c>
      <c r="CM16" s="423">
        <v>12025.676766999999</v>
      </c>
      <c r="CN16" s="423">
        <v>10284.951562999999</v>
      </c>
      <c r="CO16" s="423">
        <v>9998.8775470000019</v>
      </c>
      <c r="CP16" s="423">
        <v>10408.605549999998</v>
      </c>
      <c r="CQ16" s="423">
        <v>11967.892981000001</v>
      </c>
      <c r="CR16" s="423">
        <v>10737.972770000002</v>
      </c>
      <c r="CS16" s="423"/>
      <c r="CT16" s="423">
        <v>10009.515141</v>
      </c>
      <c r="CU16" s="423">
        <v>9202.6546239999989</v>
      </c>
      <c r="CV16" s="423">
        <v>8676.5281869999981</v>
      </c>
      <c r="CW16" s="423">
        <v>7832.6048459999993</v>
      </c>
      <c r="CX16" s="423">
        <v>10123.566666999999</v>
      </c>
      <c r="CY16" s="423">
        <v>9425.3357640000013</v>
      </c>
      <c r="CZ16" s="423">
        <v>10090.538910000001</v>
      </c>
      <c r="DA16" s="423">
        <v>7884.4135489999999</v>
      </c>
      <c r="DB16" s="423">
        <v>9271.0888839999989</v>
      </c>
      <c r="DC16" s="423">
        <v>8676.5281869999981</v>
      </c>
      <c r="DD16" s="423">
        <v>10281.690705999998</v>
      </c>
      <c r="DE16" s="423">
        <v>9848.6414700000005</v>
      </c>
      <c r="DF16" s="423"/>
      <c r="DG16" s="423">
        <v>10695.115477000001</v>
      </c>
      <c r="DH16" s="686">
        <v>10242.064194</v>
      </c>
    </row>
    <row r="17" spans="2:112" x14ac:dyDescent="0.35">
      <c r="B17" s="254" t="s">
        <v>799</v>
      </c>
      <c r="C17" s="322">
        <v>2392.0500000000002</v>
      </c>
      <c r="D17" s="324">
        <v>2383</v>
      </c>
      <c r="E17" s="324">
        <f>(7547*1.15)+34040</f>
        <v>42719.05</v>
      </c>
      <c r="F17" s="324"/>
      <c r="G17" s="324">
        <f>(35813*1.15)+25225</f>
        <v>66409.95</v>
      </c>
      <c r="H17" s="324">
        <f>(6067*1.15)+22089</f>
        <v>29066.05</v>
      </c>
      <c r="I17" s="358">
        <v>3336.01</v>
      </c>
      <c r="J17" s="324">
        <f>(79640*1.15)+21649</f>
        <v>113235</v>
      </c>
      <c r="K17" s="324">
        <f>(6912*1.15)+21697</f>
        <v>29645.8</v>
      </c>
      <c r="L17" s="324">
        <f>(8711*1.15)+21817</f>
        <v>31834.65</v>
      </c>
      <c r="M17" s="324">
        <f>(37461*1.15)+20210</f>
        <v>63290.149999999994</v>
      </c>
      <c r="N17" s="324">
        <f>(9275*1.15)+20302</f>
        <v>30968.25</v>
      </c>
      <c r="O17" s="324">
        <f>(6666*1.15)+19159</f>
        <v>26824.9</v>
      </c>
      <c r="P17" s="324">
        <f>(6901*1.15)+18425</f>
        <v>26361.15</v>
      </c>
      <c r="Q17" s="324">
        <f>(166092*1.15)+17500-160000</f>
        <v>48505.799999999988</v>
      </c>
      <c r="R17" s="324">
        <f>(4144*1.15)+17500</f>
        <v>22265.599999999999</v>
      </c>
      <c r="S17" s="324"/>
      <c r="T17" s="324">
        <f>(7325*1.15)+14928</f>
        <v>23351.75</v>
      </c>
      <c r="U17" s="324">
        <f>(3870*1.15)+17135</f>
        <v>21585.5</v>
      </c>
      <c r="V17" s="324">
        <f>(5865*1.15)+16872</f>
        <v>23616.75</v>
      </c>
      <c r="W17" s="324">
        <f>(5843*1.15)+17500</f>
        <v>24219.45</v>
      </c>
      <c r="X17" s="324">
        <f>(5000*1.15)+19159</f>
        <v>24909</v>
      </c>
      <c r="Y17" s="324">
        <f>(8369.42*1.15)+16275.7</f>
        <v>25900.532999999999</v>
      </c>
      <c r="Z17" s="324">
        <f>(10063*1.15)+15748.6</f>
        <v>27321.05</v>
      </c>
      <c r="AA17" s="324">
        <f>(10676*1.15)+13482</f>
        <v>25759.4</v>
      </c>
      <c r="AB17" s="324">
        <f>(6458*1.15)+11381.65</f>
        <v>18808.349999999999</v>
      </c>
      <c r="AC17" s="324">
        <f>(5916*1.15)+10584.35</f>
        <v>17387.75</v>
      </c>
      <c r="AD17" s="324">
        <f>(5168*1.15)+9702</f>
        <v>15645.2</v>
      </c>
      <c r="AE17" s="324">
        <f>(4701*1.15)+9557.45</f>
        <v>14963.6</v>
      </c>
      <c r="AF17" s="324"/>
      <c r="AG17" s="324">
        <f>(13054*1.15)+9579</f>
        <v>24591.1</v>
      </c>
      <c r="AH17" s="324">
        <f>(4718*1.15)+9762</f>
        <v>15187.7</v>
      </c>
      <c r="AI17" s="324">
        <f>(5180*1.15)+9575</f>
        <v>15532</v>
      </c>
      <c r="AJ17" s="324">
        <f>(2811*1.15)+10572</f>
        <v>13804.65</v>
      </c>
      <c r="AK17" s="322">
        <f>(3369*1.15)+10655</f>
        <v>14529.35</v>
      </c>
      <c r="AL17" s="322">
        <f>(3092*1.15)+10650</f>
        <v>14205.8</v>
      </c>
      <c r="AM17" s="324">
        <f>(8473*1.15)+10750</f>
        <v>20493.949999999997</v>
      </c>
      <c r="AN17" s="324">
        <f>(8400*1.15)+10242</f>
        <v>19902</v>
      </c>
      <c r="AO17" s="322">
        <f>(9393*1.15)+11262</f>
        <v>22063.949999999997</v>
      </c>
      <c r="AP17" s="243">
        <f>(9842*1.15)+10270</f>
        <v>21588.3</v>
      </c>
      <c r="AQ17" s="243">
        <f>(4711*1.15)+9917</f>
        <v>15334.65</v>
      </c>
      <c r="AR17" s="243">
        <f>(4207*1.15)+10035</f>
        <v>14873.05</v>
      </c>
      <c r="AS17" s="324"/>
      <c r="AT17" s="243">
        <f>(2832*1.15)+13641</f>
        <v>16897.8</v>
      </c>
      <c r="AU17" s="243">
        <f>(2387*1.15)+10868</f>
        <v>13613.05</v>
      </c>
      <c r="AV17" s="243">
        <f>(2387*1.15)+11139.45</f>
        <v>13884.5</v>
      </c>
      <c r="AW17" s="243">
        <f>(2841*1.15)+11160</f>
        <v>14427.15</v>
      </c>
      <c r="AX17" s="243">
        <f>(2457*1.15)+10558.45</f>
        <v>13384</v>
      </c>
      <c r="AY17" s="243">
        <f>(2884*1.15)+10379.95</f>
        <v>13696.550000000001</v>
      </c>
      <c r="AZ17" s="243">
        <f>(3608*1.15)+10778.25</f>
        <v>14927.45</v>
      </c>
      <c r="BA17" s="243">
        <f>(3264*1.15)+10882</f>
        <v>14635.6</v>
      </c>
      <c r="BB17" s="243">
        <f>(3797.497243*1.15)+11051.25</f>
        <v>15418.371829449999</v>
      </c>
      <c r="BC17" s="352">
        <f>(3507.063062*1.15)+10714.55</f>
        <v>14747.672521299999</v>
      </c>
      <c r="BD17" s="352">
        <f>(3103.881839*1.15)+9987.25</f>
        <v>13556.71411485</v>
      </c>
      <c r="BE17" s="243">
        <f>(3790.41117*1.15)+9492</f>
        <v>13850.9728455</v>
      </c>
      <c r="BF17" s="324"/>
      <c r="BG17" s="352">
        <f>(3512.259396*1.15)+8844.5</f>
        <v>12883.598305399999</v>
      </c>
      <c r="BH17" s="352">
        <f>(3233.580386*1.15)+8314.6</f>
        <v>12033.217443900001</v>
      </c>
      <c r="BI17" s="352">
        <f>(4204*1.15)+8324.4</f>
        <v>13159</v>
      </c>
      <c r="BJ17" s="352">
        <f>(3559.459066*1.15)+7447.65</f>
        <v>11541.027925899998</v>
      </c>
      <c r="BK17" s="352">
        <f>(6665.268413*1.15)+7855.75</f>
        <v>15520.80867495</v>
      </c>
      <c r="BL17" s="352">
        <f>(4334.034242*1.15)+7118.65</f>
        <v>12102.7893783</v>
      </c>
      <c r="BM17" s="352">
        <f>(4179*1.15)+6566</f>
        <v>11371.849999999999</v>
      </c>
      <c r="BN17" s="352">
        <f>(2662.597527*1.15)+6265.35</f>
        <v>9327.33715605</v>
      </c>
      <c r="BO17" s="423">
        <f>(8260.402297*1.15)+5592.65</f>
        <v>15092.11264155</v>
      </c>
      <c r="BP17" s="427">
        <f>(3555.257538*1.15)+5027.05</f>
        <v>9115.5961686999999</v>
      </c>
      <c r="BQ17" s="427">
        <f>(876*1.15)+5000</f>
        <v>6007.4</v>
      </c>
      <c r="BR17" s="427">
        <f>(2049.460854*1.15)+5000</f>
        <v>7356.8799820999993</v>
      </c>
      <c r="BS17" s="340"/>
      <c r="BT17" s="322">
        <f>(2346.40208*1.15)+5000</f>
        <v>7698.3623919999991</v>
      </c>
      <c r="BU17" s="322">
        <f>2366.852607*1.15</f>
        <v>2721.8804980499995</v>
      </c>
      <c r="BV17" s="423">
        <f>4338.975043*1.15</f>
        <v>4989.82129945</v>
      </c>
      <c r="BW17" s="423">
        <f>4310.771565*1.15</f>
        <v>4957.3872997499993</v>
      </c>
      <c r="BX17" s="423">
        <f>3656.138743*1.15</f>
        <v>4204.5595544499993</v>
      </c>
      <c r="BY17" s="423">
        <v>3171.5458239999998</v>
      </c>
      <c r="BZ17" s="423">
        <v>4168.3103570000003</v>
      </c>
      <c r="CA17" s="423">
        <v>3415.924626</v>
      </c>
      <c r="CB17" s="423">
        <v>3310.6433179999999</v>
      </c>
      <c r="CC17" s="423">
        <v>3299.2620010000001</v>
      </c>
      <c r="CD17" s="521">
        <v>3848.3792960000001</v>
      </c>
      <c r="CE17" s="521">
        <v>3215.3362029999998</v>
      </c>
      <c r="CF17" s="423"/>
      <c r="CG17" s="340">
        <v>1499.3579549999999</v>
      </c>
      <c r="CH17" s="423">
        <v>1221.0903539999999</v>
      </c>
      <c r="CI17" s="423">
        <v>1647.7610639999998</v>
      </c>
      <c r="CJ17" s="423">
        <v>1196.0075499999998</v>
      </c>
      <c r="CK17" s="423">
        <v>1456.3429550000001</v>
      </c>
      <c r="CL17" s="423">
        <v>1553.304842</v>
      </c>
      <c r="CM17" s="423">
        <v>2072.9397689999996</v>
      </c>
      <c r="CN17" s="423">
        <v>1692.263649</v>
      </c>
      <c r="CO17" s="423">
        <v>3792.8563080000004</v>
      </c>
      <c r="CP17" s="423">
        <v>5681.3890689999998</v>
      </c>
      <c r="CQ17" s="423">
        <v>4310.5651950000001</v>
      </c>
      <c r="CR17" s="423">
        <v>4306.7071500000002</v>
      </c>
      <c r="CS17" s="423"/>
      <c r="CT17" s="423">
        <v>1716.2215460000002</v>
      </c>
      <c r="CU17" s="423">
        <v>2493.0323859999999</v>
      </c>
      <c r="CV17" s="423">
        <v>2661.4885159999999</v>
      </c>
      <c r="CW17" s="423">
        <v>2276.3076889999998</v>
      </c>
      <c r="CX17" s="423">
        <v>3067.1064290000004</v>
      </c>
      <c r="CY17" s="423">
        <v>4741.3572779999995</v>
      </c>
      <c r="CZ17" s="423">
        <v>1887.789399</v>
      </c>
      <c r="DA17" s="423">
        <v>3668.7386289999999</v>
      </c>
      <c r="DB17" s="423">
        <v>2654.9095940000002</v>
      </c>
      <c r="DC17" s="423">
        <v>2661.4885159999999</v>
      </c>
      <c r="DD17" s="423">
        <v>2054.848739</v>
      </c>
      <c r="DE17" s="423">
        <v>2627.9136699999999</v>
      </c>
      <c r="DF17" s="423"/>
      <c r="DG17" s="423">
        <v>2951.4732029999996</v>
      </c>
      <c r="DH17" s="686">
        <v>3103.9338229999998</v>
      </c>
    </row>
    <row r="18" spans="2:112" x14ac:dyDescent="0.35">
      <c r="B18" s="255" t="s">
        <v>198</v>
      </c>
      <c r="C18" s="359">
        <v>92315.66</v>
      </c>
      <c r="D18" s="359" t="e">
        <f>E18+(F18/F$3)+(G18/G$3)+(H18/H$3)+(I18/I$3)+(J18/J$3)+(K18/K$3)+(L18/L$3)+(M18/M$3)+(N18/N$3)+(O18/O$3)+(P18/P$3)+(Q18/Q$3)+(R18/R$3)+(S18/S$3)+(T18/T$3)+(U18/U$3)+(V18/V$3)+(W18/W$3)+(X18/X$3)</f>
        <v>#DIV/0!</v>
      </c>
      <c r="E18" s="341">
        <f t="shared" ref="E18:R18" si="16">SUM(E15:E17)</f>
        <v>46530.15</v>
      </c>
      <c r="F18" s="324"/>
      <c r="G18" s="341">
        <f t="shared" si="16"/>
        <v>74489.849999999991</v>
      </c>
      <c r="H18" s="341">
        <f t="shared" si="16"/>
        <v>34689.550000000003</v>
      </c>
      <c r="I18" s="341">
        <f t="shared" si="16"/>
        <v>9319.4599999999991</v>
      </c>
      <c r="J18" s="341">
        <f t="shared" si="16"/>
        <v>3810610.45</v>
      </c>
      <c r="K18" s="341">
        <f t="shared" si="16"/>
        <v>32924.86</v>
      </c>
      <c r="L18" s="341">
        <f t="shared" si="16"/>
        <v>1554041.71</v>
      </c>
      <c r="M18" s="341">
        <f t="shared" si="16"/>
        <v>86945.65</v>
      </c>
      <c r="N18" s="341">
        <f t="shared" si="16"/>
        <v>46450.7</v>
      </c>
      <c r="O18" s="341">
        <f t="shared" si="16"/>
        <v>40550.15</v>
      </c>
      <c r="P18" s="341">
        <f t="shared" si="16"/>
        <v>41917.199999999997</v>
      </c>
      <c r="Q18" s="341">
        <f t="shared" si="16"/>
        <v>62273.599999999991</v>
      </c>
      <c r="R18" s="341">
        <f t="shared" si="16"/>
        <v>36248.449999999997</v>
      </c>
      <c r="S18" s="341"/>
      <c r="T18" s="341">
        <f t="shared" ref="T18:AE18" si="17">SUM(T15:T17)</f>
        <v>43537.7</v>
      </c>
      <c r="U18" s="341">
        <f t="shared" si="17"/>
        <v>47476.6</v>
      </c>
      <c r="V18" s="341">
        <f t="shared" si="17"/>
        <v>54641.45</v>
      </c>
      <c r="W18" s="341">
        <f t="shared" si="17"/>
        <v>49237.7</v>
      </c>
      <c r="X18" s="360">
        <v>71000</v>
      </c>
      <c r="Y18" s="341">
        <f t="shared" si="17"/>
        <v>55365.131499999996</v>
      </c>
      <c r="Z18" s="341">
        <f t="shared" si="17"/>
        <v>57891.5</v>
      </c>
      <c r="AA18" s="341">
        <f t="shared" si="17"/>
        <v>64906.549999999996</v>
      </c>
      <c r="AB18" s="341">
        <f t="shared" si="17"/>
        <v>57366.7</v>
      </c>
      <c r="AC18" s="341">
        <f t="shared" si="17"/>
        <v>59736.5</v>
      </c>
      <c r="AD18" s="341">
        <f t="shared" si="17"/>
        <v>49443.75</v>
      </c>
      <c r="AE18" s="341">
        <f t="shared" si="17"/>
        <v>84216.5</v>
      </c>
      <c r="AF18" s="341"/>
      <c r="AG18" s="341">
        <f t="shared" ref="AG18:AR18" si="18">SUM(AG15:AG17)</f>
        <v>92386.1</v>
      </c>
      <c r="AH18" s="341">
        <f t="shared" si="18"/>
        <v>104027.49999999999</v>
      </c>
      <c r="AI18" s="341">
        <f t="shared" si="18"/>
        <v>78398.093875049992</v>
      </c>
      <c r="AJ18" s="341">
        <f t="shared" si="18"/>
        <v>68797.750752649998</v>
      </c>
      <c r="AK18" s="342">
        <f t="shared" si="18"/>
        <v>73003.217047650003</v>
      </c>
      <c r="AL18" s="342">
        <f t="shared" si="18"/>
        <v>68795.568946150001</v>
      </c>
      <c r="AM18" s="342">
        <f t="shared" si="18"/>
        <v>72678.23599999999</v>
      </c>
      <c r="AN18" s="342">
        <f t="shared" si="18"/>
        <v>75741.399999999994</v>
      </c>
      <c r="AO18" s="342">
        <f t="shared" si="18"/>
        <v>79907.799999999988</v>
      </c>
      <c r="AP18" s="342">
        <f t="shared" si="18"/>
        <v>83239.799999999988</v>
      </c>
      <c r="AQ18" s="342">
        <f t="shared" si="18"/>
        <v>83784.949999999983</v>
      </c>
      <c r="AR18" s="342">
        <f t="shared" si="18"/>
        <v>72057.95</v>
      </c>
      <c r="AS18" s="341"/>
      <c r="AT18" s="342">
        <f>SUM(AT15:AT17)</f>
        <v>65869.399999999994</v>
      </c>
      <c r="AU18" s="342">
        <f>SUM(AU15:AU17)</f>
        <v>77342.599999999991</v>
      </c>
      <c r="AV18" s="342">
        <f>SUM(AV15:AV17)</f>
        <v>69021.25</v>
      </c>
      <c r="AW18" s="342">
        <f t="shared" ref="AW18:BB18" si="19">SUM(AW15:AW17)</f>
        <v>66093.2</v>
      </c>
      <c r="AX18" s="342">
        <f t="shared" si="19"/>
        <v>68746.149999999994</v>
      </c>
      <c r="AY18" s="342">
        <f t="shared" si="19"/>
        <v>61080.039511700001</v>
      </c>
      <c r="AZ18" s="342">
        <f t="shared" si="19"/>
        <v>94853.628532649993</v>
      </c>
      <c r="BA18" s="342">
        <f t="shared" si="19"/>
        <v>87945.8</v>
      </c>
      <c r="BB18" s="342">
        <f t="shared" si="19"/>
        <v>85528.991212199995</v>
      </c>
      <c r="BC18" s="342">
        <f>SUM(BC15:BC17)</f>
        <v>84021.170293800009</v>
      </c>
      <c r="BD18" s="342">
        <f>SUM(BD15:BD17)</f>
        <v>82535.043359399875</v>
      </c>
      <c r="BE18" s="342">
        <f>SUM(BE15:BE17)</f>
        <v>82237.529551849992</v>
      </c>
      <c r="BF18" s="324"/>
      <c r="BG18" s="342">
        <f t="shared" ref="BG18:BL18" si="20">SUM(BG15:BG17)</f>
        <v>82310.441289199982</v>
      </c>
      <c r="BH18" s="342">
        <f t="shared" si="20"/>
        <v>80522.806971949991</v>
      </c>
      <c r="BI18" s="342">
        <f t="shared" si="20"/>
        <v>86225.585299500002</v>
      </c>
      <c r="BJ18" s="342">
        <f t="shared" si="20"/>
        <v>78695.274159649984</v>
      </c>
      <c r="BK18" s="342">
        <f t="shared" si="20"/>
        <v>103739.3570055</v>
      </c>
      <c r="BL18" s="342">
        <f t="shared" si="20"/>
        <v>64341.359821899998</v>
      </c>
      <c r="BM18" s="342">
        <f t="shared" ref="BM18:BN18" si="21">SUM(BM15:BM17)</f>
        <v>66188.899999999994</v>
      </c>
      <c r="BN18" s="342">
        <f t="shared" si="21"/>
        <v>40030.965778749996</v>
      </c>
      <c r="BO18" s="342">
        <f t="shared" ref="BO18:BP18" si="22">SUM(BO15:BO17)</f>
        <v>94411.757953399996</v>
      </c>
      <c r="BP18" s="342">
        <f t="shared" si="22"/>
        <v>62989.367032649992</v>
      </c>
      <c r="BQ18" s="342">
        <f t="shared" ref="BQ18:BR18" si="23">SUM(BQ15:BQ17)</f>
        <v>55266.591999999997</v>
      </c>
      <c r="BR18" s="342">
        <f t="shared" si="23"/>
        <v>53276.8948647</v>
      </c>
      <c r="BS18" s="340"/>
      <c r="BT18" s="342">
        <f t="shared" ref="BT18:CY18" si="24">SUM(BT15:BT17)</f>
        <v>61188.159645549997</v>
      </c>
      <c r="BU18" s="342">
        <f t="shared" si="24"/>
        <v>46372.115296849996</v>
      </c>
      <c r="BV18" s="342">
        <f t="shared" si="24"/>
        <v>49932.554862599995</v>
      </c>
      <c r="BW18" s="342">
        <f t="shared" si="24"/>
        <v>51556.539641149997</v>
      </c>
      <c r="BX18" s="342">
        <f t="shared" si="24"/>
        <v>51245.757107999991</v>
      </c>
      <c r="BY18" s="342">
        <f t="shared" si="24"/>
        <v>41601.087644999992</v>
      </c>
      <c r="BZ18" s="342">
        <f t="shared" si="24"/>
        <v>46103.754738999982</v>
      </c>
      <c r="CA18" s="342">
        <f t="shared" si="24"/>
        <v>42675.53398700001</v>
      </c>
      <c r="CB18" s="342">
        <f t="shared" si="24"/>
        <v>55070.530648000014</v>
      </c>
      <c r="CC18" s="342">
        <f t="shared" si="24"/>
        <v>47108.733927000001</v>
      </c>
      <c r="CD18" s="342">
        <f t="shared" si="24"/>
        <v>52137.535476000012</v>
      </c>
      <c r="CE18" s="447">
        <f t="shared" si="24"/>
        <v>47146.43169299997</v>
      </c>
      <c r="CF18" s="447"/>
      <c r="CG18" s="447">
        <f t="shared" si="24"/>
        <v>33530.401894999988</v>
      </c>
      <c r="CH18" s="447">
        <f t="shared" si="24"/>
        <v>40796.860904999987</v>
      </c>
      <c r="CI18" s="447">
        <f t="shared" si="24"/>
        <v>53097.97035499999</v>
      </c>
      <c r="CJ18" s="447">
        <f t="shared" si="24"/>
        <v>42681.622807000014</v>
      </c>
      <c r="CK18" s="447">
        <f t="shared" si="24"/>
        <v>38718.791812999982</v>
      </c>
      <c r="CL18" s="447">
        <f t="shared" si="24"/>
        <v>36789.318826000017</v>
      </c>
      <c r="CM18" s="447">
        <f t="shared" si="24"/>
        <v>43427.475662999968</v>
      </c>
      <c r="CN18" s="447">
        <f t="shared" si="24"/>
        <v>41363.015155999994</v>
      </c>
      <c r="CO18" s="447">
        <f t="shared" si="24"/>
        <v>43192.087947999986</v>
      </c>
      <c r="CP18" s="447">
        <f t="shared" si="24"/>
        <v>45122.909653999981</v>
      </c>
      <c r="CQ18" s="447">
        <f t="shared" si="24"/>
        <v>43679.927819000011</v>
      </c>
      <c r="CR18" s="447">
        <f t="shared" si="24"/>
        <v>41768.118604000039</v>
      </c>
      <c r="CS18" s="447"/>
      <c r="CT18" s="447">
        <f t="shared" si="24"/>
        <v>38410.849198999997</v>
      </c>
      <c r="CU18" s="447">
        <f t="shared" si="24"/>
        <v>59089.324277000014</v>
      </c>
      <c r="CV18" s="447">
        <f t="shared" si="24"/>
        <v>38696.111793999989</v>
      </c>
      <c r="CW18" s="447">
        <f t="shared" si="24"/>
        <v>39300.735086999994</v>
      </c>
      <c r="CX18" s="447">
        <f t="shared" si="24"/>
        <v>39841.656785999992</v>
      </c>
      <c r="CY18" s="447">
        <f t="shared" si="24"/>
        <v>39406.433565999978</v>
      </c>
      <c r="CZ18" s="447">
        <f t="shared" ref="CZ18:DG18" si="25">SUM(CZ15:CZ17)</f>
        <v>48569.113291000001</v>
      </c>
      <c r="DA18" s="447">
        <f t="shared" si="25"/>
        <v>50513.618494999988</v>
      </c>
      <c r="DB18" s="447">
        <f t="shared" si="25"/>
        <v>38120.638735</v>
      </c>
      <c r="DC18" s="447">
        <f t="shared" si="25"/>
        <v>38696.111793999989</v>
      </c>
      <c r="DD18" s="447">
        <f t="shared" si="25"/>
        <v>37611.453567000019</v>
      </c>
      <c r="DE18" s="447">
        <f t="shared" si="25"/>
        <v>32703.002305000002</v>
      </c>
      <c r="DF18" s="447"/>
      <c r="DG18" s="447">
        <f t="shared" si="25"/>
        <v>36258.266474000004</v>
      </c>
      <c r="DH18" s="694">
        <f>SUM(DH15:DH17)</f>
        <v>38228.742133000007</v>
      </c>
    </row>
    <row r="19" spans="2:112" x14ac:dyDescent="0.35">
      <c r="BF19" s="324"/>
      <c r="BS19" s="340"/>
      <c r="CG19" s="340"/>
      <c r="CN19" s="423"/>
      <c r="CY19" s="423"/>
      <c r="CZ19" s="423"/>
      <c r="DE19" s="423"/>
      <c r="DF19" s="423"/>
      <c r="DH19" s="384"/>
    </row>
    <row r="20" spans="2:112" x14ac:dyDescent="0.35">
      <c r="B20" s="10" t="s">
        <v>802</v>
      </c>
      <c r="BF20" s="324"/>
      <c r="BS20" s="340"/>
      <c r="CG20" s="340"/>
      <c r="CN20" s="423"/>
      <c r="CY20" s="423"/>
      <c r="CZ20" s="423"/>
      <c r="DE20" s="423"/>
      <c r="DF20" s="423"/>
      <c r="DH20" s="384"/>
    </row>
    <row r="21" spans="2:112" x14ac:dyDescent="0.35">
      <c r="B21" s="249"/>
      <c r="C21" s="250">
        <f t="shared" ref="C21:R21" si="26">+C5</f>
        <v>42353</v>
      </c>
      <c r="D21" s="250">
        <f t="shared" si="26"/>
        <v>42719</v>
      </c>
      <c r="E21" s="250">
        <f t="shared" si="26"/>
        <v>43070</v>
      </c>
      <c r="G21" s="250">
        <f t="shared" si="26"/>
        <v>43101</v>
      </c>
      <c r="H21" s="250">
        <f t="shared" si="26"/>
        <v>43132</v>
      </c>
      <c r="I21" s="250">
        <f t="shared" si="26"/>
        <v>43160</v>
      </c>
      <c r="J21" s="250">
        <f t="shared" si="26"/>
        <v>43191</v>
      </c>
      <c r="K21" s="250">
        <f t="shared" si="26"/>
        <v>43221</v>
      </c>
      <c r="L21" s="250">
        <f t="shared" si="26"/>
        <v>43252</v>
      </c>
      <c r="M21" s="250">
        <f t="shared" si="26"/>
        <v>43282</v>
      </c>
      <c r="N21" s="250">
        <f t="shared" si="26"/>
        <v>43313</v>
      </c>
      <c r="O21" s="250">
        <f t="shared" si="26"/>
        <v>43344</v>
      </c>
      <c r="P21" s="250">
        <f t="shared" si="26"/>
        <v>43374</v>
      </c>
      <c r="Q21" s="250">
        <f t="shared" si="26"/>
        <v>43405</v>
      </c>
      <c r="R21" s="250">
        <f t="shared" si="26"/>
        <v>43435</v>
      </c>
      <c r="S21" s="251"/>
      <c r="T21" s="250">
        <f t="shared" ref="T21:AE21" si="27">+T5</f>
        <v>43466</v>
      </c>
      <c r="U21" s="250">
        <f t="shared" si="27"/>
        <v>43497</v>
      </c>
      <c r="V21" s="250">
        <f t="shared" si="27"/>
        <v>43525</v>
      </c>
      <c r="W21" s="250">
        <f t="shared" si="27"/>
        <v>43556</v>
      </c>
      <c r="X21" s="250">
        <f t="shared" si="27"/>
        <v>43586</v>
      </c>
      <c r="Y21" s="250">
        <f t="shared" si="27"/>
        <v>43617</v>
      </c>
      <c r="Z21" s="250">
        <f t="shared" si="27"/>
        <v>43647</v>
      </c>
      <c r="AA21" s="250">
        <f t="shared" si="27"/>
        <v>43678</v>
      </c>
      <c r="AB21" s="250">
        <f t="shared" si="27"/>
        <v>43709</v>
      </c>
      <c r="AC21" s="250">
        <f t="shared" si="27"/>
        <v>43739</v>
      </c>
      <c r="AD21" s="250">
        <f t="shared" si="27"/>
        <v>43770</v>
      </c>
      <c r="AE21" s="250">
        <f t="shared" si="27"/>
        <v>43800</v>
      </c>
      <c r="AF21" s="251"/>
      <c r="AG21" s="250">
        <f t="shared" ref="AG21:AR21" si="28">+AG5</f>
        <v>43831</v>
      </c>
      <c r="AH21" s="250">
        <f t="shared" si="28"/>
        <v>43862</v>
      </c>
      <c r="AI21" s="250">
        <f t="shared" si="28"/>
        <v>43891</v>
      </c>
      <c r="AJ21" s="250">
        <f t="shared" si="28"/>
        <v>43922</v>
      </c>
      <c r="AK21" s="250">
        <f t="shared" si="28"/>
        <v>43952</v>
      </c>
      <c r="AL21" s="250">
        <f t="shared" si="28"/>
        <v>43983</v>
      </c>
      <c r="AM21" s="250">
        <f t="shared" si="28"/>
        <v>44013</v>
      </c>
      <c r="AN21" s="250">
        <f t="shared" si="28"/>
        <v>44044</v>
      </c>
      <c r="AO21" s="250">
        <f t="shared" si="28"/>
        <v>44075</v>
      </c>
      <c r="AP21" s="250">
        <f t="shared" si="28"/>
        <v>44105</v>
      </c>
      <c r="AQ21" s="250">
        <f t="shared" si="28"/>
        <v>44136</v>
      </c>
      <c r="AR21" s="250">
        <f t="shared" si="28"/>
        <v>44166</v>
      </c>
      <c r="AS21" s="251"/>
      <c r="AT21" s="250">
        <f t="shared" ref="AT21:BE21" si="29">+AT5</f>
        <v>44197</v>
      </c>
      <c r="AU21" s="250">
        <f t="shared" si="29"/>
        <v>44228</v>
      </c>
      <c r="AV21" s="250">
        <f t="shared" si="29"/>
        <v>44256</v>
      </c>
      <c r="AW21" s="250">
        <f t="shared" si="29"/>
        <v>44287</v>
      </c>
      <c r="AX21" s="250">
        <f t="shared" si="29"/>
        <v>44317</v>
      </c>
      <c r="AY21" s="250">
        <f t="shared" si="29"/>
        <v>44348</v>
      </c>
      <c r="AZ21" s="250">
        <f t="shared" si="29"/>
        <v>44378</v>
      </c>
      <c r="BA21" s="250">
        <f t="shared" si="29"/>
        <v>44409</v>
      </c>
      <c r="BB21" s="250">
        <f t="shared" si="29"/>
        <v>44440</v>
      </c>
      <c r="BC21" s="250">
        <f t="shared" si="29"/>
        <v>44470</v>
      </c>
      <c r="BD21" s="250">
        <f t="shared" si="29"/>
        <v>44501</v>
      </c>
      <c r="BE21" s="250">
        <f t="shared" si="29"/>
        <v>44531</v>
      </c>
      <c r="BF21" s="324"/>
      <c r="BG21" s="250">
        <v>44562</v>
      </c>
      <c r="BH21" s="417">
        <v>44593</v>
      </c>
      <c r="BI21" s="417">
        <v>44621</v>
      </c>
      <c r="BJ21" s="417">
        <v>44652</v>
      </c>
      <c r="BK21" s="417">
        <v>44682</v>
      </c>
      <c r="BL21" s="417">
        <v>44713</v>
      </c>
      <c r="BM21" s="417">
        <v>44743</v>
      </c>
      <c r="BN21" s="417">
        <v>44774</v>
      </c>
      <c r="BO21" s="417">
        <v>44805</v>
      </c>
      <c r="BP21" s="417">
        <v>44835</v>
      </c>
      <c r="BQ21" s="417">
        <v>44866</v>
      </c>
      <c r="BR21" s="417">
        <v>44896</v>
      </c>
      <c r="BS21" s="339"/>
      <c r="BT21" s="417">
        <v>44927</v>
      </c>
      <c r="BU21" s="417">
        <v>44958</v>
      </c>
      <c r="BV21" s="417">
        <v>44986</v>
      </c>
      <c r="BW21" s="417">
        <v>45017</v>
      </c>
      <c r="BX21" s="417">
        <v>45047</v>
      </c>
      <c r="BY21" s="417">
        <v>45078</v>
      </c>
      <c r="BZ21" s="417">
        <v>45108</v>
      </c>
      <c r="CA21" s="417">
        <v>45139</v>
      </c>
      <c r="CB21" s="417">
        <v>45170</v>
      </c>
      <c r="CC21" s="417">
        <v>45200</v>
      </c>
      <c r="CD21" s="417">
        <v>45231</v>
      </c>
      <c r="CE21" s="417">
        <v>45261</v>
      </c>
      <c r="CF21" s="227"/>
      <c r="CG21" s="417">
        <v>45292</v>
      </c>
      <c r="CH21" s="417">
        <v>45323</v>
      </c>
      <c r="CI21" s="417">
        <v>45352</v>
      </c>
      <c r="CJ21" s="417">
        <v>45383</v>
      </c>
      <c r="CK21" s="417">
        <v>45413</v>
      </c>
      <c r="CL21" s="417">
        <v>45444</v>
      </c>
      <c r="CM21" s="417">
        <v>45474</v>
      </c>
      <c r="CN21" s="417">
        <v>45505</v>
      </c>
      <c r="CO21" s="417">
        <v>45536</v>
      </c>
      <c r="CP21" s="417">
        <v>45566</v>
      </c>
      <c r="CQ21" s="417">
        <v>45597</v>
      </c>
      <c r="CR21" s="417">
        <v>45627</v>
      </c>
      <c r="CS21" s="227"/>
      <c r="CT21" s="417">
        <v>45658</v>
      </c>
      <c r="CU21" s="417">
        <v>45689</v>
      </c>
      <c r="CV21" s="417">
        <v>45717</v>
      </c>
      <c r="CW21" s="417">
        <v>45748</v>
      </c>
      <c r="CX21" s="417">
        <v>45778</v>
      </c>
      <c r="CY21" s="417">
        <v>45809</v>
      </c>
      <c r="CZ21" s="417">
        <v>45839</v>
      </c>
      <c r="DA21" s="417">
        <v>45870</v>
      </c>
      <c r="DB21" s="417">
        <v>45901</v>
      </c>
      <c r="DC21" s="417">
        <v>45931</v>
      </c>
      <c r="DD21" s="417">
        <v>45962</v>
      </c>
      <c r="DE21" s="417">
        <v>45992</v>
      </c>
      <c r="DF21" s="227"/>
      <c r="DG21" s="417">
        <v>46023</v>
      </c>
      <c r="DH21" s="417">
        <v>46054</v>
      </c>
    </row>
    <row r="22" spans="2:112" x14ac:dyDescent="0.35">
      <c r="B22" s="249"/>
      <c r="C22" s="252" t="s">
        <v>801</v>
      </c>
      <c r="D22" s="252" t="s">
        <v>801</v>
      </c>
      <c r="E22" s="252" t="s">
        <v>801</v>
      </c>
      <c r="F22" s="224"/>
      <c r="G22" s="252" t="s">
        <v>801</v>
      </c>
      <c r="H22" s="252" t="s">
        <v>801</v>
      </c>
      <c r="I22" s="252" t="s">
        <v>801</v>
      </c>
      <c r="J22" s="252" t="s">
        <v>801</v>
      </c>
      <c r="K22" s="252" t="s">
        <v>801</v>
      </c>
      <c r="L22" s="252" t="s">
        <v>801</v>
      </c>
      <c r="M22" s="252" t="s">
        <v>801</v>
      </c>
      <c r="N22" s="252" t="s">
        <v>801</v>
      </c>
      <c r="O22" s="252" t="s">
        <v>801</v>
      </c>
      <c r="P22" s="252" t="s">
        <v>801</v>
      </c>
      <c r="Q22" s="252" t="s">
        <v>801</v>
      </c>
      <c r="R22" s="252" t="s">
        <v>801</v>
      </c>
      <c r="S22" s="253"/>
      <c r="T22" s="252" t="s">
        <v>801</v>
      </c>
      <c r="U22" s="252" t="s">
        <v>801</v>
      </c>
      <c r="V22" s="252" t="s">
        <v>801</v>
      </c>
      <c r="W22" s="252" t="s">
        <v>801</v>
      </c>
      <c r="X22" s="252" t="s">
        <v>801</v>
      </c>
      <c r="Y22" s="252" t="s">
        <v>801</v>
      </c>
      <c r="Z22" s="252" t="s">
        <v>801</v>
      </c>
      <c r="AA22" s="252" t="s">
        <v>801</v>
      </c>
      <c r="AB22" s="252" t="s">
        <v>801</v>
      </c>
      <c r="AC22" s="252" t="s">
        <v>801</v>
      </c>
      <c r="AD22" s="252" t="s">
        <v>801</v>
      </c>
      <c r="AE22" s="252" t="s">
        <v>801</v>
      </c>
      <c r="AF22" s="253"/>
      <c r="AG22" s="252" t="s">
        <v>801</v>
      </c>
      <c r="AH22" s="252" t="s">
        <v>801</v>
      </c>
      <c r="AI22" s="252" t="s">
        <v>801</v>
      </c>
      <c r="AJ22" s="252" t="s">
        <v>801</v>
      </c>
      <c r="AK22" s="252" t="s">
        <v>801</v>
      </c>
      <c r="AL22" s="252" t="s">
        <v>801</v>
      </c>
      <c r="AM22" s="252" t="s">
        <v>801</v>
      </c>
      <c r="AN22" s="252" t="s">
        <v>801</v>
      </c>
      <c r="AO22" s="252" t="s">
        <v>801</v>
      </c>
      <c r="AP22" s="252" t="s">
        <v>801</v>
      </c>
      <c r="AQ22" s="252" t="s">
        <v>801</v>
      </c>
      <c r="AR22" s="252" t="s">
        <v>801</v>
      </c>
      <c r="AS22" s="253"/>
      <c r="AT22" s="252" t="s">
        <v>801</v>
      </c>
      <c r="AU22" s="252" t="s">
        <v>801</v>
      </c>
      <c r="AV22" s="252" t="s">
        <v>801</v>
      </c>
      <c r="AW22" s="252" t="s">
        <v>801</v>
      </c>
      <c r="AX22" s="252" t="s">
        <v>801</v>
      </c>
      <c r="AY22" s="252" t="s">
        <v>801</v>
      </c>
      <c r="AZ22" s="252" t="s">
        <v>801</v>
      </c>
      <c r="BA22" s="252" t="s">
        <v>801</v>
      </c>
      <c r="BB22" s="252" t="s">
        <v>801</v>
      </c>
      <c r="BC22" s="252" t="s">
        <v>801</v>
      </c>
      <c r="BD22" s="252" t="s">
        <v>801</v>
      </c>
      <c r="BE22" s="252" t="s">
        <v>801</v>
      </c>
      <c r="BF22" s="324"/>
      <c r="BG22" s="252" t="s">
        <v>801</v>
      </c>
      <c r="BH22" s="417" t="s">
        <v>801</v>
      </c>
      <c r="BI22" s="417" t="s">
        <v>801</v>
      </c>
      <c r="BJ22" s="417" t="s">
        <v>801</v>
      </c>
      <c r="BK22" s="417" t="s">
        <v>801</v>
      </c>
      <c r="BL22" s="417" t="s">
        <v>801</v>
      </c>
      <c r="BM22" s="417" t="s">
        <v>801</v>
      </c>
      <c r="BN22" s="417" t="s">
        <v>801</v>
      </c>
      <c r="BO22" s="417" t="s">
        <v>801</v>
      </c>
      <c r="BP22" s="417" t="s">
        <v>801</v>
      </c>
      <c r="BQ22" s="417" t="s">
        <v>801</v>
      </c>
      <c r="BR22" s="417" t="s">
        <v>801</v>
      </c>
      <c r="BS22" s="339"/>
      <c r="BT22" s="417" t="s">
        <v>801</v>
      </c>
      <c r="BU22" s="417" t="s">
        <v>801</v>
      </c>
      <c r="BV22" s="417" t="s">
        <v>801</v>
      </c>
      <c r="BW22" s="417" t="s">
        <v>801</v>
      </c>
      <c r="BX22" s="417" t="s">
        <v>801</v>
      </c>
      <c r="BY22" s="417" t="s">
        <v>801</v>
      </c>
      <c r="BZ22" s="417" t="s">
        <v>801</v>
      </c>
      <c r="CA22" s="417" t="s">
        <v>801</v>
      </c>
      <c r="CB22" s="417" t="s">
        <v>801</v>
      </c>
      <c r="CC22" s="417" t="s">
        <v>801</v>
      </c>
      <c r="CD22" s="417" t="s">
        <v>801</v>
      </c>
      <c r="CE22" s="417" t="s">
        <v>801</v>
      </c>
      <c r="CF22" s="227"/>
      <c r="CG22" s="417" t="s">
        <v>801</v>
      </c>
      <c r="CH22" s="417" t="s">
        <v>801</v>
      </c>
      <c r="CI22" s="417" t="s">
        <v>801</v>
      </c>
      <c r="CJ22" s="417" t="s">
        <v>801</v>
      </c>
      <c r="CK22" s="417" t="s">
        <v>801</v>
      </c>
      <c r="CL22" s="417" t="s">
        <v>801</v>
      </c>
      <c r="CM22" s="417" t="s">
        <v>801</v>
      </c>
      <c r="CN22" s="417" t="s">
        <v>801</v>
      </c>
      <c r="CO22" s="417" t="s">
        <v>801</v>
      </c>
      <c r="CP22" s="417" t="s">
        <v>801</v>
      </c>
      <c r="CQ22" s="417" t="s">
        <v>801</v>
      </c>
      <c r="CR22" s="417" t="s">
        <v>801</v>
      </c>
      <c r="CS22" s="227"/>
      <c r="CT22" s="417" t="s">
        <v>801</v>
      </c>
      <c r="CU22" s="417" t="s">
        <v>801</v>
      </c>
      <c r="CV22" s="417" t="s">
        <v>801</v>
      </c>
      <c r="CW22" s="417" t="s">
        <v>801</v>
      </c>
      <c r="CX22" s="417" t="s">
        <v>801</v>
      </c>
      <c r="CY22" s="417" t="s">
        <v>801</v>
      </c>
      <c r="CZ22" s="417" t="s">
        <v>801</v>
      </c>
      <c r="DA22" s="417" t="s">
        <v>801</v>
      </c>
      <c r="DB22" s="417" t="s">
        <v>801</v>
      </c>
      <c r="DC22" s="417" t="s">
        <v>801</v>
      </c>
      <c r="DD22" s="417" t="s">
        <v>801</v>
      </c>
      <c r="DE22" s="417" t="s">
        <v>801</v>
      </c>
      <c r="DF22" s="227"/>
      <c r="DG22" s="417" t="s">
        <v>801</v>
      </c>
      <c r="DH22" s="417" t="s">
        <v>801</v>
      </c>
    </row>
    <row r="23" spans="2:112" x14ac:dyDescent="0.35">
      <c r="B23" s="254" t="s">
        <v>797</v>
      </c>
      <c r="C23" s="257">
        <f t="shared" ref="C23:E25" si="30">C15/C7</f>
        <v>0.61996406056382436</v>
      </c>
      <c r="D23" s="257">
        <f t="shared" si="30"/>
        <v>4.6262362786653624</v>
      </c>
      <c r="E23" s="257">
        <f t="shared" si="30"/>
        <v>0</v>
      </c>
      <c r="G23" s="257">
        <f>G15/G7</f>
        <v>3.9178528235184661E-2</v>
      </c>
      <c r="H23" s="257">
        <f t="shared" ref="H23:AD26" si="31">H15/H7</f>
        <v>2.8316625645684341E-2</v>
      </c>
      <c r="I23" s="257">
        <f t="shared" si="31"/>
        <v>2.1423448430033812E-2</v>
      </c>
      <c r="J23" s="257">
        <f t="shared" si="31"/>
        <v>28.741508839366304</v>
      </c>
      <c r="K23" s="257">
        <f t="shared" si="31"/>
        <v>4.5101763907734059E-4</v>
      </c>
      <c r="L23" s="257">
        <f t="shared" si="31"/>
        <v>0.10250032516800346</v>
      </c>
      <c r="M23" s="257">
        <f t="shared" si="31"/>
        <v>9.2396856762520657E-2</v>
      </c>
      <c r="N23" s="257">
        <f t="shared" si="31"/>
        <v>2.8220575789412242E-2</v>
      </c>
      <c r="O23" s="257">
        <f t="shared" si="31"/>
        <v>2.1992829219185172E-2</v>
      </c>
      <c r="P23" s="257">
        <f t="shared" si="31"/>
        <v>1.2243460599806725E-2</v>
      </c>
      <c r="Q23" s="257">
        <f t="shared" si="31"/>
        <v>1.2816356041584879E-2</v>
      </c>
      <c r="R23" s="257">
        <f t="shared" si="31"/>
        <v>1.7149015107030371E-2</v>
      </c>
      <c r="S23" s="257"/>
      <c r="T23" s="257">
        <f t="shared" si="31"/>
        <v>2.4406420779899407E-2</v>
      </c>
      <c r="U23" s="257">
        <f t="shared" si="31"/>
        <v>2.6504186533765722E-2</v>
      </c>
      <c r="V23" s="257">
        <f t="shared" si="31"/>
        <v>3.2472813196047688E-2</v>
      </c>
      <c r="W23" s="257">
        <f t="shared" si="31"/>
        <v>2.0458707376554811E-2</v>
      </c>
      <c r="X23" s="257">
        <f t="shared" si="31"/>
        <v>1.9740162715150653E-2</v>
      </c>
      <c r="Y23" s="257">
        <f t="shared" si="31"/>
        <v>2.6627564954762178E-2</v>
      </c>
      <c r="Z23" s="257">
        <f t="shared" si="31"/>
        <v>1.9326059598764999E-2</v>
      </c>
      <c r="AA23" s="257">
        <f t="shared" si="31"/>
        <v>1.3954421240003009E-2</v>
      </c>
      <c r="AB23" s="257">
        <f t="shared" si="31"/>
        <v>1.279601873253319E-2</v>
      </c>
      <c r="AC23" s="257">
        <f t="shared" si="31"/>
        <v>1.3840360276418977E-2</v>
      </c>
      <c r="AD23" s="257">
        <f>AD15/AD7</f>
        <v>2.3833860588524838E-2</v>
      </c>
      <c r="AE23" s="257">
        <f>AE15/AE7</f>
        <v>3.8130008285213728E-2</v>
      </c>
      <c r="AF23" s="257"/>
      <c r="AG23" s="257">
        <f t="shared" ref="AG23:AR26" si="32">AG15/AG7</f>
        <v>3.5348992170581378E-2</v>
      </c>
      <c r="AH23" s="257">
        <f t="shared" si="32"/>
        <v>5.6462799214668236E-2</v>
      </c>
      <c r="AI23" s="257">
        <f t="shared" si="32"/>
        <v>3.8494962155304444E-2</v>
      </c>
      <c r="AJ23" s="257">
        <f t="shared" si="32"/>
        <v>3.8233000373911648E-2</v>
      </c>
      <c r="AK23" s="257">
        <f t="shared" si="32"/>
        <v>3.6253288000091886E-2</v>
      </c>
      <c r="AL23" s="257">
        <f t="shared" si="32"/>
        <v>3.4802855005595053E-2</v>
      </c>
      <c r="AM23" s="257">
        <f t="shared" si="32"/>
        <v>2.9349909430605361E-2</v>
      </c>
      <c r="AN23" s="257">
        <f t="shared" si="32"/>
        <v>3.3632779797282082E-2</v>
      </c>
      <c r="AO23" s="257">
        <f t="shared" si="32"/>
        <v>2.9989838881130538E-2</v>
      </c>
      <c r="AP23" s="257">
        <f t="shared" si="32"/>
        <v>3.1948933963328575E-2</v>
      </c>
      <c r="AQ23" s="257">
        <f t="shared" si="32"/>
        <v>4.3352222995867065E-2</v>
      </c>
      <c r="AR23" s="257">
        <f t="shared" si="32"/>
        <v>2.9893773707552678E-2</v>
      </c>
      <c r="AS23" s="257"/>
      <c r="AT23" s="257">
        <f t="shared" ref="AT23:AV26" si="33">AT15/AT7</f>
        <v>2.6511984072863041E-2</v>
      </c>
      <c r="AU23" s="257">
        <f t="shared" si="33"/>
        <v>2.574373995421356E-2</v>
      </c>
      <c r="AV23" s="257">
        <f t="shared" si="33"/>
        <v>2.4628926797748481E-2</v>
      </c>
      <c r="AW23" s="257">
        <f t="shared" ref="AW23:AX26" si="34">AW15/AW7</f>
        <v>2.5479627712847761E-2</v>
      </c>
      <c r="AX23" s="257">
        <f t="shared" si="34"/>
        <v>2.6941675758255148E-2</v>
      </c>
      <c r="AY23" s="257">
        <f t="shared" ref="AY23:BE26" si="35">AY15/AY7</f>
        <v>2.3275015132686792E-2</v>
      </c>
      <c r="AZ23" s="257">
        <f t="shared" si="35"/>
        <v>3.8767369831209979E-2</v>
      </c>
      <c r="BA23" s="257">
        <f t="shared" si="35"/>
        <v>2.9356819546066615E-2</v>
      </c>
      <c r="BB23" s="257">
        <f t="shared" si="35"/>
        <v>2.8000200554419673E-2</v>
      </c>
      <c r="BC23" s="257">
        <f t="shared" si="35"/>
        <v>2.5142087592196053E-2</v>
      </c>
      <c r="BD23" s="257">
        <f t="shared" si="35"/>
        <v>3.2389932067735543E-2</v>
      </c>
      <c r="BE23" s="257">
        <f t="shared" si="35"/>
        <v>3.225480383175932E-2</v>
      </c>
      <c r="BF23" s="324"/>
      <c r="BG23" s="257">
        <f t="shared" ref="BG23:BL23" si="36">IFERROR(BG15/BG7,0)</f>
        <v>3.2956103874309854E-2</v>
      </c>
      <c r="BH23" s="257">
        <f t="shared" si="36"/>
        <v>3.1107436054436447E-2</v>
      </c>
      <c r="BI23" s="257">
        <f t="shared" si="36"/>
        <v>2.6009741642172474E-2</v>
      </c>
      <c r="BJ23" s="257">
        <f t="shared" si="36"/>
        <v>2.8472537943850407E-2</v>
      </c>
      <c r="BK23" s="257">
        <f t="shared" si="36"/>
        <v>2.6702822950303948E-2</v>
      </c>
      <c r="BL23" s="257">
        <f t="shared" si="36"/>
        <v>1.8408036482285093E-2</v>
      </c>
      <c r="BM23" s="257">
        <f t="shared" ref="BM23:BN23" si="37">IFERROR(BM15/BM7,0)</f>
        <v>1.8369321256935411E-2</v>
      </c>
      <c r="BN23" s="257">
        <f t="shared" si="37"/>
        <v>1.701875243844804E-2</v>
      </c>
      <c r="BO23" s="257">
        <f t="shared" ref="BO23:BP23" si="38">IFERROR(BO15/BO7,0)</f>
        <v>1.6861619925044639E-2</v>
      </c>
      <c r="BP23" s="257">
        <f t="shared" si="38"/>
        <v>1.5837783840244684E-2</v>
      </c>
      <c r="BQ23" s="257">
        <f t="shared" ref="BQ23:BR23" si="39">IFERROR(BQ15/BQ7,0)</f>
        <v>1.4726771935347377E-2</v>
      </c>
      <c r="BR23" s="257">
        <f t="shared" si="39"/>
        <v>1.3992541355936661E-2</v>
      </c>
      <c r="BS23" s="340"/>
      <c r="BT23" s="257">
        <f t="shared" ref="BT23:CE23" si="40">IFERROR(BT15/BT7,0)</f>
        <v>1.6307938842231882E-2</v>
      </c>
      <c r="BU23" s="257">
        <f t="shared" si="40"/>
        <v>1.4294860753092794E-2</v>
      </c>
      <c r="BV23" s="257">
        <f t="shared" si="40"/>
        <v>1.533035615044271E-2</v>
      </c>
      <c r="BW23" s="257">
        <f t="shared" si="40"/>
        <v>1.3815830271761285E-2</v>
      </c>
      <c r="BX23" s="257">
        <f t="shared" si="40"/>
        <v>1.2744040172864025E-2</v>
      </c>
      <c r="BY23" s="257">
        <f t="shared" si="40"/>
        <v>9.538523378213452E-3</v>
      </c>
      <c r="BZ23" s="257">
        <f t="shared" si="40"/>
        <v>1.0015101753358582E-2</v>
      </c>
      <c r="CA23" s="257">
        <f t="shared" si="40"/>
        <v>7.4796234266466975E-3</v>
      </c>
      <c r="CB23" s="257">
        <f t="shared" si="40"/>
        <v>5.1707574484689701E-3</v>
      </c>
      <c r="CC23" s="257">
        <f t="shared" si="40"/>
        <v>8.8955251593267424E-3</v>
      </c>
      <c r="CD23" s="257">
        <f t="shared" si="40"/>
        <v>8.6048027533183503E-3</v>
      </c>
      <c r="CE23" s="257">
        <f t="shared" si="40"/>
        <v>5.0549937537317886E-3</v>
      </c>
      <c r="CF23" s="257"/>
      <c r="CG23" s="257">
        <f t="shared" ref="CG23:CH23" si="41">IFERROR(CG15/CG7,0)</f>
        <v>9.3858863534268516E-3</v>
      </c>
      <c r="CH23" s="257">
        <f t="shared" si="41"/>
        <v>1.2034911201567813E-2</v>
      </c>
      <c r="CI23" s="257">
        <f t="shared" ref="CI23:CJ23" si="42">IFERROR(CI15/CI7,0)</f>
        <v>1.3078563369937348E-2</v>
      </c>
      <c r="CJ23" s="257">
        <f t="shared" si="42"/>
        <v>1.1135529414770098E-2</v>
      </c>
      <c r="CK23" s="257">
        <f t="shared" ref="CK23:CL23" si="43">IFERROR(CK15/CK7,0)</f>
        <v>9.9068046608100542E-3</v>
      </c>
      <c r="CL23" s="207">
        <f t="shared" si="43"/>
        <v>8.9163300847844573E-3</v>
      </c>
      <c r="CM23" s="257">
        <f t="shared" ref="CM23:CN23" si="44">IFERROR(CM15/CM7,0)</f>
        <v>9.446453665860121E-3</v>
      </c>
      <c r="CN23" s="207">
        <f t="shared" si="44"/>
        <v>7.9882766869056807E-3</v>
      </c>
      <c r="CO23" s="207">
        <f t="shared" ref="CO23:CP23" si="45">IFERROR(CO15/CO7,0)</f>
        <v>8.0745701185660664E-3</v>
      </c>
      <c r="CP23" s="207">
        <f t="shared" si="45"/>
        <v>6.9585235658922995E-3</v>
      </c>
      <c r="CQ23" s="207">
        <f t="shared" ref="CQ23:CR23" si="46">IFERROR(CQ15/CQ7,0)</f>
        <v>7.8320972714770332E-3</v>
      </c>
      <c r="CR23" s="207">
        <f t="shared" si="46"/>
        <v>8.3422303811950798E-3</v>
      </c>
      <c r="CS23" s="207"/>
      <c r="CT23" s="207">
        <f t="shared" ref="CT23:CU23" si="47">IFERROR(CT15/CT7,0)</f>
        <v>1.074049724845816E-2</v>
      </c>
      <c r="CU23" s="207">
        <f t="shared" si="47"/>
        <v>1.5274138145664876E-2</v>
      </c>
      <c r="CV23" s="207">
        <f t="shared" ref="CV23:CW23" si="48">IFERROR(CV15/CV7,0)</f>
        <v>1.0499662364240596E-2</v>
      </c>
      <c r="CW23" s="207">
        <f t="shared" si="48"/>
        <v>1.1126879544840866E-2</v>
      </c>
      <c r="CX23" s="207">
        <f t="shared" ref="CX23:CY23" si="49">IFERROR(CX15/CX7,0)</f>
        <v>1.1270315163777146E-2</v>
      </c>
      <c r="CY23" s="207">
        <f t="shared" si="49"/>
        <v>1.1074025850713196E-2</v>
      </c>
      <c r="CZ23" s="207">
        <f t="shared" ref="CZ23:DA23" si="50">IFERROR(CZ15/CZ7,0)</f>
        <v>1.4638644888879157E-2</v>
      </c>
      <c r="DA23" s="207">
        <f t="shared" si="50"/>
        <v>2.1132501464032012E-2</v>
      </c>
      <c r="DB23" s="207">
        <f t="shared" ref="DB23:DC23" si="51">IFERROR(DB15/DB7,0)</f>
        <v>1.3279402966724042E-2</v>
      </c>
      <c r="DC23" s="207">
        <f t="shared" si="51"/>
        <v>1.0499662364240596E-2</v>
      </c>
      <c r="DD23" s="207">
        <f t="shared" ref="DD23:DE23" si="52">IFERROR(DD15/DD7,0)</f>
        <v>1.316608653083942E-2</v>
      </c>
      <c r="DE23" s="207">
        <f t="shared" si="52"/>
        <v>9.8873738836357684E-3</v>
      </c>
      <c r="DF23" s="207"/>
      <c r="DG23" s="207">
        <f t="shared" ref="DG23:DH23" si="53">IFERROR(DG15/DG7,0)</f>
        <v>9.5104187529895055E-3</v>
      </c>
      <c r="DH23" s="695">
        <f t="shared" si="53"/>
        <v>1.0454611780321711E-2</v>
      </c>
    </row>
    <row r="24" spans="2:112" x14ac:dyDescent="0.35">
      <c r="B24" s="258" t="s">
        <v>798</v>
      </c>
      <c r="C24" s="257">
        <f t="shared" si="30"/>
        <v>1.1548478125427388</v>
      </c>
      <c r="D24" s="257" t="e">
        <f t="shared" si="30"/>
        <v>#DIV/0!</v>
      </c>
      <c r="E24" s="257">
        <f t="shared" si="30"/>
        <v>2.5202854176448415E-2</v>
      </c>
      <c r="G24" s="257">
        <f>G16/G8</f>
        <v>2.4184796199049761E-2</v>
      </c>
      <c r="H24" s="257">
        <f t="shared" si="31"/>
        <v>2.0226468263514208E-2</v>
      </c>
      <c r="I24" s="257">
        <f t="shared" si="31"/>
        <v>1.8143911966228762E-2</v>
      </c>
      <c r="J24" s="257">
        <f t="shared" si="31"/>
        <v>1.7907261126396654E-2</v>
      </c>
      <c r="K24" s="257">
        <f t="shared" si="31"/>
        <v>1.1627664132912281E-2</v>
      </c>
      <c r="L24" s="257">
        <f t="shared" si="31"/>
        <v>7.9052978645451688</v>
      </c>
      <c r="M24" s="257">
        <f t="shared" si="31"/>
        <v>1.4365410043662888E-2</v>
      </c>
      <c r="N24" s="257">
        <f t="shared" si="31"/>
        <v>2.3537633657138863E-2</v>
      </c>
      <c r="O24" s="257">
        <f t="shared" si="31"/>
        <v>1.7883028355327867E-2</v>
      </c>
      <c r="P24" s="257">
        <f t="shared" si="31"/>
        <v>2.40137287102642E-2</v>
      </c>
      <c r="Q24" s="257">
        <f t="shared" si="31"/>
        <v>1.979543777773965E-2</v>
      </c>
      <c r="R24" s="257">
        <f t="shared" si="31"/>
        <v>1.3781973547684737E-2</v>
      </c>
      <c r="S24" s="257"/>
      <c r="T24" s="257">
        <f t="shared" si="31"/>
        <v>1.7388052761287721E-2</v>
      </c>
      <c r="U24" s="257">
        <f t="shared" si="31"/>
        <v>2.4116767742485147E-2</v>
      </c>
      <c r="V24" s="257">
        <f t="shared" si="31"/>
        <v>2.6519820139816918E-2</v>
      </c>
      <c r="W24" s="257">
        <f t="shared" si="31"/>
        <v>2.4372516022772028E-2</v>
      </c>
      <c r="X24" s="257">
        <f t="shared" si="31"/>
        <v>2.0632576403240396E-2</v>
      </c>
      <c r="Y24" s="257">
        <f t="shared" si="31"/>
        <v>2.4332830230593048E-2</v>
      </c>
      <c r="Z24" s="257">
        <f t="shared" si="31"/>
        <v>2.5449465562356194E-2</v>
      </c>
      <c r="AA24" s="257">
        <f t="shared" si="31"/>
        <v>3.7958045462854563E-2</v>
      </c>
      <c r="AB24" s="257">
        <f t="shared" si="31"/>
        <v>3.4877579248528412E-2</v>
      </c>
      <c r="AC24" s="257">
        <f t="shared" si="31"/>
        <v>3.4956596009329328E-2</v>
      </c>
      <c r="AD24" s="257">
        <f>AD16/AD8</f>
        <v>1.7222519138268461E-2</v>
      </c>
      <c r="AE24" s="257">
        <f>AE16/AE8</f>
        <v>4.2551035318184174E-2</v>
      </c>
      <c r="AF24" s="257"/>
      <c r="AG24" s="257">
        <f t="shared" si="32"/>
        <v>4.195303421998433E-2</v>
      </c>
      <c r="AH24" s="257">
        <f t="shared" si="32"/>
        <v>3.7149028709270664E-2</v>
      </c>
      <c r="AI24" s="257">
        <f t="shared" si="32"/>
        <v>3.9846118693568175E-2</v>
      </c>
      <c r="AJ24" s="257">
        <f t="shared" si="32"/>
        <v>3.7815884132080965E-2</v>
      </c>
      <c r="AK24" s="257">
        <f t="shared" si="32"/>
        <v>3.906398535636732E-2</v>
      </c>
      <c r="AL24" s="257">
        <f t="shared" si="32"/>
        <v>3.9065431725772329E-2</v>
      </c>
      <c r="AM24" s="257">
        <f t="shared" si="32"/>
        <v>3.4045760305379043E-2</v>
      </c>
      <c r="AN24" s="257">
        <f t="shared" si="32"/>
        <v>3.0486315756187796E-2</v>
      </c>
      <c r="AO24" s="257">
        <f t="shared" si="32"/>
        <v>3.1039195962728274E-2</v>
      </c>
      <c r="AP24" s="257">
        <f t="shared" si="32"/>
        <v>3.3895742691948158E-2</v>
      </c>
      <c r="AQ24" s="257">
        <f t="shared" si="32"/>
        <v>3.4505166885290102E-2</v>
      </c>
      <c r="AR24" s="257">
        <f t="shared" si="32"/>
        <v>3.4446072350610243E-2</v>
      </c>
      <c r="AS24" s="257"/>
      <c r="AT24" s="257">
        <f t="shared" si="33"/>
        <v>4.3619427916892044E-2</v>
      </c>
      <c r="AU24" s="257">
        <f t="shared" si="33"/>
        <v>3.2601386636224902E-2</v>
      </c>
      <c r="AV24" s="257">
        <f t="shared" si="33"/>
        <v>3.2913145029494079E-2</v>
      </c>
      <c r="AW24" s="257">
        <f t="shared" si="34"/>
        <v>3.2075845954967874E-2</v>
      </c>
      <c r="AX24" s="257">
        <f t="shared" si="34"/>
        <v>3.3773049936520132E-2</v>
      </c>
      <c r="AY24" s="257">
        <f t="shared" si="35"/>
        <v>3.428964274844911E-2</v>
      </c>
      <c r="AZ24" s="257">
        <f t="shared" si="35"/>
        <v>3.8253770940552663E-2</v>
      </c>
      <c r="BA24" s="257">
        <f t="shared" si="35"/>
        <v>3.4344870290754767E-2</v>
      </c>
      <c r="BB24" s="257">
        <f t="shared" si="35"/>
        <v>3.5353430261233873E-2</v>
      </c>
      <c r="BC24" s="257">
        <f t="shared" si="35"/>
        <v>3.4880854171068509E-2</v>
      </c>
      <c r="BD24" s="257">
        <f t="shared" si="35"/>
        <v>3.6503485568108403E-2</v>
      </c>
      <c r="BE24" s="257">
        <f t="shared" si="35"/>
        <v>4.2232754283312114E-2</v>
      </c>
      <c r="BF24" s="324"/>
      <c r="BG24" s="257">
        <f t="shared" ref="BG24:BH24" si="54">IFERROR(BG16/BG8,0)</f>
        <v>4.2034333531808334E-2</v>
      </c>
      <c r="BH24" s="257">
        <f t="shared" si="54"/>
        <v>4.4876113838206368E-2</v>
      </c>
      <c r="BI24" s="257">
        <f t="shared" ref="BI24:BJ24" si="55">IFERROR(BI16/BI8,0)</f>
        <v>3.71498644950813E-2</v>
      </c>
      <c r="BJ24" s="257">
        <f t="shared" si="55"/>
        <v>4.0390893378740599E-2</v>
      </c>
      <c r="BK24" s="257">
        <f t="shared" ref="BK24:BL24" si="56">IFERROR(BK16/BK8,0)</f>
        <v>4.430005319368182E-2</v>
      </c>
      <c r="BL24" s="257">
        <f t="shared" si="56"/>
        <v>1.5474398640516099E-2</v>
      </c>
      <c r="BM24" s="257">
        <f t="shared" ref="BM24:BN24" si="57">IFERROR(BM16/BM8,0)</f>
        <v>1.7561880398419751E-2</v>
      </c>
      <c r="BN24" s="257">
        <f t="shared" si="57"/>
        <v>1.6564299963471904E-2</v>
      </c>
      <c r="BO24" s="257">
        <f t="shared" ref="BO24:BP24" si="58">IFERROR(BO16/BO8,0)</f>
        <v>1.4367179549122047E-2</v>
      </c>
      <c r="BP24" s="257">
        <f t="shared" si="58"/>
        <v>1.4169178426049235E-2</v>
      </c>
      <c r="BQ24" s="257">
        <f t="shared" ref="BQ24:BR24" si="59">IFERROR(BQ16/BQ8,0)</f>
        <v>1.5554422773173806E-2</v>
      </c>
      <c r="BR24" s="257">
        <f t="shared" si="59"/>
        <v>1.3941574991761702E-2</v>
      </c>
      <c r="BS24" s="340"/>
      <c r="BT24" s="257">
        <f t="shared" ref="BT24:CE24" si="60">IFERROR(BT16/BT8,0)</f>
        <v>1.4944793738065721E-2</v>
      </c>
      <c r="BU24" s="257">
        <f t="shared" si="60"/>
        <v>1.425463687375461E-2</v>
      </c>
      <c r="BV24" s="257">
        <f t="shared" si="60"/>
        <v>6.9328703123554816E-3</v>
      </c>
      <c r="BW24" s="257">
        <f t="shared" si="60"/>
        <v>1.3768308948595319E-2</v>
      </c>
      <c r="BX24" s="257">
        <f t="shared" si="60"/>
        <v>1.4452666919960937E-2</v>
      </c>
      <c r="BY24" s="257">
        <f t="shared" si="60"/>
        <v>1.1207706081941002E-2</v>
      </c>
      <c r="BZ24" s="257">
        <f t="shared" si="60"/>
        <v>1.1364921866770324E-2</v>
      </c>
      <c r="CA24" s="257">
        <f t="shared" si="60"/>
        <v>1.0454447886617734E-2</v>
      </c>
      <c r="CB24" s="257">
        <f t="shared" si="60"/>
        <v>1.0031830443800393E-2</v>
      </c>
      <c r="CC24" s="257">
        <f t="shared" si="60"/>
        <v>1.0060873324028033E-2</v>
      </c>
      <c r="CD24" s="257">
        <f t="shared" si="60"/>
        <v>1.0928480142252603E-2</v>
      </c>
      <c r="CE24" s="257">
        <f t="shared" si="60"/>
        <v>1.0287255948904759E-2</v>
      </c>
      <c r="CF24" s="257"/>
      <c r="CG24" s="257">
        <f t="shared" ref="CG24:CH24" si="61">IFERROR(CG16/CG8,0)</f>
        <v>3.2132730301147306E-3</v>
      </c>
      <c r="CH24" s="257">
        <f t="shared" si="61"/>
        <v>3.3496083887743148E-3</v>
      </c>
      <c r="CI24" s="257">
        <f t="shared" ref="CI24:CJ24" si="62">IFERROR(CI16/CI8,0)</f>
        <v>7.5001510821954658E-3</v>
      </c>
      <c r="CJ24" s="257">
        <f t="shared" si="62"/>
        <v>7.9815921766426511E-3</v>
      </c>
      <c r="CK24" s="257">
        <f t="shared" ref="CK24:CL24" si="63">IFERROR(CK16/CK8,0)</f>
        <v>8.5196996712840253E-3</v>
      </c>
      <c r="CL24" s="207">
        <f t="shared" si="63"/>
        <v>8.3750327042694285E-3</v>
      </c>
      <c r="CM24" s="257">
        <f t="shared" ref="CM24:CN24" si="64">IFERROR(CM16/CM8,0)</f>
        <v>7.2674735374736949E-3</v>
      </c>
      <c r="CN24" s="207">
        <f t="shared" si="64"/>
        <v>6.5167943093065632E-3</v>
      </c>
      <c r="CO24" s="207">
        <f t="shared" ref="CO24:CP24" si="65">IFERROR(CO16/CO8,0)</f>
        <v>5.8816651804775048E-3</v>
      </c>
      <c r="CP24" s="207">
        <f t="shared" si="65"/>
        <v>7.3139890049068118E-3</v>
      </c>
      <c r="CQ24" s="207">
        <f t="shared" ref="CQ24:CR24" si="66">IFERROR(CQ16/CQ8,0)</f>
        <v>6.9453227757418374E-3</v>
      </c>
      <c r="CR24" s="207">
        <f t="shared" si="66"/>
        <v>6.761422520648693E-3</v>
      </c>
      <c r="CS24" s="207"/>
      <c r="CT24" s="207">
        <f t="shared" ref="CT24:CU24" si="67">IFERROR(CT16/CT8,0)</f>
        <v>7.4094522007668012E-3</v>
      </c>
      <c r="CU24" s="207">
        <f t="shared" si="67"/>
        <v>6.5971729833672436E-3</v>
      </c>
      <c r="CV24" s="207">
        <f t="shared" ref="CV24:CW24" si="68">IFERROR(CV16/CV8,0)</f>
        <v>6.2231674817192746E-3</v>
      </c>
      <c r="CW24" s="207">
        <f t="shared" si="68"/>
        <v>6.5574972448821534E-3</v>
      </c>
      <c r="CX24" s="207">
        <f t="shared" ref="CX24:CY24" si="69">IFERROR(CX16/CX8,0)</f>
        <v>5.7289434046148228E-3</v>
      </c>
      <c r="CY24" s="207">
        <f t="shared" si="69"/>
        <v>5.5377155132489003E-3</v>
      </c>
      <c r="CZ24" s="207">
        <f t="shared" ref="CZ24:DA24" si="70">IFERROR(CZ16/CZ8,0)</f>
        <v>6.4646205751246952E-3</v>
      </c>
      <c r="DA24" s="207">
        <f t="shared" si="70"/>
        <v>7.1561842043274303E-3</v>
      </c>
      <c r="DB24" s="207">
        <f t="shared" ref="DB24:DC24" si="71">IFERROR(DB16/DB8,0)</f>
        <v>8.158609052710904E-3</v>
      </c>
      <c r="DC24" s="207">
        <f t="shared" si="71"/>
        <v>6.2231674817192746E-3</v>
      </c>
      <c r="DD24" s="207">
        <f t="shared" ref="DD24:DE24" si="72">IFERROR(DD16/DD8,0)</f>
        <v>7.27220093276438E-3</v>
      </c>
      <c r="DE24" s="207">
        <f t="shared" si="72"/>
        <v>6.6034900597744051E-3</v>
      </c>
      <c r="DF24" s="207"/>
      <c r="DG24" s="207">
        <f t="shared" ref="DG24:DH24" si="73">IFERROR(DG16/DG8,0)</f>
        <v>6.5981935616535323E-3</v>
      </c>
      <c r="DH24" s="695">
        <f t="shared" si="73"/>
        <v>8.736010350119193E-3</v>
      </c>
    </row>
    <row r="25" spans="2:112" x14ac:dyDescent="0.35">
      <c r="B25" s="254" t="s">
        <v>799</v>
      </c>
      <c r="C25" s="257">
        <f t="shared" si="30"/>
        <v>0.20619343160072409</v>
      </c>
      <c r="D25" s="257">
        <f t="shared" si="30"/>
        <v>4.6361867704280156E-2</v>
      </c>
      <c r="E25" s="257">
        <f t="shared" si="30"/>
        <v>0.5894965984517091</v>
      </c>
      <c r="G25" s="257">
        <f>G17/G9</f>
        <v>0.87459766633303482</v>
      </c>
      <c r="H25" s="257">
        <f t="shared" si="31"/>
        <v>0.37990367146348797</v>
      </c>
      <c r="I25" s="257">
        <f t="shared" si="31"/>
        <v>3.19565675530692E-2</v>
      </c>
      <c r="J25" s="257">
        <f t="shared" si="31"/>
        <v>1.0263487056776159</v>
      </c>
      <c r="K25" s="257">
        <f t="shared" si="31"/>
        <v>0.27297655660116754</v>
      </c>
      <c r="L25" s="257">
        <f t="shared" si="31"/>
        <v>0.29281318984547461</v>
      </c>
      <c r="M25" s="257">
        <f t="shared" si="31"/>
        <v>0.78427427849167886</v>
      </c>
      <c r="N25" s="257">
        <f t="shared" si="31"/>
        <v>0.38067916410571606</v>
      </c>
      <c r="O25" s="257">
        <f t="shared" si="31"/>
        <v>0.32349947540430052</v>
      </c>
      <c r="P25" s="257">
        <f t="shared" si="31"/>
        <v>0.27961379763887267</v>
      </c>
      <c r="Q25" s="257">
        <f t="shared" si="31"/>
        <v>0.50737753789186291</v>
      </c>
      <c r="R25" s="257">
        <f t="shared" si="31"/>
        <v>0.24006555397420967</v>
      </c>
      <c r="S25" s="257"/>
      <c r="T25" s="257">
        <f>T17/T9</f>
        <v>0.20446326941598808</v>
      </c>
      <c r="U25" s="257">
        <f t="shared" si="31"/>
        <v>0.26760100665732739</v>
      </c>
      <c r="V25" s="257">
        <f t="shared" si="31"/>
        <v>0.25441681838258268</v>
      </c>
      <c r="W25" s="257">
        <f t="shared" si="31"/>
        <v>0.22589820359281437</v>
      </c>
      <c r="X25" s="257">
        <f t="shared" si="31"/>
        <v>0.20424411882876753</v>
      </c>
      <c r="Y25" s="257">
        <f t="shared" si="31"/>
        <v>0.2101565431177177</v>
      </c>
      <c r="Z25" s="257">
        <f t="shared" si="31"/>
        <v>0.16809487495567862</v>
      </c>
      <c r="AA25" s="257">
        <f t="shared" si="31"/>
        <v>0.16126233284920119</v>
      </c>
      <c r="AB25" s="257">
        <f t="shared" si="31"/>
        <v>0.18714814160870097</v>
      </c>
      <c r="AC25" s="257">
        <f t="shared" si="31"/>
        <v>0.16804565553289547</v>
      </c>
      <c r="AD25" s="257">
        <f t="shared" si="31"/>
        <v>0.15622547306405712</v>
      </c>
      <c r="AE25" s="257">
        <f>AE17/AE9</f>
        <v>0.16148757298108157</v>
      </c>
      <c r="AF25" s="257"/>
      <c r="AG25" s="257">
        <f t="shared" si="32"/>
        <v>0.10593539048734991</v>
      </c>
      <c r="AH25" s="257">
        <f t="shared" si="32"/>
        <v>0.16340875590415632</v>
      </c>
      <c r="AI25" s="257">
        <f t="shared" si="32"/>
        <v>0.15090291426383146</v>
      </c>
      <c r="AJ25" s="257">
        <f t="shared" si="32"/>
        <v>0.22410724028955706</v>
      </c>
      <c r="AK25" s="257">
        <f t="shared" si="32"/>
        <v>0.19943652885301708</v>
      </c>
      <c r="AL25" s="257">
        <f t="shared" si="32"/>
        <v>0.20810699950191908</v>
      </c>
      <c r="AM25" s="257">
        <f t="shared" si="32"/>
        <v>0.12897225963172268</v>
      </c>
      <c r="AN25" s="257">
        <f t="shared" si="32"/>
        <v>0.12854718500146398</v>
      </c>
      <c r="AO25" s="257">
        <f t="shared" si="32"/>
        <v>0.12786840362617061</v>
      </c>
      <c r="AP25" s="257">
        <f t="shared" si="32"/>
        <v>0.12020880895372793</v>
      </c>
      <c r="AQ25" s="257">
        <f t="shared" si="32"/>
        <v>0.16486224888861598</v>
      </c>
      <c r="AR25" s="257">
        <f t="shared" si="32"/>
        <v>0.17436779722616269</v>
      </c>
      <c r="AS25" s="257"/>
      <c r="AT25" s="257">
        <f t="shared" si="33"/>
        <v>0.27156839110939685</v>
      </c>
      <c r="AU25" s="257">
        <f t="shared" si="33"/>
        <v>0.2453509119746233</v>
      </c>
      <c r="AV25" s="257">
        <f t="shared" si="33"/>
        <v>0.21273710660987344</v>
      </c>
      <c r="AW25" s="257">
        <f t="shared" si="34"/>
        <v>0.22497777847084691</v>
      </c>
      <c r="AX25" s="257">
        <f t="shared" si="34"/>
        <v>0.23459711486214088</v>
      </c>
      <c r="AY25" s="257">
        <f t="shared" si="35"/>
        <v>0.21579181580780027</v>
      </c>
      <c r="AZ25" s="257">
        <f t="shared" si="35"/>
        <v>0.19261643254910341</v>
      </c>
      <c r="BA25" s="257">
        <f t="shared" si="35"/>
        <v>0.20017506907021912</v>
      </c>
      <c r="BB25" s="257">
        <f t="shared" si="35"/>
        <v>0.19185919289222789</v>
      </c>
      <c r="BC25" s="257">
        <f t="shared" si="35"/>
        <v>0.19965278704183737</v>
      </c>
      <c r="BD25" s="257">
        <f t="shared" si="35"/>
        <v>0.20662609831310499</v>
      </c>
      <c r="BE25" s="257">
        <f t="shared" si="35"/>
        <v>0.17744562447968357</v>
      </c>
      <c r="BF25" s="324"/>
      <c r="BG25" s="257">
        <f t="shared" ref="BG25:BI26" si="74">IFERROR(BG17/BG9,0)</f>
        <v>0.17806809841007529</v>
      </c>
      <c r="BH25" s="257">
        <f t="shared" si="74"/>
        <v>0.16763570727172866</v>
      </c>
      <c r="BI25" s="257">
        <f t="shared" si="74"/>
        <v>0.15681344217362808</v>
      </c>
      <c r="BJ25" s="257">
        <f t="shared" ref="BJ25:BK25" si="75">IFERROR(BJ17/BJ9,0)</f>
        <v>0.16133831896350015</v>
      </c>
      <c r="BK25" s="257">
        <f t="shared" si="75"/>
        <v>0.14770700626103037</v>
      </c>
      <c r="BL25" s="257">
        <f t="shared" ref="BL25:BM25" si="76">IFERROR(BL17/BL9,0)</f>
        <v>0.14288787336660971</v>
      </c>
      <c r="BM25" s="257">
        <f t="shared" si="76"/>
        <v>0.13976805696411876</v>
      </c>
      <c r="BN25" s="257">
        <f t="shared" ref="BN25:BO25" si="77">IFERROR(BN17/BN9,0)</f>
        <v>0.19312774226377416</v>
      </c>
      <c r="BO25" s="257">
        <f t="shared" si="77"/>
        <v>0.11878054652455591</v>
      </c>
      <c r="BP25" s="257">
        <f t="shared" ref="BP25:BQ25" si="78">IFERROR(BP17/BP9,0)</f>
        <v>0.13916202296852742</v>
      </c>
      <c r="BQ25" s="257">
        <f t="shared" si="78"/>
        <v>3.8952432824981842E-2</v>
      </c>
      <c r="BR25" s="257">
        <f t="shared" ref="BR25:CE25" si="79">IFERROR(BR17/BR9,0)</f>
        <v>2.3214117977593922E-2</v>
      </c>
      <c r="BS25" s="340"/>
      <c r="BT25" s="257">
        <f t="shared" si="79"/>
        <v>2.1079157918484116E-2</v>
      </c>
      <c r="BU25" s="257">
        <f t="shared" si="79"/>
        <v>7.1862703850489743E-3</v>
      </c>
      <c r="BV25" s="257">
        <f t="shared" si="79"/>
        <v>7.3584022311777506E-3</v>
      </c>
      <c r="BW25" s="257">
        <f t="shared" si="79"/>
        <v>7.2852230660810533E-3</v>
      </c>
      <c r="BX25" s="257">
        <f t="shared" si="79"/>
        <v>7.143876569902387E-3</v>
      </c>
      <c r="BY25" s="257">
        <f t="shared" si="79"/>
        <v>6.1969952926616651E-3</v>
      </c>
      <c r="BZ25" s="257">
        <f t="shared" si="79"/>
        <v>6.0534947051261324E-3</v>
      </c>
      <c r="CA25" s="257">
        <f t="shared" si="79"/>
        <v>6.0088411403406011E-3</v>
      </c>
      <c r="CB25" s="257">
        <f t="shared" si="79"/>
        <v>6.0501528776272127E-3</v>
      </c>
      <c r="CC25" s="257">
        <f t="shared" si="79"/>
        <v>6.2924370034975466E-3</v>
      </c>
      <c r="CD25" s="257">
        <f t="shared" si="79"/>
        <v>6.3444846784437223E-3</v>
      </c>
      <c r="CE25" s="257">
        <f t="shared" si="79"/>
        <v>6.1898890687194083E-3</v>
      </c>
      <c r="CF25" s="257"/>
      <c r="CG25" s="257">
        <f t="shared" ref="CG25:CH25" si="80">IFERROR(CG17/CG9,0)</f>
        <v>2.461332710119008E-3</v>
      </c>
      <c r="CH25" s="257">
        <f t="shared" si="80"/>
        <v>2.2026623072107622E-3</v>
      </c>
      <c r="CI25" s="257">
        <f t="shared" ref="CI25:CJ25" si="81">IFERROR(CI17/CI9,0)</f>
        <v>2.2225290672908604E-3</v>
      </c>
      <c r="CJ25" s="257">
        <f t="shared" si="81"/>
        <v>2.2348871462137846E-3</v>
      </c>
      <c r="CK25" s="257">
        <f t="shared" ref="CK25:CL25" si="82">IFERROR(CK17/CK9,0)</f>
        <v>2.2701217826783301E-3</v>
      </c>
      <c r="CL25" s="207">
        <f t="shared" si="82"/>
        <v>2.2158876926567394E-3</v>
      </c>
      <c r="CM25" s="257">
        <f t="shared" ref="CM25:CN25" si="83">IFERROR(CM17/CM9,0)</f>
        <v>2.2248031813075705E-3</v>
      </c>
      <c r="CN25" s="207">
        <f t="shared" si="83"/>
        <v>2.1805018468515572E-3</v>
      </c>
      <c r="CO25" s="207">
        <f t="shared" ref="CO25:CP25" si="84">IFERROR(CO17/CO9,0)</f>
        <v>2.1569463432773578E-3</v>
      </c>
      <c r="CP25" s="207">
        <f t="shared" si="84"/>
        <v>2.1275741636458696E-3</v>
      </c>
      <c r="CQ25" s="207">
        <f t="shared" ref="CQ25:CR25" si="85">IFERROR(CQ17/CQ9,0)</f>
        <v>2.1899505386073046E-3</v>
      </c>
      <c r="CR25" s="207">
        <f t="shared" si="85"/>
        <v>2.2539344438537853E-3</v>
      </c>
      <c r="CS25" s="207"/>
      <c r="CT25" s="207">
        <f t="shared" ref="CT25:CU25" si="86">IFERROR(CT17/CT9,0)</f>
        <v>2.2505949929668275E-3</v>
      </c>
      <c r="CU25" s="207">
        <f t="shared" si="86"/>
        <v>2.2907510349756775E-3</v>
      </c>
      <c r="CV25" s="207">
        <f t="shared" ref="CV25:CW25" si="87">IFERROR(CV17/CV9,0)</f>
        <v>2.2545225319526904E-3</v>
      </c>
      <c r="CW25" s="207">
        <f t="shared" si="87"/>
        <v>2.1920769575196836E-3</v>
      </c>
      <c r="CX25" s="207">
        <f t="shared" ref="CX25:CY25" si="88">IFERROR(CX17/CX9,0)</f>
        <v>2.1098421092225705E-3</v>
      </c>
      <c r="CY25" s="207">
        <f t="shared" si="88"/>
        <v>2.103080872742778E-3</v>
      </c>
      <c r="CZ25" s="207">
        <f t="shared" ref="CZ25:DA25" si="89">IFERROR(CZ17/CZ9,0)</f>
        <v>2.1089539281126573E-3</v>
      </c>
      <c r="DA25" s="207">
        <f t="shared" si="89"/>
        <v>3.3345155186979294E-3</v>
      </c>
      <c r="DB25" s="207">
        <f t="shared" ref="DB25:DC25" si="90">IFERROR(DB17/DB9,0)</f>
        <v>3.942909662124963E-3</v>
      </c>
      <c r="DC25" s="207">
        <f t="shared" si="90"/>
        <v>2.2545225319526904E-3</v>
      </c>
      <c r="DD25" s="207">
        <f t="shared" ref="DD25:DE25" si="91">IFERROR(DD17/DD9,0)</f>
        <v>3.2675845827831039E-3</v>
      </c>
      <c r="DE25" s="207">
        <f t="shared" si="91"/>
        <v>2.9644828030045258E-3</v>
      </c>
      <c r="DF25" s="207"/>
      <c r="DG25" s="207">
        <f t="shared" ref="DG25:DH25" si="92">IFERROR(DG17/DG9,0)</f>
        <v>2.6815248336176743E-3</v>
      </c>
      <c r="DH25" s="695">
        <f t="shared" si="92"/>
        <v>2.5949406027791131E-3</v>
      </c>
    </row>
    <row r="26" spans="2:112" x14ac:dyDescent="0.35">
      <c r="B26" s="255" t="s">
        <v>198</v>
      </c>
      <c r="C26" s="257"/>
      <c r="D26" s="257"/>
      <c r="E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261">
        <f>R18/R10</f>
        <v>3.5684948970802065E-2</v>
      </c>
      <c r="S26" s="261"/>
      <c r="T26" s="262">
        <f>T18/T10</f>
        <v>3.8637944927814041E-2</v>
      </c>
      <c r="U26" s="262">
        <f t="shared" si="31"/>
        <v>4.2553919982503956E-2</v>
      </c>
      <c r="V26" s="262">
        <f t="shared" si="31"/>
        <v>28.312218906091317</v>
      </c>
      <c r="W26" s="262">
        <f t="shared" si="31"/>
        <v>4.0786932992487528E-2</v>
      </c>
      <c r="X26" s="262">
        <f t="shared" si="31"/>
        <v>5.1620258115831499E-2</v>
      </c>
      <c r="Y26" s="262">
        <f t="shared" si="31"/>
        <v>4.2882671847842585E-2</v>
      </c>
      <c r="Z26" s="262">
        <f t="shared" si="31"/>
        <v>3.8989911842238462E-2</v>
      </c>
      <c r="AA26" s="262">
        <f t="shared" si="31"/>
        <v>4.2032721340818591E-2</v>
      </c>
      <c r="AB26" s="262">
        <f t="shared" si="31"/>
        <v>3.6474104784936304E-2</v>
      </c>
      <c r="AC26" s="262">
        <f t="shared" si="31"/>
        <v>3.5381200789497518E-2</v>
      </c>
      <c r="AD26" s="262">
        <f t="shared" si="31"/>
        <v>2.7365172820872995E-2</v>
      </c>
      <c r="AE26" s="261">
        <f>AE18/AE10</f>
        <v>4.7156388550745901E-2</v>
      </c>
      <c r="AF26" s="261"/>
      <c r="AG26" s="261">
        <f t="shared" si="32"/>
        <v>4.7557890109301802E-2</v>
      </c>
      <c r="AH26" s="261">
        <f t="shared" si="32"/>
        <v>4.874048523319436E-2</v>
      </c>
      <c r="AI26" s="261">
        <f t="shared" si="32"/>
        <v>4.5980611171830416E-2</v>
      </c>
      <c r="AJ26" s="261">
        <f t="shared" si="32"/>
        <v>4.563482049962863E-2</v>
      </c>
      <c r="AK26" s="261">
        <f t="shared" si="32"/>
        <v>4.4722333746016522E-2</v>
      </c>
      <c r="AL26" s="261">
        <f t="shared" si="32"/>
        <v>4.4239503499293599E-2</v>
      </c>
      <c r="AM26" s="261">
        <f t="shared" si="32"/>
        <v>3.9931977730294367E-2</v>
      </c>
      <c r="AN26" s="261">
        <f t="shared" si="32"/>
        <v>4.0032208538671829E-2</v>
      </c>
      <c r="AO26" s="261">
        <f t="shared" si="32"/>
        <v>3.862956252408152E-2</v>
      </c>
      <c r="AP26" s="261">
        <f t="shared" si="32"/>
        <v>4.0476873567332101E-2</v>
      </c>
      <c r="AQ26" s="261">
        <f t="shared" si="32"/>
        <v>4.6799546016510943E-2</v>
      </c>
      <c r="AR26" s="261">
        <f t="shared" si="32"/>
        <v>3.7805056557050215E-2</v>
      </c>
      <c r="AS26" s="261"/>
      <c r="AT26" s="261">
        <f t="shared" si="33"/>
        <v>3.8597537751161683E-2</v>
      </c>
      <c r="AU26" s="261">
        <f t="shared" si="33"/>
        <v>3.4155263070635669E-2</v>
      </c>
      <c r="AV26" s="261">
        <f t="shared" si="33"/>
        <v>3.3437482438615086E-2</v>
      </c>
      <c r="AW26" s="261">
        <f t="shared" si="34"/>
        <v>3.4419221337321719E-2</v>
      </c>
      <c r="AX26" s="261">
        <f t="shared" si="34"/>
        <v>3.5454727836846507E-2</v>
      </c>
      <c r="AY26" s="261">
        <f t="shared" si="35"/>
        <v>3.4198846425056717E-2</v>
      </c>
      <c r="AZ26" s="261">
        <f t="shared" si="35"/>
        <v>4.4150927891090271E-2</v>
      </c>
      <c r="BA26" s="261">
        <f t="shared" si="35"/>
        <v>3.6848482880475188E-2</v>
      </c>
      <c r="BB26" s="261">
        <f t="shared" si="35"/>
        <v>3.65934704665608E-2</v>
      </c>
      <c r="BC26" s="261">
        <f t="shared" si="35"/>
        <v>3.4229993371115396E-2</v>
      </c>
      <c r="BD26" s="261">
        <f t="shared" si="35"/>
        <v>3.9332059210305852E-2</v>
      </c>
      <c r="BE26" s="261">
        <f t="shared" si="35"/>
        <v>4.1510896921538344E-2</v>
      </c>
      <c r="BF26" s="324"/>
      <c r="BG26" s="261">
        <f t="shared" si="74"/>
        <v>4.1372285806320588E-2</v>
      </c>
      <c r="BH26" s="261">
        <f t="shared" si="74"/>
        <v>4.1242130587718723E-2</v>
      </c>
      <c r="BI26" s="261">
        <f t="shared" si="74"/>
        <v>3.4374901127468285E-2</v>
      </c>
      <c r="BJ26" s="261">
        <f t="shared" ref="BJ26:BK26" si="93">IFERROR(BJ18/BJ10,0)</f>
        <v>3.7176009818193724E-2</v>
      </c>
      <c r="BK26" s="261">
        <f t="shared" si="93"/>
        <v>3.6043473239979175E-2</v>
      </c>
      <c r="BL26" s="261">
        <f t="shared" ref="BL26:BM26" si="94">IFERROR(BL18/BL10,0)</f>
        <v>2.1121406383825307E-2</v>
      </c>
      <c r="BM26" s="261">
        <f t="shared" si="94"/>
        <v>2.1349022078109365E-2</v>
      </c>
      <c r="BN26" s="261">
        <f>IFERROR(BN18/BN10,0)</f>
        <v>2.1456001572980023E-2</v>
      </c>
      <c r="BO26" s="261">
        <f>IFERROR(BO18/BO10,0)</f>
        <v>1.892290867647109E-2</v>
      </c>
      <c r="BP26" s="261">
        <f>IFERROR(BP18/BP10,0)</f>
        <v>1.773252580377244E-2</v>
      </c>
      <c r="BQ26" s="261">
        <f>IFERROR(BQ18/BQ10,0)</f>
        <v>1.6004302148568305E-2</v>
      </c>
      <c r="BR26" s="261">
        <f>IFERROR(BR18/BR10,0)</f>
        <v>1.4793048185927126E-2</v>
      </c>
      <c r="BS26" s="340"/>
      <c r="BT26" s="261">
        <f t="shared" ref="BT26:CE26" si="95">IFERROR(BT18/BT10,0)</f>
        <v>1.654072601362366E-2</v>
      </c>
      <c r="BU26" s="261">
        <f t="shared" si="95"/>
        <v>1.3502928896813106E-2</v>
      </c>
      <c r="BV26" s="261">
        <f t="shared" si="95"/>
        <v>1.3079365214023376E-2</v>
      </c>
      <c r="BW26" s="261">
        <f t="shared" si="95"/>
        <v>1.271096292499904E-2</v>
      </c>
      <c r="BX26" s="261">
        <f t="shared" si="95"/>
        <v>1.2271297466569299E-2</v>
      </c>
      <c r="BY26" s="261">
        <f t="shared" si="95"/>
        <v>9.4607053713258865E-3</v>
      </c>
      <c r="BZ26" s="261">
        <f t="shared" si="95"/>
        <v>9.6546741370002846E-3</v>
      </c>
      <c r="CA26" s="261">
        <f t="shared" si="95"/>
        <v>7.8797886530797816E-3</v>
      </c>
      <c r="CB26" s="261">
        <f t="shared" si="95"/>
        <v>5.9301876632453553E-3</v>
      </c>
      <c r="CC26" s="261">
        <f t="shared" si="95"/>
        <v>8.9921424137681897E-3</v>
      </c>
      <c r="CD26" s="261">
        <f t="shared" si="95"/>
        <v>9.0791312808822175E-3</v>
      </c>
      <c r="CE26" s="261">
        <f t="shared" si="95"/>
        <v>6.0317927866486718E-3</v>
      </c>
      <c r="CF26" s="261"/>
      <c r="CG26" s="261">
        <f t="shared" ref="CG26:CH26" si="96">IFERROR(CG18/CG10,0)</f>
        <v>6.4076438007485675E-3</v>
      </c>
      <c r="CH26" s="261">
        <f t="shared" si="96"/>
        <v>7.7963884242787168E-3</v>
      </c>
      <c r="CI26" s="261">
        <f t="shared" ref="CI26:CJ26" si="97">IFERROR(CI18/CI10,0)</f>
        <v>9.6223293686059606E-3</v>
      </c>
      <c r="CJ26" s="261">
        <f t="shared" si="97"/>
        <v>9.1920116880040807E-3</v>
      </c>
      <c r="CK26" s="261">
        <f t="shared" ref="CK26:CL26" si="98">IFERROR(CK18/CK10,0)</f>
        <v>8.4550192294644659E-3</v>
      </c>
      <c r="CL26" s="610">
        <f t="shared" si="98"/>
        <v>7.7841611677687793E-3</v>
      </c>
      <c r="CM26" s="261">
        <f t="shared" ref="CM26:CN26" si="99">IFERROR(CM18/CM10,0)</f>
        <v>7.6306162214007942E-3</v>
      </c>
      <c r="CN26" s="610">
        <f t="shared" si="99"/>
        <v>6.8562098007134845E-3</v>
      </c>
      <c r="CO26" s="610">
        <f t="shared" ref="CO26:CP26" si="100">IFERROR(CO18/CO10,0)</f>
        <v>6.0837778666483896E-3</v>
      </c>
      <c r="CP26" s="610">
        <f t="shared" si="100"/>
        <v>5.4590216680830131E-3</v>
      </c>
      <c r="CQ26" s="610">
        <f t="shared" ref="CQ26:CR26" si="101">IFERROR(CQ18/CQ10,0)</f>
        <v>6.07500156086202E-3</v>
      </c>
      <c r="CR26" s="610">
        <f t="shared" si="101"/>
        <v>6.2319391854954798E-3</v>
      </c>
      <c r="CS26" s="610"/>
      <c r="CT26" s="610">
        <f t="shared" ref="CT26:CU26" si="102">IFERROR(CT18/CT10,0)</f>
        <v>8.3538032148309637E-3</v>
      </c>
      <c r="CU26" s="610">
        <f t="shared" si="102"/>
        <v>1.0577900505562886E-2</v>
      </c>
      <c r="CV26" s="610">
        <f t="shared" ref="CV26:CW26" si="103">IFERROR(CV18/CV10,0)</f>
        <v>7.4697758668469351E-3</v>
      </c>
      <c r="CW26" s="610">
        <f t="shared" si="103"/>
        <v>8.0925384492088383E-3</v>
      </c>
      <c r="CX26" s="610">
        <f t="shared" ref="CX26:CY26" si="104">IFERROR(CX18/CX10,0)</f>
        <v>7.1330366563538122E-3</v>
      </c>
      <c r="CY26" s="610">
        <f t="shared" si="104"/>
        <v>6.3194969896108056E-3</v>
      </c>
      <c r="CZ26" s="610">
        <f t="shared" ref="CZ26:DB26" si="105">IFERROR(CZ18/CZ10,0)</f>
        <v>9.8008164436449649E-3</v>
      </c>
      <c r="DA26" s="610">
        <f>IFERROR(DA18/DA10,0)</f>
        <v>1.2485997496129794E-2</v>
      </c>
      <c r="DB26" s="610">
        <f t="shared" si="105"/>
        <v>1.0078770131554397E-2</v>
      </c>
      <c r="DC26" s="610">
        <f>IFERROR(DC18/DC10,0)</f>
        <v>7.4697758668469351E-3</v>
      </c>
      <c r="DD26" s="610">
        <f>IFERROR(DD18/DD10,0)</f>
        <v>9.4921088383727523E-3</v>
      </c>
      <c r="DE26" s="610">
        <f>IFERROR(DE18/DE10,0)</f>
        <v>7.3928807960596593E-3</v>
      </c>
      <c r="DF26" s="610"/>
      <c r="DG26" s="610">
        <f t="shared" ref="DG26:DH26" si="106">IFERROR(DG18/DG10,0)</f>
        <v>7.11064281847273E-3</v>
      </c>
      <c r="DH26" s="734">
        <f t="shared" si="106"/>
        <v>8.0504987650080462E-3</v>
      </c>
    </row>
    <row r="27" spans="2:112" x14ac:dyDescent="0.35">
      <c r="BF27" s="324"/>
      <c r="BS27" s="340"/>
      <c r="CG27" s="340"/>
      <c r="CL27" s="421"/>
      <c r="CN27" s="423"/>
      <c r="DH27" s="384"/>
    </row>
    <row r="28" spans="2:112" ht="18.5" x14ac:dyDescent="0.45">
      <c r="B28" s="248" t="s">
        <v>803</v>
      </c>
      <c r="BF28" s="324"/>
      <c r="BS28" s="340"/>
      <c r="CG28" s="340"/>
      <c r="CL28" s="421"/>
      <c r="CN28" s="423"/>
      <c r="DH28" s="384"/>
    </row>
    <row r="29" spans="2:112" x14ac:dyDescent="0.35">
      <c r="B29" s="249"/>
      <c r="C29" s="250">
        <f>+C21</f>
        <v>42353</v>
      </c>
      <c r="D29" s="250">
        <f>+D21</f>
        <v>42719</v>
      </c>
      <c r="E29" s="250">
        <f>+E21</f>
        <v>43070</v>
      </c>
      <c r="G29" s="250">
        <f t="shared" ref="G29:R29" si="107">+G21</f>
        <v>43101</v>
      </c>
      <c r="H29" s="250">
        <f t="shared" si="107"/>
        <v>43132</v>
      </c>
      <c r="I29" s="250">
        <f t="shared" si="107"/>
        <v>43160</v>
      </c>
      <c r="J29" s="250">
        <f t="shared" si="107"/>
        <v>43191</v>
      </c>
      <c r="K29" s="250">
        <f t="shared" si="107"/>
        <v>43221</v>
      </c>
      <c r="L29" s="250">
        <f t="shared" si="107"/>
        <v>43252</v>
      </c>
      <c r="M29" s="250">
        <f t="shared" si="107"/>
        <v>43282</v>
      </c>
      <c r="N29" s="250">
        <f t="shared" si="107"/>
        <v>43313</v>
      </c>
      <c r="O29" s="250">
        <f t="shared" si="107"/>
        <v>43344</v>
      </c>
      <c r="P29" s="250">
        <f t="shared" si="107"/>
        <v>43374</v>
      </c>
      <c r="Q29" s="250">
        <f t="shared" si="107"/>
        <v>43405</v>
      </c>
      <c r="R29" s="250">
        <f t="shared" si="107"/>
        <v>43435</v>
      </c>
      <c r="S29" s="251"/>
      <c r="T29" s="250">
        <f t="shared" ref="T29:AE29" si="108">+T21</f>
        <v>43466</v>
      </c>
      <c r="U29" s="250">
        <f t="shared" si="108"/>
        <v>43497</v>
      </c>
      <c r="V29" s="250">
        <f t="shared" si="108"/>
        <v>43525</v>
      </c>
      <c r="W29" s="250">
        <f t="shared" si="108"/>
        <v>43556</v>
      </c>
      <c r="X29" s="250">
        <f t="shared" si="108"/>
        <v>43586</v>
      </c>
      <c r="Y29" s="250">
        <f t="shared" si="108"/>
        <v>43617</v>
      </c>
      <c r="Z29" s="250">
        <f t="shared" si="108"/>
        <v>43647</v>
      </c>
      <c r="AA29" s="250">
        <f t="shared" si="108"/>
        <v>43678</v>
      </c>
      <c r="AB29" s="250">
        <f t="shared" si="108"/>
        <v>43709</v>
      </c>
      <c r="AC29" s="250">
        <f t="shared" si="108"/>
        <v>43739</v>
      </c>
      <c r="AD29" s="250">
        <f t="shared" si="108"/>
        <v>43770</v>
      </c>
      <c r="AE29" s="250">
        <f t="shared" si="108"/>
        <v>43800</v>
      </c>
      <c r="AF29" s="251"/>
      <c r="AG29" s="250">
        <f t="shared" ref="AG29:AR29" si="109">+AG21</f>
        <v>43831</v>
      </c>
      <c r="AH29" s="250">
        <f t="shared" si="109"/>
        <v>43862</v>
      </c>
      <c r="AI29" s="250">
        <f t="shared" si="109"/>
        <v>43891</v>
      </c>
      <c r="AJ29" s="250">
        <f t="shared" si="109"/>
        <v>43922</v>
      </c>
      <c r="AK29" s="250">
        <f t="shared" si="109"/>
        <v>43952</v>
      </c>
      <c r="AL29" s="250">
        <f t="shared" si="109"/>
        <v>43983</v>
      </c>
      <c r="AM29" s="250">
        <f t="shared" si="109"/>
        <v>44013</v>
      </c>
      <c r="AN29" s="250">
        <f t="shared" si="109"/>
        <v>44044</v>
      </c>
      <c r="AO29" s="250">
        <f t="shared" si="109"/>
        <v>44075</v>
      </c>
      <c r="AP29" s="250">
        <f t="shared" si="109"/>
        <v>44105</v>
      </c>
      <c r="AQ29" s="250">
        <f t="shared" si="109"/>
        <v>44136</v>
      </c>
      <c r="AR29" s="250">
        <f t="shared" si="109"/>
        <v>44166</v>
      </c>
      <c r="AS29" s="251"/>
      <c r="AT29" s="250">
        <f t="shared" ref="AT29:BE29" si="110">+AT21</f>
        <v>44197</v>
      </c>
      <c r="AU29" s="250">
        <f t="shared" si="110"/>
        <v>44228</v>
      </c>
      <c r="AV29" s="250">
        <f t="shared" si="110"/>
        <v>44256</v>
      </c>
      <c r="AW29" s="250">
        <f t="shared" si="110"/>
        <v>44287</v>
      </c>
      <c r="AX29" s="250">
        <f t="shared" si="110"/>
        <v>44317</v>
      </c>
      <c r="AY29" s="250">
        <f t="shared" si="110"/>
        <v>44348</v>
      </c>
      <c r="AZ29" s="250">
        <f t="shared" si="110"/>
        <v>44378</v>
      </c>
      <c r="BA29" s="250">
        <f t="shared" si="110"/>
        <v>44409</v>
      </c>
      <c r="BB29" s="250">
        <f t="shared" si="110"/>
        <v>44440</v>
      </c>
      <c r="BC29" s="250">
        <f t="shared" si="110"/>
        <v>44470</v>
      </c>
      <c r="BD29" s="250">
        <f t="shared" si="110"/>
        <v>44501</v>
      </c>
      <c r="BE29" s="250">
        <f t="shared" si="110"/>
        <v>44531</v>
      </c>
      <c r="BF29" s="251"/>
      <c r="BG29" s="250">
        <v>44562</v>
      </c>
      <c r="BH29" s="417">
        <v>44593</v>
      </c>
      <c r="BI29" s="417">
        <v>44621</v>
      </c>
      <c r="BJ29" s="417">
        <v>44652</v>
      </c>
      <c r="BK29" s="417">
        <v>44682</v>
      </c>
      <c r="BL29" s="417">
        <v>44713</v>
      </c>
      <c r="BM29" s="417">
        <v>44743</v>
      </c>
      <c r="BN29" s="417">
        <v>44774</v>
      </c>
      <c r="BO29" s="417">
        <v>44805</v>
      </c>
      <c r="BP29" s="417">
        <v>44835</v>
      </c>
      <c r="BQ29" s="417">
        <v>44866</v>
      </c>
      <c r="BR29" s="417">
        <v>44896</v>
      </c>
      <c r="BS29" s="339"/>
      <c r="BT29" s="417">
        <v>44927</v>
      </c>
      <c r="BU29" s="417">
        <v>44958</v>
      </c>
      <c r="BV29" s="417">
        <v>44986</v>
      </c>
      <c r="BW29" s="417">
        <v>45017</v>
      </c>
      <c r="BX29" s="417">
        <v>45047</v>
      </c>
      <c r="BY29" s="417">
        <v>45078</v>
      </c>
      <c r="BZ29" s="417">
        <v>45108</v>
      </c>
      <c r="CA29" s="417">
        <v>45139</v>
      </c>
      <c r="CB29" s="417">
        <v>45170</v>
      </c>
      <c r="CC29" s="417">
        <v>45200</v>
      </c>
      <c r="CD29" s="417">
        <v>45231</v>
      </c>
      <c r="CE29" s="417">
        <v>45261</v>
      </c>
      <c r="CF29" s="227"/>
      <c r="CG29" s="417">
        <v>45292</v>
      </c>
      <c r="CH29" s="417">
        <v>45323</v>
      </c>
      <c r="CI29" s="417">
        <v>45352</v>
      </c>
      <c r="CJ29" s="417">
        <v>45383</v>
      </c>
      <c r="CK29" s="417">
        <v>45413</v>
      </c>
      <c r="CL29" s="417">
        <v>45444</v>
      </c>
      <c r="CM29" s="417">
        <v>45474</v>
      </c>
      <c r="CN29" s="417">
        <v>45505</v>
      </c>
      <c r="CO29" s="417">
        <v>45536</v>
      </c>
      <c r="CP29" s="417">
        <v>45566</v>
      </c>
      <c r="CQ29" s="417">
        <v>45597</v>
      </c>
      <c r="CR29" s="417">
        <v>45627</v>
      </c>
      <c r="CS29" s="227"/>
      <c r="CT29" s="417">
        <v>45658</v>
      </c>
      <c r="CU29" s="417">
        <v>45689</v>
      </c>
      <c r="CV29" s="417">
        <v>45717</v>
      </c>
      <c r="CW29" s="417">
        <v>45748</v>
      </c>
      <c r="CX29" s="417">
        <v>45778</v>
      </c>
      <c r="CY29" s="417">
        <v>45809</v>
      </c>
      <c r="CZ29" s="417">
        <v>45839</v>
      </c>
      <c r="DA29" s="417">
        <v>45870</v>
      </c>
      <c r="DB29" s="417">
        <v>45901</v>
      </c>
      <c r="DC29" s="417">
        <v>45931</v>
      </c>
      <c r="DD29" s="417">
        <v>45962</v>
      </c>
      <c r="DE29" s="417">
        <v>45992</v>
      </c>
      <c r="DF29" s="227"/>
      <c r="DG29" s="417">
        <v>46023</v>
      </c>
      <c r="DH29" s="417">
        <v>46054</v>
      </c>
    </row>
    <row r="30" spans="2:112" x14ac:dyDescent="0.35">
      <c r="B30" s="10"/>
      <c r="C30" s="251"/>
      <c r="D30" s="251"/>
      <c r="E30" s="251"/>
      <c r="G30" s="251"/>
      <c r="H30" s="251"/>
      <c r="I30" s="251"/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340"/>
      <c r="CG30" s="340"/>
      <c r="CL30" s="423"/>
      <c r="CN30" s="423"/>
      <c r="DH30" s="384"/>
    </row>
    <row r="31" spans="2:112" x14ac:dyDescent="0.35">
      <c r="B31" t="s">
        <v>795</v>
      </c>
      <c r="C31" s="324">
        <v>102321</v>
      </c>
      <c r="D31" s="324">
        <v>276258</v>
      </c>
      <c r="E31" s="324">
        <v>569919</v>
      </c>
      <c r="F31" s="324"/>
      <c r="G31" s="324">
        <v>657887</v>
      </c>
      <c r="H31" s="324">
        <v>594724</v>
      </c>
      <c r="I31" s="324">
        <v>218890</v>
      </c>
      <c r="J31" s="324">
        <v>852536</v>
      </c>
      <c r="K31" s="324">
        <v>988536</v>
      </c>
      <c r="L31" s="324">
        <v>994116</v>
      </c>
      <c r="M31" s="324">
        <v>912082</v>
      </c>
      <c r="N31" s="324">
        <v>881751</v>
      </c>
      <c r="O31" s="324">
        <v>1036571</v>
      </c>
      <c r="P31" s="324">
        <v>874579</v>
      </c>
      <c r="Q31" s="324">
        <v>808395</v>
      </c>
      <c r="R31" s="324">
        <v>806493</v>
      </c>
      <c r="S31" s="324"/>
      <c r="T31" s="324">
        <v>927466</v>
      </c>
      <c r="U31" s="324">
        <v>725939</v>
      </c>
      <c r="V31" s="324">
        <v>1014880</v>
      </c>
      <c r="W31" s="324">
        <v>971300</v>
      </c>
      <c r="X31" s="324">
        <v>1175963</v>
      </c>
      <c r="Y31" s="324">
        <v>1172826</v>
      </c>
      <c r="Z31" s="324">
        <v>860839.38171482086</v>
      </c>
      <c r="AA31" s="324">
        <v>857290</v>
      </c>
      <c r="AB31" s="324">
        <v>878191.02906894684</v>
      </c>
      <c r="AC31" s="324">
        <v>912774.28453636169</v>
      </c>
      <c r="AD31" s="324">
        <v>1000246</v>
      </c>
      <c r="AE31" s="324">
        <v>1049858</v>
      </c>
      <c r="AF31" s="324"/>
      <c r="AG31" s="324">
        <v>1073887</v>
      </c>
      <c r="AH31" s="324">
        <v>1038779</v>
      </c>
      <c r="AI31" s="324">
        <v>1007655</v>
      </c>
      <c r="AJ31" s="324">
        <v>728259.55228233337</v>
      </c>
      <c r="AK31" s="322">
        <v>712690</v>
      </c>
      <c r="AL31" s="322">
        <v>685327</v>
      </c>
      <c r="AM31" s="322">
        <v>786935</v>
      </c>
      <c r="AN31" s="324">
        <v>877997</v>
      </c>
      <c r="AO31" s="322">
        <v>1126236</v>
      </c>
      <c r="AP31">
        <v>1527329</v>
      </c>
      <c r="AQ31" s="322">
        <v>1633195</v>
      </c>
      <c r="AR31" s="322">
        <v>1727803</v>
      </c>
      <c r="AS31" s="324"/>
      <c r="AT31" s="322">
        <v>2058863</v>
      </c>
      <c r="AU31" s="322">
        <v>1895438.5396146774</v>
      </c>
      <c r="AV31" s="375">
        <v>2156720</v>
      </c>
      <c r="AW31" s="352">
        <v>2247881.4470510483</v>
      </c>
      <c r="AX31" s="352">
        <v>2385248</v>
      </c>
      <c r="AY31" s="352">
        <v>2478071.0156621933</v>
      </c>
      <c r="AZ31" s="352">
        <v>3010756.941988945</v>
      </c>
      <c r="BA31" s="352">
        <v>2970118.0080575943</v>
      </c>
      <c r="BB31" s="352">
        <v>2544192.6910390854</v>
      </c>
      <c r="BC31" s="352">
        <v>2636601.7216329575</v>
      </c>
      <c r="BD31" s="352">
        <v>2698933.4452171326</v>
      </c>
      <c r="BE31" s="322">
        <v>2740266.7168483734</v>
      </c>
      <c r="BF31" s="324"/>
      <c r="BG31" s="352">
        <v>2840524.5544147491</v>
      </c>
      <c r="BH31" s="352">
        <v>3351602.5865373611</v>
      </c>
      <c r="BI31" s="352">
        <v>3491175.4292392731</v>
      </c>
      <c r="BJ31" s="352">
        <v>3592410.5706272125</v>
      </c>
      <c r="BK31" s="427">
        <v>4379453.4493665695</v>
      </c>
      <c r="BL31" s="419">
        <v>3351071.297826767</v>
      </c>
      <c r="BM31" s="419">
        <v>5196744.607049942</v>
      </c>
      <c r="BN31" s="419">
        <v>4309338.5175113678</v>
      </c>
      <c r="BO31" s="419">
        <v>4172888.4878721237</v>
      </c>
      <c r="BP31" s="419">
        <v>4281013.4804544449</v>
      </c>
      <c r="BQ31" s="427">
        <v>5357146.571393013</v>
      </c>
      <c r="BR31" s="427">
        <v>4251362.3765897751</v>
      </c>
      <c r="BS31" s="340"/>
      <c r="BT31" s="322">
        <v>4399248.385509491</v>
      </c>
      <c r="BU31" s="423">
        <v>3928420.1064357758</v>
      </c>
      <c r="BV31" s="423">
        <v>4846416.370306015</v>
      </c>
      <c r="BW31" s="423">
        <f>3420669.14666367+1140000</f>
        <v>4560669.1466636695</v>
      </c>
      <c r="BX31" s="423">
        <f>4285115.92594433-1140000</f>
        <v>3145115.9259443302</v>
      </c>
      <c r="BY31" s="423">
        <v>4146168.497127533</v>
      </c>
      <c r="BZ31" s="423">
        <v>3407554.6225452423</v>
      </c>
      <c r="CA31" s="423">
        <v>3324299.7458648682</v>
      </c>
      <c r="CB31" s="423">
        <v>3492657.8754301071</v>
      </c>
      <c r="CC31" s="423">
        <v>3700251.0208864212</v>
      </c>
      <c r="CD31" s="521">
        <v>3225265.3472290039</v>
      </c>
      <c r="CE31" s="521">
        <v>2580577.150885582</v>
      </c>
      <c r="CF31" s="423"/>
      <c r="CG31" s="340">
        <v>2906960.2179365158</v>
      </c>
      <c r="CH31" s="423">
        <v>2933909.9620838165</v>
      </c>
      <c r="CI31" s="423">
        <v>3447656.3868370056</v>
      </c>
      <c r="CJ31" s="423">
        <v>3342649.7089958191</v>
      </c>
      <c r="CK31" s="423">
        <v>3250751.0327568054</v>
      </c>
      <c r="CL31" s="423">
        <v>3930342.0168638229</v>
      </c>
      <c r="CM31" s="423">
        <v>4236636.7079172134</v>
      </c>
      <c r="CN31" s="423">
        <v>4091962.4400033951</v>
      </c>
      <c r="CO31" s="423">
        <v>3686223.9528493881</v>
      </c>
      <c r="CP31" s="423">
        <v>3686223.9528493881</v>
      </c>
      <c r="CQ31" s="423">
        <v>4153503.827794075</v>
      </c>
      <c r="CR31" s="423">
        <v>3326764.1637325287</v>
      </c>
      <c r="CS31" s="423"/>
      <c r="CT31" s="423">
        <v>3221398.9665718079</v>
      </c>
      <c r="CU31" s="423">
        <v>3993472.5508651733</v>
      </c>
      <c r="CV31" s="423">
        <v>4576118.7505636215</v>
      </c>
      <c r="CW31" s="423">
        <v>4956895.6079397202</v>
      </c>
      <c r="CX31" s="423">
        <v>4513589.1694869995</v>
      </c>
      <c r="CY31" s="423">
        <v>4576118.7505636215</v>
      </c>
      <c r="CZ31" s="423">
        <v>4025378.9240236282</v>
      </c>
      <c r="DA31" s="423">
        <v>3721743.4523172379</v>
      </c>
      <c r="DB31" s="423">
        <v>3721743.4523172379</v>
      </c>
      <c r="DC31" s="423">
        <v>4576118.7505636215</v>
      </c>
      <c r="DD31" s="423">
        <v>4225829.1056995392</v>
      </c>
      <c r="DE31" s="423">
        <v>4893241.2482872009</v>
      </c>
      <c r="DF31" s="423"/>
      <c r="DG31" s="423">
        <v>4956539.373298645</v>
      </c>
      <c r="DH31" s="686">
        <v>3658780.4296665192</v>
      </c>
    </row>
    <row r="32" spans="2:112" x14ac:dyDescent="0.35">
      <c r="B32" t="s">
        <v>804</v>
      </c>
      <c r="C32" s="324"/>
      <c r="D32" s="324">
        <v>49863</v>
      </c>
      <c r="E32" s="324">
        <v>15722</v>
      </c>
      <c r="F32" s="324"/>
      <c r="G32" s="324">
        <v>18532</v>
      </c>
      <c r="H32" s="324">
        <v>17418</v>
      </c>
      <c r="I32" s="324">
        <v>23993</v>
      </c>
      <c r="J32" s="324">
        <v>52047</v>
      </c>
      <c r="K32" s="324">
        <v>52302</v>
      </c>
      <c r="L32" s="324">
        <v>45729</v>
      </c>
      <c r="M32" s="324">
        <v>45535</v>
      </c>
      <c r="N32" s="324">
        <v>40674</v>
      </c>
      <c r="O32" s="324">
        <v>53926</v>
      </c>
      <c r="P32" s="324">
        <f>50811</f>
        <v>50811</v>
      </c>
      <c r="Q32" s="324">
        <v>50308</v>
      </c>
      <c r="R32" s="324">
        <v>55125</v>
      </c>
      <c r="S32" s="324"/>
      <c r="T32" s="324">
        <v>63055</v>
      </c>
      <c r="U32" s="324">
        <v>59776</v>
      </c>
      <c r="V32" s="324">
        <v>76690</v>
      </c>
      <c r="W32" s="324">
        <v>76946</v>
      </c>
      <c r="X32" s="324">
        <v>66782</v>
      </c>
      <c r="Y32" s="324">
        <v>71499</v>
      </c>
      <c r="Z32" s="324">
        <v>57912.428899999999</v>
      </c>
      <c r="AA32" s="324">
        <v>59605</v>
      </c>
      <c r="AB32" s="324">
        <v>62154.198099999994</v>
      </c>
      <c r="AC32" s="324">
        <v>64351.540300000001</v>
      </c>
      <c r="AD32" s="324">
        <v>82084</v>
      </c>
      <c r="AE32" s="324">
        <v>76732</v>
      </c>
      <c r="AF32" s="324"/>
      <c r="AG32" s="324">
        <v>82083.929999999993</v>
      </c>
      <c r="AH32" s="324">
        <v>91695</v>
      </c>
      <c r="AI32" s="324">
        <v>84971</v>
      </c>
      <c r="AJ32" s="324">
        <v>71793.610108000008</v>
      </c>
      <c r="AK32" s="322">
        <v>62321</v>
      </c>
      <c r="AL32" s="322">
        <v>60159</v>
      </c>
      <c r="AM32" s="322">
        <v>72238</v>
      </c>
      <c r="AN32" s="324">
        <v>77826</v>
      </c>
      <c r="AO32" s="322">
        <v>80635</v>
      </c>
      <c r="AP32">
        <v>100612</v>
      </c>
      <c r="AQ32" s="322">
        <v>82716</v>
      </c>
      <c r="AR32" s="322">
        <v>77823</v>
      </c>
      <c r="AS32" s="324"/>
      <c r="AT32" s="322">
        <v>87938</v>
      </c>
      <c r="AU32" s="352">
        <v>73941.01019299998</v>
      </c>
      <c r="AV32" s="375">
        <v>85047</v>
      </c>
      <c r="AW32" s="352">
        <v>77038</v>
      </c>
      <c r="AX32" s="352">
        <v>78709</v>
      </c>
      <c r="AY32" s="352">
        <v>82140.181826000058</v>
      </c>
      <c r="AZ32" s="352">
        <v>104127.73360699991</v>
      </c>
      <c r="BA32" s="352">
        <v>111496.26633299992</v>
      </c>
      <c r="BB32" s="352">
        <v>85575.031194000054</v>
      </c>
      <c r="BC32" s="352">
        <v>91821.32770199998</v>
      </c>
      <c r="BD32" s="352">
        <v>87715.277060000124</v>
      </c>
      <c r="BE32" s="322">
        <v>84243.074694000024</v>
      </c>
      <c r="BF32" s="324"/>
      <c r="BG32" s="352">
        <v>97690.489572999897</v>
      </c>
      <c r="BH32" s="352">
        <v>94251.963712000099</v>
      </c>
      <c r="BI32" s="352">
        <v>105297.4345759999</v>
      </c>
      <c r="BJ32" s="352">
        <v>116616.08397700006</v>
      </c>
      <c r="BK32" s="427">
        <v>128581.8858010001</v>
      </c>
      <c r="BL32" s="419">
        <v>114779</v>
      </c>
      <c r="BM32" s="419">
        <v>157460.53901900002</v>
      </c>
      <c r="BN32" s="419">
        <v>143082.12175600024</v>
      </c>
      <c r="BO32" s="419">
        <v>123543.51697499992</v>
      </c>
      <c r="BP32" s="419">
        <v>99426.243610000034</v>
      </c>
      <c r="BQ32" s="427">
        <v>156153.84980499989</v>
      </c>
      <c r="BR32" s="427">
        <v>102996.01069700005</v>
      </c>
      <c r="BS32" s="340"/>
      <c r="BT32" s="322">
        <v>113709.7783330001</v>
      </c>
      <c r="BU32" s="423">
        <v>116312.11971700018</v>
      </c>
      <c r="BV32" s="423">
        <v>140191.12999700004</v>
      </c>
      <c r="BW32" s="423">
        <f>110160.322788+36000</f>
        <v>146160.32278799999</v>
      </c>
      <c r="BX32" s="423">
        <f>208445.11664-36000</f>
        <v>172445.11663999999</v>
      </c>
      <c r="BY32" s="423">
        <v>175583.38039200011</v>
      </c>
      <c r="BZ32" s="423">
        <v>122991.12690700001</v>
      </c>
      <c r="CA32" s="423">
        <v>127169.25653399994</v>
      </c>
      <c r="CB32" s="423">
        <v>146476.8033909997</v>
      </c>
      <c r="CC32" s="423">
        <v>169431.92454400013</v>
      </c>
      <c r="CD32" s="521">
        <v>138776.33066699983</v>
      </c>
      <c r="CE32" s="521">
        <v>112463.53496999996</v>
      </c>
      <c r="CF32" s="423"/>
      <c r="CG32" s="340">
        <v>88554.784498000066</v>
      </c>
      <c r="CH32" s="423">
        <v>75437.879068999915</v>
      </c>
      <c r="CI32" s="423">
        <v>88929.601851000058</v>
      </c>
      <c r="CJ32" s="423">
        <v>88575.81505200002</v>
      </c>
      <c r="CK32" s="423">
        <v>82723.916295000017</v>
      </c>
      <c r="CL32" s="423">
        <v>86175.348584999898</v>
      </c>
      <c r="CM32" s="423">
        <v>87606.211675000071</v>
      </c>
      <c r="CN32" s="423">
        <v>89961.242161000002</v>
      </c>
      <c r="CO32" s="423">
        <v>88325.984870999935</v>
      </c>
      <c r="CP32" s="423">
        <v>88325.984870999935</v>
      </c>
      <c r="CQ32" s="423">
        <v>81811.372742000109</v>
      </c>
      <c r="CR32" s="423">
        <v>73656.803589999981</v>
      </c>
      <c r="CS32" s="423"/>
      <c r="CT32" s="423">
        <v>76132.792180999939</v>
      </c>
      <c r="CU32" s="423">
        <v>89329.207178999917</v>
      </c>
      <c r="CV32" s="423">
        <v>90109.875559000007</v>
      </c>
      <c r="CW32" s="423">
        <v>101112.72948700003</v>
      </c>
      <c r="CX32" s="423">
        <v>91231.950093999942</v>
      </c>
      <c r="CY32" s="423">
        <v>90109.875559000007</v>
      </c>
      <c r="CZ32" s="423">
        <v>95027.060298999961</v>
      </c>
      <c r="DA32" s="423">
        <v>100680.94383900001</v>
      </c>
      <c r="DB32" s="423">
        <v>100680.94383900001</v>
      </c>
      <c r="DC32" s="423">
        <v>90109.875559000007</v>
      </c>
      <c r="DD32" s="423">
        <v>104017.76149100014</v>
      </c>
      <c r="DE32" s="423">
        <v>105538.57351499998</v>
      </c>
      <c r="DF32" s="423"/>
      <c r="DG32" s="423">
        <v>107111.80346699996</v>
      </c>
      <c r="DH32" s="686">
        <v>95534.094082999873</v>
      </c>
    </row>
    <row r="33" spans="2:112" x14ac:dyDescent="0.35">
      <c r="B33" t="s">
        <v>805</v>
      </c>
      <c r="C33" s="257"/>
      <c r="D33" s="257">
        <f>D32/D31</f>
        <v>0.18049432052646439</v>
      </c>
      <c r="E33" s="343">
        <f>E32/E31</f>
        <v>2.7586376309615929E-2</v>
      </c>
      <c r="F33" s="343"/>
      <c r="G33" s="343">
        <f t="shared" ref="G33:R33" si="111">G32/G31</f>
        <v>2.8168971267102102E-2</v>
      </c>
      <c r="H33" s="343">
        <f t="shared" si="111"/>
        <v>2.9287535058279135E-2</v>
      </c>
      <c r="I33" s="343">
        <f t="shared" si="111"/>
        <v>0.10961213394855863</v>
      </c>
      <c r="J33" s="343">
        <f t="shared" si="111"/>
        <v>6.1049621364962885E-2</v>
      </c>
      <c r="K33" s="343">
        <f t="shared" si="111"/>
        <v>5.2908543543179004E-2</v>
      </c>
      <c r="L33" s="343">
        <f t="shared" si="111"/>
        <v>4.5999662011274339E-2</v>
      </c>
      <c r="M33" s="343">
        <f t="shared" si="111"/>
        <v>4.9924239267960559E-2</v>
      </c>
      <c r="N33" s="343">
        <f t="shared" si="111"/>
        <v>4.6128668977976774E-2</v>
      </c>
      <c r="O33" s="343">
        <f t="shared" si="111"/>
        <v>5.2023450395583128E-2</v>
      </c>
      <c r="P33" s="343">
        <f t="shared" si="111"/>
        <v>5.8097667563479116E-2</v>
      </c>
      <c r="Q33" s="343">
        <f t="shared" si="111"/>
        <v>6.2231953438603653E-2</v>
      </c>
      <c r="R33" s="343">
        <f t="shared" si="111"/>
        <v>6.8351492201420228E-2</v>
      </c>
      <c r="S33" s="343"/>
      <c r="T33" s="343">
        <f t="shared" ref="T33:AE33" si="112">T32/T31</f>
        <v>6.7986319714145857E-2</v>
      </c>
      <c r="U33" s="343">
        <f t="shared" si="112"/>
        <v>8.2343006781561534E-2</v>
      </c>
      <c r="V33" s="343">
        <f t="shared" si="112"/>
        <v>7.5565584108466019E-2</v>
      </c>
      <c r="W33" s="343">
        <f t="shared" si="112"/>
        <v>7.9219602594461036E-2</v>
      </c>
      <c r="X33" s="343">
        <f t="shared" si="112"/>
        <v>5.6789201701073926E-2</v>
      </c>
      <c r="Y33" s="343">
        <f t="shared" si="112"/>
        <v>6.0963007300315647E-2</v>
      </c>
      <c r="Z33" s="343">
        <f t="shared" si="112"/>
        <v>6.727437211879933E-2</v>
      </c>
      <c r="AA33" s="343">
        <f t="shared" si="112"/>
        <v>6.9527231158651101E-2</v>
      </c>
      <c r="AB33" s="343">
        <f t="shared" si="112"/>
        <v>7.0775259644698857E-2</v>
      </c>
      <c r="AC33" s="343">
        <f t="shared" si="112"/>
        <v>7.0501044332868107E-2</v>
      </c>
      <c r="AD33" s="343">
        <f t="shared" si="112"/>
        <v>8.2063812302173661E-2</v>
      </c>
      <c r="AE33" s="343">
        <f t="shared" si="112"/>
        <v>7.3087979517229951E-2</v>
      </c>
      <c r="AF33" s="343"/>
      <c r="AG33" s="343">
        <f t="shared" ref="AG33:AR33" si="113">AG32/AG31</f>
        <v>7.6436282402152181E-2</v>
      </c>
      <c r="AH33" s="343">
        <f t="shared" si="113"/>
        <v>8.8271903840951738E-2</v>
      </c>
      <c r="AI33" s="343">
        <f t="shared" si="113"/>
        <v>8.4325488386402095E-2</v>
      </c>
      <c r="AJ33" s="343">
        <f t="shared" si="113"/>
        <v>9.8582448912619122E-2</v>
      </c>
      <c r="AK33" s="344">
        <f t="shared" si="113"/>
        <v>8.7444751575018589E-2</v>
      </c>
      <c r="AL33" s="344">
        <f t="shared" si="113"/>
        <v>8.7781453233274048E-2</v>
      </c>
      <c r="AM33" s="344">
        <f t="shared" si="113"/>
        <v>9.1796654107391337E-2</v>
      </c>
      <c r="AN33" s="344">
        <f t="shared" si="113"/>
        <v>8.864039398767877E-2</v>
      </c>
      <c r="AO33" s="344">
        <f t="shared" si="113"/>
        <v>7.1596894434203848E-2</v>
      </c>
      <c r="AP33" s="344">
        <f t="shared" si="113"/>
        <v>6.5874477601093148E-2</v>
      </c>
      <c r="AQ33" s="344">
        <f t="shared" si="113"/>
        <v>5.0646738448256332E-2</v>
      </c>
      <c r="AR33" s="344">
        <f t="shared" si="113"/>
        <v>4.5041593283493546E-2</v>
      </c>
      <c r="AS33" s="343"/>
      <c r="AT33" s="344">
        <f>AT32/AT31</f>
        <v>4.2711924008542582E-2</v>
      </c>
      <c r="AU33" s="344">
        <f>AU32/AU31</f>
        <v>3.9009975078396056E-2</v>
      </c>
      <c r="AV33" s="344">
        <f>AV32/AV31</f>
        <v>3.9433491598353056E-2</v>
      </c>
      <c r="AW33" s="344">
        <f t="shared" ref="AW33:BB33" si="114">AW32/AW31</f>
        <v>3.4271380326157612E-2</v>
      </c>
      <c r="AX33" s="344">
        <f t="shared" si="114"/>
        <v>3.2998245884704652E-2</v>
      </c>
      <c r="AY33" s="344">
        <f t="shared" si="114"/>
        <v>3.3146823197094881E-2</v>
      </c>
      <c r="AZ33" s="344">
        <f t="shared" si="114"/>
        <v>3.4585234083430123E-2</v>
      </c>
      <c r="BA33" s="344">
        <f t="shared" si="114"/>
        <v>3.7539338851359828E-2</v>
      </c>
      <c r="BB33" s="344">
        <f t="shared" si="114"/>
        <v>3.3635436299854299E-2</v>
      </c>
      <c r="BC33" s="344">
        <f>BC32/BC31</f>
        <v>3.4825634432617755E-2</v>
      </c>
      <c r="BD33" s="344">
        <f>BD32/BD31</f>
        <v>3.2499977802506845E-2</v>
      </c>
      <c r="BE33" s="344">
        <f>BE32/BE31</f>
        <v>3.0742655149601422E-2</v>
      </c>
      <c r="BF33" s="324"/>
      <c r="BG33" s="344">
        <f t="shared" ref="BG33:BL33" si="115">IFERROR(BG32/BG31,0)</f>
        <v>3.4391707482749667E-2</v>
      </c>
      <c r="BH33" s="344">
        <f t="shared" si="115"/>
        <v>2.8121461682416998E-2</v>
      </c>
      <c r="BI33" s="344">
        <f t="shared" si="115"/>
        <v>3.0161026482402865E-2</v>
      </c>
      <c r="BJ33" s="344">
        <f t="shared" si="115"/>
        <v>3.246179179253434E-2</v>
      </c>
      <c r="BK33" s="344">
        <f t="shared" si="115"/>
        <v>2.9360258600213636E-2</v>
      </c>
      <c r="BL33" s="344">
        <f t="shared" si="115"/>
        <v>3.4251434779807979E-2</v>
      </c>
      <c r="BM33" s="344">
        <f t="shared" ref="BM33:BO33" si="116">IFERROR(BM32/BM31,0)</f>
        <v>3.0299841713481147E-2</v>
      </c>
      <c r="BN33" s="344">
        <f t="shared" si="116"/>
        <v>3.3202803904723133E-2</v>
      </c>
      <c r="BO33" s="344">
        <f t="shared" si="116"/>
        <v>2.9606234945903941E-2</v>
      </c>
      <c r="BP33" s="344">
        <f t="shared" ref="BP33:BQ33" si="117">IFERROR(BP32/BP31,0)</f>
        <v>2.3224931214055784E-2</v>
      </c>
      <c r="BQ33" s="344">
        <f t="shared" si="117"/>
        <v>2.9148698420695885E-2</v>
      </c>
      <c r="BR33" s="344">
        <f t="shared" ref="BR33:CD33" si="118">IFERROR(BR32/BR31,0)</f>
        <v>2.422658940205849E-2</v>
      </c>
      <c r="BS33" s="340"/>
      <c r="BT33" s="344">
        <f t="shared" si="118"/>
        <v>2.5847546755383081E-2</v>
      </c>
      <c r="BU33" s="344">
        <f t="shared" si="118"/>
        <v>2.9607861828843261E-2</v>
      </c>
      <c r="BV33" s="344">
        <f t="shared" si="118"/>
        <v>2.8926761401672142E-2</v>
      </c>
      <c r="BW33" s="344">
        <f t="shared" si="118"/>
        <v>3.2047999556144673E-2</v>
      </c>
      <c r="BX33" s="344">
        <f>IFERROR(BX32/BX31,0)</f>
        <v>5.4829494587937282E-2</v>
      </c>
      <c r="BY33" s="344">
        <f t="shared" si="118"/>
        <v>4.2348346555053019E-2</v>
      </c>
      <c r="BZ33" s="344">
        <f t="shared" si="118"/>
        <v>3.6093662620478521E-2</v>
      </c>
      <c r="CA33" s="344">
        <f t="shared" si="118"/>
        <v>3.8254449434707904E-2</v>
      </c>
      <c r="CB33" s="344">
        <f t="shared" si="118"/>
        <v>4.1938491720424138E-2</v>
      </c>
      <c r="CC33" s="344">
        <f t="shared" si="118"/>
        <v>4.5789305532955848E-2</v>
      </c>
      <c r="CD33" s="344">
        <f t="shared" si="118"/>
        <v>4.3027880104881885E-2</v>
      </c>
      <c r="CE33" s="344">
        <f>IFERROR(CE32/CE31,0)</f>
        <v>4.3580768329831029E-2</v>
      </c>
      <c r="CF33" s="344"/>
      <c r="CG33" s="344">
        <f t="shared" ref="CG33:CO33" si="119">IFERROR(CG32/CG31,0)</f>
        <v>3.0463019050484298E-2</v>
      </c>
      <c r="CH33" s="344">
        <f t="shared" si="119"/>
        <v>2.5712404280948002E-2</v>
      </c>
      <c r="CI33" s="207">
        <f t="shared" si="119"/>
        <v>2.5794218411825845E-2</v>
      </c>
      <c r="CJ33" s="207">
        <f t="shared" si="119"/>
        <v>2.6498683009955445E-2</v>
      </c>
      <c r="CK33" s="207">
        <f t="shared" si="119"/>
        <v>2.5447632089143982E-2</v>
      </c>
      <c r="CL33" s="611">
        <f t="shared" si="119"/>
        <v>2.1925661485756056E-2</v>
      </c>
      <c r="CM33" s="207">
        <f t="shared" si="119"/>
        <v>2.0678244965230554E-2</v>
      </c>
      <c r="CN33" s="207">
        <f t="shared" si="119"/>
        <v>2.1984865081245801E-2</v>
      </c>
      <c r="CO33" s="207">
        <f t="shared" si="119"/>
        <v>2.3961101116150432E-2</v>
      </c>
      <c r="CP33" s="207">
        <f t="shared" ref="CP33:CT33" si="120">IFERROR(CP32/CP31,0)</f>
        <v>2.3961101116150432E-2</v>
      </c>
      <c r="CQ33" s="207">
        <f t="shared" si="120"/>
        <v>1.9696953736876681E-2</v>
      </c>
      <c r="CR33" s="207">
        <f t="shared" si="120"/>
        <v>2.2140674831413139E-2</v>
      </c>
      <c r="CS33" s="207"/>
      <c r="CT33" s="207">
        <f t="shared" si="120"/>
        <v>2.363345644889803E-2</v>
      </c>
      <c r="CU33" s="207">
        <f t="shared" ref="CU33:CY33" si="121">IFERROR(CU32/CU31,0)</f>
        <v>2.2368804603313731E-2</v>
      </c>
      <c r="CV33" s="207">
        <f t="shared" si="121"/>
        <v>1.9691332430545327E-2</v>
      </c>
      <c r="CW33" s="207">
        <f t="shared" si="121"/>
        <v>2.0398398006414027E-2</v>
      </c>
      <c r="CX33" s="207">
        <f t="shared" si="121"/>
        <v>2.0212727979487127E-2</v>
      </c>
      <c r="CY33" s="207">
        <f t="shared" si="121"/>
        <v>1.9691332430545327E-2</v>
      </c>
      <c r="CZ33" s="207">
        <f t="shared" ref="CZ33:DA33" si="122">IFERROR(CZ32/CZ31,0)</f>
        <v>2.3606985104402105E-2</v>
      </c>
      <c r="DA33" s="207">
        <f t="shared" si="122"/>
        <v>2.7052091346144207E-2</v>
      </c>
      <c r="DB33" s="207">
        <f t="shared" ref="DB33:DG33" si="123">IFERROR(DB32/DB31,0)</f>
        <v>2.7052091346144207E-2</v>
      </c>
      <c r="DC33" s="207">
        <f t="shared" si="123"/>
        <v>1.9691332430545327E-2</v>
      </c>
      <c r="DD33" s="207">
        <f t="shared" si="123"/>
        <v>2.4614758166795567E-2</v>
      </c>
      <c r="DE33" s="207">
        <f t="shared" si="123"/>
        <v>2.156823425616753E-2</v>
      </c>
      <c r="DF33" s="207"/>
      <c r="DG33" s="207">
        <f t="shared" si="123"/>
        <v>2.1610199253943498E-2</v>
      </c>
      <c r="DH33" s="695">
        <f>IFERROR(DH32/DH31,0)</f>
        <v>2.6110912070147745E-2</v>
      </c>
    </row>
    <row r="34" spans="2:112" x14ac:dyDescent="0.35">
      <c r="C34" s="257"/>
      <c r="BF34" s="324"/>
      <c r="BS34" s="340"/>
      <c r="CG34" s="340"/>
      <c r="CI34" s="447"/>
      <c r="CL34" s="521"/>
      <c r="CN34" s="423"/>
      <c r="DA34" s="423"/>
      <c r="DB34" s="423"/>
      <c r="DH34" s="384"/>
    </row>
    <row r="35" spans="2:112" ht="19.5" customHeight="1" x14ac:dyDescent="0.45">
      <c r="B35" s="248" t="s">
        <v>806</v>
      </c>
      <c r="C35" s="257"/>
      <c r="BF35" s="324"/>
      <c r="CL35" s="521"/>
      <c r="CN35" s="423"/>
      <c r="DH35" s="384"/>
    </row>
    <row r="36" spans="2:112" x14ac:dyDescent="0.35">
      <c r="B36" s="249"/>
      <c r="C36" s="250">
        <f>C29</f>
        <v>42353</v>
      </c>
      <c r="D36" s="250">
        <f>D29</f>
        <v>42719</v>
      </c>
      <c r="E36" s="250">
        <f>E29</f>
        <v>43070</v>
      </c>
      <c r="G36" s="250">
        <f>G29</f>
        <v>43101</v>
      </c>
      <c r="H36" s="250">
        <f>H29</f>
        <v>43132</v>
      </c>
      <c r="I36" s="250">
        <f>I29</f>
        <v>43160</v>
      </c>
      <c r="J36" s="250">
        <f t="shared" ref="J36:R36" si="124">J29</f>
        <v>43191</v>
      </c>
      <c r="K36" s="250">
        <f t="shared" si="124"/>
        <v>43221</v>
      </c>
      <c r="L36" s="250">
        <f t="shared" si="124"/>
        <v>43252</v>
      </c>
      <c r="M36" s="250">
        <f t="shared" si="124"/>
        <v>43282</v>
      </c>
      <c r="N36" s="250">
        <f t="shared" si="124"/>
        <v>43313</v>
      </c>
      <c r="O36" s="250">
        <f t="shared" si="124"/>
        <v>43344</v>
      </c>
      <c r="P36" s="250">
        <f t="shared" si="124"/>
        <v>43374</v>
      </c>
      <c r="Q36" s="250">
        <f t="shared" si="124"/>
        <v>43405</v>
      </c>
      <c r="R36" s="250">
        <f t="shared" si="124"/>
        <v>43435</v>
      </c>
      <c r="S36" s="251"/>
      <c r="T36" s="250">
        <f t="shared" ref="T36:AE36" si="125">T29</f>
        <v>43466</v>
      </c>
      <c r="U36" s="250">
        <f t="shared" si="125"/>
        <v>43497</v>
      </c>
      <c r="V36" s="250">
        <f t="shared" si="125"/>
        <v>43525</v>
      </c>
      <c r="W36" s="250">
        <f t="shared" si="125"/>
        <v>43556</v>
      </c>
      <c r="X36" s="250">
        <f t="shared" si="125"/>
        <v>43586</v>
      </c>
      <c r="Y36" s="250">
        <f t="shared" si="125"/>
        <v>43617</v>
      </c>
      <c r="Z36" s="250">
        <f t="shared" si="125"/>
        <v>43647</v>
      </c>
      <c r="AA36" s="250">
        <f t="shared" si="125"/>
        <v>43678</v>
      </c>
      <c r="AB36" s="250">
        <f t="shared" si="125"/>
        <v>43709</v>
      </c>
      <c r="AC36" s="250">
        <f t="shared" si="125"/>
        <v>43739</v>
      </c>
      <c r="AD36" s="250">
        <f t="shared" si="125"/>
        <v>43770</v>
      </c>
      <c r="AE36" s="250">
        <f t="shared" si="125"/>
        <v>43800</v>
      </c>
      <c r="AF36" s="251"/>
      <c r="AG36" s="250">
        <f t="shared" ref="AG36:AR36" si="126">AG29</f>
        <v>43831</v>
      </c>
      <c r="AH36" s="250">
        <f t="shared" si="126"/>
        <v>43862</v>
      </c>
      <c r="AI36" s="250">
        <f t="shared" si="126"/>
        <v>43891</v>
      </c>
      <c r="AJ36" s="250">
        <f t="shared" si="126"/>
        <v>43922</v>
      </c>
      <c r="AK36" s="250">
        <f t="shared" si="126"/>
        <v>43952</v>
      </c>
      <c r="AL36" s="250">
        <f t="shared" si="126"/>
        <v>43983</v>
      </c>
      <c r="AM36" s="250">
        <f t="shared" si="126"/>
        <v>44013</v>
      </c>
      <c r="AN36" s="250">
        <f t="shared" si="126"/>
        <v>44044</v>
      </c>
      <c r="AO36" s="250">
        <f t="shared" si="126"/>
        <v>44075</v>
      </c>
      <c r="AP36" s="250">
        <f t="shared" si="126"/>
        <v>44105</v>
      </c>
      <c r="AQ36" s="250">
        <f t="shared" si="126"/>
        <v>44136</v>
      </c>
      <c r="AR36" s="250">
        <f t="shared" si="126"/>
        <v>44166</v>
      </c>
      <c r="AS36" s="251"/>
      <c r="AT36" s="250">
        <f t="shared" ref="AT36:BE36" si="127">AT29</f>
        <v>44197</v>
      </c>
      <c r="AU36" s="250">
        <f t="shared" si="127"/>
        <v>44228</v>
      </c>
      <c r="AV36" s="250">
        <f t="shared" si="127"/>
        <v>44256</v>
      </c>
      <c r="AW36" s="250">
        <f t="shared" si="127"/>
        <v>44287</v>
      </c>
      <c r="AX36" s="250">
        <f t="shared" si="127"/>
        <v>44317</v>
      </c>
      <c r="AY36" s="250">
        <f t="shared" si="127"/>
        <v>44348</v>
      </c>
      <c r="AZ36" s="250">
        <f t="shared" si="127"/>
        <v>44378</v>
      </c>
      <c r="BA36" s="250">
        <f t="shared" si="127"/>
        <v>44409</v>
      </c>
      <c r="BB36" s="250">
        <f t="shared" si="127"/>
        <v>44440</v>
      </c>
      <c r="BC36" s="250">
        <f t="shared" si="127"/>
        <v>44470</v>
      </c>
      <c r="BD36" s="250">
        <f t="shared" si="127"/>
        <v>44501</v>
      </c>
      <c r="BE36" s="250">
        <f t="shared" si="127"/>
        <v>44531</v>
      </c>
      <c r="BF36" s="324"/>
      <c r="BG36" s="250">
        <v>44562</v>
      </c>
      <c r="BH36" s="417">
        <v>44593</v>
      </c>
      <c r="BI36" s="417">
        <v>44621</v>
      </c>
      <c r="BJ36" s="417">
        <v>44652</v>
      </c>
      <c r="BK36" s="417">
        <v>44682</v>
      </c>
      <c r="BL36" s="417">
        <v>44713</v>
      </c>
      <c r="BM36" s="417">
        <v>44743</v>
      </c>
      <c r="BN36" s="417">
        <v>44774</v>
      </c>
      <c r="BO36" s="417">
        <v>44805</v>
      </c>
      <c r="BP36" s="417">
        <v>44835</v>
      </c>
      <c r="BQ36" s="417">
        <v>44866</v>
      </c>
      <c r="BR36" s="417">
        <v>44896</v>
      </c>
      <c r="BS36" s="251"/>
      <c r="BT36" s="417">
        <v>44927</v>
      </c>
      <c r="BU36" s="417">
        <v>44958</v>
      </c>
      <c r="BV36" s="417">
        <v>44986</v>
      </c>
      <c r="BW36" s="417">
        <v>45017</v>
      </c>
      <c r="BX36" s="417">
        <v>45047</v>
      </c>
      <c r="BY36" s="417">
        <v>45078</v>
      </c>
      <c r="BZ36" s="417">
        <v>45108</v>
      </c>
      <c r="CA36" s="417">
        <v>45139</v>
      </c>
      <c r="CB36" s="417">
        <v>45170</v>
      </c>
      <c r="CC36" s="417">
        <v>45200</v>
      </c>
      <c r="CD36" s="417">
        <v>45231</v>
      </c>
      <c r="CE36" s="417">
        <v>45261</v>
      </c>
      <c r="CF36" s="227"/>
      <c r="CG36" s="417">
        <v>45292</v>
      </c>
      <c r="CH36" s="417">
        <v>45323</v>
      </c>
      <c r="CI36" s="417">
        <v>45352</v>
      </c>
      <c r="CJ36" s="417">
        <v>45383</v>
      </c>
      <c r="CK36" s="417">
        <v>45413</v>
      </c>
      <c r="CL36" s="417">
        <v>45444</v>
      </c>
      <c r="CM36" s="417">
        <v>45474</v>
      </c>
      <c r="CN36" s="417">
        <v>45505</v>
      </c>
      <c r="CO36" s="417">
        <v>45536</v>
      </c>
      <c r="CP36" s="417">
        <v>45566</v>
      </c>
      <c r="CQ36" s="417">
        <v>45597</v>
      </c>
      <c r="CR36" s="417">
        <v>45627</v>
      </c>
      <c r="CS36" s="227"/>
      <c r="CT36" s="417">
        <v>45658</v>
      </c>
      <c r="CU36" s="417">
        <v>45689</v>
      </c>
      <c r="CV36" s="417">
        <v>45717</v>
      </c>
      <c r="CW36" s="417">
        <v>45748</v>
      </c>
      <c r="CX36" s="417">
        <v>45778</v>
      </c>
      <c r="CY36" s="417">
        <v>45809</v>
      </c>
      <c r="CZ36" s="417">
        <v>45839</v>
      </c>
      <c r="DA36" s="417">
        <v>45870</v>
      </c>
      <c r="DB36" s="417">
        <v>45901</v>
      </c>
      <c r="DC36" s="417">
        <v>45931</v>
      </c>
      <c r="DD36" s="417">
        <v>45962</v>
      </c>
      <c r="DE36" s="417">
        <v>45992</v>
      </c>
      <c r="DF36" s="227"/>
      <c r="DG36" s="417">
        <v>46023</v>
      </c>
      <c r="DH36" s="417">
        <v>46054</v>
      </c>
    </row>
    <row r="37" spans="2:112" ht="15.5" x14ac:dyDescent="0.35">
      <c r="B37" s="63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CH37" s="423"/>
      <c r="CN37" s="423"/>
      <c r="CU37" s="423"/>
      <c r="CV37" s="423"/>
      <c r="DH37" s="384"/>
    </row>
    <row r="38" spans="2:112" x14ac:dyDescent="0.35">
      <c r="B38" t="s">
        <v>795</v>
      </c>
      <c r="C38" s="324">
        <v>30440</v>
      </c>
      <c r="D38" s="324">
        <v>23994</v>
      </c>
      <c r="E38" s="324">
        <v>29744</v>
      </c>
      <c r="F38" s="324"/>
      <c r="G38" s="324">
        <v>25057</v>
      </c>
      <c r="H38" s="324">
        <v>20429</v>
      </c>
      <c r="I38" s="324">
        <v>23160</v>
      </c>
      <c r="J38" s="324">
        <v>24216</v>
      </c>
      <c r="K38" s="324">
        <v>28323</v>
      </c>
      <c r="L38" s="324">
        <v>23321</v>
      </c>
      <c r="M38" s="324">
        <v>21435</v>
      </c>
      <c r="N38" s="324">
        <v>21807</v>
      </c>
      <c r="O38" s="324">
        <v>22426</v>
      </c>
      <c r="P38" s="324">
        <v>28526</v>
      </c>
      <c r="Q38" s="324">
        <v>21302</v>
      </c>
      <c r="R38" s="324">
        <v>21205</v>
      </c>
      <c r="S38" s="324"/>
      <c r="T38" s="324">
        <v>22256</v>
      </c>
      <c r="U38" s="324">
        <v>21400</v>
      </c>
      <c r="V38" s="324">
        <v>23803</v>
      </c>
      <c r="W38" s="324">
        <v>22536</v>
      </c>
      <c r="X38" s="324">
        <v>24070</v>
      </c>
      <c r="Y38" s="324">
        <v>21296</v>
      </c>
      <c r="Z38" s="324">
        <v>19546.134765625</v>
      </c>
      <c r="AA38" s="324">
        <v>17124</v>
      </c>
      <c r="AB38" s="324">
        <v>21886.7978515625</v>
      </c>
      <c r="AC38" s="324">
        <v>18014.021484375</v>
      </c>
      <c r="AD38" s="324">
        <v>24270</v>
      </c>
      <c r="AE38" s="324">
        <v>18771</v>
      </c>
      <c r="AF38" s="324"/>
      <c r="AG38" s="324">
        <v>16657</v>
      </c>
      <c r="AH38" s="324">
        <v>27246</v>
      </c>
      <c r="AI38" s="324">
        <v>20888</v>
      </c>
      <c r="AJ38" s="324">
        <v>18181</v>
      </c>
      <c r="AK38" s="322">
        <v>18211</v>
      </c>
      <c r="AL38" s="322">
        <v>24032</v>
      </c>
      <c r="AM38" s="322">
        <v>15460</v>
      </c>
      <c r="AN38">
        <v>13515</v>
      </c>
      <c r="AO38" s="322">
        <v>12043</v>
      </c>
      <c r="AP38">
        <v>13035</v>
      </c>
      <c r="AQ38" s="322">
        <v>11667</v>
      </c>
      <c r="AR38">
        <v>10761</v>
      </c>
      <c r="AS38" s="324"/>
      <c r="AT38">
        <v>9939</v>
      </c>
      <c r="AU38">
        <v>7876</v>
      </c>
      <c r="AV38">
        <v>8789</v>
      </c>
      <c r="AW38">
        <v>8804</v>
      </c>
      <c r="AX38">
        <v>10410</v>
      </c>
      <c r="AY38" s="243">
        <v>9139.9920000000002</v>
      </c>
      <c r="AZ38">
        <v>9134</v>
      </c>
      <c r="BA38">
        <v>9350</v>
      </c>
      <c r="BB38" s="243">
        <v>8907.8549999999996</v>
      </c>
      <c r="BC38" s="352">
        <v>10507.062</v>
      </c>
      <c r="BD38" s="243">
        <v>8794.7800000000007</v>
      </c>
      <c r="BE38">
        <v>7465</v>
      </c>
      <c r="BF38" s="324"/>
      <c r="BG38" s="427">
        <v>7231.8969999999999</v>
      </c>
      <c r="BH38" s="427">
        <v>6149.1670000000004</v>
      </c>
      <c r="BI38" s="427">
        <v>6833</v>
      </c>
      <c r="BJ38" s="427">
        <v>6845.5249999999996</v>
      </c>
      <c r="BK38" s="427">
        <v>6739.9889999999996</v>
      </c>
      <c r="BL38" s="44">
        <v>5585</v>
      </c>
      <c r="BM38" s="433">
        <v>5130.5919999999996</v>
      </c>
      <c r="BN38" s="433">
        <v>5051.7619999999997</v>
      </c>
      <c r="BO38" s="433">
        <v>4790.7489999999998</v>
      </c>
      <c r="BP38" s="433">
        <v>6081.4719999999998</v>
      </c>
      <c r="BQ38" s="376">
        <v>4835</v>
      </c>
      <c r="BR38" s="224">
        <v>4705</v>
      </c>
      <c r="BS38" s="322"/>
      <c r="BT38" s="322">
        <v>4694</v>
      </c>
      <c r="BU38" s="423">
        <v>4081.5630000000001</v>
      </c>
      <c r="BV38" s="423">
        <v>4565.8140000000003</v>
      </c>
      <c r="BW38" s="423">
        <v>4492.4750000000004</v>
      </c>
      <c r="BX38" s="423">
        <v>5494.1350000000002</v>
      </c>
      <c r="BY38" s="423">
        <v>5041.143</v>
      </c>
      <c r="BZ38" s="423">
        <v>4577.8710000000001</v>
      </c>
      <c r="CA38" s="243">
        <v>1540.2760000000001</v>
      </c>
      <c r="CB38" s="243">
        <v>373.35300000000001</v>
      </c>
      <c r="CC38" s="243">
        <v>340.40199999999999</v>
      </c>
      <c r="CD38" s="532">
        <v>272.74299999999999</v>
      </c>
      <c r="CE38" s="532">
        <v>293.202</v>
      </c>
      <c r="CF38" s="646"/>
      <c r="CG38" s="322">
        <v>252.143</v>
      </c>
      <c r="CH38" s="423">
        <v>204.10599999999999</v>
      </c>
      <c r="CI38" s="423">
        <v>202.535</v>
      </c>
      <c r="CJ38" s="423">
        <v>212.376</v>
      </c>
      <c r="CK38" s="423">
        <v>234.42400000000001</v>
      </c>
      <c r="CL38" s="423">
        <v>231.40199999999999</v>
      </c>
      <c r="CM38" s="423">
        <v>299.47199999999998</v>
      </c>
      <c r="CN38" s="423">
        <v>244.441</v>
      </c>
      <c r="CO38" s="423">
        <v>224.62</v>
      </c>
      <c r="CP38" s="423">
        <v>224.62</v>
      </c>
      <c r="CQ38" s="423">
        <v>215.46899999999999</v>
      </c>
      <c r="CR38" s="423">
        <v>215.46899999999999</v>
      </c>
      <c r="CS38" s="423"/>
      <c r="CT38" s="423">
        <v>136.46600000000001</v>
      </c>
      <c r="CU38" s="423">
        <v>95.62</v>
      </c>
      <c r="CV38" s="423">
        <v>96.430999999999997</v>
      </c>
      <c r="CW38" s="423">
        <v>54.134999999999998</v>
      </c>
      <c r="CX38" s="423">
        <v>94.1708984375</v>
      </c>
      <c r="CY38" s="423">
        <v>17.472000000000001</v>
      </c>
      <c r="CZ38" s="423">
        <v>136.46600000000001</v>
      </c>
      <c r="DA38" s="423">
        <v>21.2880859375</v>
      </c>
      <c r="DB38" s="423">
        <v>17.69140625</v>
      </c>
      <c r="DC38" s="423">
        <v>94.1708984375</v>
      </c>
      <c r="DD38" s="423">
        <v>2.9150390625</v>
      </c>
      <c r="DE38" s="423">
        <v>0</v>
      </c>
      <c r="DF38" s="423"/>
      <c r="DG38" s="423">
        <v>0</v>
      </c>
      <c r="DH38" s="686">
        <v>0</v>
      </c>
    </row>
    <row r="39" spans="2:112" x14ac:dyDescent="0.35">
      <c r="B39" t="s">
        <v>804</v>
      </c>
      <c r="C39" s="324">
        <v>548</v>
      </c>
      <c r="D39" s="324">
        <v>432</v>
      </c>
      <c r="E39" s="324">
        <v>535</v>
      </c>
      <c r="F39" s="324"/>
      <c r="G39" s="324">
        <v>452</v>
      </c>
      <c r="H39" s="324">
        <v>368</v>
      </c>
      <c r="I39" s="324">
        <v>416</v>
      </c>
      <c r="J39" s="324">
        <v>436</v>
      </c>
      <c r="K39" s="324">
        <v>510</v>
      </c>
      <c r="L39" s="324">
        <v>420</v>
      </c>
      <c r="M39" s="324">
        <v>386</v>
      </c>
      <c r="N39" s="324">
        <v>393</v>
      </c>
      <c r="O39" s="324">
        <v>404</v>
      </c>
      <c r="P39" s="324">
        <v>513</v>
      </c>
      <c r="Q39" s="324">
        <v>382</v>
      </c>
      <c r="R39" s="324">
        <v>381</v>
      </c>
      <c r="S39" s="324"/>
      <c r="T39" s="324">
        <v>401</v>
      </c>
      <c r="U39" s="324">
        <v>385</v>
      </c>
      <c r="V39" s="324">
        <v>428</v>
      </c>
      <c r="W39" s="324">
        <v>406</v>
      </c>
      <c r="X39" s="324">
        <v>433</v>
      </c>
      <c r="Y39" s="324">
        <v>383</v>
      </c>
      <c r="Z39" s="324">
        <v>351.83058599999998</v>
      </c>
      <c r="AA39" s="324">
        <v>308</v>
      </c>
      <c r="AB39" s="324">
        <v>393.96249699999998</v>
      </c>
      <c r="AC39" s="324">
        <v>324.25250299999999</v>
      </c>
      <c r="AD39" s="324">
        <v>427</v>
      </c>
      <c r="AE39" s="324">
        <v>330</v>
      </c>
      <c r="AF39" s="324"/>
      <c r="AG39" s="324">
        <v>293</v>
      </c>
      <c r="AH39" s="324">
        <v>479</v>
      </c>
      <c r="AI39" s="324">
        <v>367</v>
      </c>
      <c r="AJ39" s="324">
        <v>320</v>
      </c>
      <c r="AK39" s="322">
        <v>320</v>
      </c>
      <c r="AL39" s="322">
        <v>422</v>
      </c>
      <c r="AM39" s="322">
        <v>272</v>
      </c>
      <c r="AN39">
        <v>238</v>
      </c>
      <c r="AO39" s="322">
        <v>212</v>
      </c>
      <c r="AP39">
        <v>229</v>
      </c>
      <c r="AQ39" s="322">
        <v>205</v>
      </c>
      <c r="AR39">
        <v>189</v>
      </c>
      <c r="AS39" s="324"/>
      <c r="AT39">
        <v>175</v>
      </c>
      <c r="AU39">
        <v>138</v>
      </c>
      <c r="AV39">
        <v>154</v>
      </c>
      <c r="AW39">
        <v>155</v>
      </c>
      <c r="AX39">
        <v>183</v>
      </c>
      <c r="AY39" s="243">
        <v>160.66384199999999</v>
      </c>
      <c r="AZ39">
        <v>161</v>
      </c>
      <c r="BA39">
        <v>164</v>
      </c>
      <c r="BB39" s="243">
        <v>156.58332300000001</v>
      </c>
      <c r="BC39" s="243">
        <v>184.69441599999999</v>
      </c>
      <c r="BD39">
        <v>155</v>
      </c>
      <c r="BE39">
        <v>131</v>
      </c>
      <c r="BF39" s="324"/>
      <c r="BG39" s="433">
        <v>127.123091</v>
      </c>
      <c r="BH39" s="433">
        <v>108.090735</v>
      </c>
      <c r="BI39" s="44">
        <v>120</v>
      </c>
      <c r="BJ39" s="433">
        <v>120.331453</v>
      </c>
      <c r="BK39" s="44">
        <v>118</v>
      </c>
      <c r="BL39" s="44">
        <v>98</v>
      </c>
      <c r="BM39" s="433">
        <v>90.186171000000002</v>
      </c>
      <c r="BN39" s="433">
        <v>88.800454999999999</v>
      </c>
      <c r="BO39" s="44">
        <v>84</v>
      </c>
      <c r="BP39" s="44">
        <v>107</v>
      </c>
      <c r="BQ39" s="376">
        <v>85</v>
      </c>
      <c r="BR39" s="224">
        <v>83</v>
      </c>
      <c r="BS39" s="322"/>
      <c r="BT39" s="322">
        <v>83</v>
      </c>
      <c r="BU39">
        <v>72</v>
      </c>
      <c r="BV39">
        <v>80</v>
      </c>
      <c r="BW39">
        <v>79</v>
      </c>
      <c r="BX39" s="243">
        <v>96.576581000000004</v>
      </c>
      <c r="BY39" s="423">
        <v>88.613811999999996</v>
      </c>
      <c r="BZ39" s="423">
        <v>80.470382999999998</v>
      </c>
      <c r="CA39" s="243">
        <v>27.075153</v>
      </c>
      <c r="CB39" s="243">
        <v>6.5628489999999999</v>
      </c>
      <c r="CC39" s="243">
        <v>5.9836299999999998</v>
      </c>
      <c r="CD39" s="532">
        <v>4.7943049999999996</v>
      </c>
      <c r="CE39" s="532">
        <v>5.1539529999999996</v>
      </c>
      <c r="CF39" s="646"/>
      <c r="CG39" s="322">
        <v>4.4321979999999996</v>
      </c>
      <c r="CH39" s="423">
        <v>3.5877919999999999</v>
      </c>
      <c r="CI39" s="423">
        <v>3.5601780000000001</v>
      </c>
      <c r="CJ39" s="423">
        <v>3.7331639999999999</v>
      </c>
      <c r="CK39" s="423">
        <v>4.1207289999999999</v>
      </c>
      <c r="CL39" s="423">
        <v>4.0676129999999997</v>
      </c>
      <c r="CM39" s="423">
        <v>5.2641650000000002</v>
      </c>
      <c r="CN39" s="423">
        <v>4.2968109999999999</v>
      </c>
      <c r="CO39" s="423">
        <v>3.9484029999999999</v>
      </c>
      <c r="CP39" s="423">
        <v>3.9484029999999999</v>
      </c>
      <c r="CQ39" s="423">
        <v>3.7875459999999999</v>
      </c>
      <c r="CR39" s="423">
        <v>3.7875459999999999</v>
      </c>
      <c r="CS39" s="423"/>
      <c r="CT39" s="423">
        <v>2.3988239999999998</v>
      </c>
      <c r="CU39" s="683">
        <v>1.680822</v>
      </c>
      <c r="CV39" s="423">
        <v>1.6950810000000001</v>
      </c>
      <c r="CW39" s="423">
        <v>0.95159099999999996</v>
      </c>
      <c r="CX39" s="423">
        <v>1.6950810000000001</v>
      </c>
      <c r="CY39" s="423">
        <v>0.30712600000000001</v>
      </c>
      <c r="CZ39" s="423">
        <v>2.3988239999999998</v>
      </c>
      <c r="DA39" s="207">
        <v>0.38318400000000002</v>
      </c>
      <c r="DB39" s="207">
        <v>0.31844600000000001</v>
      </c>
      <c r="DC39" s="207">
        <v>1.6950810000000001</v>
      </c>
      <c r="DD39" s="257">
        <v>5.2470999999999997E-2</v>
      </c>
      <c r="DE39" s="207">
        <v>0</v>
      </c>
      <c r="DF39" s="207"/>
      <c r="DG39" s="207">
        <v>0</v>
      </c>
      <c r="DH39" s="695">
        <v>0</v>
      </c>
    </row>
    <row r="40" spans="2:112" x14ac:dyDescent="0.35">
      <c r="B40" t="s">
        <v>805</v>
      </c>
      <c r="C40" s="259">
        <f>C39/C38</f>
        <v>1.8002628120893562E-2</v>
      </c>
      <c r="D40" s="259">
        <f>D39/D38</f>
        <v>1.8004501125281319E-2</v>
      </c>
      <c r="E40" s="345">
        <f>E39/E38</f>
        <v>1.7986820871436257E-2</v>
      </c>
      <c r="F40" s="345"/>
      <c r="G40" s="345">
        <f t="shared" ref="G40:R40" si="128">G39/G38</f>
        <v>1.8038871373268948E-2</v>
      </c>
      <c r="H40" s="345">
        <f t="shared" si="128"/>
        <v>1.8013608106123648E-2</v>
      </c>
      <c r="I40" s="345">
        <f t="shared" si="128"/>
        <v>1.7962003454231434E-2</v>
      </c>
      <c r="J40" s="345">
        <f t="shared" si="128"/>
        <v>1.8004625041295012E-2</v>
      </c>
      <c r="K40" s="345">
        <f t="shared" si="128"/>
        <v>1.8006567100942696E-2</v>
      </c>
      <c r="L40" s="345">
        <f t="shared" si="128"/>
        <v>1.8009519317353458E-2</v>
      </c>
      <c r="M40" s="345">
        <f t="shared" si="128"/>
        <v>1.8007930954047117E-2</v>
      </c>
      <c r="N40" s="345">
        <f t="shared" si="128"/>
        <v>1.8021736139771632E-2</v>
      </c>
      <c r="O40" s="345">
        <f t="shared" si="128"/>
        <v>1.8014804245072683E-2</v>
      </c>
      <c r="P40" s="345">
        <f t="shared" si="128"/>
        <v>1.7983593914323776E-2</v>
      </c>
      <c r="Q40" s="345">
        <f t="shared" si="128"/>
        <v>1.7932588489343725E-2</v>
      </c>
      <c r="R40" s="345">
        <f t="shared" si="128"/>
        <v>1.7967460504597972E-2</v>
      </c>
      <c r="S40" s="345"/>
      <c r="T40" s="345">
        <f t="shared" ref="T40:AB40" si="129">T39/T38</f>
        <v>1.8017613227893602E-2</v>
      </c>
      <c r="U40" s="345">
        <f t="shared" si="129"/>
        <v>1.7990654205607477E-2</v>
      </c>
      <c r="V40" s="345">
        <f t="shared" si="129"/>
        <v>1.7980926773936059E-2</v>
      </c>
      <c r="W40" s="345">
        <f t="shared" si="129"/>
        <v>1.8015619453319132E-2</v>
      </c>
      <c r="X40" s="345">
        <f t="shared" si="129"/>
        <v>1.7989198171998337E-2</v>
      </c>
      <c r="Y40" s="345">
        <f t="shared" si="129"/>
        <v>1.7984598046581517E-2</v>
      </c>
      <c r="Z40" s="345">
        <f t="shared" si="129"/>
        <v>1.8000008196953101E-2</v>
      </c>
      <c r="AA40" s="345">
        <f t="shared" si="129"/>
        <v>1.7986451763606633E-2</v>
      </c>
      <c r="AB40" s="345">
        <f t="shared" si="129"/>
        <v>1.8000006198799656E-2</v>
      </c>
      <c r="AC40" s="345">
        <f>AC39/AC38</f>
        <v>1.8000006455041153E-2</v>
      </c>
      <c r="AD40" s="345">
        <f>AD39/AD38</f>
        <v>1.7593737124021427E-2</v>
      </c>
      <c r="AE40" s="345">
        <f>AE39/AE38</f>
        <v>1.7580310052740931E-2</v>
      </c>
      <c r="AF40" s="345"/>
      <c r="AG40" s="345">
        <f t="shared" ref="AG40:AR40" si="130">AG39/AG38</f>
        <v>1.759020231734406E-2</v>
      </c>
      <c r="AH40" s="345">
        <f t="shared" si="130"/>
        <v>1.7580562284372016E-2</v>
      </c>
      <c r="AI40" s="345">
        <f t="shared" si="130"/>
        <v>1.7569896591344312E-2</v>
      </c>
      <c r="AJ40" s="345">
        <f t="shared" si="130"/>
        <v>1.7600792035641605E-2</v>
      </c>
      <c r="AK40" s="346">
        <f t="shared" si="130"/>
        <v>1.7571797265389051E-2</v>
      </c>
      <c r="AL40" s="346">
        <f t="shared" si="130"/>
        <v>1.7559920106524633E-2</v>
      </c>
      <c r="AM40" s="346">
        <f t="shared" si="130"/>
        <v>1.7593790426908149E-2</v>
      </c>
      <c r="AN40" s="346">
        <f t="shared" si="130"/>
        <v>1.7610062893081761E-2</v>
      </c>
      <c r="AO40" s="346">
        <f t="shared" si="130"/>
        <v>1.7603587146059953E-2</v>
      </c>
      <c r="AP40" s="346">
        <f t="shared" si="130"/>
        <v>1.7568085922516304E-2</v>
      </c>
      <c r="AQ40" s="346">
        <f t="shared" si="130"/>
        <v>1.7570926544955859E-2</v>
      </c>
      <c r="AR40" s="346">
        <f t="shared" si="130"/>
        <v>1.7563423473654863E-2</v>
      </c>
      <c r="AS40" s="345"/>
      <c r="AT40" s="346">
        <f>AT39/AT38</f>
        <v>1.7607405171546433E-2</v>
      </c>
      <c r="AU40" s="346">
        <f>AU39/AU38</f>
        <v>1.7521584560690705E-2</v>
      </c>
      <c r="AV40" s="346">
        <f>AV39/AV38</f>
        <v>1.7521902377972465E-2</v>
      </c>
      <c r="AW40" s="346">
        <f t="shared" ref="AW40:BB40" si="131">AW39/AW38</f>
        <v>1.7605633802816902E-2</v>
      </c>
      <c r="AX40" s="346">
        <f t="shared" si="131"/>
        <v>1.7579250720461095E-2</v>
      </c>
      <c r="AY40" s="346">
        <f t="shared" si="131"/>
        <v>1.7578116260933269E-2</v>
      </c>
      <c r="AZ40" s="346">
        <f t="shared" si="131"/>
        <v>1.7626450624042042E-2</v>
      </c>
      <c r="BA40" s="346">
        <f t="shared" si="131"/>
        <v>1.7540106951871658E-2</v>
      </c>
      <c r="BB40" s="346">
        <f t="shared" si="131"/>
        <v>1.7578117627644368E-2</v>
      </c>
      <c r="BC40" s="346">
        <f>BC39/BC38</f>
        <v>1.7578121838435899E-2</v>
      </c>
      <c r="BD40" s="346">
        <f>BD39/BD38</f>
        <v>1.7624090653774169E-2</v>
      </c>
      <c r="BE40" s="346">
        <f>BE39/BE38</f>
        <v>1.754855994641661E-2</v>
      </c>
      <c r="BF40" s="324"/>
      <c r="BG40" s="418">
        <f t="shared" ref="BG40:BL40" si="132">IFERROR(BG39/BG38,0)</f>
        <v>1.7578111386265596E-2</v>
      </c>
      <c r="BH40" s="418">
        <f t="shared" si="132"/>
        <v>1.7578110173296642E-2</v>
      </c>
      <c r="BI40" s="418">
        <f t="shared" si="132"/>
        <v>1.7561832284501682E-2</v>
      </c>
      <c r="BJ40" s="418">
        <f t="shared" si="132"/>
        <v>1.7578118990143197E-2</v>
      </c>
      <c r="BK40" s="418">
        <f t="shared" si="132"/>
        <v>1.7507446970610786E-2</v>
      </c>
      <c r="BL40" s="418">
        <f t="shared" si="132"/>
        <v>1.7547000895255148E-2</v>
      </c>
      <c r="BM40" s="418">
        <f t="shared" ref="BM40:BO40" si="133">IFERROR(BM39/BM38,0)</f>
        <v>1.7578121783996859E-2</v>
      </c>
      <c r="BN40" s="418">
        <f t="shared" si="133"/>
        <v>1.7578115318971875E-2</v>
      </c>
      <c r="BO40" s="418">
        <f t="shared" si="133"/>
        <v>1.7533792732618639E-2</v>
      </c>
      <c r="BP40" s="418">
        <f t="shared" ref="BP40:BQ40" si="134">IFERROR(BP39/BP38,0)</f>
        <v>1.7594424507750756E-2</v>
      </c>
      <c r="BQ40" s="437">
        <f t="shared" si="134"/>
        <v>1.7580144777662874E-2</v>
      </c>
      <c r="BR40" s="437">
        <f t="shared" ref="BR40:CG40" si="135">IFERROR(BR39/BR38,0)</f>
        <v>1.7640807651434644E-2</v>
      </c>
      <c r="BS40" s="322"/>
      <c r="BT40" s="437">
        <f t="shared" si="135"/>
        <v>1.7682147422241157E-2</v>
      </c>
      <c r="BU40" s="437">
        <f t="shared" si="135"/>
        <v>1.7640301031737107E-2</v>
      </c>
      <c r="BV40" s="437">
        <f t="shared" si="135"/>
        <v>1.7521519711490654E-2</v>
      </c>
      <c r="BW40" s="437">
        <f t="shared" si="135"/>
        <v>1.7584961518984522E-2</v>
      </c>
      <c r="BX40" s="437">
        <f t="shared" si="135"/>
        <v>1.7578123034836239E-2</v>
      </c>
      <c r="BY40" s="437">
        <f t="shared" si="135"/>
        <v>1.7578119089262097E-2</v>
      </c>
      <c r="BZ40" s="437">
        <f t="shared" si="135"/>
        <v>1.7578123761023409E-2</v>
      </c>
      <c r="CA40" s="437">
        <f t="shared" si="135"/>
        <v>1.7578117817845632E-2</v>
      </c>
      <c r="CB40" s="437">
        <f t="shared" si="135"/>
        <v>1.7578133830450003E-2</v>
      </c>
      <c r="CC40" s="437">
        <f t="shared" si="135"/>
        <v>1.7578128213112731E-2</v>
      </c>
      <c r="CD40" s="437">
        <f t="shared" si="135"/>
        <v>1.7578104662631121E-2</v>
      </c>
      <c r="CE40" s="437">
        <f t="shared" si="135"/>
        <v>1.7578164541851692E-2</v>
      </c>
      <c r="CF40" s="437"/>
      <c r="CG40" s="437">
        <f t="shared" si="135"/>
        <v>1.7578112420332904E-2</v>
      </c>
      <c r="CH40" s="437">
        <f t="shared" ref="CH40:CO40" si="136">IFERROR(CH39/CH38,0)</f>
        <v>1.7578081977011946E-2</v>
      </c>
      <c r="CI40" s="437">
        <f t="shared" si="136"/>
        <v>1.7578087737921841E-2</v>
      </c>
      <c r="CJ40" s="573">
        <f t="shared" si="136"/>
        <v>1.757808791953893E-2</v>
      </c>
      <c r="CK40" s="573">
        <f t="shared" si="136"/>
        <v>1.757810207146026E-2</v>
      </c>
      <c r="CL40" s="573">
        <f t="shared" si="136"/>
        <v>1.7578123784582674E-2</v>
      </c>
      <c r="CM40" s="573">
        <f t="shared" si="136"/>
        <v>1.757815421809051E-2</v>
      </c>
      <c r="CN40" s="573">
        <f t="shared" si="136"/>
        <v>1.7578110873380487E-2</v>
      </c>
      <c r="CO40" s="573">
        <f t="shared" si="136"/>
        <v>1.7578145312082627E-2</v>
      </c>
      <c r="CP40" s="573">
        <f t="shared" ref="CP40:CQ40" si="137">IFERROR(CP39/CP38,0)</f>
        <v>1.7578145312082627E-2</v>
      </c>
      <c r="CQ40" s="573">
        <f t="shared" si="137"/>
        <v>1.757814813267802E-2</v>
      </c>
      <c r="CR40" s="573">
        <f t="shared" ref="CR40:CY40" si="138">IFERROR(CR39/CR38,0)</f>
        <v>1.757814813267802E-2</v>
      </c>
      <c r="CS40" s="573"/>
      <c r="CT40" s="573">
        <f t="shared" si="138"/>
        <v>1.7578180645728605E-2</v>
      </c>
      <c r="CU40" s="684">
        <f t="shared" si="138"/>
        <v>1.7578142647981593E-2</v>
      </c>
      <c r="CV40" s="684">
        <f t="shared" si="138"/>
        <v>1.7578175068183471E-2</v>
      </c>
      <c r="CW40" s="684">
        <f t="shared" si="138"/>
        <v>1.7578110279855917E-2</v>
      </c>
      <c r="CX40" s="684">
        <f t="shared" si="138"/>
        <v>1.8000051269819871E-2</v>
      </c>
      <c r="CY40" s="684">
        <f t="shared" si="138"/>
        <v>1.7578182234432235E-2</v>
      </c>
      <c r="CZ40" s="684">
        <f t="shared" ref="CZ40:DB40" si="139">IFERROR(CZ39/CZ38,0)</f>
        <v>1.7578180645728605E-2</v>
      </c>
      <c r="DA40" s="207">
        <f t="shared" si="139"/>
        <v>1.7999927336116335E-2</v>
      </c>
      <c r="DB40" s="207">
        <f t="shared" si="139"/>
        <v>1.8000038860675645E-2</v>
      </c>
      <c r="DC40" s="207">
        <f t="shared" ref="DC40:DD40" si="140">IFERROR(DC39/DC38,0)</f>
        <v>1.8000051269819871E-2</v>
      </c>
      <c r="DD40" s="207">
        <f t="shared" si="140"/>
        <v>1.8000101842546062E-2</v>
      </c>
      <c r="DE40" s="423">
        <v>0</v>
      </c>
      <c r="DF40" s="423"/>
      <c r="DG40" s="423">
        <v>0</v>
      </c>
      <c r="DH40" s="686">
        <v>0</v>
      </c>
    </row>
    <row r="41" spans="2:112" x14ac:dyDescent="0.35">
      <c r="BO41" s="44"/>
      <c r="BP41" s="44"/>
      <c r="BQ41" s="44"/>
      <c r="BR41" s="44"/>
      <c r="CN41" s="423"/>
      <c r="CV41" s="693"/>
      <c r="CW41" s="693"/>
      <c r="DE41" s="207"/>
      <c r="DF41" s="207"/>
      <c r="DH41" s="384"/>
    </row>
    <row r="42" spans="2:112" ht="18.5" x14ac:dyDescent="0.45">
      <c r="B42" s="248" t="s">
        <v>807</v>
      </c>
      <c r="BO42" s="44"/>
      <c r="BP42" s="44"/>
      <c r="BQ42" s="44"/>
      <c r="BR42" s="44"/>
      <c r="CN42" s="423"/>
      <c r="DH42" s="384"/>
    </row>
    <row r="43" spans="2:112" x14ac:dyDescent="0.35">
      <c r="B43" s="249"/>
      <c r="C43" s="250">
        <f>C36</f>
        <v>42353</v>
      </c>
      <c r="D43" s="250">
        <f>D36</f>
        <v>42719</v>
      </c>
      <c r="E43" s="250">
        <f>E36</f>
        <v>43070</v>
      </c>
      <c r="G43" s="250">
        <f>G36</f>
        <v>43101</v>
      </c>
      <c r="H43" s="250">
        <f>H36</f>
        <v>43132</v>
      </c>
      <c r="I43" s="250">
        <f>I36</f>
        <v>43160</v>
      </c>
      <c r="J43" s="250">
        <f t="shared" ref="J43:R43" si="141">J36</f>
        <v>43191</v>
      </c>
      <c r="K43" s="250">
        <f t="shared" si="141"/>
        <v>43221</v>
      </c>
      <c r="L43" s="250">
        <f t="shared" si="141"/>
        <v>43252</v>
      </c>
      <c r="M43" s="250">
        <f t="shared" si="141"/>
        <v>43282</v>
      </c>
      <c r="N43" s="250">
        <f t="shared" si="141"/>
        <v>43313</v>
      </c>
      <c r="O43" s="250">
        <f t="shared" si="141"/>
        <v>43344</v>
      </c>
      <c r="P43" s="250">
        <f t="shared" si="141"/>
        <v>43374</v>
      </c>
      <c r="Q43" s="250">
        <f t="shared" si="141"/>
        <v>43405</v>
      </c>
      <c r="R43" s="250">
        <f t="shared" si="141"/>
        <v>43435</v>
      </c>
      <c r="S43" s="251"/>
      <c r="T43" s="250">
        <f t="shared" ref="T43:AE43" si="142">T36</f>
        <v>43466</v>
      </c>
      <c r="U43" s="250">
        <f t="shared" si="142"/>
        <v>43497</v>
      </c>
      <c r="V43" s="250">
        <f t="shared" si="142"/>
        <v>43525</v>
      </c>
      <c r="W43" s="250">
        <f t="shared" si="142"/>
        <v>43556</v>
      </c>
      <c r="X43" s="250">
        <f t="shared" si="142"/>
        <v>43586</v>
      </c>
      <c r="Y43" s="250">
        <f t="shared" si="142"/>
        <v>43617</v>
      </c>
      <c r="Z43" s="250">
        <f t="shared" si="142"/>
        <v>43647</v>
      </c>
      <c r="AA43" s="250">
        <f t="shared" si="142"/>
        <v>43678</v>
      </c>
      <c r="AB43" s="250">
        <f t="shared" si="142"/>
        <v>43709</v>
      </c>
      <c r="AC43" s="250">
        <f t="shared" si="142"/>
        <v>43739</v>
      </c>
      <c r="AD43" s="250">
        <f t="shared" si="142"/>
        <v>43770</v>
      </c>
      <c r="AE43" s="250">
        <f t="shared" si="142"/>
        <v>43800</v>
      </c>
      <c r="AF43" s="251"/>
      <c r="AG43" s="250">
        <f t="shared" ref="AG43:AR43" si="143">AG36</f>
        <v>43831</v>
      </c>
      <c r="AH43" s="250">
        <f t="shared" si="143"/>
        <v>43862</v>
      </c>
      <c r="AI43" s="250">
        <f t="shared" si="143"/>
        <v>43891</v>
      </c>
      <c r="AJ43" s="250">
        <f t="shared" si="143"/>
        <v>43922</v>
      </c>
      <c r="AK43" s="250">
        <f t="shared" si="143"/>
        <v>43952</v>
      </c>
      <c r="AL43" s="250">
        <f t="shared" si="143"/>
        <v>43983</v>
      </c>
      <c r="AM43" s="250">
        <f t="shared" si="143"/>
        <v>44013</v>
      </c>
      <c r="AN43" s="250">
        <f t="shared" si="143"/>
        <v>44044</v>
      </c>
      <c r="AO43" s="250">
        <f t="shared" si="143"/>
        <v>44075</v>
      </c>
      <c r="AP43" s="250">
        <f t="shared" si="143"/>
        <v>44105</v>
      </c>
      <c r="AQ43" s="250">
        <f t="shared" si="143"/>
        <v>44136</v>
      </c>
      <c r="AR43" s="250">
        <f t="shared" si="143"/>
        <v>44166</v>
      </c>
      <c r="AS43" s="251"/>
      <c r="AT43" s="250">
        <f t="shared" ref="AT43:BE43" si="144">AT36</f>
        <v>44197</v>
      </c>
      <c r="AU43" s="250">
        <f t="shared" si="144"/>
        <v>44228</v>
      </c>
      <c r="AV43" s="250">
        <f t="shared" si="144"/>
        <v>44256</v>
      </c>
      <c r="AW43" s="250">
        <f t="shared" si="144"/>
        <v>44287</v>
      </c>
      <c r="AX43" s="250">
        <f t="shared" si="144"/>
        <v>44317</v>
      </c>
      <c r="AY43" s="250">
        <f t="shared" si="144"/>
        <v>44348</v>
      </c>
      <c r="AZ43" s="250">
        <f t="shared" si="144"/>
        <v>44378</v>
      </c>
      <c r="BA43" s="250">
        <f t="shared" si="144"/>
        <v>44409</v>
      </c>
      <c r="BB43" s="250">
        <f t="shared" si="144"/>
        <v>44440</v>
      </c>
      <c r="BC43" s="250">
        <f t="shared" si="144"/>
        <v>44470</v>
      </c>
      <c r="BD43" s="250">
        <f t="shared" si="144"/>
        <v>44501</v>
      </c>
      <c r="BE43" s="250">
        <f t="shared" si="144"/>
        <v>44531</v>
      </c>
      <c r="BF43" s="251"/>
      <c r="BG43" s="250">
        <v>44562</v>
      </c>
      <c r="BH43" s="417">
        <v>44593</v>
      </c>
      <c r="BI43" s="417">
        <v>44621</v>
      </c>
      <c r="BJ43" s="417">
        <v>44652</v>
      </c>
      <c r="BK43" s="417">
        <v>44682</v>
      </c>
      <c r="BL43" s="417">
        <v>44713</v>
      </c>
      <c r="BM43" s="417">
        <v>44743</v>
      </c>
      <c r="BN43" s="417">
        <v>44774</v>
      </c>
      <c r="BO43" s="417">
        <v>44805</v>
      </c>
      <c r="BP43" s="417">
        <v>44835</v>
      </c>
      <c r="BQ43" s="417">
        <v>44866</v>
      </c>
      <c r="BR43" s="417">
        <v>44896</v>
      </c>
      <c r="BS43" s="251"/>
      <c r="BT43" s="417">
        <v>44927</v>
      </c>
      <c r="BU43" s="417">
        <v>44958</v>
      </c>
      <c r="BV43" s="417">
        <v>44986</v>
      </c>
      <c r="BW43" s="417">
        <v>45017</v>
      </c>
      <c r="BX43" s="417">
        <v>45047</v>
      </c>
      <c r="BY43" s="417">
        <v>45078</v>
      </c>
      <c r="BZ43" s="417">
        <v>45108</v>
      </c>
      <c r="CA43" s="417">
        <v>45139</v>
      </c>
      <c r="CB43" s="417">
        <v>45170</v>
      </c>
      <c r="CC43" s="417">
        <v>45200</v>
      </c>
      <c r="CD43" s="417">
        <v>45231</v>
      </c>
      <c r="CE43" s="417">
        <v>45261</v>
      </c>
      <c r="CF43" s="227"/>
      <c r="CG43" s="417">
        <v>45292</v>
      </c>
      <c r="CH43" s="417">
        <v>45323</v>
      </c>
      <c r="CI43" s="417">
        <v>45352</v>
      </c>
      <c r="CJ43" s="417">
        <v>45383</v>
      </c>
      <c r="CK43" s="417">
        <v>45413</v>
      </c>
      <c r="CL43" s="417">
        <v>45444</v>
      </c>
      <c r="CM43" s="417">
        <v>45474</v>
      </c>
      <c r="CN43" s="417">
        <v>45505</v>
      </c>
      <c r="CO43" s="417">
        <v>45536</v>
      </c>
      <c r="CP43" s="417">
        <v>45566</v>
      </c>
      <c r="CQ43" s="417">
        <v>45597</v>
      </c>
      <c r="CR43" s="417">
        <v>45627</v>
      </c>
      <c r="CS43" s="227"/>
      <c r="CT43" s="417">
        <v>45658</v>
      </c>
      <c r="CU43" s="417">
        <v>45689</v>
      </c>
      <c r="CV43" s="417">
        <v>45717</v>
      </c>
      <c r="CW43" s="417">
        <v>45748</v>
      </c>
      <c r="CX43" s="417">
        <v>45778</v>
      </c>
      <c r="CY43" s="417">
        <v>45809</v>
      </c>
      <c r="CZ43" s="417">
        <v>45839</v>
      </c>
      <c r="DA43" s="417">
        <v>45870</v>
      </c>
      <c r="DB43" s="417">
        <v>45901</v>
      </c>
      <c r="DC43" s="417">
        <v>45931</v>
      </c>
      <c r="DD43" s="417">
        <v>45962</v>
      </c>
      <c r="DE43" s="417">
        <v>45992</v>
      </c>
      <c r="DF43" s="227"/>
      <c r="DG43" s="417">
        <v>46023</v>
      </c>
      <c r="DH43" s="417">
        <v>46054</v>
      </c>
    </row>
    <row r="44" spans="2:112" x14ac:dyDescent="0.35">
      <c r="B44" t="s">
        <v>808</v>
      </c>
      <c r="C44" s="251"/>
      <c r="D44" s="251"/>
      <c r="E44" s="251"/>
      <c r="G44">
        <v>4.4307699999999999</v>
      </c>
      <c r="H44">
        <v>4.5384700000000002</v>
      </c>
      <c r="I44">
        <v>4.57402</v>
      </c>
      <c r="J44">
        <v>4.7827700000000002</v>
      </c>
      <c r="K44">
        <v>4.8847500000000004</v>
      </c>
      <c r="L44">
        <v>5.0134600000000002</v>
      </c>
      <c r="M44">
        <v>5.0352800000000002</v>
      </c>
      <c r="N44">
        <v>5.0372399999999997</v>
      </c>
      <c r="O44">
        <v>5.3430999999999997</v>
      </c>
      <c r="P44">
        <v>4.9101400000000002</v>
      </c>
      <c r="Q44">
        <v>4.8679500000000004</v>
      </c>
      <c r="R44" s="260">
        <v>4.9275399999999996</v>
      </c>
      <c r="S44" s="260"/>
      <c r="T44" s="260">
        <v>4.8309300000000004</v>
      </c>
      <c r="U44" s="260">
        <v>4.8315599999999996</v>
      </c>
      <c r="V44" s="260">
        <v>5.0594599999999996</v>
      </c>
      <c r="W44" s="260">
        <v>5.0278349999999996</v>
      </c>
      <c r="X44" s="260">
        <v>5.0232869999999998</v>
      </c>
      <c r="Y44" s="260">
        <v>4.8984399999999999</v>
      </c>
      <c r="Z44" s="260">
        <v>4.6102100000000004</v>
      </c>
      <c r="AA44" s="260">
        <v>5.0393499999999998</v>
      </c>
      <c r="AB44" s="260">
        <v>5.0873499999999998</v>
      </c>
      <c r="AC44" s="260">
        <v>5.1642400000000004</v>
      </c>
      <c r="AD44" s="260">
        <v>5.3443800000000001</v>
      </c>
      <c r="AE44" s="260">
        <v>5.39079</v>
      </c>
      <c r="AF44" s="260"/>
      <c r="AG44" s="260">
        <v>5.4021299999999997</v>
      </c>
      <c r="AH44" s="260">
        <v>5.6342999999999996</v>
      </c>
      <c r="AI44">
        <v>6.0193300000000001</v>
      </c>
      <c r="AJ44">
        <v>6.5855399999999999</v>
      </c>
      <c r="AK44">
        <v>6.91167</v>
      </c>
      <c r="AL44">
        <v>6.4929300000000003</v>
      </c>
      <c r="AM44">
        <v>6.6967100000000004</v>
      </c>
      <c r="AN44">
        <v>7.2417239999999996</v>
      </c>
      <c r="AO44" s="314">
        <v>7.0034335866666657</v>
      </c>
      <c r="AP44">
        <v>7.4791480000000004</v>
      </c>
      <c r="AQ44">
        <v>7.1627099999999997</v>
      </c>
      <c r="AR44" s="421">
        <v>7.0340360000000004</v>
      </c>
      <c r="AS44" s="421"/>
      <c r="AT44" s="421">
        <v>7.4998129999999996</v>
      </c>
      <c r="AU44" s="421">
        <v>7.6985080000000004</v>
      </c>
      <c r="AV44" s="421">
        <v>7.7750949</v>
      </c>
      <c r="AW44" s="421">
        <v>7.7541301363333339</v>
      </c>
      <c r="AX44" s="421">
        <v>7.4565473506451596</v>
      </c>
      <c r="AY44" s="421">
        <v>7.0940643999999997</v>
      </c>
      <c r="AZ44" s="421">
        <v>7.0823429677419361</v>
      </c>
      <c r="BA44" s="421">
        <v>7.1545670000000001</v>
      </c>
      <c r="BB44" s="421">
        <v>7.2177007333333334</v>
      </c>
      <c r="BC44" s="421">
        <v>7.5503096586206899</v>
      </c>
      <c r="BD44" s="421">
        <v>7.4879326373333335</v>
      </c>
      <c r="BE44" s="421">
        <v>7.5173653548387076</v>
      </c>
      <c r="BF44" s="421"/>
      <c r="BG44" s="421">
        <v>7.5395581612903229</v>
      </c>
      <c r="BH44" s="666">
        <v>7.0687499825925917</v>
      </c>
      <c r="BI44" s="666">
        <v>6.6230884482758627</v>
      </c>
      <c r="BJ44" s="666">
        <v>6.1587169000000008</v>
      </c>
      <c r="BK44" s="666">
        <v>6.1687658387096755</v>
      </c>
      <c r="BL44" s="666">
        <v>6.1721200666666656</v>
      </c>
      <c r="BM44" s="666">
        <v>6.44461087</v>
      </c>
      <c r="BN44" s="666">
        <v>6.1831120603225802</v>
      </c>
      <c r="BO44" s="666">
        <v>5.9162492876666644</v>
      </c>
      <c r="BP44" s="666">
        <v>5.9650999999999996</v>
      </c>
      <c r="BQ44" s="666">
        <v>6.2080000000000002</v>
      </c>
      <c r="BR44" s="666">
        <v>6.3877639680645162</v>
      </c>
      <c r="BS44" s="260"/>
      <c r="BT44" s="259">
        <v>6.357078594193549</v>
      </c>
      <c r="BU44" s="259">
        <v>6.2478405382142848</v>
      </c>
      <c r="BV44" s="259">
        <v>6.3098452700000003</v>
      </c>
      <c r="BW44" s="257">
        <v>6.257747354000001</v>
      </c>
      <c r="BX44" s="257">
        <v>6.2106373980645158</v>
      </c>
      <c r="BY44" s="257">
        <v>6.1660448880000001</v>
      </c>
      <c r="BZ44" s="531">
        <v>6.1888141607407423</v>
      </c>
      <c r="CA44" s="257">
        <v>6.2086392303225804</v>
      </c>
      <c r="CB44" s="257">
        <v>6.2086392303225804</v>
      </c>
      <c r="CC44" s="257">
        <v>6.1589027467741939</v>
      </c>
      <c r="CD44" s="257">
        <v>6.0880636333333351</v>
      </c>
      <c r="CE44" s="257">
        <v>6.211641693548386</v>
      </c>
      <c r="CF44" s="257"/>
      <c r="CG44" s="207">
        <v>6.2281937325806442</v>
      </c>
      <c r="CH44" s="207">
        <v>6.2767872413793118</v>
      </c>
      <c r="CI44" s="207">
        <v>6.3734719999999996</v>
      </c>
      <c r="CJ44" s="207">
        <v>6.4648305450000008</v>
      </c>
      <c r="CK44" s="207">
        <v>6.4890966695833336</v>
      </c>
      <c r="CL44" s="207">
        <v>6.9901</v>
      </c>
      <c r="CM44" s="207">
        <v>7.1409118892000008</v>
      </c>
      <c r="CN44" s="207">
        <v>7.1929249566666682</v>
      </c>
      <c r="CO44" s="207">
        <v>7.3530400681818158</v>
      </c>
      <c r="CP44" s="207">
        <v>7.2797840004347822</v>
      </c>
      <c r="CQ44" s="207">
        <v>7.3898209428571437</v>
      </c>
      <c r="CR44" s="207">
        <v>7.7049710276086971</v>
      </c>
      <c r="CS44" s="207"/>
      <c r="CT44" s="207">
        <v>7.4820773965217402</v>
      </c>
      <c r="CU44" s="207">
        <v>7.2378837778571423</v>
      </c>
      <c r="CV44" s="207">
        <v>7.4563340847045456</v>
      </c>
      <c r="CW44" s="207">
        <v>7.6056842504545443</v>
      </c>
      <c r="CX44" s="207">
        <v>7.5793130839608684</v>
      </c>
      <c r="CY44" s="207">
        <v>7.5340609171272721</v>
      </c>
      <c r="CZ44" s="207">
        <v>7.4674654695652176</v>
      </c>
      <c r="DA44" s="207">
        <v>7.3260196155954551</v>
      </c>
      <c r="DB44" s="207">
        <v>7.3260196155954551</v>
      </c>
      <c r="DC44" s="257">
        <v>7.1987262708695647</v>
      </c>
      <c r="DD44" s="207">
        <v>7.019493837463636</v>
      </c>
      <c r="DE44" s="207">
        <v>7.3013050963636381</v>
      </c>
      <c r="DF44" s="207"/>
      <c r="DG44" s="207">
        <v>7.2237860690909086</v>
      </c>
      <c r="DH44" s="695">
        <v>7.0746090359090914</v>
      </c>
    </row>
    <row r="45" spans="2:112" x14ac:dyDescent="0.35">
      <c r="B45" t="s">
        <v>809</v>
      </c>
      <c r="G45" s="324">
        <v>0</v>
      </c>
      <c r="H45" s="324">
        <v>0</v>
      </c>
      <c r="I45" s="324">
        <v>28962.99</v>
      </c>
      <c r="J45" s="324">
        <v>0</v>
      </c>
      <c r="K45" s="324">
        <v>6750</v>
      </c>
      <c r="L45" s="324">
        <v>0</v>
      </c>
      <c r="M45" s="324">
        <v>22177.49</v>
      </c>
      <c r="N45" s="324">
        <v>78800</v>
      </c>
      <c r="O45" s="324">
        <v>95200</v>
      </c>
      <c r="P45" s="324">
        <v>110500</v>
      </c>
      <c r="Q45" s="324">
        <v>136000</v>
      </c>
      <c r="R45" s="324">
        <v>184186.4</v>
      </c>
      <c r="S45" s="324"/>
      <c r="T45" s="324">
        <v>181250</v>
      </c>
      <c r="U45" s="324">
        <v>181250</v>
      </c>
      <c r="V45" s="324">
        <v>213845</v>
      </c>
      <c r="W45" s="324">
        <v>277799</v>
      </c>
      <c r="X45" s="324">
        <v>332692</v>
      </c>
      <c r="Y45" s="324">
        <v>353403</v>
      </c>
      <c r="Z45" s="324">
        <v>389653</v>
      </c>
      <c r="AA45" s="324">
        <f>24750+374000+9208.03</f>
        <v>407958.03</v>
      </c>
      <c r="AB45" s="324">
        <f>374000+6793.48+22000</f>
        <v>402793.48</v>
      </c>
      <c r="AC45" s="243">
        <f>387600+22000+7641.09</f>
        <v>417241.09</v>
      </c>
      <c r="AD45" s="243">
        <f>342066.77+64133</f>
        <v>406199.77</v>
      </c>
      <c r="AE45">
        <v>431570</v>
      </c>
      <c r="AF45" s="324"/>
      <c r="AG45">
        <v>377962</v>
      </c>
      <c r="AH45">
        <v>394606</v>
      </c>
      <c r="AI45" s="243">
        <v>427479.98601999995</v>
      </c>
      <c r="AJ45" s="243">
        <v>409850.03619999997</v>
      </c>
      <c r="AK45" s="243">
        <v>409268.55006666668</v>
      </c>
      <c r="AL45" s="243">
        <v>427121.34433333337</v>
      </c>
      <c r="AM45" s="243">
        <v>425776</v>
      </c>
      <c r="AN45">
        <v>446024</v>
      </c>
      <c r="AO45">
        <v>428645</v>
      </c>
      <c r="AP45">
        <v>444032</v>
      </c>
      <c r="AQ45">
        <v>439358</v>
      </c>
      <c r="AR45" s="352">
        <v>380008</v>
      </c>
      <c r="AS45" s="352"/>
      <c r="AT45" s="352">
        <v>369227</v>
      </c>
      <c r="AU45" s="352">
        <v>376182</v>
      </c>
      <c r="AV45" s="352">
        <v>393707.11115642684</v>
      </c>
      <c r="AW45" s="352">
        <v>367109</v>
      </c>
      <c r="AX45" s="352">
        <v>366430.53496465215</v>
      </c>
      <c r="AY45" s="352">
        <v>341718.37630541716</v>
      </c>
      <c r="AZ45" s="352">
        <v>270774.36289285438</v>
      </c>
      <c r="BA45" s="352">
        <v>314378.0033800297</v>
      </c>
      <c r="BB45" s="352">
        <v>343811.82589156373</v>
      </c>
      <c r="BC45" s="352">
        <v>378831.13452867436</v>
      </c>
      <c r="BD45" s="352">
        <v>385051</v>
      </c>
      <c r="BE45" s="352">
        <v>350808.74</v>
      </c>
      <c r="BF45" s="352"/>
      <c r="BG45" s="352">
        <v>342418</v>
      </c>
      <c r="BH45" s="352">
        <v>356162.6738293356</v>
      </c>
      <c r="BI45" s="352">
        <v>369578.13</v>
      </c>
      <c r="BJ45" s="352">
        <v>356472.85183431359</v>
      </c>
      <c r="BK45" s="352">
        <v>353651.34580281796</v>
      </c>
      <c r="BL45" s="427">
        <v>355847.90790909092</v>
      </c>
      <c r="BM45" s="427">
        <v>372330.25404911698</v>
      </c>
      <c r="BN45" s="427">
        <v>377009.47233935742</v>
      </c>
      <c r="BO45" s="427">
        <v>413879.56</v>
      </c>
      <c r="BP45" s="427">
        <v>433641.96527765208</v>
      </c>
      <c r="BQ45" s="427">
        <v>440598.17094754911</v>
      </c>
      <c r="BR45" s="427">
        <v>410277.52</v>
      </c>
      <c r="BS45" s="352"/>
      <c r="BT45" s="352">
        <v>479719.57195400831</v>
      </c>
      <c r="BU45" s="352">
        <v>490864.30948275508</v>
      </c>
      <c r="BV45" s="352">
        <v>502287.66544972063</v>
      </c>
      <c r="BW45" s="352">
        <v>490908.54531586019</v>
      </c>
      <c r="BX45" s="352">
        <v>485998.2686786534</v>
      </c>
      <c r="BY45" s="423">
        <v>461299.9736255164</v>
      </c>
      <c r="BZ45" s="423">
        <v>459366.04859881545</v>
      </c>
      <c r="CA45" s="423">
        <v>468499.59354368236</v>
      </c>
      <c r="CB45" s="423">
        <v>478286.32023319253</v>
      </c>
      <c r="CC45" s="521">
        <v>457968.05776392476</v>
      </c>
      <c r="CD45" s="521">
        <v>467344.18380191218</v>
      </c>
      <c r="CE45" s="521">
        <v>478342.45480413316</v>
      </c>
      <c r="CF45" s="423"/>
      <c r="CG45" s="352">
        <v>532855.7755107719</v>
      </c>
      <c r="CH45" s="423">
        <v>553853.26102098741</v>
      </c>
      <c r="CI45" s="423">
        <v>560674.46484140714</v>
      </c>
      <c r="CJ45" s="423">
        <v>566244.34113823529</v>
      </c>
      <c r="CK45" s="423">
        <v>545054.19907296321</v>
      </c>
      <c r="CL45" s="423">
        <v>570897.60305442242</v>
      </c>
      <c r="CM45" s="423">
        <v>539911.09742632438</v>
      </c>
      <c r="CN45" s="423">
        <v>559226.67517999839</v>
      </c>
      <c r="CO45" s="423">
        <v>568709.93333323835</v>
      </c>
      <c r="CP45" s="423">
        <v>538363.89013323653</v>
      </c>
      <c r="CQ45" s="423">
        <v>588191.61600000004</v>
      </c>
      <c r="CR45" s="423">
        <v>598196.24800000002</v>
      </c>
      <c r="CS45" s="423"/>
      <c r="CT45" s="612">
        <v>576689</v>
      </c>
      <c r="CU45" s="612">
        <v>586924</v>
      </c>
      <c r="CV45" s="612">
        <v>578676</v>
      </c>
      <c r="CW45" s="612">
        <v>588951</v>
      </c>
      <c r="CX45" s="612">
        <v>599411</v>
      </c>
      <c r="CY45" s="423">
        <v>578165</v>
      </c>
      <c r="CZ45" s="423">
        <v>587165</v>
      </c>
      <c r="DA45" s="612">
        <v>598133</v>
      </c>
      <c r="DB45" s="612">
        <v>608615</v>
      </c>
      <c r="DC45" s="612">
        <v>567969</v>
      </c>
      <c r="DD45" s="612">
        <v>576375</v>
      </c>
      <c r="DE45" s="612">
        <v>584907</v>
      </c>
      <c r="DF45" s="612"/>
      <c r="DG45" s="423">
        <v>564780</v>
      </c>
      <c r="DH45" s="686">
        <v>573138</v>
      </c>
    </row>
    <row r="46" spans="2:112" x14ac:dyDescent="0.35">
      <c r="B46" t="s">
        <v>810</v>
      </c>
      <c r="G46" s="126">
        <f>G45/G44</f>
        <v>0</v>
      </c>
      <c r="H46" s="126">
        <f t="shared" ref="H46:R46" si="145">H45/H44</f>
        <v>0</v>
      </c>
      <c r="I46" s="126">
        <f t="shared" si="145"/>
        <v>6332.0645733949568</v>
      </c>
      <c r="J46" s="126">
        <f t="shared" si="145"/>
        <v>0</v>
      </c>
      <c r="K46" s="126">
        <f t="shared" si="145"/>
        <v>1381.8516812528787</v>
      </c>
      <c r="L46" s="126">
        <f t="shared" si="145"/>
        <v>0</v>
      </c>
      <c r="M46" s="126">
        <f t="shared" si="145"/>
        <v>4404.420409589934</v>
      </c>
      <c r="N46" s="126">
        <f t="shared" si="145"/>
        <v>15643.487306540885</v>
      </c>
      <c r="O46" s="126">
        <f t="shared" si="145"/>
        <v>17817.3719376392</v>
      </c>
      <c r="P46" s="126">
        <f t="shared" si="145"/>
        <v>22504.449974949795</v>
      </c>
      <c r="Q46" s="126">
        <f t="shared" si="145"/>
        <v>27937.83830976078</v>
      </c>
      <c r="R46" s="126">
        <f t="shared" si="145"/>
        <v>37378.976121959437</v>
      </c>
      <c r="S46" s="126"/>
      <c r="T46" s="126">
        <f t="shared" ref="T46:AE46" si="146">T45/T44</f>
        <v>37518.655828173869</v>
      </c>
      <c r="U46" s="126">
        <f t="shared" si="146"/>
        <v>37513.763670532913</v>
      </c>
      <c r="V46" s="126">
        <f t="shared" si="146"/>
        <v>42266.368347610223</v>
      </c>
      <c r="W46" s="126">
        <f t="shared" si="146"/>
        <v>55252.210941687626</v>
      </c>
      <c r="X46" s="126">
        <f t="shared" si="146"/>
        <v>66229.940674303507</v>
      </c>
      <c r="Y46" s="126">
        <f t="shared" si="146"/>
        <v>72146.030164705502</v>
      </c>
      <c r="Z46" s="126">
        <f t="shared" si="146"/>
        <v>84519.577199303283</v>
      </c>
      <c r="AA46" s="126">
        <f t="shared" si="146"/>
        <v>80954.494131187559</v>
      </c>
      <c r="AB46" s="126">
        <f t="shared" si="146"/>
        <v>79175.500014742443</v>
      </c>
      <c r="AC46" s="126">
        <f t="shared" si="146"/>
        <v>80794.287252335285</v>
      </c>
      <c r="AD46" s="126">
        <f t="shared" si="146"/>
        <v>76005.031453601725</v>
      </c>
      <c r="AE46" s="126">
        <f t="shared" si="146"/>
        <v>80056.911881189953</v>
      </c>
      <c r="AF46" s="126"/>
      <c r="AG46" s="126">
        <f t="shared" ref="AG46:AP46" si="147">AG45/AG44</f>
        <v>69965.365513232755</v>
      </c>
      <c r="AH46" s="126">
        <f t="shared" si="147"/>
        <v>70036.384289086491</v>
      </c>
      <c r="AI46" s="126">
        <f t="shared" si="147"/>
        <v>71017.868437184865</v>
      </c>
      <c r="AJ46" s="126">
        <f t="shared" si="147"/>
        <v>62234.841212717554</v>
      </c>
      <c r="AK46" s="126">
        <f t="shared" si="147"/>
        <v>59214.133496921393</v>
      </c>
      <c r="AL46" s="126">
        <f t="shared" si="147"/>
        <v>65782.527200098164</v>
      </c>
      <c r="AM46" s="126">
        <f t="shared" si="147"/>
        <v>63579.877283024049</v>
      </c>
      <c r="AN46" s="126">
        <f t="shared" si="147"/>
        <v>61590.858751313914</v>
      </c>
      <c r="AO46" s="126">
        <f t="shared" si="147"/>
        <v>61204.978200416786</v>
      </c>
      <c r="AP46" s="126">
        <f t="shared" si="147"/>
        <v>59369.329233757642</v>
      </c>
      <c r="AQ46" s="126">
        <f>AQ45/AQ44</f>
        <v>61339.632625081853</v>
      </c>
      <c r="AR46" s="126">
        <f>AR45/AR44</f>
        <v>54024.176162874341</v>
      </c>
      <c r="AS46" s="126"/>
      <c r="AT46" s="126">
        <f>AT45/AT44</f>
        <v>49231.494171921353</v>
      </c>
      <c r="AU46" s="126">
        <f>AU45/AU44</f>
        <v>48864.273441035584</v>
      </c>
      <c r="AV46" s="126">
        <f>AV45/AV44</f>
        <v>50636.952502846856</v>
      </c>
      <c r="AW46" s="126">
        <f t="shared" ref="AW46:BE46" si="148">AW45/AW44</f>
        <v>47343.672797010011</v>
      </c>
      <c r="AX46" s="126">
        <f t="shared" si="148"/>
        <v>49142.118695584715</v>
      </c>
      <c r="AY46" s="126">
        <f t="shared" si="148"/>
        <v>48169.618576540859</v>
      </c>
      <c r="AZ46" s="126">
        <f t="shared" si="148"/>
        <v>38232.314380446529</v>
      </c>
      <c r="BA46" s="126">
        <f t="shared" si="148"/>
        <v>43940.884665700898</v>
      </c>
      <c r="BB46" s="126">
        <f t="shared" si="148"/>
        <v>47634.53606544614</v>
      </c>
      <c r="BC46" s="126">
        <f t="shared" si="148"/>
        <v>50174.251342941636</v>
      </c>
      <c r="BD46" s="126">
        <f t="shared" si="148"/>
        <v>51422.871792437443</v>
      </c>
      <c r="BE46" s="126">
        <f t="shared" si="148"/>
        <v>46666.448076013054</v>
      </c>
      <c r="BF46" s="352"/>
      <c r="BG46" s="126">
        <f t="shared" ref="BG46:BP46" si="149">IFERROR(BG45/BG44,0)</f>
        <v>45416.189208280935</v>
      </c>
      <c r="BH46" s="126">
        <f t="shared" si="149"/>
        <v>50385.524273233175</v>
      </c>
      <c r="BI46" s="126">
        <f t="shared" si="149"/>
        <v>55801.478854809713</v>
      </c>
      <c r="BJ46" s="126">
        <f t="shared" si="149"/>
        <v>57881.025808202605</v>
      </c>
      <c r="BK46" s="126">
        <f t="shared" si="149"/>
        <v>57329.351615783075</v>
      </c>
      <c r="BL46" s="126">
        <f t="shared" si="149"/>
        <v>57654.080618245534</v>
      </c>
      <c r="BM46" s="126">
        <f t="shared" si="149"/>
        <v>57773.892258155378</v>
      </c>
      <c r="BN46" s="126">
        <f t="shared" si="149"/>
        <v>60974.064299861384</v>
      </c>
      <c r="BO46" s="126">
        <f t="shared" si="149"/>
        <v>69956.409859671709</v>
      </c>
      <c r="BP46" s="126">
        <f t="shared" si="149"/>
        <v>72696.512259249983</v>
      </c>
      <c r="BQ46" s="126">
        <f>IFERROR(BQ45/BQ44,0)</f>
        <v>70972.64351603562</v>
      </c>
      <c r="BR46" s="126">
        <f>IFERROR(BR45/BR44,0)</f>
        <v>64228.659989813859</v>
      </c>
      <c r="BS46" s="352"/>
      <c r="BT46" s="126">
        <f t="shared" ref="BT46:CU46" si="150">IFERROR(BT45/BT44,0)</f>
        <v>75462.268531991445</v>
      </c>
      <c r="BU46" s="126">
        <f t="shared" si="150"/>
        <v>78565.434965958746</v>
      </c>
      <c r="BV46" s="126">
        <f t="shared" si="150"/>
        <v>79603.800720413012</v>
      </c>
      <c r="BW46" s="126">
        <f t="shared" si="150"/>
        <v>78448.12478759911</v>
      </c>
      <c r="BX46" s="126">
        <f t="shared" si="150"/>
        <v>78252.558880689117</v>
      </c>
      <c r="BY46" s="126">
        <f t="shared" si="150"/>
        <v>74812.944440815176</v>
      </c>
      <c r="BZ46" s="126">
        <f t="shared" si="150"/>
        <v>74225.212886960187</v>
      </c>
      <c r="CA46" s="521">
        <f t="shared" si="150"/>
        <v>75459.303748164588</v>
      </c>
      <c r="CB46" s="521">
        <f t="shared" si="150"/>
        <v>77035.611587362655</v>
      </c>
      <c r="CC46" s="521">
        <f t="shared" si="150"/>
        <v>74358.709106714101</v>
      </c>
      <c r="CD46" s="521">
        <f t="shared" si="150"/>
        <v>76764.011013799478</v>
      </c>
      <c r="CE46" s="126">
        <f t="shared" si="150"/>
        <v>77007.412597696239</v>
      </c>
      <c r="CF46" s="126"/>
      <c r="CG46" s="126">
        <f t="shared" si="150"/>
        <v>85555.427205695436</v>
      </c>
      <c r="CH46" s="126">
        <f t="shared" si="150"/>
        <v>88238.335906902474</v>
      </c>
      <c r="CI46" s="126">
        <f t="shared" si="150"/>
        <v>87970.0208679676</v>
      </c>
      <c r="CJ46" s="423">
        <f t="shared" si="150"/>
        <v>87588.427445507812</v>
      </c>
      <c r="CK46" s="423">
        <f t="shared" si="150"/>
        <v>83995.389008122336</v>
      </c>
      <c r="CL46" s="423">
        <f t="shared" si="150"/>
        <v>81672.308415390682</v>
      </c>
      <c r="CM46" s="423">
        <f t="shared" si="150"/>
        <v>75608.144422408048</v>
      </c>
      <c r="CN46" s="423">
        <f t="shared" si="150"/>
        <v>77746.769019421859</v>
      </c>
      <c r="CO46" s="423">
        <f t="shared" si="150"/>
        <v>77343.510719351092</v>
      </c>
      <c r="CP46" s="423">
        <f t="shared" si="150"/>
        <v>73953.278023232968</v>
      </c>
      <c r="CQ46" s="423">
        <f t="shared" si="150"/>
        <v>79594.840057462352</v>
      </c>
      <c r="CR46" s="423">
        <f t="shared" si="150"/>
        <v>77637.702446449723</v>
      </c>
      <c r="CS46" s="423"/>
      <c r="CT46" s="423">
        <f t="shared" si="150"/>
        <v>77076.053806672804</v>
      </c>
      <c r="CU46" s="423">
        <f t="shared" si="150"/>
        <v>81090.553263037538</v>
      </c>
      <c r="CV46" s="423">
        <f t="shared" ref="CV46:DH46" si="151">IFERROR(CV45/CV44,0)</f>
        <v>77608.647014229093</v>
      </c>
      <c r="CW46" s="423">
        <f t="shared" si="151"/>
        <v>77435.636374834008</v>
      </c>
      <c r="CX46" s="423">
        <f t="shared" si="151"/>
        <v>79085.135204199032</v>
      </c>
      <c r="CY46" s="423">
        <f t="shared" si="151"/>
        <v>76740.154660237808</v>
      </c>
      <c r="CZ46" s="423">
        <f t="shared" si="151"/>
        <v>78629.757632369321</v>
      </c>
      <c r="DA46" s="732">
        <f t="shared" si="151"/>
        <v>81645.017538133368</v>
      </c>
      <c r="DB46" s="732">
        <f t="shared" si="151"/>
        <v>83075.808137940956</v>
      </c>
      <c r="DC46" s="732">
        <f t="shared" si="151"/>
        <v>78898.541023618149</v>
      </c>
      <c r="DD46" s="732">
        <f t="shared" si="151"/>
        <v>82110.621270701537</v>
      </c>
      <c r="DE46" s="732">
        <f t="shared" si="151"/>
        <v>80109.924497102402</v>
      </c>
      <c r="DF46" s="732"/>
      <c r="DG46" s="732">
        <f t="shared" si="151"/>
        <v>78183.378438707805</v>
      </c>
      <c r="DH46" s="739">
        <f t="shared" si="151"/>
        <v>81013.381388410737</v>
      </c>
    </row>
    <row r="47" spans="2:112" x14ac:dyDescent="0.35">
      <c r="BF47" s="352"/>
    </row>
    <row r="52" spans="2:5" x14ac:dyDescent="0.35">
      <c r="B52" s="311"/>
    </row>
    <row r="57" spans="2:5" x14ac:dyDescent="0.35">
      <c r="E57" s="44"/>
    </row>
  </sheetData>
  <pageMargins left="0.70866141732283472" right="0.70866141732283472" top="0.74803149606299213" bottom="0.74803149606299213" header="0.31496062992125984" footer="0.31496062992125984"/>
  <pageSetup paperSize="9" scale="82" orientation="landscape" r:id="rId1"/>
  <headerFooter>
    <oddHeader>&amp;A</oddHeader>
    <oddFooter xml:space="preserve">&amp;L&amp;F &amp;D&amp;C&amp;P of &amp;N&amp;REseye  Private and Confidential </oddFoot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245F6-9A99-47AC-B038-75BE22F9C2F5}">
  <sheetPr codeName="Sheet12"/>
  <dimension ref="A1:AL43"/>
  <sheetViews>
    <sheetView topLeftCell="C2" zoomScaleNormal="100" workbookViewId="0">
      <selection activeCell="AC15" sqref="AC15"/>
    </sheetView>
  </sheetViews>
  <sheetFormatPr defaultColWidth="8.453125" defaultRowHeight="14.5" outlineLevelCol="1" x14ac:dyDescent="0.35"/>
  <cols>
    <col min="1" max="1" width="5.453125" hidden="1" customWidth="1"/>
    <col min="2" max="2" width="6" hidden="1" customWidth="1"/>
    <col min="3" max="3" width="47.453125" customWidth="1"/>
    <col min="4" max="4" width="21.54296875" customWidth="1"/>
    <col min="5" max="5" width="9" hidden="1" customWidth="1" outlineLevel="1"/>
    <col min="6" max="6" width="13.54296875" hidden="1" customWidth="1" outlineLevel="1"/>
    <col min="7" max="7" width="12.26953125" hidden="1" customWidth="1" outlineLevel="1"/>
    <col min="8" max="8" width="12.08984375" hidden="1" customWidth="1" outlineLevel="1"/>
    <col min="9" max="9" width="11" hidden="1" customWidth="1" outlineLevel="1"/>
    <col min="10" max="10" width="10.81640625" hidden="1" customWidth="1" outlineLevel="1"/>
    <col min="11" max="11" width="12.54296875" hidden="1" customWidth="1" outlineLevel="1"/>
    <col min="12" max="12" width="10" hidden="1" customWidth="1" outlineLevel="1"/>
    <col min="13" max="13" width="11.81640625" hidden="1" customWidth="1" outlineLevel="1"/>
    <col min="14" max="14" width="12" hidden="1" customWidth="1" outlineLevel="1"/>
    <col min="15" max="15" width="9" hidden="1" customWidth="1" outlineLevel="1"/>
    <col min="16" max="16" width="8.26953125" hidden="1" customWidth="1" outlineLevel="1"/>
    <col min="17" max="18" width="12.81640625" hidden="1" customWidth="1" outlineLevel="1"/>
    <col min="19" max="19" width="12" hidden="1" customWidth="1" outlineLevel="1"/>
    <col min="20" max="20" width="11.26953125" hidden="1" customWidth="1" outlineLevel="1"/>
    <col min="21" max="21" width="13.54296875" hidden="1" customWidth="1" outlineLevel="1"/>
    <col min="22" max="22" width="12.7265625" hidden="1" customWidth="1" outlineLevel="1"/>
    <col min="23" max="23" width="9" hidden="1" customWidth="1" outlineLevel="1"/>
    <col min="24" max="24" width="10.08984375" hidden="1" customWidth="1" outlineLevel="1"/>
    <col min="25" max="25" width="8.54296875" hidden="1" customWidth="1" outlineLevel="1"/>
    <col min="26" max="26" width="8.453125" collapsed="1"/>
  </cols>
  <sheetData>
    <row r="1" spans="1:26" hidden="1" x14ac:dyDescent="0.35">
      <c r="A1" t="s">
        <v>811</v>
      </c>
    </row>
    <row r="2" spans="1:26" ht="15.5" x14ac:dyDescent="0.35">
      <c r="C2" s="63" t="s">
        <v>812</v>
      </c>
    </row>
    <row r="3" spans="1:26" x14ac:dyDescent="0.35">
      <c r="G3" s="55" t="s">
        <v>813</v>
      </c>
      <c r="H3" s="55" t="str">
        <f>"USD"</f>
        <v>USD</v>
      </c>
      <c r="I3" s="55" t="str">
        <f>"AUD"</f>
        <v>AUD</v>
      </c>
      <c r="J3" s="55" t="str">
        <f>"AUD"</f>
        <v>AUD</v>
      </c>
      <c r="K3" s="55" t="str">
        <f>"AUD"</f>
        <v>AUD</v>
      </c>
      <c r="L3" s="55" t="str">
        <f>"BRL"</f>
        <v>BRL</v>
      </c>
      <c r="M3" s="55" t="str">
        <f>"BRL"</f>
        <v>BRL</v>
      </c>
      <c r="N3" s="55" t="str">
        <f>"BRL"</f>
        <v>BRL</v>
      </c>
      <c r="O3" s="55" t="str">
        <f>"BRL"</f>
        <v>BRL</v>
      </c>
      <c r="P3" s="55" t="str">
        <f>"INR"</f>
        <v>INR</v>
      </c>
      <c r="Q3" s="55" t="str">
        <f>"INR"</f>
        <v>INR</v>
      </c>
      <c r="R3" s="55" t="s">
        <v>814</v>
      </c>
      <c r="S3" s="55" t="str">
        <f>"KES"</f>
        <v>KES</v>
      </c>
      <c r="T3" s="55" t="str">
        <f>"KES"</f>
        <v>KES</v>
      </c>
      <c r="U3" s="55" t="str">
        <f>"EUR"</f>
        <v>EUR</v>
      </c>
      <c r="V3" s="55" t="str">
        <f>"ZAR"</f>
        <v>ZAR</v>
      </c>
      <c r="W3" s="55" t="str">
        <f>"CHF"</f>
        <v>CHF</v>
      </c>
      <c r="X3" s="55" t="str">
        <f>"CHF"</f>
        <v>CHF</v>
      </c>
      <c r="Y3" s="55" t="str">
        <f>"TRY"</f>
        <v>TRY</v>
      </c>
    </row>
    <row r="4" spans="1:26" s="127" customFormat="1" ht="43.5" x14ac:dyDescent="0.35">
      <c r="C4" s="522"/>
      <c r="D4" s="545" t="s">
        <v>914</v>
      </c>
      <c r="E4" s="523" t="s">
        <v>815</v>
      </c>
      <c r="F4" s="127" t="s">
        <v>816</v>
      </c>
      <c r="G4" s="60" t="str">
        <f>"HSBC USD LLC"</f>
        <v>HSBC USD LLC</v>
      </c>
      <c r="H4" s="60" t="str">
        <f>"HSBC USD LLC Deposit"</f>
        <v>HSBC USD LLC Deposit</v>
      </c>
      <c r="I4" s="60" t="str">
        <f>"USD Account - 34702812957"</f>
        <v>USD Account - 34702812957</v>
      </c>
      <c r="J4" s="60" t="str">
        <f>"Business One AUD Account"</f>
        <v>Business One AUD Account</v>
      </c>
      <c r="K4" s="60" t="str">
        <f>"Business Cash Reserve AUD"</f>
        <v>Business Cash Reserve AUD</v>
      </c>
      <c r="L4" s="60" t="s">
        <v>817</v>
      </c>
      <c r="M4" s="60" t="str">
        <f>"Bradesco BRL"</f>
        <v>Bradesco BRL</v>
      </c>
      <c r="N4" s="60" t="str">
        <f>"CDB Savings Account"</f>
        <v>CDB Savings Account</v>
      </c>
      <c r="O4" s="60" t="str">
        <f>"Petty cash"</f>
        <v>Petty cash</v>
      </c>
      <c r="P4" s="446" t="s">
        <v>818</v>
      </c>
      <c r="Q4" s="60" t="str">
        <f>"ICICI Fixed Deposit"</f>
        <v>ICICI Fixed Deposit</v>
      </c>
      <c r="R4" s="60" t="s">
        <v>819</v>
      </c>
      <c r="S4" s="60" t="str">
        <f>"Barclays Kes Account"</f>
        <v>Barclays Kes Account</v>
      </c>
      <c r="T4" s="60" t="str">
        <f>"Barclays USD Account"</f>
        <v>Barclays USD Account</v>
      </c>
      <c r="U4" s="60" t="str">
        <f>"EURO Bank Account France"</f>
        <v>EURO Bank Account France</v>
      </c>
      <c r="V4" s="60" t="str">
        <f>"ABSA - Classic Business Account"</f>
        <v>ABSA - Classic Business Account</v>
      </c>
      <c r="W4" s="60" t="str">
        <f>"UBS - GBP"</f>
        <v>UBS - GBP</v>
      </c>
      <c r="X4" s="60" t="str">
        <f>"UBS - Eseye Global Sarl CHF"</f>
        <v>UBS - Eseye Global Sarl CHF</v>
      </c>
      <c r="Y4" s="60" t="str">
        <f>"ICBC TL"</f>
        <v>ICBC TL</v>
      </c>
    </row>
    <row r="5" spans="1:26" x14ac:dyDescent="0.35">
      <c r="D5" s="751"/>
      <c r="E5" s="751"/>
      <c r="F5" s="751"/>
      <c r="G5" s="521"/>
      <c r="H5" s="521"/>
      <c r="I5" s="521"/>
      <c r="J5" s="521"/>
      <c r="K5" s="521"/>
      <c r="L5" s="521"/>
      <c r="M5" s="521"/>
      <c r="N5" s="521"/>
      <c r="O5" s="521"/>
      <c r="P5" s="521"/>
      <c r="Q5" s="521"/>
      <c r="R5" s="521"/>
      <c r="S5" s="521"/>
      <c r="T5" s="521"/>
      <c r="U5" s="521"/>
      <c r="V5" s="521"/>
      <c r="W5" s="521"/>
      <c r="X5" s="521"/>
      <c r="Y5" s="521"/>
      <c r="Z5" s="751"/>
    </row>
    <row r="6" spans="1:26" x14ac:dyDescent="0.35">
      <c r="B6" s="125" t="s">
        <v>820</v>
      </c>
      <c r="C6" s="125" t="s">
        <v>821</v>
      </c>
      <c r="D6" s="732">
        <v>3790782.49</v>
      </c>
      <c r="E6" s="732"/>
      <c r="F6" s="521"/>
      <c r="G6" s="521"/>
      <c r="H6" s="521"/>
      <c r="I6" s="521"/>
      <c r="J6" s="521"/>
      <c r="K6" s="521"/>
      <c r="L6" s="521"/>
      <c r="M6" s="521"/>
      <c r="N6" s="521"/>
      <c r="O6" s="521"/>
      <c r="P6" s="521"/>
      <c r="Q6" s="521"/>
      <c r="R6" s="521"/>
      <c r="S6" s="521"/>
      <c r="T6" s="521"/>
      <c r="U6" s="521"/>
      <c r="V6" s="521"/>
      <c r="W6" s="521"/>
      <c r="X6" s="521"/>
      <c r="Y6" s="521"/>
      <c r="Z6" s="521"/>
    </row>
    <row r="7" spans="1:26" x14ac:dyDescent="0.35">
      <c r="B7" s="125" t="s">
        <v>822</v>
      </c>
      <c r="C7" s="125" t="s">
        <v>823</v>
      </c>
      <c r="D7" s="732">
        <v>125785.67</v>
      </c>
      <c r="E7" s="732"/>
      <c r="F7" s="521"/>
      <c r="G7" s="521"/>
      <c r="H7" s="521"/>
      <c r="I7" s="521"/>
      <c r="J7" s="521"/>
      <c r="K7" s="521"/>
      <c r="L7" s="521"/>
      <c r="M7" s="521"/>
      <c r="N7" s="521"/>
      <c r="O7" s="521"/>
      <c r="P7" s="521"/>
      <c r="Q7" s="521"/>
      <c r="R7" s="521"/>
      <c r="S7" s="521"/>
      <c r="T7" s="521"/>
      <c r="U7" s="521"/>
      <c r="V7" s="521"/>
      <c r="W7" s="521"/>
      <c r="X7" s="521"/>
      <c r="Y7" s="521"/>
      <c r="Z7" s="521"/>
    </row>
    <row r="8" spans="1:26" s="10" customFormat="1" x14ac:dyDescent="0.35">
      <c r="C8" s="435" t="s">
        <v>824</v>
      </c>
      <c r="D8" s="752">
        <f>SUM(D6:D7)</f>
        <v>3916568.16</v>
      </c>
      <c r="E8" s="732"/>
      <c r="F8" s="534"/>
      <c r="G8" s="534"/>
      <c r="H8" s="534"/>
      <c r="I8" s="534"/>
      <c r="J8" s="534"/>
      <c r="K8" s="534"/>
      <c r="L8" s="534"/>
      <c r="M8" s="534"/>
      <c r="N8" s="534"/>
      <c r="O8" s="534"/>
      <c r="P8" s="534"/>
      <c r="Q8" s="534"/>
      <c r="R8" s="534"/>
      <c r="S8" s="534"/>
      <c r="T8" s="534"/>
      <c r="U8" s="534"/>
      <c r="V8" s="534"/>
      <c r="W8" s="534"/>
      <c r="X8" s="534"/>
      <c r="Y8" s="534"/>
      <c r="Z8" s="534"/>
    </row>
    <row r="9" spans="1:26" x14ac:dyDescent="0.35">
      <c r="C9" s="125"/>
      <c r="D9" s="732">
        <v>0</v>
      </c>
      <c r="E9" s="757"/>
      <c r="F9" s="521"/>
      <c r="G9" s="521"/>
      <c r="H9" s="521"/>
      <c r="I9" s="521"/>
      <c r="J9" s="521"/>
      <c r="K9" s="521"/>
      <c r="L9" s="521"/>
      <c r="M9" s="521"/>
      <c r="N9" s="521"/>
      <c r="O9" s="521"/>
      <c r="P9" s="521"/>
      <c r="Q9" s="521"/>
      <c r="R9" s="521"/>
      <c r="S9" s="521"/>
      <c r="T9" s="521"/>
      <c r="U9" s="521"/>
      <c r="V9" s="521"/>
      <c r="W9" s="521"/>
      <c r="X9" s="521"/>
      <c r="Y9" s="521"/>
      <c r="Z9" s="521"/>
    </row>
    <row r="10" spans="1:26" x14ac:dyDescent="0.35">
      <c r="A10" t="s">
        <v>825</v>
      </c>
      <c r="B10" s="125" t="s">
        <v>826</v>
      </c>
      <c r="C10" t="s">
        <v>827</v>
      </c>
      <c r="D10" s="732">
        <v>1358.3608719757492</v>
      </c>
      <c r="E10" s="757">
        <v>1.141729</v>
      </c>
      <c r="F10" s="521">
        <f>SUM(G10:Y10)/E10</f>
        <v>1358.3608719757492</v>
      </c>
      <c r="G10" s="521"/>
      <c r="H10" s="521"/>
      <c r="I10" s="521"/>
      <c r="J10" s="521"/>
      <c r="K10" s="521"/>
      <c r="L10" s="521"/>
      <c r="M10" s="521"/>
      <c r="N10" s="521"/>
      <c r="O10" s="521"/>
      <c r="P10" s="423"/>
      <c r="Q10" s="423"/>
      <c r="R10" s="423"/>
      <c r="S10" s="423"/>
      <c r="T10" s="521"/>
      <c r="U10" s="521">
        <v>1550.88</v>
      </c>
      <c r="V10" s="521"/>
      <c r="W10" s="521"/>
      <c r="X10" s="521"/>
      <c r="Y10" s="521"/>
      <c r="Z10" s="521"/>
    </row>
    <row r="11" spans="1:26" x14ac:dyDescent="0.35">
      <c r="A11" t="s">
        <v>828</v>
      </c>
      <c r="B11" s="125" t="s">
        <v>829</v>
      </c>
      <c r="C11" t="s">
        <v>830</v>
      </c>
      <c r="D11" s="732">
        <v>-48.63075152157419</v>
      </c>
      <c r="E11" s="757">
        <v>1.0398769999999999</v>
      </c>
      <c r="F11" s="521">
        <f t="shared" ref="F11:F18" si="0">SUM(G11:Y11)/E11</f>
        <v>-48.63075152157419</v>
      </c>
      <c r="G11" s="521"/>
      <c r="H11" s="521"/>
      <c r="I11" s="521"/>
      <c r="J11" s="521"/>
      <c r="K11" s="521"/>
      <c r="L11" s="521"/>
      <c r="M11" s="521"/>
      <c r="N11" s="521"/>
      <c r="O11" s="521"/>
      <c r="P11" s="423"/>
      <c r="Q11" s="423"/>
      <c r="R11" s="423"/>
      <c r="S11" s="423"/>
      <c r="T11" s="521"/>
      <c r="U11" s="521"/>
      <c r="V11" s="521"/>
      <c r="W11" s="521">
        <v>-35.71</v>
      </c>
      <c r="X11" s="521">
        <v>-14.86</v>
      </c>
      <c r="Y11" s="521"/>
      <c r="Z11" s="521"/>
    </row>
    <row r="12" spans="1:26" x14ac:dyDescent="0.35">
      <c r="A12" t="s">
        <v>831</v>
      </c>
      <c r="B12" s="125" t="s">
        <v>832</v>
      </c>
      <c r="C12" t="s">
        <v>833</v>
      </c>
      <c r="D12" s="732">
        <v>271434.51232132054</v>
      </c>
      <c r="E12" s="757">
        <v>6.9393130000000003</v>
      </c>
      <c r="F12" s="521">
        <f t="shared" si="0"/>
        <v>271434.51232132054</v>
      </c>
      <c r="G12" s="521"/>
      <c r="H12" s="521"/>
      <c r="I12" s="521"/>
      <c r="J12" s="521"/>
      <c r="K12" s="521"/>
      <c r="L12" s="521">
        <v>1744029.18</v>
      </c>
      <c r="M12" s="521">
        <v>129382.7</v>
      </c>
      <c r="N12" s="521">
        <v>10143.57</v>
      </c>
      <c r="O12" s="521">
        <v>13.59</v>
      </c>
      <c r="P12" s="423"/>
      <c r="Q12" s="423"/>
      <c r="R12" s="423"/>
      <c r="S12" s="423"/>
      <c r="T12" s="521"/>
      <c r="U12" s="521"/>
      <c r="V12" s="521"/>
      <c r="W12" s="521"/>
      <c r="X12" s="521"/>
      <c r="Y12" s="521"/>
      <c r="Z12" s="521"/>
    </row>
    <row r="13" spans="1:26" x14ac:dyDescent="0.35">
      <c r="A13" t="s">
        <v>834</v>
      </c>
      <c r="B13" s="125" t="s">
        <v>835</v>
      </c>
      <c r="C13" t="s">
        <v>836</v>
      </c>
      <c r="D13" s="732">
        <v>6316.0225648962469</v>
      </c>
      <c r="E13" s="757">
        <v>1.894447</v>
      </c>
      <c r="F13" s="521">
        <f t="shared" si="0"/>
        <v>6316.022564896246</v>
      </c>
      <c r="G13" s="521"/>
      <c r="H13" s="521"/>
      <c r="I13" s="521">
        <v>794.48</v>
      </c>
      <c r="J13" s="521">
        <v>8368.16</v>
      </c>
      <c r="K13" s="521">
        <v>2802.73</v>
      </c>
      <c r="L13" s="521"/>
      <c r="M13" s="521"/>
      <c r="N13" s="521"/>
      <c r="O13" s="521"/>
      <c r="P13" s="423"/>
      <c r="Q13" s="423"/>
      <c r="R13" s="423"/>
      <c r="S13" s="423"/>
      <c r="T13" s="521"/>
      <c r="U13" s="521"/>
      <c r="V13" s="521"/>
      <c r="W13" s="521"/>
      <c r="X13" s="521"/>
      <c r="Y13" s="521"/>
      <c r="Z13" s="521"/>
    </row>
    <row r="14" spans="1:26" x14ac:dyDescent="0.35">
      <c r="A14" t="s">
        <v>814</v>
      </c>
      <c r="B14" s="125" t="s">
        <v>837</v>
      </c>
      <c r="C14" t="s">
        <v>838</v>
      </c>
      <c r="D14" s="732">
        <f>F14</f>
        <v>85946.409371953123</v>
      </c>
      <c r="E14" s="757">
        <v>122.71354599999999</v>
      </c>
      <c r="F14" s="521">
        <f>SUM(G14:Y14)/E14</f>
        <v>85946.409371953123</v>
      </c>
      <c r="G14" s="521"/>
      <c r="H14" s="521"/>
      <c r="I14" s="521"/>
      <c r="J14" s="521"/>
      <c r="K14" s="521"/>
      <c r="L14" s="521"/>
      <c r="M14" s="521"/>
      <c r="N14" s="521"/>
      <c r="O14" s="521"/>
      <c r="P14" s="423"/>
      <c r="Q14" s="423">
        <v>8046788.6600000001</v>
      </c>
      <c r="R14" s="423">
        <v>2500000</v>
      </c>
      <c r="S14" s="423"/>
      <c r="T14" s="521"/>
      <c r="U14" s="521"/>
      <c r="V14" s="521"/>
      <c r="W14" s="521"/>
      <c r="X14" s="521"/>
      <c r="Y14" s="521"/>
      <c r="Z14" s="521"/>
    </row>
    <row r="15" spans="1:26" x14ac:dyDescent="0.35">
      <c r="A15" t="s">
        <v>839</v>
      </c>
      <c r="B15" s="125" t="s">
        <v>840</v>
      </c>
      <c r="C15" t="s">
        <v>841</v>
      </c>
      <c r="D15" s="732">
        <v>35781.253449702795</v>
      </c>
      <c r="E15" s="757">
        <v>173.882733</v>
      </c>
      <c r="F15" s="521">
        <f t="shared" si="0"/>
        <v>35781.253449702795</v>
      </c>
      <c r="G15" s="521"/>
      <c r="H15" s="521"/>
      <c r="I15" s="521"/>
      <c r="J15" s="521"/>
      <c r="K15" s="521"/>
      <c r="L15" s="521"/>
      <c r="M15" s="521"/>
      <c r="N15" s="521"/>
      <c r="O15" s="521"/>
      <c r="P15" s="423"/>
      <c r="Q15" s="423"/>
      <c r="R15" s="423"/>
      <c r="S15" s="423">
        <v>6146586.0499999998</v>
      </c>
      <c r="T15" s="521">
        <v>75156.09</v>
      </c>
      <c r="U15" s="521"/>
      <c r="V15" s="521"/>
      <c r="W15" s="521"/>
      <c r="X15" s="521"/>
      <c r="Y15" s="521"/>
      <c r="Z15" s="521"/>
    </row>
    <row r="16" spans="1:26" x14ac:dyDescent="0.35">
      <c r="A16" t="s">
        <v>842</v>
      </c>
      <c r="B16" s="125" t="s">
        <v>843</v>
      </c>
      <c r="C16" t="s">
        <v>844</v>
      </c>
      <c r="D16" s="732">
        <v>416000.32079867233</v>
      </c>
      <c r="E16" s="757">
        <v>21.477644999999999</v>
      </c>
      <c r="F16" s="521">
        <f t="shared" si="0"/>
        <v>416000.32079867233</v>
      </c>
      <c r="G16" s="521"/>
      <c r="H16" s="521"/>
      <c r="I16" s="521"/>
      <c r="J16" s="521"/>
      <c r="K16" s="521"/>
      <c r="L16" s="521"/>
      <c r="M16" s="521"/>
      <c r="N16" s="521"/>
      <c r="O16" s="521"/>
      <c r="P16" s="521"/>
      <c r="Q16" s="521"/>
      <c r="R16" s="521"/>
      <c r="S16" s="521"/>
      <c r="T16" s="521"/>
      <c r="U16" s="521"/>
      <c r="V16" s="521">
        <v>8934707.2100000009</v>
      </c>
      <c r="W16" s="521"/>
      <c r="X16" s="521"/>
      <c r="Y16" s="521"/>
      <c r="Z16" s="521"/>
    </row>
    <row r="17" spans="1:28" x14ac:dyDescent="0.35">
      <c r="A17" t="s">
        <v>813</v>
      </c>
      <c r="B17" s="125" t="s">
        <v>845</v>
      </c>
      <c r="C17" t="s">
        <v>846</v>
      </c>
      <c r="D17" s="732">
        <v>35841.391200616046</v>
      </c>
      <c r="E17" s="757">
        <v>1.347958</v>
      </c>
      <c r="F17" s="521">
        <f t="shared" si="0"/>
        <v>35841.391200616046</v>
      </c>
      <c r="G17" s="521">
        <v>37235.440000000002</v>
      </c>
      <c r="H17" s="521">
        <v>11077.25</v>
      </c>
      <c r="I17" s="521"/>
      <c r="J17" s="521"/>
      <c r="K17" s="521"/>
      <c r="L17" s="521"/>
      <c r="M17" s="521"/>
      <c r="N17" s="521"/>
      <c r="O17" s="521"/>
      <c r="P17" s="521"/>
      <c r="Q17" s="521"/>
      <c r="R17" s="521"/>
      <c r="S17" s="521"/>
      <c r="T17" s="521"/>
      <c r="U17" s="521"/>
      <c r="V17" s="521"/>
      <c r="W17" s="521"/>
      <c r="X17" s="521"/>
      <c r="Y17" s="521"/>
      <c r="Z17" s="521"/>
    </row>
    <row r="18" spans="1:28" x14ac:dyDescent="0.35">
      <c r="A18" t="s">
        <v>847</v>
      </c>
      <c r="B18" s="125" t="s">
        <v>848</v>
      </c>
      <c r="C18" t="s">
        <v>849</v>
      </c>
      <c r="D18" s="732">
        <v>4654.2753314658212</v>
      </c>
      <c r="E18" s="757">
        <v>59.285297999999997</v>
      </c>
      <c r="F18" s="521">
        <f t="shared" si="0"/>
        <v>4654.2753314658212</v>
      </c>
      <c r="G18" s="521"/>
      <c r="H18" s="521"/>
      <c r="I18" s="521"/>
      <c r="J18" s="521"/>
      <c r="K18" s="521"/>
      <c r="L18" s="521"/>
      <c r="M18" s="521"/>
      <c r="N18" s="521"/>
      <c r="O18" s="521"/>
      <c r="P18" s="521"/>
      <c r="Q18" s="521"/>
      <c r="R18" s="521"/>
      <c r="S18" s="521"/>
      <c r="T18" s="521"/>
      <c r="U18" s="521"/>
      <c r="V18" s="521"/>
      <c r="W18" s="521"/>
      <c r="X18" s="521"/>
      <c r="Y18" s="521">
        <v>275930.09999999998</v>
      </c>
      <c r="Z18" s="521"/>
    </row>
    <row r="19" spans="1:28" x14ac:dyDescent="0.35">
      <c r="C19" s="435" t="s">
        <v>850</v>
      </c>
      <c r="D19" s="753">
        <f>SUM(D10:D18)</f>
        <v>857283.91515908111</v>
      </c>
      <c r="E19" s="521"/>
      <c r="F19" s="521"/>
      <c r="G19" s="521"/>
      <c r="H19" s="521"/>
      <c r="I19" s="521"/>
      <c r="J19" s="521"/>
      <c r="K19" s="521"/>
      <c r="L19" s="521"/>
      <c r="M19" s="521"/>
      <c r="N19" s="521"/>
      <c r="O19" s="521"/>
      <c r="P19" s="521"/>
      <c r="Q19" s="521"/>
      <c r="R19" s="521"/>
      <c r="S19" s="521"/>
      <c r="T19" s="521"/>
      <c r="U19" s="521"/>
      <c r="V19" s="521"/>
      <c r="W19" s="521"/>
      <c r="X19" s="521"/>
      <c r="Y19" s="521"/>
      <c r="Z19" s="521"/>
    </row>
    <row r="20" spans="1:28" x14ac:dyDescent="0.35">
      <c r="D20" s="521"/>
      <c r="E20" s="521"/>
      <c r="F20" s="521"/>
      <c r="G20" s="521"/>
      <c r="H20" s="521"/>
      <c r="I20" s="521"/>
      <c r="J20" s="521"/>
      <c r="K20" s="521"/>
      <c r="L20" s="521"/>
      <c r="M20" s="521"/>
      <c r="N20" s="521"/>
      <c r="O20" s="521"/>
      <c r="P20" s="521"/>
      <c r="Q20" s="521"/>
      <c r="R20" s="521"/>
      <c r="S20" s="521"/>
      <c r="T20" s="521"/>
      <c r="U20" s="521"/>
      <c r="V20" s="521"/>
      <c r="W20" s="521"/>
      <c r="X20" s="521"/>
      <c r="Y20" s="521"/>
      <c r="Z20" s="521"/>
    </row>
    <row r="21" spans="1:28" s="10" customFormat="1" x14ac:dyDescent="0.35">
      <c r="C21" s="435" t="s">
        <v>851</v>
      </c>
      <c r="D21" s="754">
        <f>D19+D8</f>
        <v>4773852.0751590813</v>
      </c>
      <c r="E21" s="534"/>
      <c r="F21" s="755"/>
      <c r="G21" s="534"/>
      <c r="H21" s="534"/>
      <c r="I21" s="534"/>
      <c r="J21" s="534"/>
      <c r="K21" s="534"/>
      <c r="L21" s="534"/>
      <c r="M21" s="534"/>
      <c r="N21" s="534"/>
      <c r="O21" s="534"/>
      <c r="P21" s="534"/>
      <c r="Q21" s="534"/>
      <c r="R21" s="534"/>
      <c r="S21" s="534"/>
      <c r="T21" s="534"/>
      <c r="U21" s="534"/>
      <c r="V21" s="534"/>
      <c r="W21" s="534"/>
      <c r="X21" s="534"/>
      <c r="Y21" s="534"/>
      <c r="Z21" s="534"/>
      <c r="AB21" s="436"/>
    </row>
    <row r="22" spans="1:28" x14ac:dyDescent="0.35">
      <c r="D22" s="521"/>
      <c r="E22" s="521"/>
      <c r="F22" s="521"/>
      <c r="G22" s="521"/>
      <c r="H22" s="521"/>
      <c r="I22" s="521"/>
      <c r="J22" s="521"/>
      <c r="K22" s="521"/>
      <c r="L22" s="521"/>
      <c r="M22" s="521"/>
      <c r="N22" s="521"/>
      <c r="O22" s="521"/>
      <c r="P22" s="521"/>
      <c r="Q22" s="521"/>
      <c r="R22" s="521"/>
      <c r="S22" s="521"/>
      <c r="T22" s="521"/>
      <c r="U22" s="521"/>
      <c r="V22" s="521"/>
      <c r="W22" s="521"/>
      <c r="X22" s="521"/>
      <c r="Y22" s="521"/>
      <c r="Z22" s="521"/>
    </row>
    <row r="23" spans="1:28" x14ac:dyDescent="0.35">
      <c r="D23" s="521"/>
      <c r="E23" s="521"/>
      <c r="F23" s="521"/>
      <c r="G23" s="521"/>
      <c r="H23" s="521"/>
      <c r="I23" s="521"/>
      <c r="J23" s="521"/>
      <c r="K23" s="521"/>
      <c r="L23" s="521"/>
      <c r="M23" s="521"/>
      <c r="N23" s="521"/>
      <c r="O23" s="521"/>
      <c r="P23" s="521"/>
      <c r="Q23" s="521"/>
      <c r="R23" s="521"/>
      <c r="S23" s="521"/>
      <c r="T23" s="521"/>
      <c r="U23" s="521"/>
      <c r="V23" s="521"/>
      <c r="W23" s="521"/>
      <c r="X23" s="521"/>
      <c r="Y23" s="521"/>
      <c r="Z23" s="521"/>
    </row>
    <row r="24" spans="1:28" x14ac:dyDescent="0.35">
      <c r="C24" t="s">
        <v>852</v>
      </c>
      <c r="D24" s="521">
        <v>2000000</v>
      </c>
      <c r="E24" s="521"/>
      <c r="F24" s="521"/>
      <c r="G24" s="521"/>
      <c r="H24" s="521"/>
      <c r="I24" s="521"/>
      <c r="J24" s="521"/>
      <c r="K24" s="521"/>
      <c r="L24" s="521"/>
      <c r="M24" s="521"/>
      <c r="N24" s="521"/>
      <c r="O24" s="521"/>
      <c r="P24" s="521"/>
      <c r="Q24" s="521"/>
      <c r="R24" s="521"/>
      <c r="S24" s="521"/>
      <c r="T24" s="521"/>
      <c r="U24" s="521"/>
      <c r="V24" s="521"/>
      <c r="W24" s="521"/>
      <c r="X24" s="521"/>
      <c r="Y24" s="521"/>
      <c r="Z24" s="521"/>
    </row>
    <row r="25" spans="1:28" x14ac:dyDescent="0.35">
      <c r="C25" s="125" t="s">
        <v>850</v>
      </c>
      <c r="D25" s="423">
        <f>D19</f>
        <v>857283.91515908111</v>
      </c>
      <c r="E25" s="423"/>
      <c r="F25" s="521"/>
      <c r="G25" s="521"/>
      <c r="H25" s="521"/>
      <c r="I25" s="521"/>
      <c r="J25" s="521"/>
      <c r="K25" s="521"/>
      <c r="L25" s="521"/>
      <c r="M25" s="521"/>
      <c r="N25" s="521"/>
      <c r="O25" s="521"/>
      <c r="P25" s="521"/>
      <c r="Q25" s="521"/>
      <c r="R25" s="521"/>
      <c r="S25" s="521"/>
      <c r="T25" s="521"/>
      <c r="U25" s="521"/>
      <c r="V25" s="521"/>
      <c r="W25" s="521"/>
      <c r="X25" s="521"/>
      <c r="Y25" s="521"/>
      <c r="Z25" s="521"/>
    </row>
    <row r="26" spans="1:28" x14ac:dyDescent="0.35">
      <c r="D26" s="532"/>
      <c r="E26" s="532"/>
      <c r="F26" s="532"/>
      <c r="G26" s="532"/>
      <c r="H26" s="532"/>
      <c r="I26" s="532"/>
      <c r="J26" s="532"/>
      <c r="K26" s="532"/>
      <c r="L26" s="532"/>
      <c r="M26" s="532"/>
      <c r="N26" s="532"/>
      <c r="O26" s="532"/>
      <c r="P26" s="532"/>
      <c r="Q26" s="532"/>
      <c r="R26" s="532"/>
      <c r="S26" s="532"/>
      <c r="T26" s="532"/>
      <c r="U26" s="532"/>
      <c r="V26" s="532"/>
      <c r="W26" s="532"/>
      <c r="X26" s="532"/>
      <c r="Y26" s="532"/>
      <c r="Z26" s="532"/>
    </row>
    <row r="27" spans="1:28" x14ac:dyDescent="0.35">
      <c r="C27" s="10" t="s">
        <v>853</v>
      </c>
      <c r="D27" s="44" t="str">
        <f>IF(D24&gt;D25,"Pass","No")</f>
        <v>Pass</v>
      </c>
      <c r="E27" s="44"/>
    </row>
    <row r="28" spans="1:28" x14ac:dyDescent="0.35">
      <c r="F28" s="421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661"/>
      <c r="R28" s="44"/>
      <c r="S28" s="44"/>
      <c r="T28" s="44"/>
      <c r="U28" s="44"/>
      <c r="V28" s="44"/>
      <c r="W28" s="44"/>
      <c r="X28" s="44"/>
      <c r="Y28" s="44"/>
      <c r="Z28" s="44"/>
    </row>
    <row r="29" spans="1:28" x14ac:dyDescent="0.35">
      <c r="F29" s="200"/>
      <c r="G29" s="685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8" x14ac:dyDescent="0.35">
      <c r="H30" s="225"/>
    </row>
    <row r="31" spans="1:28" x14ac:dyDescent="0.35">
      <c r="G31" s="126"/>
      <c r="Z31" s="225"/>
    </row>
    <row r="32" spans="1:28" x14ac:dyDescent="0.35">
      <c r="AA32" s="225"/>
    </row>
    <row r="33" spans="28:38" x14ac:dyDescent="0.35">
      <c r="AB33" s="225"/>
    </row>
    <row r="34" spans="28:38" x14ac:dyDescent="0.35">
      <c r="AC34" s="225"/>
    </row>
    <row r="35" spans="28:38" x14ac:dyDescent="0.35">
      <c r="AD35" s="225"/>
    </row>
    <row r="36" spans="28:38" x14ac:dyDescent="0.35">
      <c r="AE36" s="225"/>
    </row>
    <row r="37" spans="28:38" x14ac:dyDescent="0.35">
      <c r="AF37" s="225"/>
    </row>
    <row r="38" spans="28:38" x14ac:dyDescent="0.35">
      <c r="AG38" s="225"/>
    </row>
    <row r="39" spans="28:38" x14ac:dyDescent="0.35">
      <c r="AH39" s="225"/>
    </row>
    <row r="40" spans="28:38" x14ac:dyDescent="0.35">
      <c r="AI40" s="225"/>
    </row>
    <row r="41" spans="28:38" x14ac:dyDescent="0.35">
      <c r="AJ41" s="225"/>
    </row>
    <row r="42" spans="28:38" x14ac:dyDescent="0.35">
      <c r="AK42" s="225"/>
    </row>
    <row r="43" spans="28:38" x14ac:dyDescent="0.35">
      <c r="AL43" s="225"/>
    </row>
  </sheetData>
  <conditionalFormatting sqref="D27:E27">
    <cfRule type="cellIs" dxfId="47" priority="2" operator="equal">
      <formula>"Fail"</formula>
    </cfRule>
    <cfRule type="cellIs" dxfId="46" priority="3" operator="equal">
      <formula>"Pass"</formula>
    </cfRule>
  </conditionalFormatting>
  <conditionalFormatting sqref="G3:Y3">
    <cfRule type="expression" dxfId="45" priority="1">
      <formula>$I3="total"</formula>
    </cfRule>
  </conditionalFormatting>
  <conditionalFormatting sqref="G4:Y4">
    <cfRule type="expression" dxfId="44" priority="4">
      <formula>#REF!="total"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CBD5C-6434-4400-9F85-0CA2AB34CEA3}">
  <sheetPr codeName="Sheet13"/>
  <dimension ref="A1:XFD137"/>
  <sheetViews>
    <sheetView showGridLines="0" zoomScale="90" zoomScaleNormal="90" workbookViewId="0">
      <pane xSplit="15" ySplit="6" topLeftCell="CR13" activePane="bottomRight" state="frozen"/>
      <selection pane="topRight" activeCell="EM69" sqref="EM69"/>
      <selection pane="bottomLeft" activeCell="EM69" sqref="EM69"/>
      <selection pane="bottomRight" activeCell="DD43" sqref="DD43"/>
    </sheetView>
  </sheetViews>
  <sheetFormatPr defaultColWidth="7.453125" defaultRowHeight="10" outlineLevelRow="1" outlineLevelCol="1" x14ac:dyDescent="0.2"/>
  <cols>
    <col min="1" max="1" width="7.453125" style="129" hidden="1" customWidth="1"/>
    <col min="2" max="2" width="43.54296875" style="129" customWidth="1"/>
    <col min="3" max="3" width="9" style="129" hidden="1" customWidth="1" outlineLevel="1"/>
    <col min="4" max="4" width="13" style="129" hidden="1" customWidth="1" outlineLevel="1"/>
    <col min="5" max="6" width="12.453125" style="129" hidden="1" customWidth="1" outlineLevel="1"/>
    <col min="7" max="8" width="14" style="129" hidden="1" customWidth="1" outlineLevel="1"/>
    <col min="9" max="10" width="12.453125" style="129" hidden="1" customWidth="1" outlineLevel="1"/>
    <col min="11" max="11" width="12" style="129" hidden="1" customWidth="1" outlineLevel="1"/>
    <col min="12" max="12" width="14.453125" style="129" hidden="1" customWidth="1" outlineLevel="1"/>
    <col min="13" max="13" width="14" style="129" hidden="1" customWidth="1" outlineLevel="1"/>
    <col min="14" max="15" width="11.453125" style="128" hidden="1" customWidth="1" outlineLevel="1"/>
    <col min="16" max="16" width="11.453125" style="128" customWidth="1" collapsed="1"/>
    <col min="17" max="20" width="10.453125" style="128" hidden="1" customWidth="1" outlineLevel="1"/>
    <col min="21" max="21" width="11.453125" style="128" hidden="1" customWidth="1" outlineLevel="1"/>
    <col min="22" max="22" width="14.453125" style="128" hidden="1" customWidth="1" outlineLevel="1"/>
    <col min="23" max="27" width="11.453125" style="128" hidden="1" customWidth="1" outlineLevel="1"/>
    <col min="28" max="28" width="12" style="128" customWidth="1" collapsed="1"/>
    <col min="29" max="32" width="11.453125" style="128" hidden="1" customWidth="1" outlineLevel="1"/>
    <col min="33" max="37" width="11.453125" style="129" hidden="1" customWidth="1" outlineLevel="1"/>
    <col min="38" max="38" width="12" style="129" hidden="1" customWidth="1" outlineLevel="1"/>
    <col min="39" max="39" width="12.453125" style="129" hidden="1" customWidth="1" outlineLevel="1"/>
    <col min="40" max="40" width="12.453125" style="129" customWidth="1" collapsed="1"/>
    <col min="41" max="49" width="11.453125" style="129" hidden="1" customWidth="1" outlineLevel="1"/>
    <col min="50" max="50" width="12.54296875" style="129" hidden="1" customWidth="1" outlineLevel="1"/>
    <col min="51" max="51" width="11.54296875" style="129" hidden="1" customWidth="1" outlineLevel="1"/>
    <col min="52" max="52" width="12" style="129" customWidth="1" collapsed="1"/>
    <col min="53" max="56" width="11.54296875" style="129" hidden="1" customWidth="1" outlineLevel="1"/>
    <col min="57" max="57" width="10.453125" style="129" hidden="1" customWidth="1" outlineLevel="1"/>
    <col min="58" max="62" width="11" style="129" hidden="1" customWidth="1" outlineLevel="1"/>
    <col min="63" max="63" width="10.453125" style="129" hidden="1" customWidth="1" outlineLevel="1"/>
    <col min="64" max="64" width="10.453125" style="129" customWidth="1" collapsed="1"/>
    <col min="65" max="66" width="10.453125" style="129" hidden="1" customWidth="1" outlineLevel="1"/>
    <col min="67" max="67" width="11.54296875" style="129" hidden="1" customWidth="1" outlineLevel="1"/>
    <col min="68" max="75" width="10.453125" style="129" hidden="1" customWidth="1" outlineLevel="1"/>
    <col min="76" max="76" width="13" style="129" customWidth="1" collapsed="1"/>
    <col min="77" max="77" width="10.54296875" style="129" customWidth="1"/>
    <col min="78" max="78" width="10.453125" style="129" customWidth="1"/>
    <col min="79" max="79" width="11.453125" style="129" customWidth="1"/>
    <col min="80" max="81" width="10.453125" style="129" customWidth="1"/>
    <col min="82" max="82" width="11" style="129" customWidth="1"/>
    <col min="83" max="83" width="10.453125" style="129" customWidth="1"/>
    <col min="84" max="84" width="10.26953125" style="129" customWidth="1"/>
    <col min="85" max="86" width="11" style="129" customWidth="1"/>
    <col min="87" max="87" width="10.453125" style="129" customWidth="1"/>
    <col min="88" max="88" width="10.26953125" style="129" customWidth="1"/>
    <col min="89" max="89" width="11" style="129" customWidth="1"/>
    <col min="90" max="90" width="11.453125" style="129" customWidth="1"/>
    <col min="91" max="91" width="13" style="129" bestFit="1" customWidth="1"/>
    <col min="92" max="94" width="11.54296875" style="129" bestFit="1" customWidth="1"/>
    <col min="95" max="95" width="11" style="129" bestFit="1" customWidth="1"/>
    <col min="96" max="96" width="11.54296875" style="129" bestFit="1" customWidth="1"/>
    <col min="97" max="97" width="11.26953125" style="129" bestFit="1" customWidth="1"/>
    <col min="98" max="100" width="11.54296875" style="129" bestFit="1" customWidth="1"/>
    <col min="101" max="101" width="11.26953125" style="129" customWidth="1"/>
    <col min="102" max="102" width="11.26953125" style="129" bestFit="1" customWidth="1"/>
    <col min="103" max="105" width="9.81640625" style="129" customWidth="1"/>
    <col min="106" max="106" width="10.26953125" style="129" customWidth="1"/>
    <col min="107" max="107" width="9.26953125" style="129" bestFit="1" customWidth="1"/>
    <col min="108" max="118" width="7.453125" style="129" customWidth="1"/>
    <col min="119" max="513" width="7.453125" style="130" customWidth="1"/>
    <col min="514" max="16384" width="7.453125" style="129"/>
  </cols>
  <sheetData>
    <row r="1" spans="1:513 16384:16384" x14ac:dyDescent="0.2">
      <c r="A1" s="129" t="s">
        <v>0</v>
      </c>
    </row>
    <row r="2" spans="1:513 16384:16384" s="135" customFormat="1" ht="15.5" x14ac:dyDescent="0.35">
      <c r="B2" s="186" t="s">
        <v>854</v>
      </c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3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DO2" s="136"/>
      <c r="DP2" s="136"/>
      <c r="DQ2" s="136"/>
      <c r="DR2" s="136"/>
      <c r="DS2" s="136"/>
      <c r="DT2" s="136"/>
      <c r="DU2" s="136"/>
      <c r="DV2" s="136"/>
      <c r="DW2" s="136"/>
      <c r="DX2" s="136"/>
      <c r="DY2" s="136"/>
      <c r="DZ2" s="136"/>
      <c r="EA2" s="136"/>
      <c r="EB2" s="136"/>
      <c r="EC2" s="136"/>
      <c r="ED2" s="136"/>
      <c r="EE2" s="136"/>
      <c r="EF2" s="136"/>
      <c r="EG2" s="136"/>
      <c r="EH2" s="136"/>
      <c r="EI2" s="136"/>
      <c r="EJ2" s="136"/>
      <c r="EK2" s="136"/>
      <c r="EL2" s="136"/>
      <c r="EM2" s="136"/>
      <c r="EN2" s="136"/>
      <c r="EO2" s="136"/>
      <c r="EP2" s="136"/>
      <c r="EQ2" s="136"/>
      <c r="ER2" s="136"/>
      <c r="ES2" s="136"/>
      <c r="ET2" s="136"/>
      <c r="EU2" s="136"/>
      <c r="EV2" s="136"/>
      <c r="EW2" s="136"/>
      <c r="EX2" s="136"/>
      <c r="EY2" s="136"/>
      <c r="EZ2" s="136"/>
      <c r="FA2" s="136"/>
      <c r="FB2" s="136"/>
      <c r="FC2" s="136"/>
      <c r="FD2" s="136"/>
      <c r="FE2" s="136"/>
      <c r="FF2" s="136"/>
      <c r="FG2" s="136"/>
      <c r="FH2" s="136"/>
      <c r="FI2" s="136"/>
      <c r="FJ2" s="136"/>
      <c r="FK2" s="136"/>
      <c r="FL2" s="136"/>
      <c r="FM2" s="136"/>
      <c r="FN2" s="136"/>
      <c r="FO2" s="136"/>
      <c r="FP2" s="136"/>
      <c r="FQ2" s="136"/>
      <c r="FR2" s="136"/>
      <c r="FS2" s="136"/>
      <c r="FT2" s="136"/>
      <c r="FU2" s="136"/>
      <c r="FV2" s="136"/>
      <c r="FW2" s="136"/>
      <c r="FX2" s="136"/>
      <c r="FY2" s="136"/>
      <c r="FZ2" s="136"/>
      <c r="GA2" s="136"/>
      <c r="GB2" s="136"/>
      <c r="GC2" s="136"/>
      <c r="GD2" s="136"/>
      <c r="GE2" s="136"/>
      <c r="GF2" s="136"/>
      <c r="GG2" s="136"/>
      <c r="GH2" s="136"/>
      <c r="GI2" s="136"/>
      <c r="GJ2" s="136"/>
      <c r="GK2" s="136"/>
      <c r="GL2" s="136"/>
      <c r="GM2" s="136"/>
      <c r="GN2" s="136"/>
      <c r="GO2" s="136"/>
      <c r="GP2" s="136"/>
      <c r="GQ2" s="136"/>
      <c r="GR2" s="136"/>
      <c r="GS2" s="136"/>
      <c r="GT2" s="136"/>
      <c r="GU2" s="136"/>
      <c r="GV2" s="136"/>
      <c r="GW2" s="136"/>
      <c r="GX2" s="136"/>
      <c r="GY2" s="136"/>
      <c r="GZ2" s="136"/>
      <c r="HA2" s="136"/>
      <c r="HB2" s="136"/>
      <c r="HC2" s="136"/>
      <c r="HD2" s="136"/>
      <c r="HE2" s="136"/>
      <c r="HF2" s="136"/>
      <c r="HG2" s="136"/>
      <c r="HH2" s="136"/>
      <c r="HI2" s="136"/>
      <c r="HJ2" s="136"/>
      <c r="HK2" s="136"/>
      <c r="HL2" s="136"/>
      <c r="HM2" s="136"/>
      <c r="HN2" s="136"/>
      <c r="HO2" s="136"/>
      <c r="HP2" s="136"/>
      <c r="HQ2" s="136"/>
      <c r="HR2" s="136"/>
      <c r="HS2" s="136"/>
      <c r="HT2" s="136"/>
      <c r="HU2" s="136"/>
      <c r="HV2" s="136"/>
      <c r="HW2" s="136"/>
      <c r="HX2" s="136"/>
      <c r="HY2" s="136"/>
      <c r="HZ2" s="136"/>
      <c r="IA2" s="136"/>
      <c r="IB2" s="136"/>
      <c r="IC2" s="136"/>
      <c r="ID2" s="136"/>
      <c r="IE2" s="136"/>
      <c r="IF2" s="136"/>
      <c r="IG2" s="136"/>
      <c r="IH2" s="136"/>
      <c r="II2" s="136"/>
      <c r="IJ2" s="136"/>
      <c r="IK2" s="136"/>
      <c r="IL2" s="136"/>
      <c r="IM2" s="136"/>
      <c r="IN2" s="136"/>
      <c r="IO2" s="136"/>
      <c r="IP2" s="136"/>
      <c r="IQ2" s="136"/>
      <c r="IR2" s="136"/>
      <c r="IS2" s="136"/>
      <c r="IT2" s="136"/>
      <c r="IU2" s="136"/>
      <c r="IV2" s="136"/>
      <c r="IW2" s="136"/>
      <c r="IX2" s="136"/>
      <c r="IY2" s="136"/>
      <c r="IZ2" s="136"/>
      <c r="JA2" s="136"/>
      <c r="JB2" s="136"/>
      <c r="JC2" s="136"/>
      <c r="JD2" s="136"/>
      <c r="JE2" s="136"/>
      <c r="JF2" s="136"/>
      <c r="JG2" s="136"/>
      <c r="JH2" s="136"/>
      <c r="JI2" s="136"/>
      <c r="JJ2" s="136"/>
      <c r="JK2" s="136"/>
      <c r="JL2" s="136"/>
      <c r="JM2" s="136"/>
      <c r="JN2" s="136"/>
      <c r="JO2" s="136"/>
      <c r="JP2" s="136"/>
      <c r="JQ2" s="136"/>
      <c r="JR2" s="136"/>
      <c r="JS2" s="136"/>
      <c r="JT2" s="136"/>
      <c r="JU2" s="136"/>
      <c r="JV2" s="136"/>
      <c r="JW2" s="136"/>
      <c r="JX2" s="136"/>
      <c r="JY2" s="136"/>
      <c r="JZ2" s="136"/>
      <c r="KA2" s="136"/>
      <c r="KB2" s="136"/>
      <c r="KC2" s="136"/>
      <c r="KD2" s="136"/>
      <c r="KE2" s="136"/>
      <c r="KF2" s="136"/>
      <c r="KG2" s="136"/>
      <c r="KH2" s="136"/>
      <c r="KI2" s="136"/>
      <c r="KJ2" s="136"/>
      <c r="KK2" s="136"/>
      <c r="KL2" s="136"/>
      <c r="KM2" s="136"/>
      <c r="KN2" s="136"/>
      <c r="KO2" s="136"/>
      <c r="KP2" s="136"/>
      <c r="KQ2" s="136"/>
      <c r="KR2" s="136"/>
      <c r="KS2" s="136"/>
      <c r="KT2" s="136"/>
      <c r="KU2" s="136"/>
      <c r="KV2" s="136"/>
      <c r="KW2" s="136"/>
      <c r="KX2" s="136"/>
      <c r="KY2" s="136"/>
      <c r="KZ2" s="136"/>
      <c r="LA2" s="136"/>
      <c r="LB2" s="136"/>
      <c r="LC2" s="136"/>
      <c r="LD2" s="136"/>
      <c r="LE2" s="136"/>
      <c r="LF2" s="136"/>
      <c r="LG2" s="136"/>
      <c r="LH2" s="136"/>
      <c r="LI2" s="136"/>
      <c r="LJ2" s="136"/>
      <c r="LK2" s="136"/>
      <c r="LL2" s="136"/>
      <c r="LM2" s="136"/>
      <c r="LN2" s="136"/>
      <c r="LO2" s="136"/>
      <c r="LP2" s="136"/>
      <c r="LQ2" s="136"/>
      <c r="LR2" s="136"/>
      <c r="LS2" s="136"/>
      <c r="LT2" s="136"/>
      <c r="LU2" s="136"/>
      <c r="LV2" s="136"/>
      <c r="LW2" s="136"/>
      <c r="LX2" s="136"/>
      <c r="LY2" s="136"/>
      <c r="LZ2" s="136"/>
      <c r="MA2" s="136"/>
      <c r="MB2" s="136"/>
      <c r="MC2" s="136"/>
      <c r="MD2" s="136"/>
      <c r="ME2" s="136"/>
      <c r="MF2" s="136"/>
      <c r="MG2" s="136"/>
      <c r="MH2" s="136"/>
      <c r="MI2" s="136"/>
      <c r="MJ2" s="136"/>
      <c r="MK2" s="136"/>
      <c r="ML2" s="136"/>
      <c r="MM2" s="136"/>
      <c r="MN2" s="136"/>
      <c r="MO2" s="136"/>
      <c r="MP2" s="136"/>
      <c r="MQ2" s="136"/>
      <c r="MR2" s="136"/>
      <c r="MS2" s="136"/>
      <c r="MT2" s="136"/>
      <c r="MU2" s="136"/>
      <c r="MV2" s="136"/>
      <c r="MW2" s="136"/>
      <c r="MX2" s="136"/>
      <c r="MY2" s="136"/>
      <c r="MZ2" s="136"/>
      <c r="NA2" s="136"/>
      <c r="NB2" s="136"/>
      <c r="NC2" s="136"/>
      <c r="ND2" s="136"/>
      <c r="NE2" s="136"/>
      <c r="NF2" s="136"/>
      <c r="NG2" s="136"/>
      <c r="NH2" s="136"/>
      <c r="NI2" s="136"/>
      <c r="NJ2" s="136"/>
      <c r="NK2" s="136"/>
      <c r="NL2" s="136"/>
      <c r="NM2" s="136"/>
      <c r="NN2" s="136"/>
      <c r="NO2" s="136"/>
      <c r="NP2" s="136"/>
      <c r="NQ2" s="136"/>
      <c r="NR2" s="136"/>
      <c r="NS2" s="136"/>
      <c r="NT2" s="136"/>
      <c r="NU2" s="136"/>
      <c r="NV2" s="136"/>
      <c r="NW2" s="136"/>
      <c r="NX2" s="136"/>
      <c r="NY2" s="136"/>
      <c r="NZ2" s="136"/>
      <c r="OA2" s="136"/>
      <c r="OB2" s="136"/>
      <c r="OC2" s="136"/>
      <c r="OD2" s="136"/>
      <c r="OE2" s="136"/>
      <c r="OF2" s="136"/>
      <c r="OG2" s="136"/>
      <c r="OH2" s="136"/>
      <c r="OI2" s="136"/>
      <c r="OJ2" s="136"/>
      <c r="OK2" s="136"/>
      <c r="OL2" s="136"/>
      <c r="OM2" s="136"/>
      <c r="ON2" s="136"/>
      <c r="OO2" s="136"/>
      <c r="OP2" s="136"/>
      <c r="OQ2" s="136"/>
      <c r="OR2" s="136"/>
      <c r="OS2" s="136"/>
      <c r="OT2" s="136"/>
      <c r="OU2" s="136"/>
      <c r="OV2" s="136"/>
      <c r="OW2" s="136"/>
      <c r="OX2" s="136"/>
      <c r="OY2" s="136"/>
      <c r="OZ2" s="136"/>
      <c r="PA2" s="136"/>
      <c r="PB2" s="136"/>
      <c r="PC2" s="136"/>
      <c r="PD2" s="136"/>
      <c r="PE2" s="136"/>
      <c r="PF2" s="136"/>
      <c r="PG2" s="136"/>
      <c r="PH2" s="136"/>
      <c r="PI2" s="136"/>
      <c r="PJ2" s="136"/>
      <c r="PK2" s="136"/>
      <c r="PL2" s="136"/>
      <c r="PM2" s="136"/>
      <c r="PN2" s="136"/>
      <c r="PO2" s="136"/>
      <c r="PP2" s="136"/>
      <c r="PQ2" s="136"/>
      <c r="PR2" s="136"/>
      <c r="PS2" s="136"/>
      <c r="PT2" s="136"/>
      <c r="PU2" s="136"/>
      <c r="PV2" s="136"/>
      <c r="PW2" s="136"/>
      <c r="PX2" s="136"/>
      <c r="PY2" s="136"/>
      <c r="PZ2" s="136"/>
      <c r="QA2" s="136"/>
      <c r="QB2" s="136"/>
      <c r="QC2" s="136"/>
      <c r="QD2" s="136"/>
      <c r="QE2" s="136"/>
      <c r="QF2" s="136"/>
      <c r="QG2" s="136"/>
      <c r="QH2" s="136"/>
      <c r="QI2" s="136"/>
      <c r="QJ2" s="136"/>
      <c r="QK2" s="136"/>
      <c r="QL2" s="136"/>
      <c r="QM2" s="136"/>
      <c r="QN2" s="136"/>
      <c r="QO2" s="136"/>
      <c r="QP2" s="136"/>
      <c r="QQ2" s="136"/>
      <c r="QR2" s="136"/>
      <c r="QS2" s="136"/>
      <c r="QT2" s="136"/>
      <c r="QU2" s="136"/>
      <c r="QV2" s="136"/>
      <c r="QW2" s="136"/>
      <c r="QX2" s="136"/>
      <c r="QY2" s="136"/>
      <c r="QZ2" s="136"/>
      <c r="RA2" s="136"/>
      <c r="RB2" s="136"/>
      <c r="RC2" s="136"/>
      <c r="RD2" s="136"/>
      <c r="RE2" s="136"/>
      <c r="RF2" s="136"/>
      <c r="RG2" s="136"/>
      <c r="RH2" s="136"/>
      <c r="RI2" s="136"/>
      <c r="RJ2" s="136"/>
      <c r="RK2" s="136"/>
      <c r="RL2" s="136"/>
      <c r="RM2" s="136"/>
      <c r="RN2" s="136"/>
      <c r="RO2" s="136"/>
      <c r="RP2" s="136"/>
      <c r="RQ2" s="136"/>
      <c r="RR2" s="136"/>
      <c r="RS2" s="136"/>
      <c r="RT2" s="136"/>
      <c r="RU2" s="136"/>
      <c r="RV2" s="136"/>
      <c r="RW2" s="136"/>
      <c r="RX2" s="136"/>
      <c r="RY2" s="136"/>
      <c r="RZ2" s="136"/>
      <c r="SA2" s="136"/>
      <c r="SB2" s="136"/>
      <c r="SC2" s="136"/>
      <c r="SD2" s="136"/>
      <c r="SE2" s="136"/>
      <c r="SF2" s="136"/>
      <c r="SG2" s="136"/>
      <c r="SH2" s="136"/>
      <c r="SI2" s="136"/>
      <c r="SJ2" s="136"/>
      <c r="SK2" s="136"/>
      <c r="SL2" s="136"/>
      <c r="SM2" s="136"/>
      <c r="SN2" s="136"/>
      <c r="SO2" s="136"/>
      <c r="SP2" s="136"/>
      <c r="SQ2" s="136"/>
      <c r="SR2" s="136"/>
      <c r="SS2" s="136"/>
    </row>
    <row r="3" spans="1:513 16384:16384" s="135" customFormat="1" ht="14.5" x14ac:dyDescent="0.35">
      <c r="B3" s="131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3"/>
      <c r="N3" s="134"/>
      <c r="O3" s="134"/>
      <c r="P3" s="137">
        <v>43435</v>
      </c>
      <c r="Q3" s="134"/>
      <c r="R3" s="134"/>
      <c r="S3" s="134"/>
      <c r="T3" s="134"/>
      <c r="U3" s="134"/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DO3" s="136"/>
      <c r="DP3" s="136"/>
      <c r="DQ3" s="136"/>
      <c r="DR3" s="136"/>
      <c r="DS3" s="136"/>
      <c r="DT3" s="136"/>
      <c r="DU3" s="136"/>
      <c r="DV3" s="136"/>
      <c r="DW3" s="136"/>
      <c r="DX3" s="136"/>
      <c r="DY3" s="136"/>
      <c r="DZ3" s="136"/>
      <c r="EA3" s="136"/>
      <c r="EB3" s="136"/>
      <c r="EC3" s="136"/>
      <c r="ED3" s="136"/>
      <c r="EE3" s="136"/>
      <c r="EF3" s="136"/>
      <c r="EG3" s="136"/>
      <c r="EH3" s="136"/>
      <c r="EI3" s="136"/>
      <c r="EJ3" s="136"/>
      <c r="EK3" s="136"/>
      <c r="EL3" s="136"/>
      <c r="EM3" s="136"/>
      <c r="EN3" s="136"/>
      <c r="EO3" s="136"/>
      <c r="EP3" s="136"/>
      <c r="EQ3" s="136"/>
      <c r="ER3" s="136"/>
      <c r="ES3" s="136"/>
      <c r="ET3" s="136"/>
      <c r="EU3" s="136"/>
      <c r="EV3" s="136"/>
      <c r="EW3" s="136"/>
      <c r="EX3" s="136"/>
      <c r="EY3" s="136"/>
      <c r="EZ3" s="136"/>
      <c r="FA3" s="136"/>
      <c r="FB3" s="136"/>
      <c r="FC3" s="136"/>
      <c r="FD3" s="136"/>
      <c r="FE3" s="136"/>
      <c r="FF3" s="136"/>
      <c r="FG3" s="136"/>
      <c r="FH3" s="136"/>
      <c r="FI3" s="136"/>
      <c r="FJ3" s="136"/>
      <c r="FK3" s="136"/>
      <c r="FL3" s="136"/>
      <c r="FM3" s="136"/>
      <c r="FN3" s="136"/>
      <c r="FO3" s="136"/>
      <c r="FP3" s="136"/>
      <c r="FQ3" s="136"/>
      <c r="FR3" s="136"/>
      <c r="FS3" s="136"/>
      <c r="FT3" s="136"/>
      <c r="FU3" s="136"/>
      <c r="FV3" s="136"/>
      <c r="FW3" s="136"/>
      <c r="FX3" s="136"/>
      <c r="FY3" s="136"/>
      <c r="FZ3" s="136"/>
      <c r="GA3" s="136"/>
      <c r="GB3" s="136"/>
      <c r="GC3" s="136"/>
      <c r="GD3" s="136"/>
      <c r="GE3" s="136"/>
      <c r="GF3" s="136"/>
      <c r="GG3" s="136"/>
      <c r="GH3" s="136"/>
      <c r="GI3" s="136"/>
      <c r="GJ3" s="136"/>
      <c r="GK3" s="136"/>
      <c r="GL3" s="136"/>
      <c r="GM3" s="136"/>
      <c r="GN3" s="136"/>
      <c r="GO3" s="136"/>
      <c r="GP3" s="136"/>
      <c r="GQ3" s="136"/>
      <c r="GR3" s="136"/>
      <c r="GS3" s="136"/>
      <c r="GT3" s="136"/>
      <c r="GU3" s="136"/>
      <c r="GV3" s="136"/>
      <c r="GW3" s="136"/>
      <c r="GX3" s="136"/>
      <c r="GY3" s="136"/>
      <c r="GZ3" s="136"/>
      <c r="HA3" s="136"/>
      <c r="HB3" s="136"/>
      <c r="HC3" s="136"/>
      <c r="HD3" s="136"/>
      <c r="HE3" s="136"/>
      <c r="HF3" s="136"/>
      <c r="HG3" s="136"/>
      <c r="HH3" s="136"/>
      <c r="HI3" s="136"/>
      <c r="HJ3" s="136"/>
      <c r="HK3" s="136"/>
      <c r="HL3" s="136"/>
      <c r="HM3" s="136"/>
      <c r="HN3" s="136"/>
      <c r="HO3" s="136"/>
      <c r="HP3" s="136"/>
      <c r="HQ3" s="136"/>
      <c r="HR3" s="136"/>
      <c r="HS3" s="136"/>
      <c r="HT3" s="136"/>
      <c r="HU3" s="136"/>
      <c r="HV3" s="136"/>
      <c r="HW3" s="136"/>
      <c r="HX3" s="136"/>
      <c r="HY3" s="136"/>
      <c r="HZ3" s="136"/>
      <c r="IA3" s="136"/>
      <c r="IB3" s="136"/>
      <c r="IC3" s="136"/>
      <c r="ID3" s="136"/>
      <c r="IE3" s="136"/>
      <c r="IF3" s="136"/>
      <c r="IG3" s="136"/>
      <c r="IH3" s="136"/>
      <c r="II3" s="136"/>
      <c r="IJ3" s="136"/>
      <c r="IK3" s="136"/>
      <c r="IL3" s="136"/>
      <c r="IM3" s="136"/>
      <c r="IN3" s="136"/>
      <c r="IO3" s="136"/>
      <c r="IP3" s="136"/>
      <c r="IQ3" s="136"/>
      <c r="IR3" s="136"/>
      <c r="IS3" s="136"/>
      <c r="IT3" s="136"/>
      <c r="IU3" s="136"/>
      <c r="IV3" s="136"/>
      <c r="IW3" s="136"/>
      <c r="IX3" s="136"/>
      <c r="IY3" s="136"/>
      <c r="IZ3" s="136"/>
      <c r="JA3" s="136"/>
      <c r="JB3" s="136"/>
      <c r="JC3" s="136"/>
      <c r="JD3" s="136"/>
      <c r="JE3" s="136"/>
      <c r="JF3" s="136"/>
      <c r="JG3" s="136"/>
      <c r="JH3" s="136"/>
      <c r="JI3" s="136"/>
      <c r="JJ3" s="136"/>
      <c r="JK3" s="136"/>
      <c r="JL3" s="136"/>
      <c r="JM3" s="136"/>
      <c r="JN3" s="136"/>
      <c r="JO3" s="136"/>
      <c r="JP3" s="136"/>
      <c r="JQ3" s="136"/>
      <c r="JR3" s="136"/>
      <c r="JS3" s="136"/>
      <c r="JT3" s="136"/>
      <c r="JU3" s="136"/>
      <c r="JV3" s="136"/>
      <c r="JW3" s="136"/>
      <c r="JX3" s="136"/>
      <c r="JY3" s="136"/>
      <c r="JZ3" s="136"/>
      <c r="KA3" s="136"/>
      <c r="KB3" s="136"/>
      <c r="KC3" s="136"/>
      <c r="KD3" s="136"/>
      <c r="KE3" s="136"/>
      <c r="KF3" s="136"/>
      <c r="KG3" s="136"/>
      <c r="KH3" s="136"/>
      <c r="KI3" s="136"/>
      <c r="KJ3" s="136"/>
      <c r="KK3" s="136"/>
      <c r="KL3" s="136"/>
      <c r="KM3" s="136"/>
      <c r="KN3" s="136"/>
      <c r="KO3" s="136"/>
      <c r="KP3" s="136"/>
      <c r="KQ3" s="136"/>
      <c r="KR3" s="136"/>
      <c r="KS3" s="136"/>
      <c r="KT3" s="136"/>
      <c r="KU3" s="136"/>
      <c r="KV3" s="136"/>
      <c r="KW3" s="136"/>
      <c r="KX3" s="136"/>
      <c r="KY3" s="136"/>
      <c r="KZ3" s="136"/>
      <c r="LA3" s="136"/>
      <c r="LB3" s="136"/>
      <c r="LC3" s="136"/>
      <c r="LD3" s="136"/>
      <c r="LE3" s="136"/>
      <c r="LF3" s="136"/>
      <c r="LG3" s="136"/>
      <c r="LH3" s="136"/>
      <c r="LI3" s="136"/>
      <c r="LJ3" s="136"/>
      <c r="LK3" s="136"/>
      <c r="LL3" s="136"/>
      <c r="LM3" s="136"/>
      <c r="LN3" s="136"/>
      <c r="LO3" s="136"/>
      <c r="LP3" s="136"/>
      <c r="LQ3" s="136"/>
      <c r="LR3" s="136"/>
      <c r="LS3" s="136"/>
      <c r="LT3" s="136"/>
      <c r="LU3" s="136"/>
      <c r="LV3" s="136"/>
      <c r="LW3" s="136"/>
      <c r="LX3" s="136"/>
      <c r="LY3" s="136"/>
      <c r="LZ3" s="136"/>
      <c r="MA3" s="136"/>
      <c r="MB3" s="136"/>
      <c r="MC3" s="136"/>
      <c r="MD3" s="136"/>
      <c r="ME3" s="136"/>
      <c r="MF3" s="136"/>
      <c r="MG3" s="136"/>
      <c r="MH3" s="136"/>
      <c r="MI3" s="136"/>
      <c r="MJ3" s="136"/>
      <c r="MK3" s="136"/>
      <c r="ML3" s="136"/>
      <c r="MM3" s="136"/>
      <c r="MN3" s="136"/>
      <c r="MO3" s="136"/>
      <c r="MP3" s="136"/>
      <c r="MQ3" s="136"/>
      <c r="MR3" s="136"/>
      <c r="MS3" s="136"/>
      <c r="MT3" s="136"/>
      <c r="MU3" s="136"/>
      <c r="MV3" s="136"/>
      <c r="MW3" s="136"/>
      <c r="MX3" s="136"/>
      <c r="MY3" s="136"/>
      <c r="MZ3" s="136"/>
      <c r="NA3" s="136"/>
      <c r="NB3" s="136"/>
      <c r="NC3" s="136"/>
      <c r="ND3" s="136"/>
      <c r="NE3" s="136"/>
      <c r="NF3" s="136"/>
      <c r="NG3" s="136"/>
      <c r="NH3" s="136"/>
      <c r="NI3" s="136"/>
      <c r="NJ3" s="136"/>
      <c r="NK3" s="136"/>
      <c r="NL3" s="136"/>
      <c r="NM3" s="136"/>
      <c r="NN3" s="136"/>
      <c r="NO3" s="136"/>
      <c r="NP3" s="136"/>
      <c r="NQ3" s="136"/>
      <c r="NR3" s="136"/>
      <c r="NS3" s="136"/>
      <c r="NT3" s="136"/>
      <c r="NU3" s="136"/>
      <c r="NV3" s="136"/>
      <c r="NW3" s="136"/>
      <c r="NX3" s="136"/>
      <c r="NY3" s="136"/>
      <c r="NZ3" s="136"/>
      <c r="OA3" s="136"/>
      <c r="OB3" s="136"/>
      <c r="OC3" s="136"/>
      <c r="OD3" s="136"/>
      <c r="OE3" s="136"/>
      <c r="OF3" s="136"/>
      <c r="OG3" s="136"/>
      <c r="OH3" s="136"/>
      <c r="OI3" s="136"/>
      <c r="OJ3" s="136"/>
      <c r="OK3" s="136"/>
      <c r="OL3" s="136"/>
      <c r="OM3" s="136"/>
      <c r="ON3" s="136"/>
      <c r="OO3" s="136"/>
      <c r="OP3" s="136"/>
      <c r="OQ3" s="136"/>
      <c r="OR3" s="136"/>
      <c r="OS3" s="136"/>
      <c r="OT3" s="136"/>
      <c r="OU3" s="136"/>
      <c r="OV3" s="136"/>
      <c r="OW3" s="136"/>
      <c r="OX3" s="136"/>
      <c r="OY3" s="136"/>
      <c r="OZ3" s="136"/>
      <c r="PA3" s="136"/>
      <c r="PB3" s="136"/>
      <c r="PC3" s="136"/>
      <c r="PD3" s="136"/>
      <c r="PE3" s="136"/>
      <c r="PF3" s="136"/>
      <c r="PG3" s="136"/>
      <c r="PH3" s="136"/>
      <c r="PI3" s="136"/>
      <c r="PJ3" s="136"/>
      <c r="PK3" s="136"/>
      <c r="PL3" s="136"/>
      <c r="PM3" s="136"/>
      <c r="PN3" s="136"/>
      <c r="PO3" s="136"/>
      <c r="PP3" s="136"/>
      <c r="PQ3" s="136"/>
      <c r="PR3" s="136"/>
      <c r="PS3" s="136"/>
      <c r="PT3" s="136"/>
      <c r="PU3" s="136"/>
      <c r="PV3" s="136"/>
      <c r="PW3" s="136"/>
      <c r="PX3" s="136"/>
      <c r="PY3" s="136"/>
      <c r="PZ3" s="136"/>
      <c r="QA3" s="136"/>
      <c r="QB3" s="136"/>
      <c r="QC3" s="136"/>
      <c r="QD3" s="136"/>
      <c r="QE3" s="136"/>
      <c r="QF3" s="136"/>
      <c r="QG3" s="136"/>
      <c r="QH3" s="136"/>
      <c r="QI3" s="136"/>
      <c r="QJ3" s="136"/>
      <c r="QK3" s="136"/>
      <c r="QL3" s="136"/>
      <c r="QM3" s="136"/>
      <c r="QN3" s="136"/>
      <c r="QO3" s="136"/>
      <c r="QP3" s="136"/>
      <c r="QQ3" s="136"/>
      <c r="QR3" s="136"/>
      <c r="QS3" s="136"/>
      <c r="QT3" s="136"/>
      <c r="QU3" s="136"/>
      <c r="QV3" s="136"/>
      <c r="QW3" s="136"/>
      <c r="QX3" s="136"/>
      <c r="QY3" s="136"/>
      <c r="QZ3" s="136"/>
      <c r="RA3" s="136"/>
      <c r="RB3" s="136"/>
      <c r="RC3" s="136"/>
      <c r="RD3" s="136"/>
      <c r="RE3" s="136"/>
      <c r="RF3" s="136"/>
      <c r="RG3" s="136"/>
      <c r="RH3" s="136"/>
      <c r="RI3" s="136"/>
      <c r="RJ3" s="136"/>
      <c r="RK3" s="136"/>
      <c r="RL3" s="136"/>
      <c r="RM3" s="136"/>
      <c r="RN3" s="136"/>
      <c r="RO3" s="136"/>
      <c r="RP3" s="136"/>
      <c r="RQ3" s="136"/>
      <c r="RR3" s="136"/>
      <c r="RS3" s="136"/>
      <c r="RT3" s="136"/>
      <c r="RU3" s="136"/>
      <c r="RV3" s="136"/>
      <c r="RW3" s="136"/>
      <c r="RX3" s="136"/>
      <c r="RY3" s="136"/>
      <c r="RZ3" s="136"/>
      <c r="SA3" s="136"/>
      <c r="SB3" s="136"/>
      <c r="SC3" s="136"/>
      <c r="SD3" s="136"/>
      <c r="SE3" s="136"/>
      <c r="SF3" s="136"/>
      <c r="SG3" s="136"/>
      <c r="SH3" s="136"/>
      <c r="SI3" s="136"/>
      <c r="SJ3" s="136"/>
      <c r="SK3" s="136"/>
      <c r="SL3" s="136"/>
      <c r="SM3" s="136"/>
      <c r="SN3" s="136"/>
      <c r="SO3" s="136"/>
      <c r="SP3" s="136"/>
      <c r="SQ3" s="136"/>
      <c r="SR3" s="136"/>
      <c r="SS3" s="136"/>
    </row>
    <row r="4" spans="1:513 16384:16384" s="138" customFormat="1" ht="17.25" customHeight="1" x14ac:dyDescent="0.35">
      <c r="D4" s="138">
        <f t="shared" ref="D4:O4" si="0">E4-1</f>
        <v>-12</v>
      </c>
      <c r="E4" s="138">
        <f t="shared" si="0"/>
        <v>-11</v>
      </c>
      <c r="F4" s="138">
        <f t="shared" si="0"/>
        <v>-10</v>
      </c>
      <c r="G4" s="138">
        <f t="shared" si="0"/>
        <v>-9</v>
      </c>
      <c r="H4" s="138">
        <f t="shared" si="0"/>
        <v>-8</v>
      </c>
      <c r="I4" s="138">
        <f t="shared" si="0"/>
        <v>-7</v>
      </c>
      <c r="J4" s="138">
        <f t="shared" si="0"/>
        <v>-6</v>
      </c>
      <c r="K4" s="138">
        <f t="shared" si="0"/>
        <v>-5</v>
      </c>
      <c r="L4" s="138">
        <f t="shared" si="0"/>
        <v>-4</v>
      </c>
      <c r="M4" s="138">
        <f t="shared" si="0"/>
        <v>-3</v>
      </c>
      <c r="N4" s="139">
        <f t="shared" si="0"/>
        <v>-2</v>
      </c>
      <c r="O4" s="139">
        <f t="shared" si="0"/>
        <v>-1</v>
      </c>
      <c r="P4" s="139">
        <v>0</v>
      </c>
      <c r="Q4" s="139">
        <f t="shared" ref="Q4:BO4" si="1">P4+1</f>
        <v>1</v>
      </c>
      <c r="R4" s="139">
        <f t="shared" si="1"/>
        <v>2</v>
      </c>
      <c r="S4" s="139">
        <f t="shared" si="1"/>
        <v>3</v>
      </c>
      <c r="T4" s="139">
        <f t="shared" si="1"/>
        <v>4</v>
      </c>
      <c r="U4" s="139">
        <f t="shared" si="1"/>
        <v>5</v>
      </c>
      <c r="V4" s="139">
        <f t="shared" si="1"/>
        <v>6</v>
      </c>
      <c r="W4" s="139">
        <f t="shared" si="1"/>
        <v>7</v>
      </c>
      <c r="X4" s="139">
        <f t="shared" si="1"/>
        <v>8</v>
      </c>
      <c r="Y4" s="139">
        <f t="shared" si="1"/>
        <v>9</v>
      </c>
      <c r="Z4" s="139">
        <f t="shared" si="1"/>
        <v>10</v>
      </c>
      <c r="AA4" s="139">
        <f t="shared" si="1"/>
        <v>11</v>
      </c>
      <c r="AB4" s="139">
        <f t="shared" si="1"/>
        <v>12</v>
      </c>
      <c r="AC4" s="139">
        <f t="shared" si="1"/>
        <v>13</v>
      </c>
      <c r="AD4" s="139">
        <f t="shared" si="1"/>
        <v>14</v>
      </c>
      <c r="AE4" s="139">
        <f t="shared" si="1"/>
        <v>15</v>
      </c>
      <c r="AF4" s="139">
        <f t="shared" si="1"/>
        <v>16</v>
      </c>
      <c r="AG4" s="138">
        <f t="shared" si="1"/>
        <v>17</v>
      </c>
      <c r="AH4" s="138">
        <f t="shared" si="1"/>
        <v>18</v>
      </c>
      <c r="AI4" s="138">
        <f t="shared" si="1"/>
        <v>19</v>
      </c>
      <c r="AJ4" s="138">
        <f t="shared" si="1"/>
        <v>20</v>
      </c>
      <c r="AK4" s="138">
        <f t="shared" si="1"/>
        <v>21</v>
      </c>
      <c r="AL4" s="138">
        <f t="shared" si="1"/>
        <v>22</v>
      </c>
      <c r="AM4" s="138">
        <f t="shared" si="1"/>
        <v>23</v>
      </c>
      <c r="AN4" s="138">
        <f t="shared" si="1"/>
        <v>24</v>
      </c>
      <c r="AO4" s="138">
        <f t="shared" si="1"/>
        <v>25</v>
      </c>
      <c r="AP4" s="138">
        <f t="shared" si="1"/>
        <v>26</v>
      </c>
      <c r="AQ4" s="138">
        <f t="shared" si="1"/>
        <v>27</v>
      </c>
      <c r="AR4" s="138">
        <f t="shared" si="1"/>
        <v>28</v>
      </c>
      <c r="AS4" s="138">
        <f t="shared" si="1"/>
        <v>29</v>
      </c>
      <c r="AT4" s="138">
        <f t="shared" si="1"/>
        <v>30</v>
      </c>
      <c r="AU4" s="138">
        <f t="shared" si="1"/>
        <v>31</v>
      </c>
      <c r="AV4" s="138">
        <f t="shared" si="1"/>
        <v>32</v>
      </c>
      <c r="AW4" s="138">
        <f t="shared" si="1"/>
        <v>33</v>
      </c>
      <c r="AX4" s="138">
        <f t="shared" si="1"/>
        <v>34</v>
      </c>
      <c r="AY4" s="138">
        <f t="shared" si="1"/>
        <v>35</v>
      </c>
      <c r="AZ4" s="138">
        <f t="shared" si="1"/>
        <v>36</v>
      </c>
      <c r="BA4" s="138">
        <f t="shared" si="1"/>
        <v>37</v>
      </c>
      <c r="BB4" s="138">
        <f t="shared" si="1"/>
        <v>38</v>
      </c>
      <c r="BC4" s="138">
        <f t="shared" si="1"/>
        <v>39</v>
      </c>
      <c r="BD4" s="138">
        <f t="shared" si="1"/>
        <v>40</v>
      </c>
      <c r="BE4" s="138">
        <f t="shared" si="1"/>
        <v>41</v>
      </c>
      <c r="BF4" s="138">
        <f t="shared" si="1"/>
        <v>42</v>
      </c>
      <c r="BG4" s="138">
        <f t="shared" si="1"/>
        <v>43</v>
      </c>
      <c r="BH4" s="138">
        <f t="shared" si="1"/>
        <v>44</v>
      </c>
      <c r="BI4" s="138">
        <f t="shared" si="1"/>
        <v>45</v>
      </c>
      <c r="BJ4" s="138">
        <f t="shared" si="1"/>
        <v>46</v>
      </c>
      <c r="BK4" s="138">
        <f t="shared" si="1"/>
        <v>47</v>
      </c>
      <c r="BL4" s="138">
        <f t="shared" si="1"/>
        <v>48</v>
      </c>
      <c r="BM4" s="138">
        <f t="shared" si="1"/>
        <v>49</v>
      </c>
      <c r="BN4" s="138">
        <f t="shared" si="1"/>
        <v>50</v>
      </c>
      <c r="BO4" s="138">
        <f t="shared" si="1"/>
        <v>51</v>
      </c>
      <c r="BP4" s="138">
        <f t="shared" ref="BP4" si="2">BO4+1</f>
        <v>52</v>
      </c>
      <c r="BQ4" s="138">
        <f t="shared" ref="BQ4" si="3">BP4+1</f>
        <v>53</v>
      </c>
      <c r="BR4" s="138">
        <f t="shared" ref="BR4" si="4">BQ4+1</f>
        <v>54</v>
      </c>
      <c r="BS4" s="138">
        <f t="shared" ref="BS4" si="5">BR4+1</f>
        <v>55</v>
      </c>
      <c r="BT4" s="138">
        <f t="shared" ref="BT4" si="6">BS4+1</f>
        <v>56</v>
      </c>
      <c r="BU4" s="138">
        <f t="shared" ref="BU4" si="7">BT4+1</f>
        <v>57</v>
      </c>
      <c r="BV4" s="138">
        <f t="shared" ref="BV4" si="8">BU4+1</f>
        <v>58</v>
      </c>
      <c r="BW4" s="138">
        <f t="shared" ref="BW4" si="9">BV4+1</f>
        <v>59</v>
      </c>
      <c r="BX4" s="138">
        <f t="shared" ref="BX4" si="10">BW4+1</f>
        <v>60</v>
      </c>
      <c r="BY4" s="138">
        <f t="shared" ref="BY4" si="11">BX4+1</f>
        <v>61</v>
      </c>
      <c r="BZ4" s="138">
        <f t="shared" ref="BZ4" si="12">BY4+1</f>
        <v>62</v>
      </c>
      <c r="CA4" s="138">
        <f t="shared" ref="CA4" si="13">BZ4+1</f>
        <v>63</v>
      </c>
      <c r="CB4" s="138">
        <f t="shared" ref="CB4" si="14">CA4+1</f>
        <v>64</v>
      </c>
      <c r="CC4" s="138">
        <f t="shared" ref="CC4" si="15">CB4+1</f>
        <v>65</v>
      </c>
      <c r="CD4" s="138">
        <f t="shared" ref="CD4" si="16">CC4+1</f>
        <v>66</v>
      </c>
      <c r="CE4" s="138">
        <f t="shared" ref="CE4" si="17">CD4+1</f>
        <v>67</v>
      </c>
      <c r="CF4" s="138">
        <f t="shared" ref="CF4" si="18">CE4+1</f>
        <v>68</v>
      </c>
      <c r="CG4" s="138">
        <f t="shared" ref="CG4" si="19">CF4+1</f>
        <v>69</v>
      </c>
      <c r="CH4" s="138">
        <f t="shared" ref="CH4" si="20">CG4+1</f>
        <v>70</v>
      </c>
      <c r="CI4" s="138">
        <f t="shared" ref="CI4" si="21">CH4+1</f>
        <v>71</v>
      </c>
      <c r="CJ4" s="138">
        <f t="shared" ref="CJ4:CL4" si="22">CI4+1</f>
        <v>72</v>
      </c>
      <c r="CK4" s="138">
        <f t="shared" si="22"/>
        <v>73</v>
      </c>
      <c r="CL4" s="138">
        <f t="shared" si="22"/>
        <v>74</v>
      </c>
      <c r="CM4" s="138">
        <f t="shared" ref="CM4" si="23">CL4+1</f>
        <v>75</v>
      </c>
      <c r="CN4" s="138">
        <f t="shared" ref="CN4" si="24">CM4+1</f>
        <v>76</v>
      </c>
      <c r="CO4" s="138">
        <f t="shared" ref="CO4" si="25">CN4+1</f>
        <v>77</v>
      </c>
      <c r="CP4" s="138">
        <f t="shared" ref="CP4" si="26">CO4+1</f>
        <v>78</v>
      </c>
      <c r="CQ4" s="138">
        <f t="shared" ref="CQ4" si="27">CP4+1</f>
        <v>79</v>
      </c>
      <c r="CR4" s="138">
        <f t="shared" ref="CR4" si="28">CQ4+1</f>
        <v>80</v>
      </c>
      <c r="CS4" s="138">
        <f t="shared" ref="CS4" si="29">CR4+1</f>
        <v>81</v>
      </c>
      <c r="CT4" s="138">
        <f t="shared" ref="CT4" si="30">CS4+1</f>
        <v>82</v>
      </c>
      <c r="CU4" s="138">
        <f t="shared" ref="CU4" si="31">CT4+1</f>
        <v>83</v>
      </c>
      <c r="CV4" s="138">
        <f t="shared" ref="CV4" si="32">CU4+1</f>
        <v>84</v>
      </c>
      <c r="CW4" s="138">
        <f t="shared" ref="CW4" si="33">CV4+1</f>
        <v>85</v>
      </c>
      <c r="CX4" s="138">
        <f t="shared" ref="CX4" si="34">CW4+1</f>
        <v>86</v>
      </c>
      <c r="CY4" s="138">
        <f t="shared" ref="CY4" si="35">CX4+1</f>
        <v>87</v>
      </c>
      <c r="CZ4" s="138">
        <f t="shared" ref="CZ4" si="36">CY4+1</f>
        <v>88</v>
      </c>
      <c r="DA4" s="138">
        <f t="shared" ref="DA4:DB4" si="37">CZ4+1</f>
        <v>89</v>
      </c>
      <c r="DB4" s="138">
        <f t="shared" si="37"/>
        <v>90</v>
      </c>
      <c r="DO4" s="140"/>
      <c r="DP4" s="140"/>
      <c r="DQ4" s="140"/>
      <c r="DR4" s="140"/>
      <c r="DS4" s="140"/>
      <c r="DT4" s="140"/>
      <c r="DU4" s="140"/>
      <c r="DV4" s="140"/>
      <c r="DW4" s="140"/>
      <c r="DX4" s="140"/>
      <c r="DY4" s="140"/>
      <c r="DZ4" s="140"/>
      <c r="EA4" s="140"/>
      <c r="EB4" s="140"/>
      <c r="EC4" s="140"/>
      <c r="ED4" s="140"/>
      <c r="EE4" s="140"/>
      <c r="EF4" s="140"/>
      <c r="EG4" s="140"/>
      <c r="EH4" s="140"/>
      <c r="EI4" s="140"/>
      <c r="EJ4" s="140"/>
      <c r="EK4" s="140"/>
      <c r="EL4" s="140"/>
      <c r="EM4" s="140"/>
      <c r="EN4" s="140"/>
      <c r="EO4" s="140"/>
      <c r="EP4" s="140"/>
      <c r="EQ4" s="140"/>
      <c r="ER4" s="140"/>
      <c r="ES4" s="140"/>
      <c r="ET4" s="140"/>
      <c r="EU4" s="140"/>
      <c r="EV4" s="140"/>
      <c r="EW4" s="140"/>
      <c r="EX4" s="140"/>
      <c r="EY4" s="140"/>
      <c r="EZ4" s="140"/>
      <c r="FA4" s="140"/>
      <c r="FB4" s="140"/>
      <c r="FC4" s="140"/>
      <c r="FD4" s="140"/>
      <c r="FE4" s="140"/>
      <c r="FF4" s="140"/>
      <c r="FG4" s="140"/>
      <c r="FH4" s="140"/>
      <c r="FI4" s="140"/>
      <c r="FJ4" s="140"/>
      <c r="FK4" s="140"/>
      <c r="FL4" s="140"/>
      <c r="FM4" s="140"/>
      <c r="FN4" s="140"/>
      <c r="FO4" s="140"/>
      <c r="FP4" s="140"/>
      <c r="FQ4" s="140"/>
      <c r="FR4" s="140"/>
      <c r="FS4" s="140"/>
      <c r="FT4" s="140"/>
      <c r="FU4" s="140"/>
      <c r="FV4" s="140"/>
      <c r="FW4" s="140"/>
      <c r="FX4" s="140"/>
      <c r="FY4" s="140"/>
      <c r="FZ4" s="140"/>
      <c r="GA4" s="140"/>
      <c r="GB4" s="140"/>
      <c r="GC4" s="140"/>
      <c r="GD4" s="140"/>
      <c r="GE4" s="140"/>
      <c r="GF4" s="140"/>
      <c r="GG4" s="140"/>
      <c r="GH4" s="140"/>
      <c r="GI4" s="140"/>
      <c r="GJ4" s="140"/>
      <c r="GK4" s="140"/>
      <c r="GL4" s="140"/>
      <c r="GM4" s="140"/>
      <c r="GN4" s="140"/>
      <c r="GO4" s="140"/>
      <c r="GP4" s="140"/>
      <c r="GQ4" s="140"/>
      <c r="GR4" s="140"/>
      <c r="GS4" s="140"/>
      <c r="GT4" s="140"/>
      <c r="GU4" s="140"/>
      <c r="GV4" s="140"/>
      <c r="GW4" s="140"/>
      <c r="GX4" s="140"/>
      <c r="GY4" s="140"/>
      <c r="GZ4" s="140"/>
      <c r="HA4" s="140"/>
      <c r="HB4" s="140"/>
      <c r="HC4" s="140"/>
      <c r="HD4" s="140"/>
      <c r="HE4" s="140"/>
      <c r="HF4" s="140"/>
      <c r="HG4" s="140"/>
      <c r="HH4" s="140"/>
      <c r="HI4" s="140"/>
      <c r="HJ4" s="140"/>
      <c r="HK4" s="140"/>
      <c r="HL4" s="140"/>
      <c r="HM4" s="140"/>
      <c r="HN4" s="140"/>
      <c r="HO4" s="140"/>
      <c r="HP4" s="140"/>
      <c r="HQ4" s="140"/>
      <c r="HR4" s="140"/>
      <c r="HS4" s="140"/>
      <c r="HT4" s="140"/>
      <c r="HU4" s="140"/>
      <c r="HV4" s="140"/>
      <c r="HW4" s="140"/>
      <c r="HX4" s="140"/>
      <c r="HY4" s="140"/>
      <c r="HZ4" s="140"/>
      <c r="IA4" s="140"/>
      <c r="IB4" s="140"/>
      <c r="IC4" s="140"/>
      <c r="ID4" s="140"/>
      <c r="IE4" s="140"/>
      <c r="IF4" s="140"/>
      <c r="IG4" s="140"/>
      <c r="IH4" s="140"/>
      <c r="II4" s="140"/>
      <c r="IJ4" s="140"/>
      <c r="IK4" s="140"/>
      <c r="IL4" s="140"/>
      <c r="IM4" s="140"/>
      <c r="IN4" s="140"/>
      <c r="IO4" s="140"/>
      <c r="IP4" s="140"/>
      <c r="IQ4" s="140"/>
      <c r="IR4" s="140"/>
      <c r="IS4" s="140"/>
      <c r="IT4" s="140"/>
      <c r="IU4" s="140"/>
      <c r="IV4" s="140"/>
      <c r="IW4" s="140"/>
      <c r="IX4" s="140"/>
      <c r="IY4" s="140"/>
      <c r="IZ4" s="140"/>
      <c r="JA4" s="140"/>
      <c r="JB4" s="140"/>
      <c r="JC4" s="140"/>
      <c r="JD4" s="140"/>
      <c r="JE4" s="140"/>
      <c r="JF4" s="140"/>
      <c r="JG4" s="140"/>
      <c r="JH4" s="140"/>
      <c r="JI4" s="140"/>
      <c r="JJ4" s="140"/>
      <c r="JK4" s="140"/>
      <c r="JL4" s="140"/>
      <c r="JM4" s="140"/>
      <c r="JN4" s="140"/>
      <c r="JO4" s="140"/>
      <c r="JP4" s="140"/>
      <c r="JQ4" s="140"/>
      <c r="JR4" s="140"/>
      <c r="JS4" s="140"/>
      <c r="JT4" s="140"/>
      <c r="JU4" s="140"/>
      <c r="JV4" s="140"/>
      <c r="JW4" s="140"/>
      <c r="JX4" s="140"/>
      <c r="JY4" s="140"/>
      <c r="JZ4" s="140"/>
      <c r="KA4" s="140"/>
      <c r="KB4" s="140"/>
      <c r="KC4" s="140"/>
      <c r="KD4" s="140"/>
      <c r="KE4" s="140"/>
      <c r="KF4" s="140"/>
      <c r="KG4" s="140"/>
      <c r="KH4" s="140"/>
      <c r="KI4" s="140"/>
      <c r="KJ4" s="140"/>
      <c r="KK4" s="140"/>
      <c r="KL4" s="140"/>
      <c r="KM4" s="140"/>
      <c r="KN4" s="140"/>
      <c r="KO4" s="140"/>
      <c r="KP4" s="140"/>
      <c r="KQ4" s="140"/>
      <c r="KR4" s="140"/>
      <c r="KS4" s="140"/>
      <c r="KT4" s="140"/>
      <c r="KU4" s="140"/>
      <c r="KV4" s="140"/>
      <c r="KW4" s="140"/>
      <c r="KX4" s="140"/>
      <c r="KY4" s="140"/>
      <c r="KZ4" s="140"/>
      <c r="LA4" s="140"/>
      <c r="LB4" s="140"/>
      <c r="LC4" s="140"/>
      <c r="LD4" s="140"/>
      <c r="LE4" s="140"/>
      <c r="LF4" s="140"/>
      <c r="LG4" s="140"/>
      <c r="LH4" s="140"/>
      <c r="LI4" s="140"/>
      <c r="LJ4" s="140"/>
      <c r="LK4" s="140"/>
      <c r="LL4" s="140"/>
      <c r="LM4" s="140"/>
      <c r="LN4" s="140"/>
      <c r="LO4" s="140"/>
      <c r="LP4" s="140"/>
      <c r="LQ4" s="140"/>
      <c r="LR4" s="140"/>
      <c r="LS4" s="140"/>
      <c r="LT4" s="140"/>
      <c r="LU4" s="140"/>
      <c r="LV4" s="140"/>
      <c r="LW4" s="140"/>
      <c r="LX4" s="140"/>
      <c r="LY4" s="140"/>
      <c r="LZ4" s="140"/>
      <c r="MA4" s="140"/>
      <c r="MB4" s="140"/>
      <c r="MC4" s="140"/>
      <c r="MD4" s="140"/>
      <c r="ME4" s="140"/>
      <c r="MF4" s="140"/>
      <c r="MG4" s="140"/>
      <c r="MH4" s="140"/>
      <c r="MI4" s="140"/>
      <c r="MJ4" s="140"/>
      <c r="MK4" s="140"/>
      <c r="ML4" s="140"/>
      <c r="MM4" s="140"/>
      <c r="MN4" s="140"/>
      <c r="MO4" s="140"/>
      <c r="MP4" s="140"/>
      <c r="MQ4" s="140"/>
      <c r="MR4" s="140"/>
      <c r="MS4" s="140"/>
      <c r="MT4" s="140"/>
      <c r="MU4" s="140"/>
      <c r="MV4" s="140"/>
      <c r="MW4" s="140"/>
      <c r="MX4" s="140"/>
      <c r="MY4" s="140"/>
      <c r="MZ4" s="140"/>
      <c r="NA4" s="140"/>
      <c r="NB4" s="140"/>
      <c r="NC4" s="140"/>
      <c r="ND4" s="140"/>
      <c r="NE4" s="140"/>
      <c r="NF4" s="140"/>
      <c r="NG4" s="140"/>
      <c r="NH4" s="140"/>
      <c r="NI4" s="140"/>
      <c r="NJ4" s="140"/>
      <c r="NK4" s="140"/>
      <c r="NL4" s="140"/>
      <c r="NM4" s="140"/>
      <c r="NN4" s="140"/>
      <c r="NO4" s="140"/>
      <c r="NP4" s="140"/>
      <c r="NQ4" s="140"/>
      <c r="NR4" s="140"/>
      <c r="NS4" s="140"/>
      <c r="NT4" s="140"/>
      <c r="NU4" s="140"/>
      <c r="NV4" s="140"/>
      <c r="NW4" s="140"/>
      <c r="NX4" s="140"/>
      <c r="NY4" s="140"/>
      <c r="NZ4" s="140"/>
      <c r="OA4" s="140"/>
      <c r="OB4" s="140"/>
      <c r="OC4" s="140"/>
      <c r="OD4" s="140"/>
      <c r="OE4" s="140"/>
      <c r="OF4" s="140"/>
      <c r="OG4" s="140"/>
      <c r="OH4" s="140"/>
      <c r="OI4" s="140"/>
      <c r="OJ4" s="140"/>
      <c r="OK4" s="140"/>
      <c r="OL4" s="140"/>
      <c r="OM4" s="140"/>
      <c r="ON4" s="140"/>
      <c r="OO4" s="140"/>
      <c r="OP4" s="140"/>
      <c r="OQ4" s="140"/>
      <c r="OR4" s="140"/>
      <c r="OS4" s="140"/>
      <c r="OT4" s="140"/>
      <c r="OU4" s="140"/>
      <c r="OV4" s="140"/>
      <c r="OW4" s="140"/>
      <c r="OX4" s="140"/>
      <c r="OY4" s="140"/>
      <c r="OZ4" s="140"/>
      <c r="PA4" s="140"/>
      <c r="PB4" s="140"/>
      <c r="PC4" s="140"/>
      <c r="PD4" s="140"/>
      <c r="PE4" s="140"/>
      <c r="PF4" s="140"/>
      <c r="PG4" s="140"/>
      <c r="PH4" s="140"/>
      <c r="PI4" s="140"/>
      <c r="PJ4" s="140"/>
      <c r="PK4" s="140"/>
      <c r="PL4" s="140"/>
      <c r="PM4" s="140"/>
      <c r="PN4" s="140"/>
      <c r="PO4" s="140"/>
      <c r="PP4" s="140"/>
      <c r="PQ4" s="140"/>
      <c r="PR4" s="140"/>
      <c r="PS4" s="140"/>
      <c r="PT4" s="140"/>
      <c r="PU4" s="140"/>
      <c r="PV4" s="140"/>
      <c r="PW4" s="140"/>
      <c r="PX4" s="140"/>
      <c r="PY4" s="140"/>
      <c r="PZ4" s="140"/>
      <c r="QA4" s="140"/>
      <c r="QB4" s="140"/>
      <c r="QC4" s="140"/>
      <c r="QD4" s="140"/>
      <c r="QE4" s="140"/>
      <c r="QF4" s="140"/>
      <c r="QG4" s="140"/>
      <c r="QH4" s="140"/>
      <c r="QI4" s="140"/>
      <c r="QJ4" s="140"/>
      <c r="QK4" s="140"/>
      <c r="QL4" s="140"/>
      <c r="QM4" s="140"/>
      <c r="QN4" s="140"/>
      <c r="QO4" s="140"/>
      <c r="QP4" s="140"/>
      <c r="QQ4" s="140"/>
      <c r="QR4" s="140"/>
      <c r="QS4" s="140"/>
      <c r="QT4" s="140"/>
      <c r="QU4" s="140"/>
      <c r="QV4" s="140"/>
      <c r="QW4" s="140"/>
      <c r="QX4" s="140"/>
      <c r="QY4" s="140"/>
      <c r="QZ4" s="140"/>
      <c r="RA4" s="140"/>
      <c r="RB4" s="140"/>
      <c r="RC4" s="140"/>
      <c r="RD4" s="140"/>
      <c r="RE4" s="140"/>
      <c r="RF4" s="140"/>
      <c r="RG4" s="140"/>
      <c r="RH4" s="140"/>
      <c r="RI4" s="140"/>
      <c r="RJ4" s="140"/>
      <c r="RK4" s="140"/>
      <c r="RL4" s="140"/>
      <c r="RM4" s="140"/>
      <c r="RN4" s="140"/>
      <c r="RO4" s="140"/>
      <c r="RP4" s="140"/>
      <c r="RQ4" s="140"/>
      <c r="RR4" s="140"/>
      <c r="RS4" s="140"/>
      <c r="RT4" s="140"/>
      <c r="RU4" s="140"/>
      <c r="RV4" s="140"/>
      <c r="RW4" s="140"/>
      <c r="RX4" s="140"/>
      <c r="RY4" s="140"/>
      <c r="RZ4" s="140"/>
      <c r="SA4" s="140"/>
      <c r="SB4" s="140"/>
      <c r="SC4" s="140"/>
      <c r="SD4" s="140"/>
      <c r="SE4" s="140"/>
      <c r="SF4" s="140"/>
      <c r="SG4" s="140"/>
      <c r="SH4" s="140"/>
      <c r="SI4" s="140"/>
      <c r="SJ4" s="140"/>
      <c r="SK4" s="140"/>
      <c r="SL4" s="140"/>
      <c r="SM4" s="140"/>
      <c r="SN4" s="140"/>
      <c r="SO4" s="140"/>
      <c r="SP4" s="140"/>
      <c r="SQ4" s="140"/>
      <c r="SR4" s="140"/>
      <c r="SS4" s="140"/>
    </row>
    <row r="5" spans="1:513 16384:16384" s="199" customFormat="1" ht="17.25" customHeight="1" x14ac:dyDescent="0.5">
      <c r="B5" s="187"/>
      <c r="C5" s="187" t="s">
        <v>855</v>
      </c>
      <c r="D5" s="188">
        <f t="shared" ref="D5:M5" si="38">EOMONTH($P$3,D4)</f>
        <v>43100</v>
      </c>
      <c r="E5" s="188">
        <f t="shared" si="38"/>
        <v>43131</v>
      </c>
      <c r="F5" s="188">
        <f t="shared" si="38"/>
        <v>43159</v>
      </c>
      <c r="G5" s="188">
        <f t="shared" si="38"/>
        <v>43190</v>
      </c>
      <c r="H5" s="188">
        <f t="shared" si="38"/>
        <v>43220</v>
      </c>
      <c r="I5" s="188">
        <f t="shared" si="38"/>
        <v>43251</v>
      </c>
      <c r="J5" s="188">
        <f t="shared" si="38"/>
        <v>43281</v>
      </c>
      <c r="K5" s="188">
        <f t="shared" si="38"/>
        <v>43312</v>
      </c>
      <c r="L5" s="188">
        <f t="shared" si="38"/>
        <v>43343</v>
      </c>
      <c r="M5" s="188">
        <f t="shared" si="38"/>
        <v>43373</v>
      </c>
      <c r="N5" s="188">
        <f>EOMONTH($P$3,N4)</f>
        <v>43404</v>
      </c>
      <c r="O5" s="188">
        <f t="shared" ref="O5:BV5" si="39">EOMONTH($P$3,O4)</f>
        <v>43434</v>
      </c>
      <c r="P5" s="188">
        <f t="shared" si="39"/>
        <v>43465</v>
      </c>
      <c r="Q5" s="188">
        <f t="shared" si="39"/>
        <v>43496</v>
      </c>
      <c r="R5" s="188">
        <f t="shared" si="39"/>
        <v>43524</v>
      </c>
      <c r="S5" s="188">
        <f t="shared" si="39"/>
        <v>43555</v>
      </c>
      <c r="T5" s="188">
        <f t="shared" si="39"/>
        <v>43585</v>
      </c>
      <c r="U5" s="188">
        <f t="shared" si="39"/>
        <v>43616</v>
      </c>
      <c r="V5" s="188">
        <f t="shared" si="39"/>
        <v>43646</v>
      </c>
      <c r="W5" s="188">
        <f t="shared" si="39"/>
        <v>43677</v>
      </c>
      <c r="X5" s="188">
        <f t="shared" si="39"/>
        <v>43708</v>
      </c>
      <c r="Y5" s="188">
        <f t="shared" si="39"/>
        <v>43738</v>
      </c>
      <c r="Z5" s="188">
        <f t="shared" si="39"/>
        <v>43769</v>
      </c>
      <c r="AA5" s="188">
        <f t="shared" si="39"/>
        <v>43799</v>
      </c>
      <c r="AB5" s="188">
        <f t="shared" si="39"/>
        <v>43830</v>
      </c>
      <c r="AC5" s="188">
        <f t="shared" si="39"/>
        <v>43861</v>
      </c>
      <c r="AD5" s="188">
        <f t="shared" si="39"/>
        <v>43890</v>
      </c>
      <c r="AE5" s="188">
        <f t="shared" si="39"/>
        <v>43921</v>
      </c>
      <c r="AF5" s="188">
        <f t="shared" si="39"/>
        <v>43951</v>
      </c>
      <c r="AG5" s="188">
        <f t="shared" si="39"/>
        <v>43982</v>
      </c>
      <c r="AH5" s="188">
        <f t="shared" si="39"/>
        <v>44012</v>
      </c>
      <c r="AI5" s="188">
        <f t="shared" si="39"/>
        <v>44043</v>
      </c>
      <c r="AJ5" s="188">
        <f t="shared" si="39"/>
        <v>44074</v>
      </c>
      <c r="AK5" s="188">
        <f t="shared" si="39"/>
        <v>44104</v>
      </c>
      <c r="AL5" s="188">
        <f t="shared" si="39"/>
        <v>44135</v>
      </c>
      <c r="AM5" s="188">
        <f t="shared" si="39"/>
        <v>44165</v>
      </c>
      <c r="AN5" s="188">
        <f t="shared" si="39"/>
        <v>44196</v>
      </c>
      <c r="AO5" s="188">
        <f t="shared" si="39"/>
        <v>44227</v>
      </c>
      <c r="AP5" s="188">
        <f t="shared" si="39"/>
        <v>44255</v>
      </c>
      <c r="AQ5" s="188">
        <f t="shared" si="39"/>
        <v>44286</v>
      </c>
      <c r="AR5" s="188">
        <f t="shared" si="39"/>
        <v>44316</v>
      </c>
      <c r="AS5" s="188">
        <f t="shared" si="39"/>
        <v>44347</v>
      </c>
      <c r="AT5" s="188">
        <f t="shared" si="39"/>
        <v>44377</v>
      </c>
      <c r="AU5" s="188">
        <f t="shared" si="39"/>
        <v>44408</v>
      </c>
      <c r="AV5" s="188">
        <f t="shared" si="39"/>
        <v>44439</v>
      </c>
      <c r="AW5" s="188">
        <f t="shared" si="39"/>
        <v>44469</v>
      </c>
      <c r="AX5" s="188">
        <f t="shared" si="39"/>
        <v>44500</v>
      </c>
      <c r="AY5" s="188">
        <f t="shared" si="39"/>
        <v>44530</v>
      </c>
      <c r="AZ5" s="188">
        <f t="shared" si="39"/>
        <v>44561</v>
      </c>
      <c r="BA5" s="188">
        <f t="shared" si="39"/>
        <v>44592</v>
      </c>
      <c r="BB5" s="188">
        <f t="shared" si="39"/>
        <v>44620</v>
      </c>
      <c r="BC5" s="188">
        <f t="shared" si="39"/>
        <v>44651</v>
      </c>
      <c r="BD5" s="188">
        <f t="shared" si="39"/>
        <v>44681</v>
      </c>
      <c r="BE5" s="188">
        <f t="shared" si="39"/>
        <v>44712</v>
      </c>
      <c r="BF5" s="188">
        <f t="shared" si="39"/>
        <v>44742</v>
      </c>
      <c r="BG5" s="188">
        <f t="shared" si="39"/>
        <v>44773</v>
      </c>
      <c r="BH5" s="188">
        <f t="shared" si="39"/>
        <v>44804</v>
      </c>
      <c r="BI5" s="188">
        <f t="shared" si="39"/>
        <v>44834</v>
      </c>
      <c r="BJ5" s="188">
        <f t="shared" si="39"/>
        <v>44865</v>
      </c>
      <c r="BK5" s="188">
        <f t="shared" si="39"/>
        <v>44895</v>
      </c>
      <c r="BL5" s="188">
        <f t="shared" si="39"/>
        <v>44926</v>
      </c>
      <c r="BM5" s="188">
        <f>EOMONTH($P$3,BM4)</f>
        <v>44957</v>
      </c>
      <c r="BN5" s="188">
        <f t="shared" si="39"/>
        <v>44985</v>
      </c>
      <c r="BO5" s="188">
        <f t="shared" si="39"/>
        <v>45016</v>
      </c>
      <c r="BP5" s="188">
        <f t="shared" si="39"/>
        <v>45046</v>
      </c>
      <c r="BQ5" s="188">
        <f t="shared" si="39"/>
        <v>45077</v>
      </c>
      <c r="BR5" s="188">
        <f t="shared" si="39"/>
        <v>45107</v>
      </c>
      <c r="BS5" s="188">
        <f t="shared" si="39"/>
        <v>45138</v>
      </c>
      <c r="BT5" s="188">
        <f t="shared" si="39"/>
        <v>45169</v>
      </c>
      <c r="BU5" s="188">
        <f t="shared" si="39"/>
        <v>45199</v>
      </c>
      <c r="BV5" s="188">
        <f t="shared" si="39"/>
        <v>45230</v>
      </c>
      <c r="BW5" s="188">
        <f t="shared" ref="BW5:BX5" si="40">EOMONTH($P$3,BW4)</f>
        <v>45260</v>
      </c>
      <c r="BX5" s="188">
        <f t="shared" si="40"/>
        <v>45291</v>
      </c>
      <c r="BY5" s="188">
        <f t="shared" ref="BY5:CP5" si="41">EOMONTH($P$3,BY4)</f>
        <v>45322</v>
      </c>
      <c r="BZ5" s="188">
        <f t="shared" si="41"/>
        <v>45351</v>
      </c>
      <c r="CA5" s="188">
        <f t="shared" si="41"/>
        <v>45382</v>
      </c>
      <c r="CB5" s="188">
        <f t="shared" si="41"/>
        <v>45412</v>
      </c>
      <c r="CC5" s="188">
        <f t="shared" si="41"/>
        <v>45443</v>
      </c>
      <c r="CD5" s="188">
        <f t="shared" si="41"/>
        <v>45473</v>
      </c>
      <c r="CE5" s="188">
        <f t="shared" si="41"/>
        <v>45504</v>
      </c>
      <c r="CF5" s="188">
        <f t="shared" si="41"/>
        <v>45535</v>
      </c>
      <c r="CG5" s="188">
        <f t="shared" si="41"/>
        <v>45565</v>
      </c>
      <c r="CH5" s="188">
        <f t="shared" si="41"/>
        <v>45596</v>
      </c>
      <c r="CI5" s="188">
        <f t="shared" si="41"/>
        <v>45626</v>
      </c>
      <c r="CJ5" s="188">
        <f t="shared" si="41"/>
        <v>45657</v>
      </c>
      <c r="CK5" s="188">
        <f t="shared" si="41"/>
        <v>45688</v>
      </c>
      <c r="CL5" s="188">
        <f t="shared" si="41"/>
        <v>45716</v>
      </c>
      <c r="CM5" s="188">
        <f t="shared" si="41"/>
        <v>45747</v>
      </c>
      <c r="CN5" s="188">
        <f t="shared" si="41"/>
        <v>45777</v>
      </c>
      <c r="CO5" s="188">
        <f t="shared" si="41"/>
        <v>45808</v>
      </c>
      <c r="CP5" s="188">
        <f t="shared" si="41"/>
        <v>45838</v>
      </c>
      <c r="CQ5" s="188">
        <f t="shared" ref="CQ5:CX5" si="42">EOMONTH($P$3,CQ4)</f>
        <v>45869</v>
      </c>
      <c r="CR5" s="188">
        <f t="shared" si="42"/>
        <v>45900</v>
      </c>
      <c r="CS5" s="188">
        <f t="shared" si="42"/>
        <v>45930</v>
      </c>
      <c r="CT5" s="188">
        <f t="shared" si="42"/>
        <v>45961</v>
      </c>
      <c r="CU5" s="188">
        <f t="shared" si="42"/>
        <v>45991</v>
      </c>
      <c r="CV5" s="188">
        <f t="shared" si="42"/>
        <v>46022</v>
      </c>
      <c r="CW5" s="188">
        <f t="shared" si="42"/>
        <v>46053</v>
      </c>
      <c r="CX5" s="188">
        <f t="shared" si="42"/>
        <v>46081</v>
      </c>
      <c r="CY5" s="188">
        <f t="shared" ref="CY5:DB5" si="43">EOMONTH($P$3,CY4)</f>
        <v>46112</v>
      </c>
      <c r="CZ5" s="188">
        <f t="shared" si="43"/>
        <v>46142</v>
      </c>
      <c r="DA5" s="188">
        <f t="shared" si="43"/>
        <v>46173</v>
      </c>
      <c r="DB5" s="188">
        <f t="shared" si="43"/>
        <v>46203</v>
      </c>
      <c r="DC5" s="188"/>
      <c r="DD5" s="147"/>
      <c r="DE5" s="147"/>
      <c r="DF5" s="147"/>
      <c r="DG5" s="147"/>
      <c r="DH5" s="147"/>
      <c r="DI5" s="147"/>
      <c r="DJ5" s="147"/>
      <c r="DK5" s="147"/>
      <c r="DL5" s="147"/>
      <c r="DM5" s="147"/>
      <c r="DN5" s="147"/>
      <c r="DO5" s="198"/>
      <c r="DP5" s="198"/>
      <c r="DQ5" s="198"/>
      <c r="DR5" s="198"/>
      <c r="DS5" s="198"/>
      <c r="DT5" s="198"/>
      <c r="DU5" s="198"/>
      <c r="DV5" s="198"/>
      <c r="DW5" s="198"/>
      <c r="DX5" s="198"/>
      <c r="DY5" s="198"/>
      <c r="DZ5" s="198"/>
      <c r="EA5" s="198"/>
      <c r="EB5" s="198"/>
      <c r="EC5" s="198"/>
      <c r="ED5" s="198"/>
      <c r="EE5" s="198"/>
      <c r="EF5" s="198"/>
      <c r="EG5" s="198"/>
      <c r="EH5" s="198"/>
      <c r="EI5" s="198"/>
      <c r="EJ5" s="198"/>
      <c r="EK5" s="198"/>
      <c r="EL5" s="198"/>
      <c r="EM5" s="198"/>
      <c r="EN5" s="198"/>
      <c r="EO5" s="198"/>
      <c r="EP5" s="198"/>
      <c r="EQ5" s="198"/>
      <c r="ER5" s="198"/>
      <c r="ES5" s="198"/>
      <c r="ET5" s="198"/>
      <c r="EU5" s="198"/>
      <c r="EV5" s="198"/>
      <c r="EW5" s="198"/>
      <c r="EX5" s="198"/>
      <c r="EY5" s="198"/>
      <c r="EZ5" s="198"/>
      <c r="FA5" s="198"/>
      <c r="FB5" s="198"/>
      <c r="FC5" s="198"/>
      <c r="FD5" s="198"/>
      <c r="FE5" s="198"/>
      <c r="FF5" s="198"/>
      <c r="FG5" s="198"/>
      <c r="FH5" s="198"/>
      <c r="FI5" s="198"/>
      <c r="FJ5" s="198"/>
      <c r="FK5" s="198"/>
      <c r="FL5" s="198"/>
      <c r="FM5" s="198"/>
      <c r="FN5" s="198"/>
      <c r="FO5" s="198"/>
      <c r="FP5" s="198"/>
      <c r="FQ5" s="198"/>
      <c r="FR5" s="198"/>
      <c r="FS5" s="198"/>
      <c r="FT5" s="198"/>
      <c r="FU5" s="198"/>
      <c r="FV5" s="198"/>
      <c r="FW5" s="198"/>
      <c r="FX5" s="198"/>
      <c r="FY5" s="198"/>
      <c r="FZ5" s="198"/>
      <c r="GA5" s="198"/>
      <c r="GB5" s="198"/>
      <c r="GC5" s="198"/>
      <c r="GD5" s="198"/>
      <c r="GE5" s="198"/>
      <c r="GF5" s="198"/>
      <c r="GG5" s="198"/>
      <c r="GH5" s="198"/>
      <c r="GI5" s="198"/>
      <c r="GJ5" s="198"/>
      <c r="GK5" s="198"/>
      <c r="GL5" s="198"/>
      <c r="GM5" s="198"/>
      <c r="GN5" s="198"/>
      <c r="GO5" s="198"/>
      <c r="GP5" s="198"/>
      <c r="GQ5" s="198"/>
      <c r="GR5" s="198"/>
      <c r="GS5" s="198"/>
      <c r="GT5" s="198"/>
      <c r="GU5" s="198"/>
      <c r="GV5" s="198"/>
      <c r="GW5" s="198"/>
      <c r="GX5" s="198"/>
      <c r="GY5" s="198"/>
      <c r="GZ5" s="198"/>
      <c r="HA5" s="198"/>
      <c r="HB5" s="198"/>
      <c r="HC5" s="198"/>
      <c r="HD5" s="198"/>
      <c r="HE5" s="198"/>
      <c r="HF5" s="198"/>
      <c r="HG5" s="198"/>
      <c r="HH5" s="198"/>
      <c r="HI5" s="198"/>
      <c r="HJ5" s="198"/>
      <c r="HK5" s="198"/>
      <c r="HL5" s="198"/>
      <c r="HM5" s="198"/>
      <c r="HN5" s="198"/>
      <c r="HO5" s="198"/>
      <c r="HP5" s="198"/>
      <c r="HQ5" s="198"/>
      <c r="HR5" s="198"/>
      <c r="HS5" s="198"/>
      <c r="HT5" s="198"/>
      <c r="HU5" s="198"/>
      <c r="HV5" s="198"/>
      <c r="HW5" s="198"/>
      <c r="HX5" s="198"/>
      <c r="HY5" s="198"/>
      <c r="HZ5" s="198"/>
      <c r="IA5" s="198"/>
      <c r="IB5" s="198"/>
      <c r="IC5" s="198"/>
      <c r="ID5" s="198"/>
      <c r="IE5" s="198"/>
      <c r="IF5" s="198"/>
      <c r="IG5" s="198"/>
      <c r="IH5" s="198"/>
      <c r="II5" s="198"/>
      <c r="IJ5" s="198"/>
      <c r="IK5" s="198"/>
      <c r="IL5" s="198"/>
      <c r="IM5" s="198"/>
      <c r="IN5" s="198"/>
      <c r="IO5" s="198"/>
      <c r="IP5" s="198"/>
      <c r="IQ5" s="198"/>
      <c r="IR5" s="198"/>
      <c r="IS5" s="198"/>
      <c r="IT5" s="198"/>
      <c r="IU5" s="198"/>
      <c r="IV5" s="198"/>
      <c r="IW5" s="198"/>
      <c r="IX5" s="198"/>
      <c r="IY5" s="198"/>
      <c r="IZ5" s="198"/>
      <c r="JA5" s="198"/>
      <c r="JB5" s="198"/>
      <c r="JC5" s="198"/>
      <c r="JD5" s="198"/>
      <c r="JE5" s="198"/>
      <c r="JF5" s="198"/>
      <c r="JG5" s="198"/>
      <c r="JH5" s="198"/>
      <c r="JI5" s="198"/>
      <c r="JJ5" s="198"/>
      <c r="JK5" s="198"/>
      <c r="JL5" s="198"/>
      <c r="JM5" s="198"/>
      <c r="JN5" s="198"/>
      <c r="JO5" s="198"/>
      <c r="JP5" s="198"/>
      <c r="JQ5" s="198"/>
      <c r="JR5" s="198"/>
      <c r="JS5" s="198"/>
      <c r="JT5" s="198"/>
      <c r="JU5" s="198"/>
      <c r="JV5" s="198"/>
      <c r="JW5" s="198"/>
      <c r="JX5" s="198"/>
      <c r="JY5" s="198"/>
      <c r="JZ5" s="198"/>
      <c r="KA5" s="198"/>
      <c r="KB5" s="198"/>
      <c r="KC5" s="198"/>
      <c r="KD5" s="198"/>
      <c r="KE5" s="198"/>
      <c r="KF5" s="198"/>
      <c r="KG5" s="198"/>
      <c r="KH5" s="198"/>
      <c r="KI5" s="198"/>
      <c r="KJ5" s="198"/>
      <c r="KK5" s="198"/>
      <c r="KL5" s="198"/>
      <c r="KM5" s="198"/>
      <c r="KN5" s="198"/>
      <c r="KO5" s="198"/>
      <c r="KP5" s="198"/>
      <c r="KQ5" s="198"/>
      <c r="KR5" s="198"/>
      <c r="KS5" s="198"/>
      <c r="KT5" s="198"/>
      <c r="KU5" s="198"/>
      <c r="KV5" s="198"/>
      <c r="KW5" s="198"/>
      <c r="KX5" s="198"/>
      <c r="KY5" s="198"/>
      <c r="KZ5" s="198"/>
      <c r="LA5" s="198"/>
      <c r="LB5" s="198"/>
      <c r="LC5" s="198"/>
      <c r="LD5" s="198"/>
      <c r="LE5" s="198"/>
      <c r="LF5" s="198"/>
      <c r="LG5" s="198"/>
      <c r="LH5" s="198"/>
      <c r="LI5" s="198"/>
      <c r="LJ5" s="198"/>
      <c r="LK5" s="198"/>
      <c r="LL5" s="198"/>
      <c r="LM5" s="198"/>
      <c r="LN5" s="198"/>
      <c r="LO5" s="198"/>
      <c r="LP5" s="198"/>
      <c r="LQ5" s="198"/>
      <c r="LR5" s="198"/>
      <c r="LS5" s="198"/>
      <c r="LT5" s="198"/>
      <c r="LU5" s="198"/>
      <c r="LV5" s="198"/>
      <c r="LW5" s="198"/>
      <c r="LX5" s="198"/>
      <c r="LY5" s="198"/>
      <c r="LZ5" s="198"/>
      <c r="MA5" s="198"/>
      <c r="MB5" s="198"/>
      <c r="MC5" s="198"/>
      <c r="MD5" s="198"/>
      <c r="ME5" s="198"/>
      <c r="MF5" s="198"/>
      <c r="MG5" s="198"/>
      <c r="MH5" s="198"/>
      <c r="MI5" s="198"/>
      <c r="MJ5" s="198"/>
      <c r="MK5" s="198"/>
      <c r="ML5" s="198"/>
      <c r="MM5" s="198"/>
      <c r="MN5" s="198"/>
      <c r="MO5" s="198"/>
      <c r="MP5" s="198"/>
      <c r="MQ5" s="198"/>
      <c r="MR5" s="198"/>
      <c r="MS5" s="198"/>
      <c r="MT5" s="198"/>
      <c r="MU5" s="198"/>
      <c r="MV5" s="198"/>
      <c r="MW5" s="198"/>
      <c r="MX5" s="198"/>
      <c r="MY5" s="198"/>
      <c r="MZ5" s="198"/>
      <c r="NA5" s="198"/>
      <c r="NB5" s="198"/>
      <c r="NC5" s="198"/>
      <c r="ND5" s="198"/>
      <c r="NE5" s="198"/>
      <c r="NF5" s="198"/>
      <c r="NG5" s="198"/>
      <c r="NH5" s="198"/>
      <c r="NI5" s="198"/>
      <c r="NJ5" s="198"/>
      <c r="NK5" s="198"/>
      <c r="NL5" s="198"/>
      <c r="NM5" s="198"/>
      <c r="NN5" s="198"/>
      <c r="NO5" s="198"/>
      <c r="NP5" s="198"/>
      <c r="NQ5" s="198"/>
      <c r="NR5" s="198"/>
      <c r="NS5" s="198"/>
      <c r="NT5" s="198"/>
      <c r="NU5" s="198"/>
      <c r="NV5" s="198"/>
      <c r="NW5" s="198"/>
      <c r="NX5" s="198"/>
      <c r="NY5" s="198"/>
      <c r="NZ5" s="198"/>
      <c r="OA5" s="198"/>
      <c r="OB5" s="198"/>
      <c r="OC5" s="198"/>
      <c r="OD5" s="198"/>
      <c r="OE5" s="198"/>
      <c r="OF5" s="198"/>
      <c r="OG5" s="198"/>
      <c r="OH5" s="198"/>
      <c r="OI5" s="198"/>
      <c r="OJ5" s="198"/>
      <c r="OK5" s="198"/>
      <c r="OL5" s="198"/>
      <c r="OM5" s="198"/>
      <c r="ON5" s="198"/>
      <c r="OO5" s="198"/>
      <c r="OP5" s="198"/>
      <c r="OQ5" s="198"/>
      <c r="OR5" s="198"/>
      <c r="OS5" s="198"/>
      <c r="OT5" s="198"/>
      <c r="OU5" s="198"/>
      <c r="OV5" s="198"/>
      <c r="OW5" s="198"/>
      <c r="OX5" s="198"/>
      <c r="OY5" s="198"/>
      <c r="OZ5" s="198"/>
      <c r="PA5" s="198"/>
      <c r="PB5" s="198"/>
      <c r="PC5" s="198"/>
      <c r="PD5" s="198"/>
      <c r="PE5" s="198"/>
      <c r="PF5" s="198"/>
      <c r="PG5" s="198"/>
      <c r="PH5" s="198"/>
      <c r="PI5" s="198"/>
      <c r="PJ5" s="198"/>
      <c r="PK5" s="198"/>
      <c r="PL5" s="198"/>
      <c r="PM5" s="198"/>
      <c r="PN5" s="198"/>
      <c r="PO5" s="198"/>
      <c r="PP5" s="198"/>
      <c r="PQ5" s="198"/>
      <c r="PR5" s="198"/>
      <c r="PS5" s="198"/>
      <c r="PT5" s="198"/>
      <c r="PU5" s="198"/>
      <c r="PV5" s="198"/>
      <c r="PW5" s="198"/>
      <c r="PX5" s="198"/>
      <c r="PY5" s="198"/>
      <c r="PZ5" s="198"/>
      <c r="QA5" s="198"/>
      <c r="QB5" s="198"/>
      <c r="QC5" s="198"/>
      <c r="QD5" s="198"/>
      <c r="QE5" s="198"/>
      <c r="QF5" s="198"/>
      <c r="QG5" s="198"/>
      <c r="QH5" s="198"/>
      <c r="QI5" s="198"/>
      <c r="QJ5" s="198"/>
      <c r="QK5" s="198"/>
      <c r="QL5" s="198"/>
      <c r="QM5" s="198"/>
      <c r="QN5" s="198"/>
      <c r="QO5" s="198"/>
      <c r="QP5" s="198"/>
      <c r="QQ5" s="198"/>
      <c r="QR5" s="198"/>
      <c r="QS5" s="198"/>
      <c r="QT5" s="198"/>
      <c r="QU5" s="198"/>
      <c r="QV5" s="198"/>
      <c r="QW5" s="198"/>
      <c r="QX5" s="198"/>
      <c r="QY5" s="198"/>
      <c r="QZ5" s="198"/>
      <c r="RA5" s="198"/>
      <c r="RB5" s="198"/>
      <c r="RC5" s="198"/>
      <c r="RD5" s="198"/>
      <c r="RE5" s="198"/>
      <c r="RF5" s="198"/>
      <c r="RG5" s="198"/>
      <c r="RH5" s="198"/>
      <c r="RI5" s="198"/>
      <c r="RJ5" s="198"/>
      <c r="RK5" s="198"/>
      <c r="RL5" s="198"/>
      <c r="RM5" s="198"/>
      <c r="RN5" s="198"/>
      <c r="RO5" s="198"/>
      <c r="RP5" s="198"/>
      <c r="RQ5" s="198"/>
      <c r="RR5" s="198"/>
      <c r="RS5" s="198"/>
      <c r="RT5" s="198"/>
      <c r="RU5" s="198"/>
      <c r="RV5" s="198"/>
      <c r="RW5" s="198"/>
      <c r="RX5" s="198"/>
      <c r="RY5" s="198"/>
      <c r="RZ5" s="198"/>
      <c r="SA5" s="198"/>
      <c r="SB5" s="198"/>
      <c r="SC5" s="198"/>
      <c r="SD5" s="198"/>
      <c r="SE5" s="198"/>
      <c r="SF5" s="198"/>
      <c r="SG5" s="198"/>
      <c r="SH5" s="198"/>
      <c r="SI5" s="198"/>
      <c r="SJ5" s="198"/>
      <c r="SK5" s="198"/>
      <c r="SL5" s="198"/>
      <c r="SM5" s="198"/>
      <c r="SN5" s="198"/>
      <c r="SO5" s="198"/>
      <c r="SP5" s="198"/>
      <c r="SQ5" s="198"/>
      <c r="SR5" s="198"/>
      <c r="SS5" s="198"/>
    </row>
    <row r="6" spans="1:513 16384:16384" s="135" customFormat="1" ht="14.5" x14ac:dyDescent="0.35">
      <c r="N6" s="141"/>
      <c r="O6" s="141"/>
      <c r="P6" s="197" t="s">
        <v>82</v>
      </c>
      <c r="Q6" s="197" t="s">
        <v>82</v>
      </c>
      <c r="R6" s="197" t="s">
        <v>82</v>
      </c>
      <c r="S6" s="197" t="s">
        <v>82</v>
      </c>
      <c r="T6" s="197" t="s">
        <v>82</v>
      </c>
      <c r="U6" s="141" t="str">
        <f>T6</f>
        <v>actual</v>
      </c>
      <c r="V6" s="141" t="str">
        <f>U6</f>
        <v>actual</v>
      </c>
      <c r="W6" s="141" t="s">
        <v>82</v>
      </c>
      <c r="X6" s="197" t="s">
        <v>82</v>
      </c>
      <c r="Y6" s="197" t="s">
        <v>82</v>
      </c>
      <c r="Z6" s="197" t="s">
        <v>82</v>
      </c>
      <c r="AA6" s="197" t="s">
        <v>82</v>
      </c>
      <c r="AB6" s="197" t="s">
        <v>82</v>
      </c>
      <c r="AC6" s="197" t="s">
        <v>82</v>
      </c>
      <c r="AD6" s="197" t="s">
        <v>82</v>
      </c>
      <c r="AE6" s="197" t="s">
        <v>82</v>
      </c>
      <c r="AF6" s="197" t="s">
        <v>82</v>
      </c>
      <c r="AG6" s="141" t="s">
        <v>82</v>
      </c>
      <c r="AH6" s="141" t="s">
        <v>82</v>
      </c>
      <c r="AI6" s="141" t="s">
        <v>82</v>
      </c>
      <c r="AJ6" s="141" t="s">
        <v>82</v>
      </c>
      <c r="AK6" s="141" t="s">
        <v>82</v>
      </c>
      <c r="AL6" s="141" t="s">
        <v>82</v>
      </c>
      <c r="AM6" s="141" t="s">
        <v>82</v>
      </c>
      <c r="AN6" s="141" t="s">
        <v>82</v>
      </c>
      <c r="AO6" s="141" t="s">
        <v>82</v>
      </c>
      <c r="AP6" s="141" t="s">
        <v>82</v>
      </c>
      <c r="AQ6" s="141" t="s">
        <v>82</v>
      </c>
      <c r="AR6" s="141" t="s">
        <v>82</v>
      </c>
      <c r="AS6" s="141" t="s">
        <v>82</v>
      </c>
      <c r="AT6" s="141" t="s">
        <v>82</v>
      </c>
      <c r="AU6" s="141" t="s">
        <v>82</v>
      </c>
      <c r="AV6" s="141" t="s">
        <v>82</v>
      </c>
      <c r="AW6" s="141" t="s">
        <v>82</v>
      </c>
      <c r="AX6" s="141" t="s">
        <v>82</v>
      </c>
      <c r="AY6" s="141" t="s">
        <v>82</v>
      </c>
      <c r="AZ6" s="141" t="s">
        <v>82</v>
      </c>
      <c r="BA6" s="141" t="s">
        <v>82</v>
      </c>
      <c r="BB6" s="141" t="s">
        <v>82</v>
      </c>
      <c r="BC6" s="141" t="s">
        <v>82</v>
      </c>
      <c r="BD6" s="141" t="s">
        <v>82</v>
      </c>
      <c r="BE6" s="141" t="s">
        <v>82</v>
      </c>
      <c r="BF6" s="141" t="s">
        <v>82</v>
      </c>
      <c r="BG6" s="141" t="s">
        <v>82</v>
      </c>
      <c r="BH6" s="141" t="s">
        <v>82</v>
      </c>
      <c r="BI6" s="141" t="s">
        <v>82</v>
      </c>
      <c r="BJ6" s="141" t="s">
        <v>82</v>
      </c>
      <c r="BK6" s="141" t="s">
        <v>82</v>
      </c>
      <c r="BL6" s="141" t="s">
        <v>82</v>
      </c>
      <c r="BM6" s="141" t="s">
        <v>82</v>
      </c>
      <c r="BN6" s="141" t="s">
        <v>82</v>
      </c>
      <c r="BO6" s="141" t="s">
        <v>82</v>
      </c>
      <c r="BP6" s="141" t="s">
        <v>82</v>
      </c>
      <c r="BQ6" s="141" t="s">
        <v>82</v>
      </c>
      <c r="BR6" s="141" t="s">
        <v>82</v>
      </c>
      <c r="BS6" s="141" t="s">
        <v>82</v>
      </c>
      <c r="BT6" s="141" t="s">
        <v>82</v>
      </c>
      <c r="BU6" s="141" t="s">
        <v>82</v>
      </c>
      <c r="BV6" s="141" t="s">
        <v>82</v>
      </c>
      <c r="BW6" s="141" t="s">
        <v>82</v>
      </c>
      <c r="BX6" s="141" t="s">
        <v>82</v>
      </c>
      <c r="BY6" s="141" t="s">
        <v>82</v>
      </c>
      <c r="BZ6" s="141" t="s">
        <v>82</v>
      </c>
      <c r="CA6" s="141" t="s">
        <v>82</v>
      </c>
      <c r="CB6" s="141" t="s">
        <v>82</v>
      </c>
      <c r="CC6" s="141" t="s">
        <v>82</v>
      </c>
      <c r="CD6" s="141" t="s">
        <v>82</v>
      </c>
      <c r="CE6" s="141" t="s">
        <v>82</v>
      </c>
      <c r="CF6" s="141" t="s">
        <v>82</v>
      </c>
      <c r="CG6" s="141" t="s">
        <v>82</v>
      </c>
      <c r="CH6" s="141" t="s">
        <v>82</v>
      </c>
      <c r="CI6" s="141" t="s">
        <v>82</v>
      </c>
      <c r="CJ6" s="141" t="s">
        <v>82</v>
      </c>
      <c r="CK6" s="141" t="s">
        <v>82</v>
      </c>
      <c r="CL6" s="141" t="s">
        <v>82</v>
      </c>
      <c r="CM6" s="141" t="s">
        <v>82</v>
      </c>
      <c r="CN6" s="141" t="s">
        <v>82</v>
      </c>
      <c r="CO6" s="141" t="s">
        <v>82</v>
      </c>
      <c r="CP6" s="141" t="s">
        <v>82</v>
      </c>
      <c r="CQ6" s="141" t="s">
        <v>82</v>
      </c>
      <c r="CR6" s="141" t="s">
        <v>82</v>
      </c>
      <c r="CS6" s="141" t="s">
        <v>82</v>
      </c>
      <c r="CT6" s="141" t="s">
        <v>82</v>
      </c>
      <c r="CU6" s="141" t="s">
        <v>82</v>
      </c>
      <c r="CV6" s="141" t="s">
        <v>82</v>
      </c>
      <c r="CW6" s="141" t="s">
        <v>82</v>
      </c>
      <c r="CX6" s="141" t="s">
        <v>856</v>
      </c>
      <c r="CY6" s="141" t="s">
        <v>856</v>
      </c>
      <c r="CZ6" s="141" t="s">
        <v>856</v>
      </c>
      <c r="DA6" s="141" t="s">
        <v>856</v>
      </c>
      <c r="DB6" s="141" t="s">
        <v>856</v>
      </c>
      <c r="DC6" s="141"/>
      <c r="DO6" s="136"/>
      <c r="DP6" s="136"/>
      <c r="DQ6" s="136"/>
      <c r="DR6" s="136"/>
      <c r="DS6" s="136"/>
      <c r="DT6" s="136"/>
      <c r="DU6" s="136"/>
      <c r="DV6" s="136"/>
      <c r="DW6" s="136"/>
      <c r="DX6" s="136"/>
      <c r="DY6" s="136"/>
      <c r="DZ6" s="136"/>
      <c r="EA6" s="136"/>
      <c r="EB6" s="136"/>
      <c r="EC6" s="136"/>
      <c r="ED6" s="136"/>
      <c r="EE6" s="136"/>
      <c r="EF6" s="136"/>
      <c r="EG6" s="136"/>
      <c r="EH6" s="136"/>
      <c r="EI6" s="136"/>
      <c r="EJ6" s="136"/>
      <c r="EK6" s="136"/>
      <c r="EL6" s="136"/>
      <c r="EM6" s="136"/>
      <c r="EN6" s="136"/>
      <c r="EO6" s="136"/>
      <c r="EP6" s="136"/>
      <c r="EQ6" s="136"/>
      <c r="ER6" s="136"/>
      <c r="ES6" s="136"/>
      <c r="ET6" s="136"/>
      <c r="EU6" s="136"/>
      <c r="EV6" s="136"/>
      <c r="EW6" s="136"/>
      <c r="EX6" s="136"/>
      <c r="EY6" s="136"/>
      <c r="EZ6" s="136"/>
      <c r="FA6" s="136"/>
      <c r="FB6" s="136"/>
      <c r="FC6" s="136"/>
      <c r="FD6" s="136"/>
      <c r="FE6" s="136"/>
      <c r="FF6" s="136"/>
      <c r="FG6" s="136"/>
      <c r="FH6" s="136"/>
      <c r="FI6" s="136"/>
      <c r="FJ6" s="136"/>
      <c r="FK6" s="136"/>
      <c r="FL6" s="136"/>
      <c r="FM6" s="136"/>
      <c r="FN6" s="136"/>
      <c r="FO6" s="136"/>
      <c r="FP6" s="136"/>
      <c r="FQ6" s="136"/>
      <c r="FR6" s="136"/>
      <c r="FS6" s="136"/>
      <c r="FT6" s="136"/>
      <c r="FU6" s="136"/>
      <c r="FV6" s="136"/>
      <c r="FW6" s="136"/>
      <c r="FX6" s="136"/>
      <c r="FY6" s="136"/>
      <c r="FZ6" s="136"/>
      <c r="GA6" s="136"/>
      <c r="GB6" s="136"/>
      <c r="GC6" s="136"/>
      <c r="GD6" s="136"/>
      <c r="GE6" s="136"/>
      <c r="GF6" s="136"/>
      <c r="GG6" s="136"/>
      <c r="GH6" s="136"/>
      <c r="GI6" s="136"/>
      <c r="GJ6" s="136"/>
      <c r="GK6" s="136"/>
      <c r="GL6" s="136"/>
      <c r="GM6" s="136"/>
      <c r="GN6" s="136"/>
      <c r="GO6" s="136"/>
      <c r="GP6" s="136"/>
      <c r="GQ6" s="136"/>
      <c r="GR6" s="136"/>
      <c r="GS6" s="136"/>
      <c r="GT6" s="136"/>
      <c r="GU6" s="136"/>
      <c r="GV6" s="136"/>
      <c r="GW6" s="136"/>
      <c r="GX6" s="136"/>
      <c r="GY6" s="136"/>
      <c r="GZ6" s="136"/>
      <c r="HA6" s="136"/>
      <c r="HB6" s="136"/>
      <c r="HC6" s="136"/>
      <c r="HD6" s="136"/>
      <c r="HE6" s="136"/>
      <c r="HF6" s="136"/>
      <c r="HG6" s="136"/>
      <c r="HH6" s="136"/>
      <c r="HI6" s="136"/>
      <c r="HJ6" s="136"/>
      <c r="HK6" s="136"/>
      <c r="HL6" s="136"/>
      <c r="HM6" s="136"/>
      <c r="HN6" s="136"/>
      <c r="HO6" s="136"/>
      <c r="HP6" s="136"/>
      <c r="HQ6" s="136"/>
      <c r="HR6" s="136"/>
      <c r="HS6" s="136"/>
      <c r="HT6" s="136"/>
      <c r="HU6" s="136"/>
      <c r="HV6" s="136"/>
      <c r="HW6" s="136"/>
      <c r="HX6" s="136"/>
      <c r="HY6" s="136"/>
      <c r="HZ6" s="136"/>
      <c r="IA6" s="136"/>
      <c r="IB6" s="136"/>
      <c r="IC6" s="136"/>
      <c r="ID6" s="136"/>
      <c r="IE6" s="136"/>
      <c r="IF6" s="136"/>
      <c r="IG6" s="136"/>
      <c r="IH6" s="136"/>
      <c r="II6" s="136"/>
      <c r="IJ6" s="136"/>
      <c r="IK6" s="136"/>
      <c r="IL6" s="136"/>
      <c r="IM6" s="136"/>
      <c r="IN6" s="136"/>
      <c r="IO6" s="136"/>
      <c r="IP6" s="136"/>
      <c r="IQ6" s="136"/>
      <c r="IR6" s="136"/>
      <c r="IS6" s="136"/>
      <c r="IT6" s="136"/>
      <c r="IU6" s="136"/>
      <c r="IV6" s="136"/>
      <c r="IW6" s="136"/>
      <c r="IX6" s="136"/>
      <c r="IY6" s="136"/>
      <c r="IZ6" s="136"/>
      <c r="JA6" s="136"/>
      <c r="JB6" s="136"/>
      <c r="JC6" s="136"/>
      <c r="JD6" s="136"/>
      <c r="JE6" s="136"/>
      <c r="JF6" s="136"/>
      <c r="JG6" s="136"/>
      <c r="JH6" s="136"/>
      <c r="JI6" s="136"/>
      <c r="JJ6" s="136"/>
      <c r="JK6" s="136"/>
      <c r="JL6" s="136"/>
      <c r="JM6" s="136"/>
      <c r="JN6" s="136"/>
      <c r="JO6" s="136"/>
      <c r="JP6" s="136"/>
      <c r="JQ6" s="136"/>
      <c r="JR6" s="136"/>
      <c r="JS6" s="136"/>
      <c r="JT6" s="136"/>
      <c r="JU6" s="136"/>
      <c r="JV6" s="136"/>
      <c r="JW6" s="136"/>
      <c r="JX6" s="136"/>
      <c r="JY6" s="136"/>
      <c r="JZ6" s="136"/>
      <c r="KA6" s="136"/>
      <c r="KB6" s="136"/>
      <c r="KC6" s="136"/>
      <c r="KD6" s="136"/>
      <c r="KE6" s="136"/>
      <c r="KF6" s="136"/>
      <c r="KG6" s="136"/>
      <c r="KH6" s="136"/>
      <c r="KI6" s="136"/>
      <c r="KJ6" s="136"/>
      <c r="KK6" s="136"/>
      <c r="KL6" s="136"/>
      <c r="KM6" s="136"/>
      <c r="KN6" s="136"/>
      <c r="KO6" s="136"/>
      <c r="KP6" s="136"/>
      <c r="KQ6" s="136"/>
      <c r="KR6" s="136"/>
      <c r="KS6" s="136"/>
      <c r="KT6" s="136"/>
      <c r="KU6" s="136"/>
      <c r="KV6" s="136"/>
      <c r="KW6" s="136"/>
      <c r="KX6" s="136"/>
      <c r="KY6" s="136"/>
      <c r="KZ6" s="136"/>
      <c r="LA6" s="136"/>
      <c r="LB6" s="136"/>
      <c r="LC6" s="136"/>
      <c r="LD6" s="136"/>
      <c r="LE6" s="136"/>
      <c r="LF6" s="136"/>
      <c r="LG6" s="136"/>
      <c r="LH6" s="136"/>
      <c r="LI6" s="136"/>
      <c r="LJ6" s="136"/>
      <c r="LK6" s="136"/>
      <c r="LL6" s="136"/>
      <c r="LM6" s="136"/>
      <c r="LN6" s="136"/>
      <c r="LO6" s="136"/>
      <c r="LP6" s="136"/>
      <c r="LQ6" s="136"/>
      <c r="LR6" s="136"/>
      <c r="LS6" s="136"/>
      <c r="LT6" s="136"/>
      <c r="LU6" s="136"/>
      <c r="LV6" s="136"/>
      <c r="LW6" s="136"/>
      <c r="LX6" s="136"/>
      <c r="LY6" s="136"/>
      <c r="LZ6" s="136"/>
      <c r="MA6" s="136"/>
      <c r="MB6" s="136"/>
      <c r="MC6" s="136"/>
      <c r="MD6" s="136"/>
      <c r="ME6" s="136"/>
      <c r="MF6" s="136"/>
      <c r="MG6" s="136"/>
      <c r="MH6" s="136"/>
      <c r="MI6" s="136"/>
      <c r="MJ6" s="136"/>
      <c r="MK6" s="136"/>
      <c r="ML6" s="136"/>
      <c r="MM6" s="136"/>
      <c r="MN6" s="136"/>
      <c r="MO6" s="136"/>
      <c r="MP6" s="136"/>
      <c r="MQ6" s="136"/>
      <c r="MR6" s="136"/>
      <c r="MS6" s="136"/>
      <c r="MT6" s="136"/>
      <c r="MU6" s="136"/>
      <c r="MV6" s="136"/>
      <c r="MW6" s="136"/>
      <c r="MX6" s="136"/>
      <c r="MY6" s="136"/>
      <c r="MZ6" s="136"/>
      <c r="NA6" s="136"/>
      <c r="NB6" s="136"/>
      <c r="NC6" s="136"/>
      <c r="ND6" s="136"/>
      <c r="NE6" s="136"/>
      <c r="NF6" s="136"/>
      <c r="NG6" s="136"/>
      <c r="NH6" s="136"/>
      <c r="NI6" s="136"/>
      <c r="NJ6" s="136"/>
      <c r="NK6" s="136"/>
      <c r="NL6" s="136"/>
      <c r="NM6" s="136"/>
      <c r="NN6" s="136"/>
      <c r="NO6" s="136"/>
      <c r="NP6" s="136"/>
      <c r="NQ6" s="136"/>
      <c r="NR6" s="136"/>
      <c r="NS6" s="136"/>
      <c r="NT6" s="136"/>
      <c r="NU6" s="136"/>
      <c r="NV6" s="136"/>
      <c r="NW6" s="136"/>
      <c r="NX6" s="136"/>
      <c r="NY6" s="136"/>
      <c r="NZ6" s="136"/>
      <c r="OA6" s="136"/>
      <c r="OB6" s="136"/>
      <c r="OC6" s="136"/>
      <c r="OD6" s="136"/>
      <c r="OE6" s="136"/>
      <c r="OF6" s="136"/>
      <c r="OG6" s="136"/>
      <c r="OH6" s="136"/>
      <c r="OI6" s="136"/>
      <c r="OJ6" s="136"/>
      <c r="OK6" s="136"/>
      <c r="OL6" s="136"/>
      <c r="OM6" s="136"/>
      <c r="ON6" s="136"/>
      <c r="OO6" s="136"/>
      <c r="OP6" s="136"/>
      <c r="OQ6" s="136"/>
      <c r="OR6" s="136"/>
      <c r="OS6" s="136"/>
      <c r="OT6" s="136"/>
      <c r="OU6" s="136"/>
      <c r="OV6" s="136"/>
      <c r="OW6" s="136"/>
      <c r="OX6" s="136"/>
      <c r="OY6" s="136"/>
      <c r="OZ6" s="136"/>
      <c r="PA6" s="136"/>
      <c r="PB6" s="136"/>
      <c r="PC6" s="136"/>
      <c r="PD6" s="136"/>
      <c r="PE6" s="136"/>
      <c r="PF6" s="136"/>
      <c r="PG6" s="136"/>
      <c r="PH6" s="136"/>
      <c r="PI6" s="136"/>
      <c r="PJ6" s="136"/>
      <c r="PK6" s="136"/>
      <c r="PL6" s="136"/>
      <c r="PM6" s="136"/>
      <c r="PN6" s="136"/>
      <c r="PO6" s="136"/>
      <c r="PP6" s="136"/>
      <c r="PQ6" s="136"/>
      <c r="PR6" s="136"/>
      <c r="PS6" s="136"/>
      <c r="PT6" s="136"/>
      <c r="PU6" s="136"/>
      <c r="PV6" s="136"/>
      <c r="PW6" s="136"/>
      <c r="PX6" s="136"/>
      <c r="PY6" s="136"/>
      <c r="PZ6" s="136"/>
      <c r="QA6" s="136"/>
      <c r="QB6" s="136"/>
      <c r="QC6" s="136"/>
      <c r="QD6" s="136"/>
      <c r="QE6" s="136"/>
      <c r="QF6" s="136"/>
      <c r="QG6" s="136"/>
      <c r="QH6" s="136"/>
      <c r="QI6" s="136"/>
      <c r="QJ6" s="136"/>
      <c r="QK6" s="136"/>
      <c r="QL6" s="136"/>
      <c r="QM6" s="136"/>
      <c r="QN6" s="136"/>
      <c r="QO6" s="136"/>
      <c r="QP6" s="136"/>
      <c r="QQ6" s="136"/>
      <c r="QR6" s="136"/>
      <c r="QS6" s="136"/>
      <c r="QT6" s="136"/>
      <c r="QU6" s="136"/>
      <c r="QV6" s="136"/>
      <c r="QW6" s="136"/>
      <c r="QX6" s="136"/>
      <c r="QY6" s="136"/>
      <c r="QZ6" s="136"/>
      <c r="RA6" s="136"/>
      <c r="RB6" s="136"/>
      <c r="RC6" s="136"/>
      <c r="RD6" s="136"/>
      <c r="RE6" s="136"/>
      <c r="RF6" s="136"/>
      <c r="RG6" s="136"/>
      <c r="RH6" s="136"/>
      <c r="RI6" s="136"/>
      <c r="RJ6" s="136"/>
      <c r="RK6" s="136"/>
      <c r="RL6" s="136"/>
      <c r="RM6" s="136"/>
      <c r="RN6" s="136"/>
      <c r="RO6" s="136"/>
      <c r="RP6" s="136"/>
      <c r="RQ6" s="136"/>
      <c r="RR6" s="136"/>
      <c r="RS6" s="136"/>
      <c r="RT6" s="136"/>
      <c r="RU6" s="136"/>
      <c r="RV6" s="136"/>
      <c r="RW6" s="136"/>
      <c r="RX6" s="136"/>
      <c r="RY6" s="136"/>
      <c r="RZ6" s="136"/>
      <c r="SA6" s="136"/>
      <c r="SB6" s="136"/>
      <c r="SC6" s="136"/>
      <c r="SD6" s="136"/>
      <c r="SE6" s="136"/>
      <c r="SF6" s="136"/>
      <c r="SG6" s="136"/>
      <c r="SH6" s="136"/>
      <c r="SI6" s="136"/>
      <c r="SJ6" s="136"/>
      <c r="SK6" s="136"/>
      <c r="SL6" s="136"/>
      <c r="SM6" s="136"/>
      <c r="SN6" s="136"/>
      <c r="SO6" s="136"/>
      <c r="SP6" s="136"/>
      <c r="SQ6" s="136"/>
      <c r="SR6" s="136"/>
      <c r="SS6" s="136"/>
      <c r="XFD6" s="141"/>
    </row>
    <row r="7" spans="1:513 16384:16384" s="135" customFormat="1" ht="14.5" x14ac:dyDescent="0.35"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  <c r="BH7" s="142"/>
      <c r="BI7" s="142"/>
      <c r="BJ7" s="142"/>
      <c r="BK7" s="142"/>
      <c r="BL7" s="142"/>
      <c r="BM7" s="142"/>
      <c r="BN7" s="142"/>
      <c r="BO7" s="142"/>
      <c r="BY7" s="141"/>
      <c r="BZ7" s="141"/>
      <c r="DO7" s="136"/>
      <c r="DP7" s="136"/>
      <c r="DQ7" s="136"/>
      <c r="DR7" s="136"/>
      <c r="DS7" s="136"/>
      <c r="DT7" s="136"/>
      <c r="DU7" s="136"/>
      <c r="DV7" s="136"/>
      <c r="DW7" s="136"/>
      <c r="DX7" s="136"/>
      <c r="DY7" s="136"/>
      <c r="DZ7" s="136"/>
      <c r="EA7" s="136"/>
      <c r="EB7" s="136"/>
      <c r="EC7" s="136"/>
      <c r="ED7" s="136"/>
      <c r="EE7" s="136"/>
      <c r="EF7" s="136"/>
      <c r="EG7" s="136"/>
      <c r="EH7" s="136"/>
      <c r="EI7" s="136"/>
      <c r="EJ7" s="136"/>
      <c r="EK7" s="136"/>
      <c r="EL7" s="136"/>
      <c r="EM7" s="136"/>
      <c r="EN7" s="136"/>
      <c r="EO7" s="136"/>
      <c r="EP7" s="136"/>
      <c r="EQ7" s="136"/>
      <c r="ER7" s="136"/>
      <c r="ES7" s="136"/>
      <c r="ET7" s="136"/>
      <c r="EU7" s="136"/>
      <c r="EV7" s="136"/>
      <c r="EW7" s="136"/>
      <c r="EX7" s="136"/>
      <c r="EY7" s="136"/>
      <c r="EZ7" s="136"/>
      <c r="FA7" s="136"/>
      <c r="FB7" s="136"/>
      <c r="FC7" s="136"/>
      <c r="FD7" s="136"/>
      <c r="FE7" s="136"/>
      <c r="FF7" s="136"/>
      <c r="FG7" s="136"/>
      <c r="FH7" s="136"/>
      <c r="FI7" s="136"/>
      <c r="FJ7" s="136"/>
      <c r="FK7" s="136"/>
      <c r="FL7" s="136"/>
      <c r="FM7" s="136"/>
      <c r="FN7" s="136"/>
      <c r="FO7" s="136"/>
      <c r="FP7" s="136"/>
      <c r="FQ7" s="136"/>
      <c r="FR7" s="136"/>
      <c r="FS7" s="136"/>
      <c r="FT7" s="136"/>
      <c r="FU7" s="136"/>
      <c r="FV7" s="136"/>
      <c r="FW7" s="136"/>
      <c r="FX7" s="136"/>
      <c r="FY7" s="136"/>
      <c r="FZ7" s="136"/>
      <c r="GA7" s="136"/>
      <c r="GB7" s="136"/>
      <c r="GC7" s="136"/>
      <c r="GD7" s="136"/>
      <c r="GE7" s="136"/>
      <c r="GF7" s="136"/>
      <c r="GG7" s="136"/>
      <c r="GH7" s="136"/>
      <c r="GI7" s="136"/>
      <c r="GJ7" s="136"/>
      <c r="GK7" s="136"/>
      <c r="GL7" s="136"/>
      <c r="GM7" s="136"/>
      <c r="GN7" s="136"/>
      <c r="GO7" s="136"/>
      <c r="GP7" s="136"/>
      <c r="GQ7" s="136"/>
      <c r="GR7" s="136"/>
      <c r="GS7" s="136"/>
      <c r="GT7" s="136"/>
      <c r="GU7" s="136"/>
      <c r="GV7" s="136"/>
      <c r="GW7" s="136"/>
      <c r="GX7" s="136"/>
      <c r="GY7" s="136"/>
      <c r="GZ7" s="136"/>
      <c r="HA7" s="136"/>
      <c r="HB7" s="136"/>
      <c r="HC7" s="136"/>
      <c r="HD7" s="136"/>
      <c r="HE7" s="136"/>
      <c r="HF7" s="136"/>
      <c r="HG7" s="136"/>
      <c r="HH7" s="136"/>
      <c r="HI7" s="136"/>
      <c r="HJ7" s="136"/>
      <c r="HK7" s="136"/>
      <c r="HL7" s="136"/>
      <c r="HM7" s="136"/>
      <c r="HN7" s="136"/>
      <c r="HO7" s="136"/>
      <c r="HP7" s="136"/>
      <c r="HQ7" s="136"/>
      <c r="HR7" s="136"/>
      <c r="HS7" s="136"/>
      <c r="HT7" s="136"/>
      <c r="HU7" s="136"/>
      <c r="HV7" s="136"/>
      <c r="HW7" s="136"/>
      <c r="HX7" s="136"/>
      <c r="HY7" s="136"/>
      <c r="HZ7" s="136"/>
      <c r="IA7" s="136"/>
      <c r="IB7" s="136"/>
      <c r="IC7" s="136"/>
      <c r="ID7" s="136"/>
      <c r="IE7" s="136"/>
      <c r="IF7" s="136"/>
      <c r="IG7" s="136"/>
      <c r="IH7" s="136"/>
      <c r="II7" s="136"/>
      <c r="IJ7" s="136"/>
      <c r="IK7" s="136"/>
      <c r="IL7" s="136"/>
      <c r="IM7" s="136"/>
      <c r="IN7" s="136"/>
      <c r="IO7" s="136"/>
      <c r="IP7" s="136"/>
      <c r="IQ7" s="136"/>
      <c r="IR7" s="136"/>
      <c r="IS7" s="136"/>
      <c r="IT7" s="136"/>
      <c r="IU7" s="136"/>
      <c r="IV7" s="136"/>
      <c r="IW7" s="136"/>
      <c r="IX7" s="136"/>
      <c r="IY7" s="136"/>
      <c r="IZ7" s="136"/>
      <c r="JA7" s="136"/>
      <c r="JB7" s="136"/>
      <c r="JC7" s="136"/>
      <c r="JD7" s="136"/>
      <c r="JE7" s="136"/>
      <c r="JF7" s="136"/>
      <c r="JG7" s="136"/>
      <c r="JH7" s="136"/>
      <c r="JI7" s="136"/>
      <c r="JJ7" s="136"/>
      <c r="JK7" s="136"/>
      <c r="JL7" s="136"/>
      <c r="JM7" s="136"/>
      <c r="JN7" s="136"/>
      <c r="JO7" s="136"/>
      <c r="JP7" s="136"/>
      <c r="JQ7" s="136"/>
      <c r="JR7" s="136"/>
      <c r="JS7" s="136"/>
      <c r="JT7" s="136"/>
      <c r="JU7" s="136"/>
      <c r="JV7" s="136"/>
      <c r="JW7" s="136"/>
      <c r="JX7" s="136"/>
      <c r="JY7" s="136"/>
      <c r="JZ7" s="136"/>
      <c r="KA7" s="136"/>
      <c r="KB7" s="136"/>
      <c r="KC7" s="136"/>
      <c r="KD7" s="136"/>
      <c r="KE7" s="136"/>
      <c r="KF7" s="136"/>
      <c r="KG7" s="136"/>
      <c r="KH7" s="136"/>
      <c r="KI7" s="136"/>
      <c r="KJ7" s="136"/>
      <c r="KK7" s="136"/>
      <c r="KL7" s="136"/>
      <c r="KM7" s="136"/>
      <c r="KN7" s="136"/>
      <c r="KO7" s="136"/>
      <c r="KP7" s="136"/>
      <c r="KQ7" s="136"/>
      <c r="KR7" s="136"/>
      <c r="KS7" s="136"/>
      <c r="KT7" s="136"/>
      <c r="KU7" s="136"/>
      <c r="KV7" s="136"/>
      <c r="KW7" s="136"/>
      <c r="KX7" s="136"/>
      <c r="KY7" s="136"/>
      <c r="KZ7" s="136"/>
      <c r="LA7" s="136"/>
      <c r="LB7" s="136"/>
      <c r="LC7" s="136"/>
      <c r="LD7" s="136"/>
      <c r="LE7" s="136"/>
      <c r="LF7" s="136"/>
      <c r="LG7" s="136"/>
      <c r="LH7" s="136"/>
      <c r="LI7" s="136"/>
      <c r="LJ7" s="136"/>
      <c r="LK7" s="136"/>
      <c r="LL7" s="136"/>
      <c r="LM7" s="136"/>
      <c r="LN7" s="136"/>
      <c r="LO7" s="136"/>
      <c r="LP7" s="136"/>
      <c r="LQ7" s="136"/>
      <c r="LR7" s="136"/>
      <c r="LS7" s="136"/>
      <c r="LT7" s="136"/>
      <c r="LU7" s="136"/>
      <c r="LV7" s="136"/>
      <c r="LW7" s="136"/>
      <c r="LX7" s="136"/>
      <c r="LY7" s="136"/>
      <c r="LZ7" s="136"/>
      <c r="MA7" s="136"/>
      <c r="MB7" s="136"/>
      <c r="MC7" s="136"/>
      <c r="MD7" s="136"/>
      <c r="ME7" s="136"/>
      <c r="MF7" s="136"/>
      <c r="MG7" s="136"/>
      <c r="MH7" s="136"/>
      <c r="MI7" s="136"/>
      <c r="MJ7" s="136"/>
      <c r="MK7" s="136"/>
      <c r="ML7" s="136"/>
      <c r="MM7" s="136"/>
      <c r="MN7" s="136"/>
      <c r="MO7" s="136"/>
      <c r="MP7" s="136"/>
      <c r="MQ7" s="136"/>
      <c r="MR7" s="136"/>
      <c r="MS7" s="136"/>
      <c r="MT7" s="136"/>
      <c r="MU7" s="136"/>
      <c r="MV7" s="136"/>
      <c r="MW7" s="136"/>
      <c r="MX7" s="136"/>
      <c r="MY7" s="136"/>
      <c r="MZ7" s="136"/>
      <c r="NA7" s="136"/>
      <c r="NB7" s="136"/>
      <c r="NC7" s="136"/>
      <c r="ND7" s="136"/>
      <c r="NE7" s="136"/>
      <c r="NF7" s="136"/>
      <c r="NG7" s="136"/>
      <c r="NH7" s="136"/>
      <c r="NI7" s="136"/>
      <c r="NJ7" s="136"/>
      <c r="NK7" s="136"/>
      <c r="NL7" s="136"/>
      <c r="NM7" s="136"/>
      <c r="NN7" s="136"/>
      <c r="NO7" s="136"/>
      <c r="NP7" s="136"/>
      <c r="NQ7" s="136"/>
      <c r="NR7" s="136"/>
      <c r="NS7" s="136"/>
      <c r="NT7" s="136"/>
      <c r="NU7" s="136"/>
      <c r="NV7" s="136"/>
      <c r="NW7" s="136"/>
      <c r="NX7" s="136"/>
      <c r="NY7" s="136"/>
      <c r="NZ7" s="136"/>
      <c r="OA7" s="136"/>
      <c r="OB7" s="136"/>
      <c r="OC7" s="136"/>
      <c r="OD7" s="136"/>
      <c r="OE7" s="136"/>
      <c r="OF7" s="136"/>
      <c r="OG7" s="136"/>
      <c r="OH7" s="136"/>
      <c r="OI7" s="136"/>
      <c r="OJ7" s="136"/>
      <c r="OK7" s="136"/>
      <c r="OL7" s="136"/>
      <c r="OM7" s="136"/>
      <c r="ON7" s="136"/>
      <c r="OO7" s="136"/>
      <c r="OP7" s="136"/>
      <c r="OQ7" s="136"/>
      <c r="OR7" s="136"/>
      <c r="OS7" s="136"/>
      <c r="OT7" s="136"/>
      <c r="OU7" s="136"/>
      <c r="OV7" s="136"/>
      <c r="OW7" s="136"/>
      <c r="OX7" s="136"/>
      <c r="OY7" s="136"/>
      <c r="OZ7" s="136"/>
      <c r="PA7" s="136"/>
      <c r="PB7" s="136"/>
      <c r="PC7" s="136"/>
      <c r="PD7" s="136"/>
      <c r="PE7" s="136"/>
      <c r="PF7" s="136"/>
      <c r="PG7" s="136"/>
      <c r="PH7" s="136"/>
      <c r="PI7" s="136"/>
      <c r="PJ7" s="136"/>
      <c r="PK7" s="136"/>
      <c r="PL7" s="136"/>
      <c r="PM7" s="136"/>
      <c r="PN7" s="136"/>
      <c r="PO7" s="136"/>
      <c r="PP7" s="136"/>
      <c r="PQ7" s="136"/>
      <c r="PR7" s="136"/>
      <c r="PS7" s="136"/>
      <c r="PT7" s="136"/>
      <c r="PU7" s="136"/>
      <c r="PV7" s="136"/>
      <c r="PW7" s="136"/>
      <c r="PX7" s="136"/>
      <c r="PY7" s="136"/>
      <c r="PZ7" s="136"/>
      <c r="QA7" s="136"/>
      <c r="QB7" s="136"/>
      <c r="QC7" s="136"/>
      <c r="QD7" s="136"/>
      <c r="QE7" s="136"/>
      <c r="QF7" s="136"/>
      <c r="QG7" s="136"/>
      <c r="QH7" s="136"/>
      <c r="QI7" s="136"/>
      <c r="QJ7" s="136"/>
      <c r="QK7" s="136"/>
      <c r="QL7" s="136"/>
      <c r="QM7" s="136"/>
      <c r="QN7" s="136"/>
      <c r="QO7" s="136"/>
      <c r="QP7" s="136"/>
      <c r="QQ7" s="136"/>
      <c r="QR7" s="136"/>
      <c r="QS7" s="136"/>
      <c r="QT7" s="136"/>
      <c r="QU7" s="136"/>
      <c r="QV7" s="136"/>
      <c r="QW7" s="136"/>
      <c r="QX7" s="136"/>
      <c r="QY7" s="136"/>
      <c r="QZ7" s="136"/>
      <c r="RA7" s="136"/>
      <c r="RB7" s="136"/>
      <c r="RC7" s="136"/>
      <c r="RD7" s="136"/>
      <c r="RE7" s="136"/>
      <c r="RF7" s="136"/>
      <c r="RG7" s="136"/>
      <c r="RH7" s="136"/>
      <c r="RI7" s="136"/>
      <c r="RJ7" s="136"/>
      <c r="RK7" s="136"/>
      <c r="RL7" s="136"/>
      <c r="RM7" s="136"/>
      <c r="RN7" s="136"/>
      <c r="RO7" s="136"/>
      <c r="RP7" s="136"/>
      <c r="RQ7" s="136"/>
      <c r="RR7" s="136"/>
      <c r="RS7" s="136"/>
      <c r="RT7" s="136"/>
      <c r="RU7" s="136"/>
      <c r="RV7" s="136"/>
      <c r="RW7" s="136"/>
      <c r="RX7" s="136"/>
      <c r="RY7" s="136"/>
      <c r="RZ7" s="136"/>
      <c r="SA7" s="136"/>
      <c r="SB7" s="136"/>
      <c r="SC7" s="136"/>
      <c r="SD7" s="136"/>
      <c r="SE7" s="136"/>
      <c r="SF7" s="136"/>
      <c r="SG7" s="136"/>
      <c r="SH7" s="136"/>
      <c r="SI7" s="136"/>
      <c r="SJ7" s="136"/>
      <c r="SK7" s="136"/>
      <c r="SL7" s="136"/>
      <c r="SM7" s="136"/>
      <c r="SN7" s="136"/>
      <c r="SO7" s="136"/>
      <c r="SP7" s="136"/>
      <c r="SQ7" s="136"/>
      <c r="SR7" s="136"/>
      <c r="SS7" s="136"/>
    </row>
    <row r="8" spans="1:513 16384:16384" s="135" customFormat="1" ht="14.5" x14ac:dyDescent="0.35">
      <c r="B8" s="135" t="s">
        <v>857</v>
      </c>
      <c r="C8" s="143" t="s">
        <v>858</v>
      </c>
      <c r="D8" s="142"/>
      <c r="E8" s="142"/>
      <c r="F8" s="142">
        <f>E9</f>
        <v>1163323</v>
      </c>
      <c r="G8" s="142">
        <f t="shared" ref="G8:O8" si="44">F9</f>
        <v>787372</v>
      </c>
      <c r="H8" s="142">
        <f t="shared" si="44"/>
        <v>516015</v>
      </c>
      <c r="I8" s="142">
        <f t="shared" si="44"/>
        <v>609038</v>
      </c>
      <c r="J8" s="142">
        <f t="shared" si="44"/>
        <v>482329</v>
      </c>
      <c r="K8" s="142">
        <f t="shared" si="44"/>
        <v>730017</v>
      </c>
      <c r="L8" s="142">
        <f t="shared" si="44"/>
        <v>274252</v>
      </c>
      <c r="M8" s="142">
        <f t="shared" si="44"/>
        <v>685169</v>
      </c>
      <c r="N8" s="142">
        <f t="shared" si="44"/>
        <v>680510</v>
      </c>
      <c r="O8" s="142">
        <f t="shared" si="44"/>
        <v>841213</v>
      </c>
      <c r="P8" s="141">
        <f>O9</f>
        <v>565918</v>
      </c>
      <c r="Q8" s="141">
        <f>P9</f>
        <v>903850</v>
      </c>
      <c r="R8" s="141">
        <f t="shared" ref="R8:BA8" si="45">Q9</f>
        <v>1593333</v>
      </c>
      <c r="S8" s="141">
        <f t="shared" si="45"/>
        <v>1055991</v>
      </c>
      <c r="T8" s="141">
        <f t="shared" si="45"/>
        <v>1198409</v>
      </c>
      <c r="U8" s="142">
        <f t="shared" si="45"/>
        <v>1020309</v>
      </c>
      <c r="V8" s="142">
        <f t="shared" si="45"/>
        <v>3422604</v>
      </c>
      <c r="W8" s="142">
        <f>V9</f>
        <v>2518462</v>
      </c>
      <c r="X8" s="142">
        <f>W9</f>
        <v>2456488</v>
      </c>
      <c r="Y8" s="142">
        <f t="shared" si="45"/>
        <v>1957620</v>
      </c>
      <c r="Z8" s="142">
        <f t="shared" ref="Z8:AG8" si="46">Y9</f>
        <v>1814205</v>
      </c>
      <c r="AA8" s="142">
        <f t="shared" si="46"/>
        <v>1778150</v>
      </c>
      <c r="AB8" s="172">
        <f t="shared" si="46"/>
        <v>1091588</v>
      </c>
      <c r="AC8" s="142">
        <f t="shared" si="46"/>
        <v>1049830</v>
      </c>
      <c r="AD8" s="142">
        <f t="shared" si="46"/>
        <v>809364</v>
      </c>
      <c r="AE8" s="172">
        <f t="shared" si="46"/>
        <v>1018625</v>
      </c>
      <c r="AF8" s="172">
        <f t="shared" si="46"/>
        <v>2326307</v>
      </c>
      <c r="AG8" s="172">
        <f t="shared" si="46"/>
        <v>2371052</v>
      </c>
      <c r="AH8" s="172">
        <f t="shared" si="45"/>
        <v>2564295</v>
      </c>
      <c r="AI8" s="172">
        <f t="shared" si="45"/>
        <v>3104267</v>
      </c>
      <c r="AJ8" s="142">
        <f t="shared" si="45"/>
        <v>2200819</v>
      </c>
      <c r="AK8" s="142">
        <f>AJ9</f>
        <v>1880413.7100000002</v>
      </c>
      <c r="AL8" s="142">
        <f t="shared" si="45"/>
        <v>1862349.87</v>
      </c>
      <c r="AM8" s="142">
        <f t="shared" si="45"/>
        <v>2094684.67</v>
      </c>
      <c r="AN8" s="172">
        <f t="shared" si="45"/>
        <v>1478972.91</v>
      </c>
      <c r="AO8" s="141">
        <f>AN9</f>
        <v>16244488.270000001</v>
      </c>
      <c r="AP8" s="141">
        <f>AO9</f>
        <v>14508405.91</v>
      </c>
      <c r="AQ8" s="141">
        <f t="shared" si="45"/>
        <v>13554211.710000001</v>
      </c>
      <c r="AR8" s="141">
        <f t="shared" si="45"/>
        <v>13513986.57</v>
      </c>
      <c r="AS8" s="141">
        <f t="shared" si="45"/>
        <v>12733605.9</v>
      </c>
      <c r="AT8" s="141">
        <f t="shared" si="45"/>
        <v>11946238.789999999</v>
      </c>
      <c r="AU8" s="141">
        <f t="shared" si="45"/>
        <v>11668910.18</v>
      </c>
      <c r="AV8" s="141">
        <f t="shared" si="45"/>
        <v>10625697.26</v>
      </c>
      <c r="AW8" s="141">
        <f t="shared" si="45"/>
        <v>9741402.1877967548</v>
      </c>
      <c r="AX8" s="141">
        <f t="shared" si="45"/>
        <v>14657634.539999999</v>
      </c>
      <c r="AY8" s="141">
        <f t="shared" si="45"/>
        <v>13372565.02</v>
      </c>
      <c r="AZ8" s="141">
        <f t="shared" si="45"/>
        <v>12983481.699999999</v>
      </c>
      <c r="BA8" s="141">
        <f t="shared" si="45"/>
        <v>12171162.170000004</v>
      </c>
      <c r="BB8" s="141">
        <f t="shared" ref="BB8:BL8" si="47">BA9</f>
        <v>10616371.91</v>
      </c>
      <c r="BC8" s="141">
        <f t="shared" si="47"/>
        <v>10026678.109999999</v>
      </c>
      <c r="BD8" s="141">
        <f t="shared" si="47"/>
        <v>9613613.3599999994</v>
      </c>
      <c r="BE8" s="141">
        <f t="shared" si="47"/>
        <v>8505448.3900000006</v>
      </c>
      <c r="BF8" s="141">
        <f t="shared" si="47"/>
        <v>7927932.2400000002</v>
      </c>
      <c r="BG8" s="141">
        <f>BF9</f>
        <v>8765841.25</v>
      </c>
      <c r="BH8" s="141">
        <f>BG9</f>
        <v>8310817.6399999997</v>
      </c>
      <c r="BI8" s="141">
        <f t="shared" si="47"/>
        <v>12024752.77</v>
      </c>
      <c r="BJ8" s="141">
        <f t="shared" si="47"/>
        <v>10392750.890000001</v>
      </c>
      <c r="BK8" s="141">
        <f t="shared" si="47"/>
        <v>9923628</v>
      </c>
      <c r="BL8" s="141">
        <f t="shared" si="47"/>
        <v>9047234</v>
      </c>
      <c r="BM8" s="141">
        <f t="shared" ref="BM8" si="48">BL9</f>
        <v>8442636.9970905259</v>
      </c>
      <c r="BN8" s="141">
        <f t="shared" ref="BN8" si="49">BM9</f>
        <v>9129620.5600000005</v>
      </c>
      <c r="BO8" s="141">
        <f t="shared" ref="BO8" si="50">BN9</f>
        <v>7920374.9900000002</v>
      </c>
      <c r="BP8" s="141">
        <f t="shared" ref="BP8" si="51">BO9</f>
        <v>7017717.7000000002</v>
      </c>
      <c r="BQ8" s="141">
        <f t="shared" ref="BQ8:BR8" si="52">BP9</f>
        <v>6130834.8700000001</v>
      </c>
      <c r="BR8" s="141">
        <f t="shared" si="52"/>
        <v>6464107.8099999996</v>
      </c>
      <c r="BS8" s="141">
        <f t="shared" ref="BS8" si="53">BR9</f>
        <v>5559138.8300000001</v>
      </c>
      <c r="BT8" s="141">
        <f t="shared" ref="BT8" si="54">BS9</f>
        <v>6089186.7224634904</v>
      </c>
      <c r="BU8" s="141">
        <f t="shared" ref="BU8" si="55">BT9</f>
        <v>5673591.8027059296</v>
      </c>
      <c r="BV8" s="141">
        <f t="shared" ref="BV8" si="56">BU9</f>
        <v>5295596.6294021904</v>
      </c>
      <c r="BW8" s="142">
        <f t="shared" ref="BW8" si="57">BV9</f>
        <v>4633664.0963715902</v>
      </c>
      <c r="BX8" s="141">
        <f t="shared" ref="BX8" si="58">BW9</f>
        <v>4671824.5761107868</v>
      </c>
      <c r="BY8" s="141">
        <f t="shared" ref="BY8:CJ8" si="59">BX9</f>
        <v>4143324.3771296595</v>
      </c>
      <c r="BZ8" s="141">
        <f t="shared" si="59"/>
        <v>4385626.7420543507</v>
      </c>
      <c r="CA8" s="141">
        <f t="shared" si="59"/>
        <v>3197701.6310328082</v>
      </c>
      <c r="CB8" s="141">
        <f t="shared" si="59"/>
        <v>2605792.4845970962</v>
      </c>
      <c r="CC8" s="142">
        <f t="shared" si="59"/>
        <v>2759175.6884436202</v>
      </c>
      <c r="CD8" s="142">
        <f>CC9</f>
        <v>2468764.0496096662</v>
      </c>
      <c r="CE8" s="141">
        <f t="shared" si="59"/>
        <v>2353140.2950251303</v>
      </c>
      <c r="CF8" s="141">
        <f>CE9</f>
        <v>3130310.5620051571</v>
      </c>
      <c r="CG8" s="141">
        <f>CF9</f>
        <v>4255112.0310622267</v>
      </c>
      <c r="CH8" s="141">
        <f t="shared" si="59"/>
        <v>3428321.744589733</v>
      </c>
      <c r="CI8" s="141">
        <f t="shared" si="59"/>
        <v>3045742.2727231313</v>
      </c>
      <c r="CJ8" s="141">
        <f t="shared" si="59"/>
        <v>2351182.9401169033</v>
      </c>
      <c r="CK8" s="142">
        <f t="shared" ref="CK8" si="60">CJ9</f>
        <v>4672940.0991020957</v>
      </c>
      <c r="CL8" s="142">
        <f t="shared" ref="CL8" si="61">CK9</f>
        <v>3906031.7634248561</v>
      </c>
      <c r="CM8" s="142">
        <f t="shared" ref="CM8:CN8" si="62">CL9</f>
        <v>3099115.2867071331</v>
      </c>
      <c r="CN8" s="142">
        <f t="shared" si="62"/>
        <v>2832541.2929573487</v>
      </c>
      <c r="CO8" s="142">
        <f>CN9</f>
        <v>2467098.4919532258</v>
      </c>
      <c r="CP8" s="142">
        <f t="shared" ref="CP8:CQ8" si="63">CO9</f>
        <v>2427631.8500138111</v>
      </c>
      <c r="CQ8" s="142">
        <f t="shared" si="63"/>
        <v>2537064.2252016263</v>
      </c>
      <c r="CR8" s="142">
        <f t="shared" ref="CR8" si="64">CQ9</f>
        <v>3301624.9456113772</v>
      </c>
      <c r="CS8" s="142">
        <f t="shared" ref="CS8" si="65">CR9</f>
        <v>3285212.9272379051</v>
      </c>
      <c r="CT8" s="142">
        <f t="shared" ref="CT8" si="66">CS9</f>
        <v>2603949.8638108419</v>
      </c>
      <c r="CU8" s="142">
        <f t="shared" ref="CU8" si="67">CT9</f>
        <v>2430217.6833325624</v>
      </c>
      <c r="CV8" s="142">
        <f t="shared" ref="CV8" si="68">CU9</f>
        <v>1775501.8466863192</v>
      </c>
      <c r="CW8" s="142">
        <f t="shared" ref="CW8" si="69">CV9</f>
        <v>3096169.7488773288</v>
      </c>
      <c r="CX8" s="142">
        <f t="shared" ref="CX8" si="70">CW9</f>
        <v>3146355.31614932</v>
      </c>
      <c r="CY8" s="142">
        <f t="shared" ref="CY8" si="71">CX9</f>
        <v>4773852.065736643</v>
      </c>
      <c r="CZ8" s="142">
        <f t="shared" ref="CZ8" si="72">CY9</f>
        <v>3153091.4025868936</v>
      </c>
      <c r="DA8" s="142">
        <f t="shared" ref="DA8" si="73">CZ9</f>
        <v>2983573.3676714716</v>
      </c>
      <c r="DB8" s="142">
        <f t="shared" ref="DB8" si="74">DA9</f>
        <v>2916443.9523461554</v>
      </c>
      <c r="DC8" s="142"/>
      <c r="DO8" s="136"/>
      <c r="DP8" s="136"/>
      <c r="DQ8" s="136"/>
      <c r="DR8" s="136"/>
      <c r="DS8" s="136"/>
      <c r="DT8" s="136"/>
      <c r="DU8" s="136"/>
      <c r="DV8" s="136"/>
      <c r="DW8" s="136"/>
      <c r="DX8" s="136"/>
      <c r="DY8" s="136"/>
      <c r="DZ8" s="136"/>
      <c r="EA8" s="136"/>
      <c r="EB8" s="136"/>
      <c r="EC8" s="136"/>
      <c r="ED8" s="136"/>
      <c r="EE8" s="136"/>
      <c r="EF8" s="136"/>
      <c r="EG8" s="136"/>
      <c r="EH8" s="136"/>
      <c r="EI8" s="136"/>
      <c r="EJ8" s="136"/>
      <c r="EK8" s="136"/>
      <c r="EL8" s="136"/>
      <c r="EM8" s="136"/>
      <c r="EN8" s="136"/>
      <c r="EO8" s="136"/>
      <c r="EP8" s="136"/>
      <c r="EQ8" s="136"/>
      <c r="ER8" s="136"/>
      <c r="ES8" s="136"/>
      <c r="ET8" s="136"/>
      <c r="EU8" s="136"/>
      <c r="EV8" s="136"/>
      <c r="EW8" s="136"/>
      <c r="EX8" s="136"/>
      <c r="EY8" s="136"/>
      <c r="EZ8" s="136"/>
      <c r="FA8" s="136"/>
      <c r="FB8" s="136"/>
      <c r="FC8" s="136"/>
      <c r="FD8" s="136"/>
      <c r="FE8" s="136"/>
      <c r="FF8" s="136"/>
      <c r="FG8" s="136"/>
      <c r="FH8" s="136"/>
      <c r="FI8" s="136"/>
      <c r="FJ8" s="136"/>
      <c r="FK8" s="136"/>
      <c r="FL8" s="136"/>
      <c r="FM8" s="136"/>
      <c r="FN8" s="136"/>
      <c r="FO8" s="136"/>
      <c r="FP8" s="136"/>
      <c r="FQ8" s="136"/>
      <c r="FR8" s="136"/>
      <c r="FS8" s="136"/>
      <c r="FT8" s="136"/>
      <c r="FU8" s="136"/>
      <c r="FV8" s="136"/>
      <c r="FW8" s="136"/>
      <c r="FX8" s="136"/>
      <c r="FY8" s="136"/>
      <c r="FZ8" s="136"/>
      <c r="GA8" s="136"/>
      <c r="GB8" s="136"/>
      <c r="GC8" s="136"/>
      <c r="GD8" s="136"/>
      <c r="GE8" s="136"/>
      <c r="GF8" s="136"/>
      <c r="GG8" s="136"/>
      <c r="GH8" s="136"/>
      <c r="GI8" s="136"/>
      <c r="GJ8" s="136"/>
      <c r="GK8" s="136"/>
      <c r="GL8" s="136"/>
      <c r="GM8" s="136"/>
      <c r="GN8" s="136"/>
      <c r="GO8" s="136"/>
      <c r="GP8" s="136"/>
      <c r="GQ8" s="136"/>
      <c r="GR8" s="136"/>
      <c r="GS8" s="136"/>
      <c r="GT8" s="136"/>
      <c r="GU8" s="136"/>
      <c r="GV8" s="136"/>
      <c r="GW8" s="136"/>
      <c r="GX8" s="136"/>
      <c r="GY8" s="136"/>
      <c r="GZ8" s="136"/>
      <c r="HA8" s="136"/>
      <c r="HB8" s="136"/>
      <c r="HC8" s="136"/>
      <c r="HD8" s="136"/>
      <c r="HE8" s="136"/>
      <c r="HF8" s="136"/>
      <c r="HG8" s="136"/>
      <c r="HH8" s="136"/>
      <c r="HI8" s="136"/>
      <c r="HJ8" s="136"/>
      <c r="HK8" s="136"/>
      <c r="HL8" s="136"/>
      <c r="HM8" s="136"/>
      <c r="HN8" s="136"/>
      <c r="HO8" s="136"/>
      <c r="HP8" s="136"/>
      <c r="HQ8" s="136"/>
      <c r="HR8" s="136"/>
      <c r="HS8" s="136"/>
      <c r="HT8" s="136"/>
      <c r="HU8" s="136"/>
      <c r="HV8" s="136"/>
      <c r="HW8" s="136"/>
      <c r="HX8" s="136"/>
      <c r="HY8" s="136"/>
      <c r="HZ8" s="136"/>
      <c r="IA8" s="136"/>
      <c r="IB8" s="136"/>
      <c r="IC8" s="136"/>
      <c r="ID8" s="136"/>
      <c r="IE8" s="136"/>
      <c r="IF8" s="136"/>
      <c r="IG8" s="136"/>
      <c r="IH8" s="136"/>
      <c r="II8" s="136"/>
      <c r="IJ8" s="136"/>
      <c r="IK8" s="136"/>
      <c r="IL8" s="136"/>
      <c r="IM8" s="136"/>
      <c r="IN8" s="136"/>
      <c r="IO8" s="136"/>
      <c r="IP8" s="136"/>
      <c r="IQ8" s="136"/>
      <c r="IR8" s="136"/>
      <c r="IS8" s="136"/>
      <c r="IT8" s="136"/>
      <c r="IU8" s="136"/>
      <c r="IV8" s="136"/>
      <c r="IW8" s="136"/>
      <c r="IX8" s="136"/>
      <c r="IY8" s="136"/>
      <c r="IZ8" s="136"/>
      <c r="JA8" s="136"/>
      <c r="JB8" s="136"/>
      <c r="JC8" s="136"/>
      <c r="JD8" s="136"/>
      <c r="JE8" s="136"/>
      <c r="JF8" s="136"/>
      <c r="JG8" s="136"/>
      <c r="JH8" s="136"/>
      <c r="JI8" s="136"/>
      <c r="JJ8" s="136"/>
      <c r="JK8" s="136"/>
      <c r="JL8" s="136"/>
      <c r="JM8" s="136"/>
      <c r="JN8" s="136"/>
      <c r="JO8" s="136"/>
      <c r="JP8" s="136"/>
      <c r="JQ8" s="136"/>
      <c r="JR8" s="136"/>
      <c r="JS8" s="136"/>
      <c r="JT8" s="136"/>
      <c r="JU8" s="136"/>
      <c r="JV8" s="136"/>
      <c r="JW8" s="136"/>
      <c r="JX8" s="136"/>
      <c r="JY8" s="136"/>
      <c r="JZ8" s="136"/>
      <c r="KA8" s="136"/>
      <c r="KB8" s="136"/>
      <c r="KC8" s="136"/>
      <c r="KD8" s="136"/>
      <c r="KE8" s="136"/>
      <c r="KF8" s="136"/>
      <c r="KG8" s="136"/>
      <c r="KH8" s="136"/>
      <c r="KI8" s="136"/>
      <c r="KJ8" s="136"/>
      <c r="KK8" s="136"/>
      <c r="KL8" s="136"/>
      <c r="KM8" s="136"/>
      <c r="KN8" s="136"/>
      <c r="KO8" s="136"/>
      <c r="KP8" s="136"/>
      <c r="KQ8" s="136"/>
      <c r="KR8" s="136"/>
      <c r="KS8" s="136"/>
      <c r="KT8" s="136"/>
      <c r="KU8" s="136"/>
      <c r="KV8" s="136"/>
      <c r="KW8" s="136"/>
      <c r="KX8" s="136"/>
      <c r="KY8" s="136"/>
      <c r="KZ8" s="136"/>
      <c r="LA8" s="136"/>
      <c r="LB8" s="136"/>
      <c r="LC8" s="136"/>
      <c r="LD8" s="136"/>
      <c r="LE8" s="136"/>
      <c r="LF8" s="136"/>
      <c r="LG8" s="136"/>
      <c r="LH8" s="136"/>
      <c r="LI8" s="136"/>
      <c r="LJ8" s="136"/>
      <c r="LK8" s="136"/>
      <c r="LL8" s="136"/>
      <c r="LM8" s="136"/>
      <c r="LN8" s="136"/>
      <c r="LO8" s="136"/>
      <c r="LP8" s="136"/>
      <c r="LQ8" s="136"/>
      <c r="LR8" s="136"/>
      <c r="LS8" s="136"/>
      <c r="LT8" s="136"/>
      <c r="LU8" s="136"/>
      <c r="LV8" s="136"/>
      <c r="LW8" s="136"/>
      <c r="LX8" s="136"/>
      <c r="LY8" s="136"/>
      <c r="LZ8" s="136"/>
      <c r="MA8" s="136"/>
      <c r="MB8" s="136"/>
      <c r="MC8" s="136"/>
      <c r="MD8" s="136"/>
      <c r="ME8" s="136"/>
      <c r="MF8" s="136"/>
      <c r="MG8" s="136"/>
      <c r="MH8" s="136"/>
      <c r="MI8" s="136"/>
      <c r="MJ8" s="136"/>
      <c r="MK8" s="136"/>
      <c r="ML8" s="136"/>
      <c r="MM8" s="136"/>
      <c r="MN8" s="136"/>
      <c r="MO8" s="136"/>
      <c r="MP8" s="136"/>
      <c r="MQ8" s="136"/>
      <c r="MR8" s="136"/>
      <c r="MS8" s="136"/>
      <c r="MT8" s="136"/>
      <c r="MU8" s="136"/>
      <c r="MV8" s="136"/>
      <c r="MW8" s="136"/>
      <c r="MX8" s="136"/>
      <c r="MY8" s="136"/>
      <c r="MZ8" s="136"/>
      <c r="NA8" s="136"/>
      <c r="NB8" s="136"/>
      <c r="NC8" s="136"/>
      <c r="ND8" s="136"/>
      <c r="NE8" s="136"/>
      <c r="NF8" s="136"/>
      <c r="NG8" s="136"/>
      <c r="NH8" s="136"/>
      <c r="NI8" s="136"/>
      <c r="NJ8" s="136"/>
      <c r="NK8" s="136"/>
      <c r="NL8" s="136"/>
      <c r="NM8" s="136"/>
      <c r="NN8" s="136"/>
      <c r="NO8" s="136"/>
      <c r="NP8" s="136"/>
      <c r="NQ8" s="136"/>
      <c r="NR8" s="136"/>
      <c r="NS8" s="136"/>
      <c r="NT8" s="136"/>
      <c r="NU8" s="136"/>
      <c r="NV8" s="136"/>
      <c r="NW8" s="136"/>
      <c r="NX8" s="136"/>
      <c r="NY8" s="136"/>
      <c r="NZ8" s="136"/>
      <c r="OA8" s="136"/>
      <c r="OB8" s="136"/>
      <c r="OC8" s="136"/>
      <c r="OD8" s="136"/>
      <c r="OE8" s="136"/>
      <c r="OF8" s="136"/>
      <c r="OG8" s="136"/>
      <c r="OH8" s="136"/>
      <c r="OI8" s="136"/>
      <c r="OJ8" s="136"/>
      <c r="OK8" s="136"/>
      <c r="OL8" s="136"/>
      <c r="OM8" s="136"/>
      <c r="ON8" s="136"/>
      <c r="OO8" s="136"/>
      <c r="OP8" s="136"/>
      <c r="OQ8" s="136"/>
      <c r="OR8" s="136"/>
      <c r="OS8" s="136"/>
      <c r="OT8" s="136"/>
      <c r="OU8" s="136"/>
      <c r="OV8" s="136"/>
      <c r="OW8" s="136"/>
      <c r="OX8" s="136"/>
      <c r="OY8" s="136"/>
      <c r="OZ8" s="136"/>
      <c r="PA8" s="136"/>
      <c r="PB8" s="136"/>
      <c r="PC8" s="136"/>
      <c r="PD8" s="136"/>
      <c r="PE8" s="136"/>
      <c r="PF8" s="136"/>
      <c r="PG8" s="136"/>
      <c r="PH8" s="136"/>
      <c r="PI8" s="136"/>
      <c r="PJ8" s="136"/>
      <c r="PK8" s="136"/>
      <c r="PL8" s="136"/>
      <c r="PM8" s="136"/>
      <c r="PN8" s="136"/>
      <c r="PO8" s="136"/>
      <c r="PP8" s="136"/>
      <c r="PQ8" s="136"/>
      <c r="PR8" s="136"/>
      <c r="PS8" s="136"/>
      <c r="PT8" s="136"/>
      <c r="PU8" s="136"/>
      <c r="PV8" s="136"/>
      <c r="PW8" s="136"/>
      <c r="PX8" s="136"/>
      <c r="PY8" s="136"/>
      <c r="PZ8" s="136"/>
      <c r="QA8" s="136"/>
      <c r="QB8" s="136"/>
      <c r="QC8" s="136"/>
      <c r="QD8" s="136"/>
      <c r="QE8" s="136"/>
      <c r="QF8" s="136"/>
      <c r="QG8" s="136"/>
      <c r="QH8" s="136"/>
      <c r="QI8" s="136"/>
      <c r="QJ8" s="136"/>
      <c r="QK8" s="136"/>
      <c r="QL8" s="136"/>
      <c r="QM8" s="136"/>
      <c r="QN8" s="136"/>
      <c r="QO8" s="136"/>
      <c r="QP8" s="136"/>
      <c r="QQ8" s="136"/>
      <c r="QR8" s="136"/>
      <c r="QS8" s="136"/>
      <c r="QT8" s="136"/>
      <c r="QU8" s="136"/>
      <c r="QV8" s="136"/>
      <c r="QW8" s="136"/>
      <c r="QX8" s="136"/>
      <c r="QY8" s="136"/>
      <c r="QZ8" s="136"/>
      <c r="RA8" s="136"/>
      <c r="RB8" s="136"/>
      <c r="RC8" s="136"/>
      <c r="RD8" s="136"/>
      <c r="RE8" s="136"/>
      <c r="RF8" s="136"/>
      <c r="RG8" s="136"/>
      <c r="RH8" s="136"/>
      <c r="RI8" s="136"/>
      <c r="RJ8" s="136"/>
      <c r="RK8" s="136"/>
      <c r="RL8" s="136"/>
      <c r="RM8" s="136"/>
      <c r="RN8" s="136"/>
      <c r="RO8" s="136"/>
      <c r="RP8" s="136"/>
      <c r="RQ8" s="136"/>
      <c r="RR8" s="136"/>
      <c r="RS8" s="136"/>
      <c r="RT8" s="136"/>
      <c r="RU8" s="136"/>
      <c r="RV8" s="136"/>
      <c r="RW8" s="136"/>
      <c r="RX8" s="136"/>
      <c r="RY8" s="136"/>
      <c r="RZ8" s="136"/>
      <c r="SA8" s="136"/>
      <c r="SB8" s="136"/>
      <c r="SC8" s="136"/>
      <c r="SD8" s="136"/>
      <c r="SE8" s="136"/>
      <c r="SF8" s="136"/>
      <c r="SG8" s="136"/>
      <c r="SH8" s="136"/>
      <c r="SI8" s="136"/>
      <c r="SJ8" s="136"/>
      <c r="SK8" s="136"/>
      <c r="SL8" s="136"/>
      <c r="SM8" s="136"/>
      <c r="SN8" s="136"/>
      <c r="SO8" s="136"/>
      <c r="SP8" s="136"/>
      <c r="SQ8" s="136"/>
      <c r="SR8" s="136"/>
      <c r="SS8" s="136"/>
    </row>
    <row r="9" spans="1:513 16384:16384" s="135" customFormat="1" ht="14.5" x14ac:dyDescent="0.35">
      <c r="B9" s="135" t="s">
        <v>859</v>
      </c>
      <c r="C9" s="143" t="s">
        <v>858</v>
      </c>
      <c r="D9" s="142"/>
      <c r="E9" s="142">
        <f>'Financial statements'!BR117</f>
        <v>1163323</v>
      </c>
      <c r="F9" s="142">
        <f>'Financial statements'!BS117</f>
        <v>787372</v>
      </c>
      <c r="G9" s="142">
        <f>'Financial statements'!BT117</f>
        <v>516015</v>
      </c>
      <c r="H9" s="142">
        <f>'Financial statements'!BU117</f>
        <v>609038</v>
      </c>
      <c r="I9" s="142">
        <f>'Financial statements'!BV117</f>
        <v>482329</v>
      </c>
      <c r="J9" s="142">
        <f>'Financial statements'!BW117</f>
        <v>730017</v>
      </c>
      <c r="K9" s="142">
        <f>'Financial statements'!BX117</f>
        <v>274252</v>
      </c>
      <c r="L9" s="142">
        <f>'Financial statements'!BY117</f>
        <v>685169</v>
      </c>
      <c r="M9" s="142">
        <f>'Financial statements'!BZ117</f>
        <v>680510</v>
      </c>
      <c r="N9" s="142">
        <f>'Financial statements'!CA117</f>
        <v>841213</v>
      </c>
      <c r="O9" s="142">
        <f>'Financial statements'!CB117</f>
        <v>565918</v>
      </c>
      <c r="P9" s="150">
        <f>'Financial statements'!CC117</f>
        <v>903850</v>
      </c>
      <c r="Q9" s="150">
        <f>'Financial statements'!CD117</f>
        <v>1593333</v>
      </c>
      <c r="R9" s="150">
        <f>'Financial statements'!CE117</f>
        <v>1055991</v>
      </c>
      <c r="S9" s="150">
        <f>'Financial statements'!CF117</f>
        <v>1198409</v>
      </c>
      <c r="T9" s="150">
        <f>'Financial statements'!CG117</f>
        <v>1020309</v>
      </c>
      <c r="U9" s="202">
        <f>'Financial statements'!CH117</f>
        <v>3422604</v>
      </c>
      <c r="V9" s="202">
        <f>'Financial statements'!CI117</f>
        <v>2518462</v>
      </c>
      <c r="W9" s="202">
        <f>'Financial statements'!CJ117</f>
        <v>2456488</v>
      </c>
      <c r="X9" s="202">
        <f>'Financial statements'!CK117</f>
        <v>1957620</v>
      </c>
      <c r="Y9" s="202">
        <f>'Financial statements'!CL117</f>
        <v>1814205</v>
      </c>
      <c r="Z9" s="202">
        <f>'Financial statements'!CM117</f>
        <v>1778150</v>
      </c>
      <c r="AA9" s="202">
        <f>'Financial statements'!CN117</f>
        <v>1091588</v>
      </c>
      <c r="AB9" s="202">
        <f>'Financial statements'!CO117</f>
        <v>1049830</v>
      </c>
      <c r="AC9" s="202">
        <f>'Financial statements'!CP117</f>
        <v>809364</v>
      </c>
      <c r="AD9" s="202">
        <f>'Financial statements'!CQ117</f>
        <v>1018625</v>
      </c>
      <c r="AE9" s="202">
        <f>'Financial statements'!CR117</f>
        <v>2326307</v>
      </c>
      <c r="AF9" s="202">
        <f>'Financial statements'!CS117</f>
        <v>2371052</v>
      </c>
      <c r="AG9" s="202">
        <f>'Financial statements'!CT117</f>
        <v>2564295</v>
      </c>
      <c r="AH9" s="202">
        <f>'Financial statements'!CU117</f>
        <v>3104267</v>
      </c>
      <c r="AI9" s="202">
        <f>'Financial statements'!CV117</f>
        <v>2200819</v>
      </c>
      <c r="AJ9" s="202">
        <f>'Financial statements'!CW117</f>
        <v>1880413.7100000002</v>
      </c>
      <c r="AK9" s="202">
        <f>'Financial statements'!CX117</f>
        <v>1862349.87</v>
      </c>
      <c r="AL9" s="202">
        <f>'Financial statements'!CY117</f>
        <v>2094684.67</v>
      </c>
      <c r="AM9" s="202">
        <f>'Financial statements'!CZ117</f>
        <v>1478972.91</v>
      </c>
      <c r="AN9" s="202">
        <f>'Financial statements'!DA117</f>
        <v>16244488.270000001</v>
      </c>
      <c r="AO9" s="150">
        <f>'Financial statements'!DB117</f>
        <v>14508405.91</v>
      </c>
      <c r="AP9" s="150">
        <f>'Financial statements'!DC117</f>
        <v>13554211.710000001</v>
      </c>
      <c r="AQ9" s="150">
        <f>'Financial statements'!DD117</f>
        <v>13513986.57</v>
      </c>
      <c r="AR9" s="150">
        <f>'Financial statements'!DE117</f>
        <v>12733605.9</v>
      </c>
      <c r="AS9" s="150">
        <f>'Financial statements'!DF117</f>
        <v>11946238.789999999</v>
      </c>
      <c r="AT9" s="150">
        <f>'Financial statements'!DG117</f>
        <v>11668910.18</v>
      </c>
      <c r="AU9" s="150">
        <f>'Financial statements'!DH117</f>
        <v>10625697.26</v>
      </c>
      <c r="AV9" s="150">
        <f>'Financial statements'!DI117</f>
        <v>9741402.1877967548</v>
      </c>
      <c r="AW9" s="150">
        <f>'Financial statements'!DJ117</f>
        <v>14657634.539999999</v>
      </c>
      <c r="AX9" s="150">
        <f>'Financial statements'!DK117</f>
        <v>13372565.02</v>
      </c>
      <c r="AY9" s="150">
        <f>'Financial statements'!DL117</f>
        <v>12983481.699999999</v>
      </c>
      <c r="AZ9" s="150">
        <f>'Financial statements'!DM117</f>
        <v>12171162.170000004</v>
      </c>
      <c r="BA9" s="150">
        <f>'Financial statements'!DN117</f>
        <v>10616371.91</v>
      </c>
      <c r="BB9" s="150">
        <f>'Financial statements'!DO117</f>
        <v>10026678.109999999</v>
      </c>
      <c r="BC9" s="150">
        <f>'Financial statements'!DP117</f>
        <v>9613613.3599999994</v>
      </c>
      <c r="BD9" s="150">
        <f>'Financial statements'!DQ117</f>
        <v>8505448.3900000006</v>
      </c>
      <c r="BE9" s="150">
        <f>'Financial statements'!DR117</f>
        <v>7927932.2400000002</v>
      </c>
      <c r="BF9" s="150">
        <f>'Financial statements'!DS117</f>
        <v>8765841.25</v>
      </c>
      <c r="BG9" s="150">
        <f>'Financial statements'!DT117</f>
        <v>8310817.6399999997</v>
      </c>
      <c r="BH9" s="150">
        <f>'Financial statements'!DU117</f>
        <v>12024752.77</v>
      </c>
      <c r="BI9" s="150">
        <f>'Financial statements'!DV117</f>
        <v>10392750.890000001</v>
      </c>
      <c r="BJ9" s="150">
        <f>'Financial statements'!DW117</f>
        <v>9923628</v>
      </c>
      <c r="BK9" s="150">
        <f>'Financial statements'!DX117</f>
        <v>9047234</v>
      </c>
      <c r="BL9" s="150">
        <f>'Financial statements'!DY117</f>
        <v>8442636.9970905259</v>
      </c>
      <c r="BM9" s="150">
        <f>'Financial statements'!DZ117</f>
        <v>9129620.5600000005</v>
      </c>
      <c r="BN9" s="150">
        <f>'Financial statements'!EA117</f>
        <v>7920374.9900000002</v>
      </c>
      <c r="BO9" s="150">
        <f>'Financial statements'!EB117</f>
        <v>7017717.7000000002</v>
      </c>
      <c r="BP9" s="150">
        <f>'Financial statements'!EC117</f>
        <v>6130834.8700000001</v>
      </c>
      <c r="BQ9" s="150">
        <f>'Financial statements'!ED117</f>
        <v>6464107.8099999996</v>
      </c>
      <c r="BR9" s="150">
        <f>'Financial statements'!EE117</f>
        <v>5559138.8300000001</v>
      </c>
      <c r="BS9" s="141">
        <f>'Financial statements'!EF117</f>
        <v>6089186.7224634904</v>
      </c>
      <c r="BT9" s="141">
        <f>'Financial statements'!EG117</f>
        <v>5673591.8027059296</v>
      </c>
      <c r="BU9" s="141">
        <f>'Financial statements'!EH117</f>
        <v>5295596.6294021904</v>
      </c>
      <c r="BV9" s="141">
        <f>'Financial statements'!EI117</f>
        <v>4633664.0963715902</v>
      </c>
      <c r="BW9" s="142">
        <f>'Financial statements'!EJ117</f>
        <v>4671824.5761107868</v>
      </c>
      <c r="BX9" s="142">
        <f>'Financial statements'!EK117</f>
        <v>4143324.3771296595</v>
      </c>
      <c r="BY9" s="141">
        <f>'Financial statements'!EL117</f>
        <v>4385626.7420543507</v>
      </c>
      <c r="BZ9" s="141">
        <f>'Financial statements'!EM117</f>
        <v>3197701.6310328082</v>
      </c>
      <c r="CA9" s="141">
        <f>'Financial statements'!EN117</f>
        <v>2605792.4845970962</v>
      </c>
      <c r="CB9" s="141">
        <f>'Financial statements'!EO117</f>
        <v>2759175.6884436202</v>
      </c>
      <c r="CC9" s="142">
        <f>'Financial statements'!EP117</f>
        <v>2468764.0496096662</v>
      </c>
      <c r="CD9" s="142">
        <f>'Financial statements'!EQ117</f>
        <v>2353140.2950251303</v>
      </c>
      <c r="CE9" s="142">
        <f>'Financial statements'!ER117</f>
        <v>3130310.5620051571</v>
      </c>
      <c r="CF9" s="142">
        <f>'Financial statements'!ES117</f>
        <v>4255112.0310622267</v>
      </c>
      <c r="CG9" s="142">
        <f>'Financial statements'!ET117</f>
        <v>3428321.744589733</v>
      </c>
      <c r="CH9" s="142">
        <f>'Financial statements'!EU117</f>
        <v>3045742.2727231313</v>
      </c>
      <c r="CI9" s="142">
        <f>'Financial statements'!EV117</f>
        <v>2351182.9401169033</v>
      </c>
      <c r="CJ9" s="142">
        <f>'Financial statements'!EW117</f>
        <v>4672940.0991020957</v>
      </c>
      <c r="CK9" s="142">
        <f>'Financial statements'!EX117</f>
        <v>3906031.7634248561</v>
      </c>
      <c r="CL9" s="142">
        <f>'Financial statements'!EY117</f>
        <v>3099115.2867071331</v>
      </c>
      <c r="CM9" s="142">
        <f>'Financial statements'!EZ117</f>
        <v>2832541.2929573487</v>
      </c>
      <c r="CN9" s="142">
        <f>'Financial statements'!FA117</f>
        <v>2467098.4919532258</v>
      </c>
      <c r="CO9" s="142">
        <f>'Financial statements'!FB117</f>
        <v>2427631.8500138111</v>
      </c>
      <c r="CP9" s="142">
        <f>'Financial statements'!FC117</f>
        <v>2537064.2252016263</v>
      </c>
      <c r="CQ9" s="142">
        <f>'Financial statements'!FD117</f>
        <v>3301624.9456113772</v>
      </c>
      <c r="CR9" s="142">
        <f>'Financial statements'!FE117</f>
        <v>3285212.9272379051</v>
      </c>
      <c r="CS9" s="142">
        <f>'Financial statements'!FF117</f>
        <v>2603949.8638108419</v>
      </c>
      <c r="CT9" s="142">
        <f>'Financial statements'!FG117</f>
        <v>2430217.6833325624</v>
      </c>
      <c r="CU9" s="142">
        <f>'Financial statements'!FH117</f>
        <v>1775501.8466863192</v>
      </c>
      <c r="CV9" s="142">
        <f>'Financial statements'!FI117</f>
        <v>3096169.7488773288</v>
      </c>
      <c r="CW9" s="142">
        <f>'Financial statements'!FJ117</f>
        <v>3146355.31614932</v>
      </c>
      <c r="CX9" s="142">
        <f>'Financial statements'!FK117</f>
        <v>4773852.065736643</v>
      </c>
      <c r="CY9" s="142">
        <v>3153091.4025868936</v>
      </c>
      <c r="CZ9" s="142">
        <v>2983573.3676714716</v>
      </c>
      <c r="DA9" s="142">
        <v>2916443.9523461554</v>
      </c>
      <c r="DB9" s="142">
        <v>3834939.5370208393</v>
      </c>
      <c r="DC9" s="142"/>
      <c r="DO9" s="136"/>
      <c r="DP9" s="136"/>
      <c r="DQ9" s="136"/>
      <c r="DR9" s="136"/>
      <c r="DS9" s="136"/>
      <c r="DT9" s="136"/>
      <c r="DU9" s="136"/>
      <c r="DV9" s="136"/>
      <c r="DW9" s="136"/>
      <c r="DX9" s="136"/>
      <c r="DY9" s="136"/>
      <c r="DZ9" s="136"/>
      <c r="EA9" s="136"/>
      <c r="EB9" s="136"/>
      <c r="EC9" s="136"/>
      <c r="ED9" s="136"/>
      <c r="EE9" s="136"/>
      <c r="EF9" s="136"/>
      <c r="EG9" s="136"/>
      <c r="EH9" s="136"/>
      <c r="EI9" s="136"/>
      <c r="EJ9" s="136"/>
      <c r="EK9" s="136"/>
      <c r="EL9" s="136"/>
      <c r="EM9" s="136"/>
      <c r="EN9" s="136"/>
      <c r="EO9" s="136"/>
      <c r="EP9" s="136"/>
      <c r="EQ9" s="136"/>
      <c r="ER9" s="136"/>
      <c r="ES9" s="136"/>
      <c r="ET9" s="136"/>
      <c r="EU9" s="136"/>
      <c r="EV9" s="136"/>
      <c r="EW9" s="136"/>
      <c r="EX9" s="136"/>
      <c r="EY9" s="136"/>
      <c r="EZ9" s="136"/>
      <c r="FA9" s="136"/>
      <c r="FB9" s="136"/>
      <c r="FC9" s="136"/>
      <c r="FD9" s="136"/>
      <c r="FE9" s="136"/>
      <c r="FF9" s="136"/>
      <c r="FG9" s="136"/>
      <c r="FH9" s="136"/>
      <c r="FI9" s="136"/>
      <c r="FJ9" s="136"/>
      <c r="FK9" s="136"/>
      <c r="FL9" s="136"/>
      <c r="FM9" s="136"/>
      <c r="FN9" s="136"/>
      <c r="FO9" s="136"/>
      <c r="FP9" s="136"/>
      <c r="FQ9" s="136"/>
      <c r="FR9" s="136"/>
      <c r="FS9" s="136"/>
      <c r="FT9" s="136"/>
      <c r="FU9" s="136"/>
      <c r="FV9" s="136"/>
      <c r="FW9" s="136"/>
      <c r="FX9" s="136"/>
      <c r="FY9" s="136"/>
      <c r="FZ9" s="136"/>
      <c r="GA9" s="136"/>
      <c r="GB9" s="136"/>
      <c r="GC9" s="136"/>
      <c r="GD9" s="136"/>
      <c r="GE9" s="136"/>
      <c r="GF9" s="136"/>
      <c r="GG9" s="136"/>
      <c r="GH9" s="136"/>
      <c r="GI9" s="136"/>
      <c r="GJ9" s="136"/>
      <c r="GK9" s="136"/>
      <c r="GL9" s="136"/>
      <c r="GM9" s="136"/>
      <c r="GN9" s="136"/>
      <c r="GO9" s="136"/>
      <c r="GP9" s="136"/>
      <c r="GQ9" s="136"/>
      <c r="GR9" s="136"/>
      <c r="GS9" s="136"/>
      <c r="GT9" s="136"/>
      <c r="GU9" s="136"/>
      <c r="GV9" s="136"/>
      <c r="GW9" s="136"/>
      <c r="GX9" s="136"/>
      <c r="GY9" s="136"/>
      <c r="GZ9" s="136"/>
      <c r="HA9" s="136"/>
      <c r="HB9" s="136"/>
      <c r="HC9" s="136"/>
      <c r="HD9" s="136"/>
      <c r="HE9" s="136"/>
      <c r="HF9" s="136"/>
      <c r="HG9" s="136"/>
      <c r="HH9" s="136"/>
      <c r="HI9" s="136"/>
      <c r="HJ9" s="136"/>
      <c r="HK9" s="136"/>
      <c r="HL9" s="136"/>
      <c r="HM9" s="136"/>
      <c r="HN9" s="136"/>
      <c r="HO9" s="136"/>
      <c r="HP9" s="136"/>
      <c r="HQ9" s="136"/>
      <c r="HR9" s="136"/>
      <c r="HS9" s="136"/>
      <c r="HT9" s="136"/>
      <c r="HU9" s="136"/>
      <c r="HV9" s="136"/>
      <c r="HW9" s="136"/>
      <c r="HX9" s="136"/>
      <c r="HY9" s="136"/>
      <c r="HZ9" s="136"/>
      <c r="IA9" s="136"/>
      <c r="IB9" s="136"/>
      <c r="IC9" s="136"/>
      <c r="ID9" s="136"/>
      <c r="IE9" s="136"/>
      <c r="IF9" s="136"/>
      <c r="IG9" s="136"/>
      <c r="IH9" s="136"/>
      <c r="II9" s="136"/>
      <c r="IJ9" s="136"/>
      <c r="IK9" s="136"/>
      <c r="IL9" s="136"/>
      <c r="IM9" s="136"/>
      <c r="IN9" s="136"/>
      <c r="IO9" s="136"/>
      <c r="IP9" s="136"/>
      <c r="IQ9" s="136"/>
      <c r="IR9" s="136"/>
      <c r="IS9" s="136"/>
      <c r="IT9" s="136"/>
      <c r="IU9" s="136"/>
      <c r="IV9" s="136"/>
      <c r="IW9" s="136"/>
      <c r="IX9" s="136"/>
      <c r="IY9" s="136"/>
      <c r="IZ9" s="136"/>
      <c r="JA9" s="136"/>
      <c r="JB9" s="136"/>
      <c r="JC9" s="136"/>
      <c r="JD9" s="136"/>
      <c r="JE9" s="136"/>
      <c r="JF9" s="136"/>
      <c r="JG9" s="136"/>
      <c r="JH9" s="136"/>
      <c r="JI9" s="136"/>
      <c r="JJ9" s="136"/>
      <c r="JK9" s="136"/>
      <c r="JL9" s="136"/>
      <c r="JM9" s="136"/>
      <c r="JN9" s="136"/>
      <c r="JO9" s="136"/>
      <c r="JP9" s="136"/>
      <c r="JQ9" s="136"/>
      <c r="JR9" s="136"/>
      <c r="JS9" s="136"/>
      <c r="JT9" s="136"/>
      <c r="JU9" s="136"/>
      <c r="JV9" s="136"/>
      <c r="JW9" s="136"/>
      <c r="JX9" s="136"/>
      <c r="JY9" s="136"/>
      <c r="JZ9" s="136"/>
      <c r="KA9" s="136"/>
      <c r="KB9" s="136"/>
      <c r="KC9" s="136"/>
      <c r="KD9" s="136"/>
      <c r="KE9" s="136"/>
      <c r="KF9" s="136"/>
      <c r="KG9" s="136"/>
      <c r="KH9" s="136"/>
      <c r="KI9" s="136"/>
      <c r="KJ9" s="136"/>
      <c r="KK9" s="136"/>
      <c r="KL9" s="136"/>
      <c r="KM9" s="136"/>
      <c r="KN9" s="136"/>
      <c r="KO9" s="136"/>
      <c r="KP9" s="136"/>
      <c r="KQ9" s="136"/>
      <c r="KR9" s="136"/>
      <c r="KS9" s="136"/>
      <c r="KT9" s="136"/>
      <c r="KU9" s="136"/>
      <c r="KV9" s="136"/>
      <c r="KW9" s="136"/>
      <c r="KX9" s="136"/>
      <c r="KY9" s="136"/>
      <c r="KZ9" s="136"/>
      <c r="LA9" s="136"/>
      <c r="LB9" s="136"/>
      <c r="LC9" s="136"/>
      <c r="LD9" s="136"/>
      <c r="LE9" s="136"/>
      <c r="LF9" s="136"/>
      <c r="LG9" s="136"/>
      <c r="LH9" s="136"/>
      <c r="LI9" s="136"/>
      <c r="LJ9" s="136"/>
      <c r="LK9" s="136"/>
      <c r="LL9" s="136"/>
      <c r="LM9" s="136"/>
      <c r="LN9" s="136"/>
      <c r="LO9" s="136"/>
      <c r="LP9" s="136"/>
      <c r="LQ9" s="136"/>
      <c r="LR9" s="136"/>
      <c r="LS9" s="136"/>
      <c r="LT9" s="136"/>
      <c r="LU9" s="136"/>
      <c r="LV9" s="136"/>
      <c r="LW9" s="136"/>
      <c r="LX9" s="136"/>
      <c r="LY9" s="136"/>
      <c r="LZ9" s="136"/>
      <c r="MA9" s="136"/>
      <c r="MB9" s="136"/>
      <c r="MC9" s="136"/>
      <c r="MD9" s="136"/>
      <c r="ME9" s="136"/>
      <c r="MF9" s="136"/>
      <c r="MG9" s="136"/>
      <c r="MH9" s="136"/>
      <c r="MI9" s="136"/>
      <c r="MJ9" s="136"/>
      <c r="MK9" s="136"/>
      <c r="ML9" s="136"/>
      <c r="MM9" s="136"/>
      <c r="MN9" s="136"/>
      <c r="MO9" s="136"/>
      <c r="MP9" s="136"/>
      <c r="MQ9" s="136"/>
      <c r="MR9" s="136"/>
      <c r="MS9" s="136"/>
      <c r="MT9" s="136"/>
      <c r="MU9" s="136"/>
      <c r="MV9" s="136"/>
      <c r="MW9" s="136"/>
      <c r="MX9" s="136"/>
      <c r="MY9" s="136"/>
      <c r="MZ9" s="136"/>
      <c r="NA9" s="136"/>
      <c r="NB9" s="136"/>
      <c r="NC9" s="136"/>
      <c r="ND9" s="136"/>
      <c r="NE9" s="136"/>
      <c r="NF9" s="136"/>
      <c r="NG9" s="136"/>
      <c r="NH9" s="136"/>
      <c r="NI9" s="136"/>
      <c r="NJ9" s="136"/>
      <c r="NK9" s="136"/>
      <c r="NL9" s="136"/>
      <c r="NM9" s="136"/>
      <c r="NN9" s="136"/>
      <c r="NO9" s="136"/>
      <c r="NP9" s="136"/>
      <c r="NQ9" s="136"/>
      <c r="NR9" s="136"/>
      <c r="NS9" s="136"/>
      <c r="NT9" s="136"/>
      <c r="NU9" s="136"/>
      <c r="NV9" s="136"/>
      <c r="NW9" s="136"/>
      <c r="NX9" s="136"/>
      <c r="NY9" s="136"/>
      <c r="NZ9" s="136"/>
      <c r="OA9" s="136"/>
      <c r="OB9" s="136"/>
      <c r="OC9" s="136"/>
      <c r="OD9" s="136"/>
      <c r="OE9" s="136"/>
      <c r="OF9" s="136"/>
      <c r="OG9" s="136"/>
      <c r="OH9" s="136"/>
      <c r="OI9" s="136"/>
      <c r="OJ9" s="136"/>
      <c r="OK9" s="136"/>
      <c r="OL9" s="136"/>
      <c r="OM9" s="136"/>
      <c r="ON9" s="136"/>
      <c r="OO9" s="136"/>
      <c r="OP9" s="136"/>
      <c r="OQ9" s="136"/>
      <c r="OR9" s="136"/>
      <c r="OS9" s="136"/>
      <c r="OT9" s="136"/>
      <c r="OU9" s="136"/>
      <c r="OV9" s="136"/>
      <c r="OW9" s="136"/>
      <c r="OX9" s="136"/>
      <c r="OY9" s="136"/>
      <c r="OZ9" s="136"/>
      <c r="PA9" s="136"/>
      <c r="PB9" s="136"/>
      <c r="PC9" s="136"/>
      <c r="PD9" s="136"/>
      <c r="PE9" s="136"/>
      <c r="PF9" s="136"/>
      <c r="PG9" s="136"/>
      <c r="PH9" s="136"/>
      <c r="PI9" s="136"/>
      <c r="PJ9" s="136"/>
      <c r="PK9" s="136"/>
      <c r="PL9" s="136"/>
      <c r="PM9" s="136"/>
      <c r="PN9" s="136"/>
      <c r="PO9" s="136"/>
      <c r="PP9" s="136"/>
      <c r="PQ9" s="136"/>
      <c r="PR9" s="136"/>
      <c r="PS9" s="136"/>
      <c r="PT9" s="136"/>
      <c r="PU9" s="136"/>
      <c r="PV9" s="136"/>
      <c r="PW9" s="136"/>
      <c r="PX9" s="136"/>
      <c r="PY9" s="136"/>
      <c r="PZ9" s="136"/>
      <c r="QA9" s="136"/>
      <c r="QB9" s="136"/>
      <c r="QC9" s="136"/>
      <c r="QD9" s="136"/>
      <c r="QE9" s="136"/>
      <c r="QF9" s="136"/>
      <c r="QG9" s="136"/>
      <c r="QH9" s="136"/>
      <c r="QI9" s="136"/>
      <c r="QJ9" s="136"/>
      <c r="QK9" s="136"/>
      <c r="QL9" s="136"/>
      <c r="QM9" s="136"/>
      <c r="QN9" s="136"/>
      <c r="QO9" s="136"/>
      <c r="QP9" s="136"/>
      <c r="QQ9" s="136"/>
      <c r="QR9" s="136"/>
      <c r="QS9" s="136"/>
      <c r="QT9" s="136"/>
      <c r="QU9" s="136"/>
      <c r="QV9" s="136"/>
      <c r="QW9" s="136"/>
      <c r="QX9" s="136"/>
      <c r="QY9" s="136"/>
      <c r="QZ9" s="136"/>
      <c r="RA9" s="136"/>
      <c r="RB9" s="136"/>
      <c r="RC9" s="136"/>
      <c r="RD9" s="136"/>
      <c r="RE9" s="136"/>
      <c r="RF9" s="136"/>
      <c r="RG9" s="136"/>
      <c r="RH9" s="136"/>
      <c r="RI9" s="136"/>
      <c r="RJ9" s="136"/>
      <c r="RK9" s="136"/>
      <c r="RL9" s="136"/>
      <c r="RM9" s="136"/>
      <c r="RN9" s="136"/>
      <c r="RO9" s="136"/>
      <c r="RP9" s="136"/>
      <c r="RQ9" s="136"/>
      <c r="RR9" s="136"/>
      <c r="RS9" s="136"/>
      <c r="RT9" s="136"/>
      <c r="RU9" s="136"/>
      <c r="RV9" s="136"/>
      <c r="RW9" s="136"/>
      <c r="RX9" s="136"/>
      <c r="RY9" s="136"/>
      <c r="RZ9" s="136"/>
      <c r="SA9" s="136"/>
      <c r="SB9" s="136"/>
      <c r="SC9" s="136"/>
      <c r="SD9" s="136"/>
      <c r="SE9" s="136"/>
      <c r="SF9" s="136"/>
      <c r="SG9" s="136"/>
      <c r="SH9" s="136"/>
      <c r="SI9" s="136"/>
      <c r="SJ9" s="136"/>
      <c r="SK9" s="136"/>
      <c r="SL9" s="136"/>
      <c r="SM9" s="136"/>
      <c r="SN9" s="136"/>
      <c r="SO9" s="136"/>
      <c r="SP9" s="136"/>
      <c r="SQ9" s="136"/>
      <c r="SR9" s="136"/>
      <c r="SS9" s="136"/>
    </row>
    <row r="10" spans="1:513 16384:16384" s="135" customFormat="1" ht="14.5" x14ac:dyDescent="0.35">
      <c r="N10" s="141"/>
      <c r="O10" s="141"/>
      <c r="P10" s="141"/>
      <c r="Q10" s="141"/>
      <c r="R10" s="141"/>
      <c r="S10" s="141"/>
      <c r="T10" s="141"/>
      <c r="U10" s="142"/>
      <c r="V10" s="142"/>
      <c r="W10" s="142"/>
      <c r="X10" s="142"/>
      <c r="Y10" s="142"/>
      <c r="Z10" s="142"/>
      <c r="AA10" s="142"/>
      <c r="AB10" s="172"/>
      <c r="AC10" s="142"/>
      <c r="AD10" s="142"/>
      <c r="AE10" s="172"/>
      <c r="AF10" s="172"/>
      <c r="AG10" s="172"/>
      <c r="AH10" s="172"/>
      <c r="AI10" s="172"/>
      <c r="AJ10" s="142"/>
      <c r="AK10" s="142"/>
      <c r="AL10" s="142"/>
      <c r="AM10" s="142"/>
      <c r="AN10" s="172"/>
      <c r="AO10" s="142"/>
      <c r="AP10" s="142"/>
      <c r="AQ10" s="141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  <c r="BE10" s="142"/>
      <c r="BF10" s="142"/>
      <c r="BG10" s="142"/>
      <c r="BH10" s="142"/>
      <c r="BI10" s="142"/>
      <c r="BJ10" s="142"/>
      <c r="BK10" s="142"/>
      <c r="BL10" s="142"/>
      <c r="BM10" s="142"/>
      <c r="BN10" s="142"/>
      <c r="BO10" s="142"/>
      <c r="BP10" s="142"/>
      <c r="BQ10" s="142"/>
      <c r="BR10" s="142"/>
      <c r="BS10" s="142"/>
      <c r="BT10" s="142"/>
      <c r="BU10" s="142"/>
      <c r="BV10" s="142"/>
      <c r="BW10" s="142"/>
      <c r="BX10" s="142"/>
      <c r="DO10" s="136"/>
      <c r="DP10" s="136"/>
      <c r="DQ10" s="136"/>
      <c r="DR10" s="136"/>
      <c r="DS10" s="136"/>
      <c r="DT10" s="136"/>
      <c r="DU10" s="136"/>
      <c r="DV10" s="136"/>
      <c r="DW10" s="136"/>
      <c r="DX10" s="136"/>
      <c r="DY10" s="136"/>
      <c r="DZ10" s="136"/>
      <c r="EA10" s="136"/>
      <c r="EB10" s="136"/>
      <c r="EC10" s="136"/>
      <c r="ED10" s="136"/>
      <c r="EE10" s="136"/>
      <c r="EF10" s="136"/>
      <c r="EG10" s="136"/>
      <c r="EH10" s="136"/>
      <c r="EI10" s="136"/>
      <c r="EJ10" s="136"/>
      <c r="EK10" s="136"/>
      <c r="EL10" s="136"/>
      <c r="EM10" s="136"/>
      <c r="EN10" s="136"/>
      <c r="EO10" s="136"/>
      <c r="EP10" s="136"/>
      <c r="EQ10" s="136"/>
      <c r="ER10" s="136"/>
      <c r="ES10" s="136"/>
      <c r="ET10" s="136"/>
      <c r="EU10" s="136"/>
      <c r="EV10" s="136"/>
      <c r="EW10" s="136"/>
      <c r="EX10" s="136"/>
      <c r="EY10" s="136"/>
      <c r="EZ10" s="136"/>
      <c r="FA10" s="136"/>
      <c r="FB10" s="136"/>
      <c r="FC10" s="136"/>
      <c r="FD10" s="136"/>
      <c r="FE10" s="136"/>
      <c r="FF10" s="136"/>
      <c r="FG10" s="136"/>
      <c r="FH10" s="136"/>
      <c r="FI10" s="136"/>
      <c r="FJ10" s="136"/>
      <c r="FK10" s="136"/>
      <c r="FL10" s="136"/>
      <c r="FM10" s="136"/>
      <c r="FN10" s="136"/>
      <c r="FO10" s="136"/>
      <c r="FP10" s="136"/>
      <c r="FQ10" s="136"/>
      <c r="FR10" s="136"/>
      <c r="FS10" s="136"/>
      <c r="FT10" s="136"/>
      <c r="FU10" s="136"/>
      <c r="FV10" s="136"/>
      <c r="FW10" s="136"/>
      <c r="FX10" s="136"/>
      <c r="FY10" s="136"/>
      <c r="FZ10" s="136"/>
      <c r="GA10" s="136"/>
      <c r="GB10" s="136"/>
      <c r="GC10" s="136"/>
      <c r="GD10" s="136"/>
      <c r="GE10" s="136"/>
      <c r="GF10" s="136"/>
      <c r="GG10" s="136"/>
      <c r="GH10" s="136"/>
      <c r="GI10" s="136"/>
      <c r="GJ10" s="136"/>
      <c r="GK10" s="136"/>
      <c r="GL10" s="136"/>
      <c r="GM10" s="136"/>
      <c r="GN10" s="136"/>
      <c r="GO10" s="136"/>
      <c r="GP10" s="136"/>
      <c r="GQ10" s="136"/>
      <c r="GR10" s="136"/>
      <c r="GS10" s="136"/>
      <c r="GT10" s="136"/>
      <c r="GU10" s="136"/>
      <c r="GV10" s="136"/>
      <c r="GW10" s="136"/>
      <c r="GX10" s="136"/>
      <c r="GY10" s="136"/>
      <c r="GZ10" s="136"/>
      <c r="HA10" s="136"/>
      <c r="HB10" s="136"/>
      <c r="HC10" s="136"/>
      <c r="HD10" s="136"/>
      <c r="HE10" s="136"/>
      <c r="HF10" s="136"/>
      <c r="HG10" s="136"/>
      <c r="HH10" s="136"/>
      <c r="HI10" s="136"/>
      <c r="HJ10" s="136"/>
      <c r="HK10" s="136"/>
      <c r="HL10" s="136"/>
      <c r="HM10" s="136"/>
      <c r="HN10" s="136"/>
      <c r="HO10" s="136"/>
      <c r="HP10" s="136"/>
      <c r="HQ10" s="136"/>
      <c r="HR10" s="136"/>
      <c r="HS10" s="136"/>
      <c r="HT10" s="136"/>
      <c r="HU10" s="136"/>
      <c r="HV10" s="136"/>
      <c r="HW10" s="136"/>
      <c r="HX10" s="136"/>
      <c r="HY10" s="136"/>
      <c r="HZ10" s="136"/>
      <c r="IA10" s="136"/>
      <c r="IB10" s="136"/>
      <c r="IC10" s="136"/>
      <c r="ID10" s="136"/>
      <c r="IE10" s="136"/>
      <c r="IF10" s="136"/>
      <c r="IG10" s="136"/>
      <c r="IH10" s="136"/>
      <c r="II10" s="136"/>
      <c r="IJ10" s="136"/>
      <c r="IK10" s="136"/>
      <c r="IL10" s="136"/>
      <c r="IM10" s="136"/>
      <c r="IN10" s="136"/>
      <c r="IO10" s="136"/>
      <c r="IP10" s="136"/>
      <c r="IQ10" s="136"/>
      <c r="IR10" s="136"/>
      <c r="IS10" s="136"/>
      <c r="IT10" s="136"/>
      <c r="IU10" s="136"/>
      <c r="IV10" s="136"/>
      <c r="IW10" s="136"/>
      <c r="IX10" s="136"/>
      <c r="IY10" s="136"/>
      <c r="IZ10" s="136"/>
      <c r="JA10" s="136"/>
      <c r="JB10" s="136"/>
      <c r="JC10" s="136"/>
      <c r="JD10" s="136"/>
      <c r="JE10" s="136"/>
      <c r="JF10" s="136"/>
      <c r="JG10" s="136"/>
      <c r="JH10" s="136"/>
      <c r="JI10" s="136"/>
      <c r="JJ10" s="136"/>
      <c r="JK10" s="136"/>
      <c r="JL10" s="136"/>
      <c r="JM10" s="136"/>
      <c r="JN10" s="136"/>
      <c r="JO10" s="136"/>
      <c r="JP10" s="136"/>
      <c r="JQ10" s="136"/>
      <c r="JR10" s="136"/>
      <c r="JS10" s="136"/>
      <c r="JT10" s="136"/>
      <c r="JU10" s="136"/>
      <c r="JV10" s="136"/>
      <c r="JW10" s="136"/>
      <c r="JX10" s="136"/>
      <c r="JY10" s="136"/>
      <c r="JZ10" s="136"/>
      <c r="KA10" s="136"/>
      <c r="KB10" s="136"/>
      <c r="KC10" s="136"/>
      <c r="KD10" s="136"/>
      <c r="KE10" s="136"/>
      <c r="KF10" s="136"/>
      <c r="KG10" s="136"/>
      <c r="KH10" s="136"/>
      <c r="KI10" s="136"/>
      <c r="KJ10" s="136"/>
      <c r="KK10" s="136"/>
      <c r="KL10" s="136"/>
      <c r="KM10" s="136"/>
      <c r="KN10" s="136"/>
      <c r="KO10" s="136"/>
      <c r="KP10" s="136"/>
      <c r="KQ10" s="136"/>
      <c r="KR10" s="136"/>
      <c r="KS10" s="136"/>
      <c r="KT10" s="136"/>
      <c r="KU10" s="136"/>
      <c r="KV10" s="136"/>
      <c r="KW10" s="136"/>
      <c r="KX10" s="136"/>
      <c r="KY10" s="136"/>
      <c r="KZ10" s="136"/>
      <c r="LA10" s="136"/>
      <c r="LB10" s="136"/>
      <c r="LC10" s="136"/>
      <c r="LD10" s="136"/>
      <c r="LE10" s="136"/>
      <c r="LF10" s="136"/>
      <c r="LG10" s="136"/>
      <c r="LH10" s="136"/>
      <c r="LI10" s="136"/>
      <c r="LJ10" s="136"/>
      <c r="LK10" s="136"/>
      <c r="LL10" s="136"/>
      <c r="LM10" s="136"/>
      <c r="LN10" s="136"/>
      <c r="LO10" s="136"/>
      <c r="LP10" s="136"/>
      <c r="LQ10" s="136"/>
      <c r="LR10" s="136"/>
      <c r="LS10" s="136"/>
      <c r="LT10" s="136"/>
      <c r="LU10" s="136"/>
      <c r="LV10" s="136"/>
      <c r="LW10" s="136"/>
      <c r="LX10" s="136"/>
      <c r="LY10" s="136"/>
      <c r="LZ10" s="136"/>
      <c r="MA10" s="136"/>
      <c r="MB10" s="136"/>
      <c r="MC10" s="136"/>
      <c r="MD10" s="136"/>
      <c r="ME10" s="136"/>
      <c r="MF10" s="136"/>
      <c r="MG10" s="136"/>
      <c r="MH10" s="136"/>
      <c r="MI10" s="136"/>
      <c r="MJ10" s="136"/>
      <c r="MK10" s="136"/>
      <c r="ML10" s="136"/>
      <c r="MM10" s="136"/>
      <c r="MN10" s="136"/>
      <c r="MO10" s="136"/>
      <c r="MP10" s="136"/>
      <c r="MQ10" s="136"/>
      <c r="MR10" s="136"/>
      <c r="MS10" s="136"/>
      <c r="MT10" s="136"/>
      <c r="MU10" s="136"/>
      <c r="MV10" s="136"/>
      <c r="MW10" s="136"/>
      <c r="MX10" s="136"/>
      <c r="MY10" s="136"/>
      <c r="MZ10" s="136"/>
      <c r="NA10" s="136"/>
      <c r="NB10" s="136"/>
      <c r="NC10" s="136"/>
      <c r="ND10" s="136"/>
      <c r="NE10" s="136"/>
      <c r="NF10" s="136"/>
      <c r="NG10" s="136"/>
      <c r="NH10" s="136"/>
      <c r="NI10" s="136"/>
      <c r="NJ10" s="136"/>
      <c r="NK10" s="136"/>
      <c r="NL10" s="136"/>
      <c r="NM10" s="136"/>
      <c r="NN10" s="136"/>
      <c r="NO10" s="136"/>
      <c r="NP10" s="136"/>
      <c r="NQ10" s="136"/>
      <c r="NR10" s="136"/>
      <c r="NS10" s="136"/>
      <c r="NT10" s="136"/>
      <c r="NU10" s="136"/>
      <c r="NV10" s="136"/>
      <c r="NW10" s="136"/>
      <c r="NX10" s="136"/>
      <c r="NY10" s="136"/>
      <c r="NZ10" s="136"/>
      <c r="OA10" s="136"/>
      <c r="OB10" s="136"/>
      <c r="OC10" s="136"/>
      <c r="OD10" s="136"/>
      <c r="OE10" s="136"/>
      <c r="OF10" s="136"/>
      <c r="OG10" s="136"/>
      <c r="OH10" s="136"/>
      <c r="OI10" s="136"/>
      <c r="OJ10" s="136"/>
      <c r="OK10" s="136"/>
      <c r="OL10" s="136"/>
      <c r="OM10" s="136"/>
      <c r="ON10" s="136"/>
      <c r="OO10" s="136"/>
      <c r="OP10" s="136"/>
      <c r="OQ10" s="136"/>
      <c r="OR10" s="136"/>
      <c r="OS10" s="136"/>
      <c r="OT10" s="136"/>
      <c r="OU10" s="136"/>
      <c r="OV10" s="136"/>
      <c r="OW10" s="136"/>
      <c r="OX10" s="136"/>
      <c r="OY10" s="136"/>
      <c r="OZ10" s="136"/>
      <c r="PA10" s="136"/>
      <c r="PB10" s="136"/>
      <c r="PC10" s="136"/>
      <c r="PD10" s="136"/>
      <c r="PE10" s="136"/>
      <c r="PF10" s="136"/>
      <c r="PG10" s="136"/>
      <c r="PH10" s="136"/>
      <c r="PI10" s="136"/>
      <c r="PJ10" s="136"/>
      <c r="PK10" s="136"/>
      <c r="PL10" s="136"/>
      <c r="PM10" s="136"/>
      <c r="PN10" s="136"/>
      <c r="PO10" s="136"/>
      <c r="PP10" s="136"/>
      <c r="PQ10" s="136"/>
      <c r="PR10" s="136"/>
      <c r="PS10" s="136"/>
      <c r="PT10" s="136"/>
      <c r="PU10" s="136"/>
      <c r="PV10" s="136"/>
      <c r="PW10" s="136"/>
      <c r="PX10" s="136"/>
      <c r="PY10" s="136"/>
      <c r="PZ10" s="136"/>
      <c r="QA10" s="136"/>
      <c r="QB10" s="136"/>
      <c r="QC10" s="136"/>
      <c r="QD10" s="136"/>
      <c r="QE10" s="136"/>
      <c r="QF10" s="136"/>
      <c r="QG10" s="136"/>
      <c r="QH10" s="136"/>
      <c r="QI10" s="136"/>
      <c r="QJ10" s="136"/>
      <c r="QK10" s="136"/>
      <c r="QL10" s="136"/>
      <c r="QM10" s="136"/>
      <c r="QN10" s="136"/>
      <c r="QO10" s="136"/>
      <c r="QP10" s="136"/>
      <c r="QQ10" s="136"/>
      <c r="QR10" s="136"/>
      <c r="QS10" s="136"/>
      <c r="QT10" s="136"/>
      <c r="QU10" s="136"/>
      <c r="QV10" s="136"/>
      <c r="QW10" s="136"/>
      <c r="QX10" s="136"/>
      <c r="QY10" s="136"/>
      <c r="QZ10" s="136"/>
      <c r="RA10" s="136"/>
      <c r="RB10" s="136"/>
      <c r="RC10" s="136"/>
      <c r="RD10" s="136"/>
      <c r="RE10" s="136"/>
      <c r="RF10" s="136"/>
      <c r="RG10" s="136"/>
      <c r="RH10" s="136"/>
      <c r="RI10" s="136"/>
      <c r="RJ10" s="136"/>
      <c r="RK10" s="136"/>
      <c r="RL10" s="136"/>
      <c r="RM10" s="136"/>
      <c r="RN10" s="136"/>
      <c r="RO10" s="136"/>
      <c r="RP10" s="136"/>
      <c r="RQ10" s="136"/>
      <c r="RR10" s="136"/>
      <c r="RS10" s="136"/>
      <c r="RT10" s="136"/>
      <c r="RU10" s="136"/>
      <c r="RV10" s="136"/>
      <c r="RW10" s="136"/>
      <c r="RX10" s="136"/>
      <c r="RY10" s="136"/>
      <c r="RZ10" s="136"/>
      <c r="SA10" s="136"/>
      <c r="SB10" s="136"/>
      <c r="SC10" s="136"/>
      <c r="SD10" s="136"/>
      <c r="SE10" s="136"/>
      <c r="SF10" s="136"/>
      <c r="SG10" s="136"/>
      <c r="SH10" s="136"/>
      <c r="SI10" s="136"/>
      <c r="SJ10" s="136"/>
      <c r="SK10" s="136"/>
      <c r="SL10" s="136"/>
      <c r="SM10" s="136"/>
      <c r="SN10" s="136"/>
      <c r="SO10" s="136"/>
      <c r="SP10" s="136"/>
      <c r="SQ10" s="136"/>
      <c r="SR10" s="136"/>
      <c r="SS10" s="136"/>
    </row>
    <row r="11" spans="1:513 16384:16384" s="144" customFormat="1" ht="14.5" x14ac:dyDescent="0.35">
      <c r="A11" s="190"/>
      <c r="B11" s="189" t="s">
        <v>860</v>
      </c>
      <c r="C11" s="190"/>
      <c r="D11" s="191">
        <f t="shared" ref="D11:BM11" si="75">D9</f>
        <v>0</v>
      </c>
      <c r="E11" s="191">
        <f t="shared" si="75"/>
        <v>1163323</v>
      </c>
      <c r="F11" s="191">
        <f t="shared" si="75"/>
        <v>787372</v>
      </c>
      <c r="G11" s="191">
        <f t="shared" si="75"/>
        <v>516015</v>
      </c>
      <c r="H11" s="191">
        <f t="shared" si="75"/>
        <v>609038</v>
      </c>
      <c r="I11" s="191">
        <f t="shared" si="75"/>
        <v>482329</v>
      </c>
      <c r="J11" s="191">
        <f t="shared" si="75"/>
        <v>730017</v>
      </c>
      <c r="K11" s="191">
        <f t="shared" si="75"/>
        <v>274252</v>
      </c>
      <c r="L11" s="191">
        <f t="shared" si="75"/>
        <v>685169</v>
      </c>
      <c r="M11" s="191">
        <f t="shared" si="75"/>
        <v>680510</v>
      </c>
      <c r="N11" s="192">
        <f t="shared" si="75"/>
        <v>841213</v>
      </c>
      <c r="O11" s="192">
        <f t="shared" si="75"/>
        <v>565918</v>
      </c>
      <c r="P11" s="192">
        <f t="shared" si="75"/>
        <v>903850</v>
      </c>
      <c r="Q11" s="192">
        <f t="shared" si="75"/>
        <v>1593333</v>
      </c>
      <c r="R11" s="192">
        <f t="shared" si="75"/>
        <v>1055991</v>
      </c>
      <c r="S11" s="192">
        <f t="shared" si="75"/>
        <v>1198409</v>
      </c>
      <c r="T11" s="192">
        <f t="shared" si="75"/>
        <v>1020309</v>
      </c>
      <c r="U11" s="191">
        <f>U9</f>
        <v>3422604</v>
      </c>
      <c r="V11" s="191">
        <f t="shared" si="75"/>
        <v>2518462</v>
      </c>
      <c r="W11" s="191">
        <f t="shared" si="75"/>
        <v>2456488</v>
      </c>
      <c r="X11" s="191">
        <f t="shared" si="75"/>
        <v>1957620</v>
      </c>
      <c r="Y11" s="191">
        <f t="shared" si="75"/>
        <v>1814205</v>
      </c>
      <c r="Z11" s="191">
        <f>Z9</f>
        <v>1778150</v>
      </c>
      <c r="AA11" s="191">
        <f t="shared" si="75"/>
        <v>1091588</v>
      </c>
      <c r="AB11" s="281">
        <f t="shared" si="75"/>
        <v>1049830</v>
      </c>
      <c r="AC11" s="191">
        <f>AC9</f>
        <v>809364</v>
      </c>
      <c r="AD11" s="191">
        <f>AD9</f>
        <v>1018625</v>
      </c>
      <c r="AE11" s="281">
        <f t="shared" si="75"/>
        <v>2326307</v>
      </c>
      <c r="AF11" s="281">
        <f t="shared" si="75"/>
        <v>2371052</v>
      </c>
      <c r="AG11" s="281">
        <f t="shared" si="75"/>
        <v>2564295</v>
      </c>
      <c r="AH11" s="281">
        <f t="shared" si="75"/>
        <v>3104267</v>
      </c>
      <c r="AI11" s="281">
        <f t="shared" si="75"/>
        <v>2200819</v>
      </c>
      <c r="AJ11" s="191">
        <f t="shared" si="75"/>
        <v>1880413.7100000002</v>
      </c>
      <c r="AK11" s="191">
        <f t="shared" si="75"/>
        <v>1862349.87</v>
      </c>
      <c r="AL11" s="191">
        <f>AL9</f>
        <v>2094684.67</v>
      </c>
      <c r="AM11" s="191">
        <f t="shared" si="75"/>
        <v>1478972.91</v>
      </c>
      <c r="AN11" s="281">
        <f t="shared" si="75"/>
        <v>16244488.270000001</v>
      </c>
      <c r="AO11" s="192">
        <f t="shared" si="75"/>
        <v>14508405.91</v>
      </c>
      <c r="AP11" s="192">
        <f t="shared" si="75"/>
        <v>13554211.710000001</v>
      </c>
      <c r="AQ11" s="192">
        <f t="shared" si="75"/>
        <v>13513986.57</v>
      </c>
      <c r="AR11" s="192">
        <f t="shared" si="75"/>
        <v>12733605.9</v>
      </c>
      <c r="AS11" s="192">
        <f t="shared" si="75"/>
        <v>11946238.789999999</v>
      </c>
      <c r="AT11" s="192">
        <f t="shared" si="75"/>
        <v>11668910.18</v>
      </c>
      <c r="AU11" s="192">
        <f t="shared" si="75"/>
        <v>10625697.26</v>
      </c>
      <c r="AV11" s="192">
        <f t="shared" si="75"/>
        <v>9741402.1877967548</v>
      </c>
      <c r="AW11" s="192">
        <f t="shared" si="75"/>
        <v>14657634.539999999</v>
      </c>
      <c r="AX11" s="192">
        <f t="shared" si="75"/>
        <v>13372565.02</v>
      </c>
      <c r="AY11" s="192">
        <f t="shared" si="75"/>
        <v>12983481.699999999</v>
      </c>
      <c r="AZ11" s="192">
        <f t="shared" si="75"/>
        <v>12171162.170000004</v>
      </c>
      <c r="BA11" s="192">
        <f t="shared" si="75"/>
        <v>10616371.91</v>
      </c>
      <c r="BB11" s="192">
        <f t="shared" si="75"/>
        <v>10026678.109999999</v>
      </c>
      <c r="BC11" s="192">
        <f t="shared" si="75"/>
        <v>9613613.3599999994</v>
      </c>
      <c r="BD11" s="192">
        <f t="shared" si="75"/>
        <v>8505448.3900000006</v>
      </c>
      <c r="BE11" s="192">
        <f t="shared" si="75"/>
        <v>7927932.2400000002</v>
      </c>
      <c r="BF11" s="192">
        <f t="shared" si="75"/>
        <v>8765841.25</v>
      </c>
      <c r="BG11" s="192">
        <f>BG9</f>
        <v>8310817.6399999997</v>
      </c>
      <c r="BH11" s="192">
        <f>BH9</f>
        <v>12024752.77</v>
      </c>
      <c r="BI11" s="192">
        <f t="shared" si="75"/>
        <v>10392750.890000001</v>
      </c>
      <c r="BJ11" s="192">
        <f t="shared" si="75"/>
        <v>9923628</v>
      </c>
      <c r="BK11" s="192">
        <f t="shared" si="75"/>
        <v>9047234</v>
      </c>
      <c r="BL11" s="192">
        <f t="shared" si="75"/>
        <v>8442636.9970905259</v>
      </c>
      <c r="BM11" s="192">
        <f t="shared" si="75"/>
        <v>9129620.5600000005</v>
      </c>
      <c r="BN11" s="192">
        <f>BN9</f>
        <v>7920374.9900000002</v>
      </c>
      <c r="BO11" s="192">
        <f>BO9</f>
        <v>7017717.7000000002</v>
      </c>
      <c r="BP11" s="192">
        <f t="shared" ref="BP11:CL11" si="76">BP9</f>
        <v>6130834.8700000001</v>
      </c>
      <c r="BQ11" s="192">
        <f t="shared" si="76"/>
        <v>6464107.8099999996</v>
      </c>
      <c r="BR11" s="192">
        <f t="shared" si="76"/>
        <v>5559138.8300000001</v>
      </c>
      <c r="BS11" s="192">
        <f>BS9</f>
        <v>6089186.7224634904</v>
      </c>
      <c r="BT11" s="192">
        <f t="shared" si="76"/>
        <v>5673591.8027059296</v>
      </c>
      <c r="BU11" s="192">
        <f t="shared" si="76"/>
        <v>5295596.6294021904</v>
      </c>
      <c r="BV11" s="192">
        <f>BV9</f>
        <v>4633664.0963715902</v>
      </c>
      <c r="BW11" s="191">
        <f t="shared" si="76"/>
        <v>4671824.5761107868</v>
      </c>
      <c r="BX11" s="192">
        <f t="shared" si="76"/>
        <v>4143324.3771296595</v>
      </c>
      <c r="BY11" s="192">
        <f t="shared" si="76"/>
        <v>4385626.7420543507</v>
      </c>
      <c r="BZ11" s="192">
        <f t="shared" si="76"/>
        <v>3197701.6310328082</v>
      </c>
      <c r="CA11" s="192">
        <f t="shared" si="76"/>
        <v>2605792.4845970962</v>
      </c>
      <c r="CB11" s="192">
        <f t="shared" si="76"/>
        <v>2759175.6884436202</v>
      </c>
      <c r="CC11" s="191">
        <f t="shared" si="76"/>
        <v>2468764.0496096662</v>
      </c>
      <c r="CD11" s="191">
        <f t="shared" si="76"/>
        <v>2353140.2950251303</v>
      </c>
      <c r="CE11" s="192">
        <f t="shared" si="76"/>
        <v>3130310.5620051571</v>
      </c>
      <c r="CF11" s="192">
        <f>CF9</f>
        <v>4255112.0310622267</v>
      </c>
      <c r="CG11" s="192">
        <f t="shared" si="76"/>
        <v>3428321.744589733</v>
      </c>
      <c r="CH11" s="192">
        <f t="shared" si="76"/>
        <v>3045742.2727231313</v>
      </c>
      <c r="CI11" s="192">
        <f t="shared" si="76"/>
        <v>2351182.9401169033</v>
      </c>
      <c r="CJ11" s="192">
        <f t="shared" si="76"/>
        <v>4672940.0991020957</v>
      </c>
      <c r="CK11" s="191">
        <f t="shared" si="76"/>
        <v>3906031.7634248561</v>
      </c>
      <c r="CL11" s="191">
        <f t="shared" si="76"/>
        <v>3099115.2867071331</v>
      </c>
      <c r="CM11" s="191">
        <f t="shared" ref="CM11:CN11" si="77">CM9</f>
        <v>2832541.2929573487</v>
      </c>
      <c r="CN11" s="191">
        <f t="shared" si="77"/>
        <v>2467098.4919532258</v>
      </c>
      <c r="CO11" s="191">
        <f t="shared" ref="CO11:CP11" si="78">CO9</f>
        <v>2427631.8500138111</v>
      </c>
      <c r="CP11" s="191">
        <f t="shared" si="78"/>
        <v>2537064.2252016263</v>
      </c>
      <c r="CQ11" s="191">
        <f t="shared" ref="CQ11:CV11" si="79">CQ9</f>
        <v>3301624.9456113772</v>
      </c>
      <c r="CR11" s="191">
        <f t="shared" si="79"/>
        <v>3285212.9272379051</v>
      </c>
      <c r="CS11" s="191">
        <f t="shared" si="79"/>
        <v>2603949.8638108419</v>
      </c>
      <c r="CT11" s="191">
        <f t="shared" si="79"/>
        <v>2430217.6833325624</v>
      </c>
      <c r="CU11" s="191">
        <f t="shared" si="79"/>
        <v>1775501.8466863192</v>
      </c>
      <c r="CV11" s="191">
        <f t="shared" si="79"/>
        <v>3096169.7488773288</v>
      </c>
      <c r="CW11" s="191">
        <f t="shared" ref="CW11:DB11" si="80">CW9</f>
        <v>3146355.31614932</v>
      </c>
      <c r="CX11" s="191">
        <f t="shared" si="80"/>
        <v>4773852.065736643</v>
      </c>
      <c r="CY11" s="191">
        <f t="shared" si="80"/>
        <v>3153091.4025868936</v>
      </c>
      <c r="CZ11" s="191">
        <f t="shared" si="80"/>
        <v>2983573.3676714716</v>
      </c>
      <c r="DA11" s="191">
        <f t="shared" si="80"/>
        <v>2916443.9523461554</v>
      </c>
      <c r="DB11" s="191">
        <f t="shared" si="80"/>
        <v>3834939.5370208393</v>
      </c>
      <c r="DC11" s="191"/>
      <c r="DD11" s="135"/>
      <c r="DE11" s="135"/>
      <c r="DF11" s="135"/>
      <c r="DG11" s="135"/>
      <c r="DH11" s="135"/>
      <c r="DI11" s="135"/>
      <c r="DJ11" s="135"/>
      <c r="DK11" s="135"/>
      <c r="DL11" s="135"/>
      <c r="DM11" s="135"/>
      <c r="DN11" s="135"/>
      <c r="DO11" s="145"/>
      <c r="DP11" s="145"/>
      <c r="DQ11" s="145"/>
      <c r="DR11" s="145"/>
      <c r="DS11" s="145"/>
      <c r="DT11" s="145"/>
      <c r="DU11" s="145"/>
      <c r="DV11" s="145"/>
      <c r="DW11" s="145"/>
      <c r="DX11" s="145"/>
      <c r="DY11" s="145"/>
      <c r="DZ11" s="145"/>
      <c r="EA11" s="145"/>
      <c r="EB11" s="145"/>
      <c r="EC11" s="145"/>
      <c r="ED11" s="145"/>
      <c r="EE11" s="145"/>
      <c r="EF11" s="145"/>
      <c r="EG11" s="145"/>
      <c r="EH11" s="145"/>
      <c r="EI11" s="145"/>
      <c r="EJ11" s="145"/>
      <c r="EK11" s="145"/>
      <c r="EL11" s="145"/>
      <c r="EM11" s="145"/>
      <c r="EN11" s="145"/>
      <c r="EO11" s="145"/>
      <c r="EP11" s="145"/>
      <c r="EQ11" s="145"/>
      <c r="ER11" s="145"/>
      <c r="ES11" s="145"/>
      <c r="ET11" s="145"/>
      <c r="EU11" s="145"/>
      <c r="EV11" s="145"/>
      <c r="EW11" s="145"/>
      <c r="EX11" s="145"/>
      <c r="EY11" s="145"/>
      <c r="EZ11" s="145"/>
      <c r="FA11" s="145"/>
      <c r="FB11" s="145"/>
      <c r="FC11" s="145"/>
      <c r="FD11" s="145"/>
      <c r="FE11" s="145"/>
      <c r="FF11" s="145"/>
      <c r="FG11" s="145"/>
      <c r="FH11" s="145"/>
      <c r="FI11" s="145"/>
      <c r="FJ11" s="145"/>
      <c r="FK11" s="145"/>
      <c r="FL11" s="145"/>
      <c r="FM11" s="145"/>
      <c r="FN11" s="145"/>
      <c r="FO11" s="145"/>
      <c r="FP11" s="145"/>
      <c r="FQ11" s="145"/>
      <c r="FR11" s="145"/>
      <c r="FS11" s="145"/>
      <c r="FT11" s="145"/>
      <c r="FU11" s="145"/>
      <c r="FV11" s="145"/>
      <c r="FW11" s="145"/>
      <c r="FX11" s="145"/>
      <c r="FY11" s="145"/>
      <c r="FZ11" s="145"/>
      <c r="GA11" s="145"/>
      <c r="GB11" s="145"/>
      <c r="GC11" s="145"/>
      <c r="GD11" s="145"/>
      <c r="GE11" s="145"/>
      <c r="GF11" s="145"/>
      <c r="GG11" s="145"/>
      <c r="GH11" s="145"/>
      <c r="GI11" s="145"/>
      <c r="GJ11" s="145"/>
      <c r="GK11" s="145"/>
      <c r="GL11" s="145"/>
      <c r="GM11" s="145"/>
      <c r="GN11" s="145"/>
      <c r="GO11" s="145"/>
      <c r="GP11" s="145"/>
      <c r="GQ11" s="145"/>
      <c r="GR11" s="145"/>
      <c r="GS11" s="145"/>
      <c r="GT11" s="145"/>
      <c r="GU11" s="145"/>
      <c r="GV11" s="145"/>
      <c r="GW11" s="145"/>
      <c r="GX11" s="145"/>
      <c r="GY11" s="145"/>
      <c r="GZ11" s="145"/>
      <c r="HA11" s="145"/>
      <c r="HB11" s="145"/>
      <c r="HC11" s="145"/>
      <c r="HD11" s="145"/>
      <c r="HE11" s="145"/>
      <c r="HF11" s="145"/>
      <c r="HG11" s="145"/>
      <c r="HH11" s="145"/>
      <c r="HI11" s="145"/>
      <c r="HJ11" s="145"/>
      <c r="HK11" s="145"/>
      <c r="HL11" s="145"/>
      <c r="HM11" s="145"/>
      <c r="HN11" s="145"/>
      <c r="HO11" s="145"/>
      <c r="HP11" s="145"/>
      <c r="HQ11" s="145"/>
      <c r="HR11" s="145"/>
      <c r="HS11" s="145"/>
      <c r="HT11" s="145"/>
      <c r="HU11" s="145"/>
      <c r="HV11" s="145"/>
      <c r="HW11" s="145"/>
      <c r="HX11" s="145"/>
      <c r="HY11" s="145"/>
      <c r="HZ11" s="145"/>
      <c r="IA11" s="145"/>
      <c r="IB11" s="145"/>
      <c r="IC11" s="145"/>
      <c r="ID11" s="145"/>
      <c r="IE11" s="145"/>
      <c r="IF11" s="145"/>
      <c r="IG11" s="145"/>
      <c r="IH11" s="145"/>
      <c r="II11" s="145"/>
      <c r="IJ11" s="145"/>
      <c r="IK11" s="145"/>
      <c r="IL11" s="145"/>
      <c r="IM11" s="145"/>
      <c r="IN11" s="145"/>
      <c r="IO11" s="145"/>
      <c r="IP11" s="145"/>
      <c r="IQ11" s="145"/>
      <c r="IR11" s="145"/>
      <c r="IS11" s="145"/>
      <c r="IT11" s="145"/>
      <c r="IU11" s="145"/>
      <c r="IV11" s="145"/>
      <c r="IW11" s="145"/>
      <c r="IX11" s="145"/>
      <c r="IY11" s="145"/>
      <c r="IZ11" s="145"/>
      <c r="JA11" s="145"/>
      <c r="JB11" s="145"/>
      <c r="JC11" s="145"/>
      <c r="JD11" s="145"/>
      <c r="JE11" s="145"/>
      <c r="JF11" s="145"/>
      <c r="JG11" s="145"/>
      <c r="JH11" s="145"/>
      <c r="JI11" s="145"/>
      <c r="JJ11" s="145"/>
      <c r="JK11" s="145"/>
      <c r="JL11" s="145"/>
      <c r="JM11" s="145"/>
      <c r="JN11" s="145"/>
      <c r="JO11" s="145"/>
      <c r="JP11" s="145"/>
      <c r="JQ11" s="145"/>
      <c r="JR11" s="145"/>
      <c r="JS11" s="145"/>
      <c r="JT11" s="145"/>
      <c r="JU11" s="145"/>
      <c r="JV11" s="145"/>
      <c r="JW11" s="145"/>
      <c r="JX11" s="145"/>
      <c r="JY11" s="145"/>
      <c r="JZ11" s="145"/>
      <c r="KA11" s="145"/>
      <c r="KB11" s="145"/>
      <c r="KC11" s="145"/>
      <c r="KD11" s="145"/>
      <c r="KE11" s="145"/>
      <c r="KF11" s="145"/>
      <c r="KG11" s="145"/>
      <c r="KH11" s="145"/>
      <c r="KI11" s="145"/>
      <c r="KJ11" s="145"/>
      <c r="KK11" s="145"/>
      <c r="KL11" s="145"/>
      <c r="KM11" s="145"/>
      <c r="KN11" s="145"/>
      <c r="KO11" s="145"/>
      <c r="KP11" s="145"/>
      <c r="KQ11" s="145"/>
      <c r="KR11" s="145"/>
      <c r="KS11" s="145"/>
      <c r="KT11" s="145"/>
      <c r="KU11" s="145"/>
      <c r="KV11" s="145"/>
      <c r="KW11" s="145"/>
      <c r="KX11" s="145"/>
      <c r="KY11" s="145"/>
      <c r="KZ11" s="145"/>
      <c r="LA11" s="145"/>
      <c r="LB11" s="145"/>
      <c r="LC11" s="145"/>
      <c r="LD11" s="145"/>
      <c r="LE11" s="145"/>
      <c r="LF11" s="145"/>
      <c r="LG11" s="145"/>
      <c r="LH11" s="145"/>
      <c r="LI11" s="145"/>
      <c r="LJ11" s="145"/>
      <c r="LK11" s="145"/>
      <c r="LL11" s="145"/>
      <c r="LM11" s="145"/>
      <c r="LN11" s="145"/>
      <c r="LO11" s="145"/>
      <c r="LP11" s="145"/>
      <c r="LQ11" s="145"/>
      <c r="LR11" s="145"/>
      <c r="LS11" s="145"/>
      <c r="LT11" s="145"/>
      <c r="LU11" s="145"/>
      <c r="LV11" s="145"/>
      <c r="LW11" s="145"/>
      <c r="LX11" s="145"/>
      <c r="LY11" s="145"/>
      <c r="LZ11" s="145"/>
      <c r="MA11" s="145"/>
      <c r="MB11" s="145"/>
      <c r="MC11" s="145"/>
      <c r="MD11" s="145"/>
      <c r="ME11" s="145"/>
      <c r="MF11" s="145"/>
      <c r="MG11" s="145"/>
      <c r="MH11" s="145"/>
      <c r="MI11" s="145"/>
      <c r="MJ11" s="145"/>
      <c r="MK11" s="145"/>
      <c r="ML11" s="145"/>
      <c r="MM11" s="145"/>
      <c r="MN11" s="145"/>
      <c r="MO11" s="145"/>
      <c r="MP11" s="145"/>
      <c r="MQ11" s="145"/>
      <c r="MR11" s="145"/>
      <c r="MS11" s="145"/>
      <c r="MT11" s="145"/>
      <c r="MU11" s="145"/>
      <c r="MV11" s="145"/>
      <c r="MW11" s="145"/>
      <c r="MX11" s="145"/>
      <c r="MY11" s="145"/>
      <c r="MZ11" s="145"/>
      <c r="NA11" s="145"/>
      <c r="NB11" s="145"/>
      <c r="NC11" s="145"/>
      <c r="ND11" s="145"/>
      <c r="NE11" s="145"/>
      <c r="NF11" s="145"/>
      <c r="NG11" s="145"/>
      <c r="NH11" s="145"/>
      <c r="NI11" s="145"/>
      <c r="NJ11" s="145"/>
      <c r="NK11" s="145"/>
      <c r="NL11" s="145"/>
      <c r="NM11" s="145"/>
      <c r="NN11" s="145"/>
      <c r="NO11" s="145"/>
      <c r="NP11" s="145"/>
      <c r="NQ11" s="145"/>
      <c r="NR11" s="145"/>
      <c r="NS11" s="145"/>
      <c r="NT11" s="145"/>
      <c r="NU11" s="145"/>
      <c r="NV11" s="145"/>
      <c r="NW11" s="145"/>
      <c r="NX11" s="145"/>
      <c r="NY11" s="145"/>
      <c r="NZ11" s="145"/>
      <c r="OA11" s="145"/>
      <c r="OB11" s="145"/>
      <c r="OC11" s="145"/>
      <c r="OD11" s="145"/>
      <c r="OE11" s="145"/>
      <c r="OF11" s="145"/>
      <c r="OG11" s="145"/>
      <c r="OH11" s="145"/>
      <c r="OI11" s="145"/>
      <c r="OJ11" s="145"/>
      <c r="OK11" s="145"/>
      <c r="OL11" s="145"/>
      <c r="OM11" s="145"/>
      <c r="ON11" s="145"/>
      <c r="OO11" s="145"/>
      <c r="OP11" s="145"/>
      <c r="OQ11" s="145"/>
      <c r="OR11" s="145"/>
      <c r="OS11" s="145"/>
      <c r="OT11" s="145"/>
      <c r="OU11" s="145"/>
      <c r="OV11" s="145"/>
      <c r="OW11" s="145"/>
      <c r="OX11" s="145"/>
      <c r="OY11" s="145"/>
      <c r="OZ11" s="145"/>
      <c r="PA11" s="145"/>
      <c r="PB11" s="145"/>
      <c r="PC11" s="145"/>
      <c r="PD11" s="145"/>
      <c r="PE11" s="145"/>
      <c r="PF11" s="145"/>
      <c r="PG11" s="145"/>
      <c r="PH11" s="145"/>
      <c r="PI11" s="145"/>
      <c r="PJ11" s="145"/>
      <c r="PK11" s="145"/>
      <c r="PL11" s="145"/>
      <c r="PM11" s="145"/>
      <c r="PN11" s="145"/>
      <c r="PO11" s="145"/>
      <c r="PP11" s="145"/>
      <c r="PQ11" s="145"/>
      <c r="PR11" s="145"/>
      <c r="PS11" s="145"/>
      <c r="PT11" s="145"/>
      <c r="PU11" s="145"/>
      <c r="PV11" s="145"/>
      <c r="PW11" s="145"/>
      <c r="PX11" s="145"/>
      <c r="PY11" s="145"/>
      <c r="PZ11" s="145"/>
      <c r="QA11" s="145"/>
      <c r="QB11" s="145"/>
      <c r="QC11" s="145"/>
      <c r="QD11" s="145"/>
      <c r="QE11" s="145"/>
      <c r="QF11" s="145"/>
      <c r="QG11" s="145"/>
      <c r="QH11" s="145"/>
      <c r="QI11" s="145"/>
      <c r="QJ11" s="145"/>
      <c r="QK11" s="145"/>
      <c r="QL11" s="145"/>
      <c r="QM11" s="145"/>
      <c r="QN11" s="145"/>
      <c r="QO11" s="145"/>
      <c r="QP11" s="145"/>
      <c r="QQ11" s="145"/>
      <c r="QR11" s="145"/>
      <c r="QS11" s="145"/>
      <c r="QT11" s="145"/>
      <c r="QU11" s="145"/>
      <c r="QV11" s="145"/>
      <c r="QW11" s="145"/>
      <c r="QX11" s="145"/>
      <c r="QY11" s="145"/>
      <c r="QZ11" s="145"/>
      <c r="RA11" s="145"/>
      <c r="RB11" s="145"/>
      <c r="RC11" s="145"/>
      <c r="RD11" s="145"/>
      <c r="RE11" s="145"/>
      <c r="RF11" s="145"/>
      <c r="RG11" s="145"/>
      <c r="RH11" s="145"/>
      <c r="RI11" s="145"/>
      <c r="RJ11" s="145"/>
      <c r="RK11" s="145"/>
      <c r="RL11" s="145"/>
      <c r="RM11" s="145"/>
      <c r="RN11" s="145"/>
      <c r="RO11" s="145"/>
      <c r="RP11" s="145"/>
      <c r="RQ11" s="145"/>
      <c r="RR11" s="145"/>
      <c r="RS11" s="145"/>
      <c r="RT11" s="145"/>
      <c r="RU11" s="145"/>
      <c r="RV11" s="145"/>
      <c r="RW11" s="145"/>
      <c r="RX11" s="145"/>
      <c r="RY11" s="145"/>
      <c r="RZ11" s="145"/>
      <c r="SA11" s="145"/>
      <c r="SB11" s="145"/>
      <c r="SC11" s="145"/>
      <c r="SD11" s="145"/>
      <c r="SE11" s="145"/>
      <c r="SF11" s="145"/>
      <c r="SG11" s="145"/>
      <c r="SH11" s="145"/>
      <c r="SI11" s="145"/>
      <c r="SJ11" s="145"/>
      <c r="SK11" s="145"/>
      <c r="SL11" s="145"/>
      <c r="SM11" s="145"/>
      <c r="SN11" s="145"/>
      <c r="SO11" s="145"/>
      <c r="SP11" s="145"/>
      <c r="SQ11" s="145"/>
      <c r="SR11" s="145"/>
      <c r="SS11" s="145"/>
    </row>
    <row r="12" spans="1:513 16384:16384" s="144" customFormat="1" ht="14.5" x14ac:dyDescent="0.35">
      <c r="A12" s="190"/>
      <c r="B12" s="189"/>
      <c r="C12" s="190"/>
      <c r="D12" s="191"/>
      <c r="E12" s="191"/>
      <c r="F12" s="191"/>
      <c r="G12" s="191"/>
      <c r="H12" s="191"/>
      <c r="I12" s="191"/>
      <c r="J12" s="191"/>
      <c r="K12" s="191"/>
      <c r="L12" s="191"/>
      <c r="M12" s="191"/>
      <c r="N12" s="192"/>
      <c r="O12" s="192"/>
      <c r="P12" s="192"/>
      <c r="Q12" s="192"/>
      <c r="R12" s="192"/>
      <c r="S12" s="192"/>
      <c r="T12" s="192"/>
      <c r="U12" s="191"/>
      <c r="V12" s="191"/>
      <c r="W12" s="191"/>
      <c r="X12" s="191"/>
      <c r="Y12" s="191"/>
      <c r="Z12" s="191"/>
      <c r="AA12" s="191"/>
      <c r="AB12" s="281"/>
      <c r="AC12" s="191"/>
      <c r="AD12" s="191"/>
      <c r="AE12" s="281"/>
      <c r="AF12" s="281"/>
      <c r="AG12" s="281"/>
      <c r="AH12" s="281"/>
      <c r="AI12" s="281"/>
      <c r="AJ12" s="191"/>
      <c r="AK12" s="191"/>
      <c r="AL12" s="191"/>
      <c r="AM12" s="191"/>
      <c r="AN12" s="281"/>
      <c r="AO12" s="192"/>
      <c r="AP12" s="192"/>
      <c r="AQ12" s="192"/>
      <c r="AR12" s="192"/>
      <c r="AS12" s="192"/>
      <c r="AT12" s="192"/>
      <c r="AU12" s="192"/>
      <c r="AV12" s="192"/>
      <c r="AW12" s="192"/>
      <c r="AX12" s="192"/>
      <c r="AY12" s="192"/>
      <c r="AZ12" s="192"/>
      <c r="BA12" s="192"/>
      <c r="BB12" s="192"/>
      <c r="BC12" s="192"/>
      <c r="BD12" s="192"/>
      <c r="BE12" s="192"/>
      <c r="BF12" s="192"/>
      <c r="BG12" s="192"/>
      <c r="BH12" s="192"/>
      <c r="BI12" s="192"/>
      <c r="BJ12" s="192"/>
      <c r="BK12" s="192"/>
      <c r="BL12" s="192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35"/>
      <c r="BZ12" s="135"/>
      <c r="CA12" s="135"/>
      <c r="CB12" s="135"/>
      <c r="CC12" s="135"/>
      <c r="CD12" s="135"/>
      <c r="CE12" s="135"/>
      <c r="CF12" s="135"/>
      <c r="CG12" s="135"/>
      <c r="CH12" s="135"/>
      <c r="CI12" s="135"/>
      <c r="CJ12" s="135"/>
      <c r="CK12" s="135"/>
      <c r="CL12" s="135"/>
      <c r="CM12" s="135"/>
      <c r="CN12" s="135"/>
      <c r="CO12" s="135"/>
      <c r="CP12" s="135"/>
      <c r="CQ12" s="135"/>
      <c r="CR12" s="135"/>
      <c r="CS12" s="135"/>
      <c r="CT12" s="135"/>
      <c r="CU12" s="135"/>
      <c r="CV12" s="135"/>
      <c r="CW12" s="135"/>
      <c r="CX12" s="135"/>
      <c r="CY12" s="135"/>
      <c r="CZ12" s="135"/>
      <c r="DA12" s="135"/>
      <c r="DB12" s="135"/>
      <c r="DC12" s="135"/>
      <c r="DD12" s="135"/>
      <c r="DE12" s="135"/>
      <c r="DF12" s="135"/>
      <c r="DG12" s="135"/>
      <c r="DH12" s="135"/>
      <c r="DI12" s="135"/>
      <c r="DJ12" s="135"/>
      <c r="DK12" s="135"/>
      <c r="DL12" s="135"/>
      <c r="DM12" s="135"/>
      <c r="DN12" s="135"/>
      <c r="DO12" s="145"/>
      <c r="DP12" s="145"/>
      <c r="DQ12" s="145"/>
      <c r="DR12" s="145"/>
      <c r="DS12" s="145"/>
      <c r="DT12" s="145"/>
      <c r="DU12" s="145"/>
      <c r="DV12" s="145"/>
      <c r="DW12" s="145"/>
      <c r="DX12" s="145"/>
      <c r="DY12" s="145"/>
      <c r="DZ12" s="145"/>
      <c r="EA12" s="145"/>
      <c r="EB12" s="145"/>
      <c r="EC12" s="145"/>
      <c r="ED12" s="145"/>
      <c r="EE12" s="145"/>
      <c r="EF12" s="145"/>
      <c r="EG12" s="145"/>
      <c r="EH12" s="145"/>
      <c r="EI12" s="145"/>
      <c r="EJ12" s="145"/>
      <c r="EK12" s="145"/>
      <c r="EL12" s="145"/>
      <c r="EM12" s="145"/>
      <c r="EN12" s="145"/>
      <c r="EO12" s="145"/>
      <c r="EP12" s="145"/>
      <c r="EQ12" s="145"/>
      <c r="ER12" s="145"/>
      <c r="ES12" s="145"/>
      <c r="ET12" s="145"/>
      <c r="EU12" s="145"/>
      <c r="EV12" s="145"/>
      <c r="EW12" s="145"/>
      <c r="EX12" s="145"/>
      <c r="EY12" s="145"/>
      <c r="EZ12" s="145"/>
      <c r="FA12" s="145"/>
      <c r="FB12" s="145"/>
      <c r="FC12" s="145"/>
      <c r="FD12" s="145"/>
      <c r="FE12" s="145"/>
      <c r="FF12" s="145"/>
      <c r="FG12" s="145"/>
      <c r="FH12" s="145"/>
      <c r="FI12" s="145"/>
      <c r="FJ12" s="145"/>
      <c r="FK12" s="145"/>
      <c r="FL12" s="145"/>
      <c r="FM12" s="145"/>
      <c r="FN12" s="145"/>
      <c r="FO12" s="145"/>
      <c r="FP12" s="145"/>
      <c r="FQ12" s="145"/>
      <c r="FR12" s="145"/>
      <c r="FS12" s="145"/>
      <c r="FT12" s="145"/>
      <c r="FU12" s="145"/>
      <c r="FV12" s="145"/>
      <c r="FW12" s="145"/>
      <c r="FX12" s="145"/>
      <c r="FY12" s="145"/>
      <c r="FZ12" s="145"/>
      <c r="GA12" s="145"/>
      <c r="GB12" s="145"/>
      <c r="GC12" s="145"/>
      <c r="GD12" s="145"/>
      <c r="GE12" s="145"/>
      <c r="GF12" s="145"/>
      <c r="GG12" s="145"/>
      <c r="GH12" s="145"/>
      <c r="GI12" s="145"/>
      <c r="GJ12" s="145"/>
      <c r="GK12" s="145"/>
      <c r="GL12" s="145"/>
      <c r="GM12" s="145"/>
      <c r="GN12" s="145"/>
      <c r="GO12" s="145"/>
      <c r="GP12" s="145"/>
      <c r="GQ12" s="145"/>
      <c r="GR12" s="145"/>
      <c r="GS12" s="145"/>
      <c r="GT12" s="145"/>
      <c r="GU12" s="145"/>
      <c r="GV12" s="145"/>
      <c r="GW12" s="145"/>
      <c r="GX12" s="145"/>
      <c r="GY12" s="145"/>
      <c r="GZ12" s="145"/>
      <c r="HA12" s="145"/>
      <c r="HB12" s="145"/>
      <c r="HC12" s="145"/>
      <c r="HD12" s="145"/>
      <c r="HE12" s="145"/>
      <c r="HF12" s="145"/>
      <c r="HG12" s="145"/>
      <c r="HH12" s="145"/>
      <c r="HI12" s="145"/>
      <c r="HJ12" s="145"/>
      <c r="HK12" s="145"/>
      <c r="HL12" s="145"/>
      <c r="HM12" s="145"/>
      <c r="HN12" s="145"/>
      <c r="HO12" s="145"/>
      <c r="HP12" s="145"/>
      <c r="HQ12" s="145"/>
      <c r="HR12" s="145"/>
      <c r="HS12" s="145"/>
      <c r="HT12" s="145"/>
      <c r="HU12" s="145"/>
      <c r="HV12" s="145"/>
      <c r="HW12" s="145"/>
      <c r="HX12" s="145"/>
      <c r="HY12" s="145"/>
      <c r="HZ12" s="145"/>
      <c r="IA12" s="145"/>
      <c r="IB12" s="145"/>
      <c r="IC12" s="145"/>
      <c r="ID12" s="145"/>
      <c r="IE12" s="145"/>
      <c r="IF12" s="145"/>
      <c r="IG12" s="145"/>
      <c r="IH12" s="145"/>
      <c r="II12" s="145"/>
      <c r="IJ12" s="145"/>
      <c r="IK12" s="145"/>
      <c r="IL12" s="145"/>
      <c r="IM12" s="145"/>
      <c r="IN12" s="145"/>
      <c r="IO12" s="145"/>
      <c r="IP12" s="145"/>
      <c r="IQ12" s="145"/>
      <c r="IR12" s="145"/>
      <c r="IS12" s="145"/>
      <c r="IT12" s="145"/>
      <c r="IU12" s="145"/>
      <c r="IV12" s="145"/>
      <c r="IW12" s="145"/>
      <c r="IX12" s="145"/>
      <c r="IY12" s="145"/>
      <c r="IZ12" s="145"/>
      <c r="JA12" s="145"/>
      <c r="JB12" s="145"/>
      <c r="JC12" s="145"/>
      <c r="JD12" s="145"/>
      <c r="JE12" s="145"/>
      <c r="JF12" s="145"/>
      <c r="JG12" s="145"/>
      <c r="JH12" s="145"/>
      <c r="JI12" s="145"/>
      <c r="JJ12" s="145"/>
      <c r="JK12" s="145"/>
      <c r="JL12" s="145"/>
      <c r="JM12" s="145"/>
      <c r="JN12" s="145"/>
      <c r="JO12" s="145"/>
      <c r="JP12" s="145"/>
      <c r="JQ12" s="145"/>
      <c r="JR12" s="145"/>
      <c r="JS12" s="145"/>
      <c r="JT12" s="145"/>
      <c r="JU12" s="145"/>
      <c r="JV12" s="145"/>
      <c r="JW12" s="145"/>
      <c r="JX12" s="145"/>
      <c r="JY12" s="145"/>
      <c r="JZ12" s="145"/>
      <c r="KA12" s="145"/>
      <c r="KB12" s="145"/>
      <c r="KC12" s="145"/>
      <c r="KD12" s="145"/>
      <c r="KE12" s="145"/>
      <c r="KF12" s="145"/>
      <c r="KG12" s="145"/>
      <c r="KH12" s="145"/>
      <c r="KI12" s="145"/>
      <c r="KJ12" s="145"/>
      <c r="KK12" s="145"/>
      <c r="KL12" s="145"/>
      <c r="KM12" s="145"/>
      <c r="KN12" s="145"/>
      <c r="KO12" s="145"/>
      <c r="KP12" s="145"/>
      <c r="KQ12" s="145"/>
      <c r="KR12" s="145"/>
      <c r="KS12" s="145"/>
      <c r="KT12" s="145"/>
      <c r="KU12" s="145"/>
      <c r="KV12" s="145"/>
      <c r="KW12" s="145"/>
      <c r="KX12" s="145"/>
      <c r="KY12" s="145"/>
      <c r="KZ12" s="145"/>
      <c r="LA12" s="145"/>
      <c r="LB12" s="145"/>
      <c r="LC12" s="145"/>
      <c r="LD12" s="145"/>
      <c r="LE12" s="145"/>
      <c r="LF12" s="145"/>
      <c r="LG12" s="145"/>
      <c r="LH12" s="145"/>
      <c r="LI12" s="145"/>
      <c r="LJ12" s="145"/>
      <c r="LK12" s="145"/>
      <c r="LL12" s="145"/>
      <c r="LM12" s="145"/>
      <c r="LN12" s="145"/>
      <c r="LO12" s="145"/>
      <c r="LP12" s="145"/>
      <c r="LQ12" s="145"/>
      <c r="LR12" s="145"/>
      <c r="LS12" s="145"/>
      <c r="LT12" s="145"/>
      <c r="LU12" s="145"/>
      <c r="LV12" s="145"/>
      <c r="LW12" s="145"/>
      <c r="LX12" s="145"/>
      <c r="LY12" s="145"/>
      <c r="LZ12" s="145"/>
      <c r="MA12" s="145"/>
      <c r="MB12" s="145"/>
      <c r="MC12" s="145"/>
      <c r="MD12" s="145"/>
      <c r="ME12" s="145"/>
      <c r="MF12" s="145"/>
      <c r="MG12" s="145"/>
      <c r="MH12" s="145"/>
      <c r="MI12" s="145"/>
      <c r="MJ12" s="145"/>
      <c r="MK12" s="145"/>
      <c r="ML12" s="145"/>
      <c r="MM12" s="145"/>
      <c r="MN12" s="145"/>
      <c r="MO12" s="145"/>
      <c r="MP12" s="145"/>
      <c r="MQ12" s="145"/>
      <c r="MR12" s="145"/>
      <c r="MS12" s="145"/>
      <c r="MT12" s="145"/>
      <c r="MU12" s="145"/>
      <c r="MV12" s="145"/>
      <c r="MW12" s="145"/>
      <c r="MX12" s="145"/>
      <c r="MY12" s="145"/>
      <c r="MZ12" s="145"/>
      <c r="NA12" s="145"/>
      <c r="NB12" s="145"/>
      <c r="NC12" s="145"/>
      <c r="ND12" s="145"/>
      <c r="NE12" s="145"/>
      <c r="NF12" s="145"/>
      <c r="NG12" s="145"/>
      <c r="NH12" s="145"/>
      <c r="NI12" s="145"/>
      <c r="NJ12" s="145"/>
      <c r="NK12" s="145"/>
      <c r="NL12" s="145"/>
      <c r="NM12" s="145"/>
      <c r="NN12" s="145"/>
      <c r="NO12" s="145"/>
      <c r="NP12" s="145"/>
      <c r="NQ12" s="145"/>
      <c r="NR12" s="145"/>
      <c r="NS12" s="145"/>
      <c r="NT12" s="145"/>
      <c r="NU12" s="145"/>
      <c r="NV12" s="145"/>
      <c r="NW12" s="145"/>
      <c r="NX12" s="145"/>
      <c r="NY12" s="145"/>
      <c r="NZ12" s="145"/>
      <c r="OA12" s="145"/>
      <c r="OB12" s="145"/>
      <c r="OC12" s="145"/>
      <c r="OD12" s="145"/>
      <c r="OE12" s="145"/>
      <c r="OF12" s="145"/>
      <c r="OG12" s="145"/>
      <c r="OH12" s="145"/>
      <c r="OI12" s="145"/>
      <c r="OJ12" s="145"/>
      <c r="OK12" s="145"/>
      <c r="OL12" s="145"/>
      <c r="OM12" s="145"/>
      <c r="ON12" s="145"/>
      <c r="OO12" s="145"/>
      <c r="OP12" s="145"/>
      <c r="OQ12" s="145"/>
      <c r="OR12" s="145"/>
      <c r="OS12" s="145"/>
      <c r="OT12" s="145"/>
      <c r="OU12" s="145"/>
      <c r="OV12" s="145"/>
      <c r="OW12" s="145"/>
      <c r="OX12" s="145"/>
      <c r="OY12" s="145"/>
      <c r="OZ12" s="145"/>
      <c r="PA12" s="145"/>
      <c r="PB12" s="145"/>
      <c r="PC12" s="145"/>
      <c r="PD12" s="145"/>
      <c r="PE12" s="145"/>
      <c r="PF12" s="145"/>
      <c r="PG12" s="145"/>
      <c r="PH12" s="145"/>
      <c r="PI12" s="145"/>
      <c r="PJ12" s="145"/>
      <c r="PK12" s="145"/>
      <c r="PL12" s="145"/>
      <c r="PM12" s="145"/>
      <c r="PN12" s="145"/>
      <c r="PO12" s="145"/>
      <c r="PP12" s="145"/>
      <c r="PQ12" s="145"/>
      <c r="PR12" s="145"/>
      <c r="PS12" s="145"/>
      <c r="PT12" s="145"/>
      <c r="PU12" s="145"/>
      <c r="PV12" s="145"/>
      <c r="PW12" s="145"/>
      <c r="PX12" s="145"/>
      <c r="PY12" s="145"/>
      <c r="PZ12" s="145"/>
      <c r="QA12" s="145"/>
      <c r="QB12" s="145"/>
      <c r="QC12" s="145"/>
      <c r="QD12" s="145"/>
      <c r="QE12" s="145"/>
      <c r="QF12" s="145"/>
      <c r="QG12" s="145"/>
      <c r="QH12" s="145"/>
      <c r="QI12" s="145"/>
      <c r="QJ12" s="145"/>
      <c r="QK12" s="145"/>
      <c r="QL12" s="145"/>
      <c r="QM12" s="145"/>
      <c r="QN12" s="145"/>
      <c r="QO12" s="145"/>
      <c r="QP12" s="145"/>
      <c r="QQ12" s="145"/>
      <c r="QR12" s="145"/>
      <c r="QS12" s="145"/>
      <c r="QT12" s="145"/>
      <c r="QU12" s="145"/>
      <c r="QV12" s="145"/>
      <c r="QW12" s="145"/>
      <c r="QX12" s="145"/>
      <c r="QY12" s="145"/>
      <c r="QZ12" s="145"/>
      <c r="RA12" s="145"/>
      <c r="RB12" s="145"/>
      <c r="RC12" s="145"/>
      <c r="RD12" s="145"/>
      <c r="RE12" s="145"/>
      <c r="RF12" s="145"/>
      <c r="RG12" s="145"/>
      <c r="RH12" s="145"/>
      <c r="RI12" s="145"/>
      <c r="RJ12" s="145"/>
      <c r="RK12" s="145"/>
      <c r="RL12" s="145"/>
      <c r="RM12" s="145"/>
      <c r="RN12" s="145"/>
      <c r="RO12" s="145"/>
      <c r="RP12" s="145"/>
      <c r="RQ12" s="145"/>
      <c r="RR12" s="145"/>
      <c r="RS12" s="145"/>
      <c r="RT12" s="145"/>
      <c r="RU12" s="145"/>
      <c r="RV12" s="145"/>
      <c r="RW12" s="145"/>
      <c r="RX12" s="145"/>
      <c r="RY12" s="145"/>
      <c r="RZ12" s="145"/>
      <c r="SA12" s="145"/>
      <c r="SB12" s="145"/>
      <c r="SC12" s="145"/>
      <c r="SD12" s="145"/>
      <c r="SE12" s="145"/>
      <c r="SF12" s="145"/>
      <c r="SG12" s="145"/>
      <c r="SH12" s="145"/>
      <c r="SI12" s="145"/>
      <c r="SJ12" s="145"/>
      <c r="SK12" s="145"/>
      <c r="SL12" s="145"/>
      <c r="SM12" s="145"/>
      <c r="SN12" s="145"/>
      <c r="SO12" s="145"/>
      <c r="SP12" s="145"/>
      <c r="SQ12" s="145"/>
      <c r="SR12" s="145"/>
      <c r="SS12" s="145"/>
    </row>
    <row r="13" spans="1:513 16384:16384" s="146" customFormat="1" ht="14.5" x14ac:dyDescent="0.35">
      <c r="A13" s="147"/>
      <c r="B13" s="147" t="s">
        <v>861</v>
      </c>
      <c r="C13" s="147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4"/>
      <c r="O13" s="194"/>
      <c r="P13" s="194"/>
      <c r="Q13" s="194"/>
      <c r="R13" s="194"/>
      <c r="S13" s="194"/>
      <c r="T13" s="194"/>
      <c r="U13" s="193">
        <v>1800000</v>
      </c>
      <c r="V13" s="193">
        <f>U13</f>
        <v>1800000</v>
      </c>
      <c r="W13" s="193">
        <f>V13</f>
        <v>1800000</v>
      </c>
      <c r="X13" s="193">
        <f t="shared" ref="X13:BJ14" si="81">W13</f>
        <v>1800000</v>
      </c>
      <c r="Y13" s="193">
        <v>1500000</v>
      </c>
      <c r="Z13" s="193">
        <f t="shared" si="81"/>
        <v>1500000</v>
      </c>
      <c r="AA13" s="193">
        <f t="shared" si="81"/>
        <v>1500000</v>
      </c>
      <c r="AB13" s="282">
        <f t="shared" si="81"/>
        <v>1500000</v>
      </c>
      <c r="AC13" s="193">
        <f t="shared" si="81"/>
        <v>1500000</v>
      </c>
      <c r="AD13" s="193">
        <f t="shared" si="81"/>
        <v>1500000</v>
      </c>
      <c r="AE13" s="282">
        <v>0</v>
      </c>
      <c r="AF13" s="282">
        <f t="shared" si="81"/>
        <v>0</v>
      </c>
      <c r="AG13" s="282">
        <f t="shared" si="81"/>
        <v>0</v>
      </c>
      <c r="AH13" s="282">
        <f t="shared" si="81"/>
        <v>0</v>
      </c>
      <c r="AI13" s="282">
        <f t="shared" si="81"/>
        <v>0</v>
      </c>
      <c r="AJ13" s="193">
        <f t="shared" si="81"/>
        <v>0</v>
      </c>
      <c r="AK13" s="193">
        <f t="shared" si="81"/>
        <v>0</v>
      </c>
      <c r="AL13" s="193">
        <f t="shared" si="81"/>
        <v>0</v>
      </c>
      <c r="AM13" s="193">
        <f t="shared" si="81"/>
        <v>0</v>
      </c>
      <c r="AN13" s="282">
        <f t="shared" si="81"/>
        <v>0</v>
      </c>
      <c r="AO13" s="194">
        <f t="shared" si="81"/>
        <v>0</v>
      </c>
      <c r="AP13" s="194">
        <f t="shared" si="81"/>
        <v>0</v>
      </c>
      <c r="AQ13" s="194">
        <f t="shared" si="81"/>
        <v>0</v>
      </c>
      <c r="AR13" s="194">
        <f t="shared" si="81"/>
        <v>0</v>
      </c>
      <c r="AS13" s="194">
        <f t="shared" si="81"/>
        <v>0</v>
      </c>
      <c r="AT13" s="194">
        <f t="shared" si="81"/>
        <v>0</v>
      </c>
      <c r="AU13" s="194">
        <f t="shared" si="81"/>
        <v>0</v>
      </c>
      <c r="AV13" s="194">
        <f t="shared" si="81"/>
        <v>0</v>
      </c>
      <c r="AW13" s="194">
        <f t="shared" si="81"/>
        <v>0</v>
      </c>
      <c r="AX13" s="194">
        <f t="shared" si="81"/>
        <v>0</v>
      </c>
      <c r="AY13" s="194">
        <f t="shared" si="81"/>
        <v>0</v>
      </c>
      <c r="AZ13" s="194">
        <f t="shared" si="81"/>
        <v>0</v>
      </c>
      <c r="BA13" s="194">
        <f t="shared" si="81"/>
        <v>0</v>
      </c>
      <c r="BB13" s="194">
        <f t="shared" si="81"/>
        <v>0</v>
      </c>
      <c r="BC13" s="194">
        <f t="shared" si="81"/>
        <v>0</v>
      </c>
      <c r="BD13" s="194">
        <f t="shared" si="81"/>
        <v>0</v>
      </c>
      <c r="BE13" s="194">
        <f t="shared" si="81"/>
        <v>0</v>
      </c>
      <c r="BF13" s="194">
        <v>3500000</v>
      </c>
      <c r="BG13" s="194">
        <f t="shared" si="81"/>
        <v>3500000</v>
      </c>
      <c r="BH13" s="194">
        <v>0</v>
      </c>
      <c r="BI13" s="194">
        <f t="shared" si="81"/>
        <v>0</v>
      </c>
      <c r="BJ13" s="194">
        <f t="shared" si="81"/>
        <v>0</v>
      </c>
      <c r="BK13" s="194">
        <v>0</v>
      </c>
      <c r="BL13" s="194">
        <v>0</v>
      </c>
      <c r="BM13" s="194">
        <v>0</v>
      </c>
      <c r="BN13" s="194">
        <v>0</v>
      </c>
      <c r="BO13" s="194">
        <v>0</v>
      </c>
      <c r="BP13" s="194">
        <v>0</v>
      </c>
      <c r="BQ13" s="194">
        <v>0</v>
      </c>
      <c r="BR13" s="194">
        <v>0</v>
      </c>
      <c r="BS13" s="194">
        <v>0</v>
      </c>
      <c r="BT13" s="194">
        <v>0</v>
      </c>
      <c r="BU13" s="194">
        <v>0</v>
      </c>
      <c r="BV13" s="194">
        <v>0</v>
      </c>
      <c r="BW13" s="193">
        <v>0</v>
      </c>
      <c r="BX13" s="194">
        <v>0</v>
      </c>
      <c r="BY13" s="194">
        <v>0</v>
      </c>
      <c r="BZ13" s="147"/>
      <c r="CA13" s="147"/>
      <c r="CB13" s="147"/>
      <c r="CC13" s="147"/>
      <c r="CD13" s="147"/>
      <c r="CE13" s="147"/>
      <c r="CF13" s="147"/>
      <c r="CG13" s="147"/>
      <c r="CH13" s="147"/>
      <c r="CI13" s="147"/>
      <c r="CJ13" s="147"/>
      <c r="CK13" s="147"/>
      <c r="CL13" s="147"/>
      <c r="CM13" s="147"/>
      <c r="CN13" s="147"/>
      <c r="CO13" s="147"/>
      <c r="CP13" s="147"/>
      <c r="CQ13" s="147"/>
      <c r="CR13" s="147"/>
      <c r="CS13" s="147"/>
      <c r="CT13" s="147"/>
      <c r="CU13" s="147"/>
      <c r="CV13" s="147"/>
      <c r="CW13" s="147"/>
      <c r="CX13" s="147"/>
      <c r="CY13" s="147"/>
      <c r="CZ13" s="147"/>
      <c r="DA13" s="147"/>
      <c r="DB13" s="147"/>
      <c r="DC13" s="147"/>
      <c r="DD13" s="147"/>
      <c r="DE13" s="147"/>
      <c r="DF13" s="147"/>
      <c r="DG13" s="147"/>
      <c r="DH13" s="147"/>
      <c r="DI13" s="147"/>
      <c r="DJ13" s="147"/>
      <c r="DK13" s="147"/>
      <c r="DL13" s="147"/>
      <c r="DM13" s="147"/>
      <c r="DN13" s="147"/>
      <c r="DO13" s="148"/>
      <c r="DP13" s="148"/>
      <c r="DQ13" s="148"/>
      <c r="DR13" s="148"/>
      <c r="DS13" s="148"/>
      <c r="DT13" s="148"/>
      <c r="DU13" s="148"/>
      <c r="DV13" s="148"/>
      <c r="DW13" s="148"/>
      <c r="DX13" s="148"/>
      <c r="DY13" s="148"/>
      <c r="DZ13" s="148"/>
      <c r="EA13" s="148"/>
      <c r="EB13" s="148"/>
      <c r="EC13" s="148"/>
      <c r="ED13" s="148"/>
      <c r="EE13" s="148"/>
      <c r="EF13" s="148"/>
      <c r="EG13" s="148"/>
      <c r="EH13" s="148"/>
      <c r="EI13" s="148"/>
      <c r="EJ13" s="148"/>
      <c r="EK13" s="148"/>
      <c r="EL13" s="148"/>
      <c r="EM13" s="148"/>
      <c r="EN13" s="148"/>
      <c r="EO13" s="148"/>
      <c r="EP13" s="148"/>
      <c r="EQ13" s="148"/>
      <c r="ER13" s="148"/>
      <c r="ES13" s="148"/>
      <c r="ET13" s="148"/>
      <c r="EU13" s="148"/>
      <c r="EV13" s="148"/>
      <c r="EW13" s="148"/>
      <c r="EX13" s="148"/>
      <c r="EY13" s="148"/>
      <c r="EZ13" s="148"/>
      <c r="FA13" s="148"/>
      <c r="FB13" s="148"/>
      <c r="FC13" s="148"/>
      <c r="FD13" s="148"/>
      <c r="FE13" s="148"/>
      <c r="FF13" s="148"/>
      <c r="FG13" s="148"/>
      <c r="FH13" s="148"/>
      <c r="FI13" s="148"/>
      <c r="FJ13" s="148"/>
      <c r="FK13" s="148"/>
      <c r="FL13" s="148"/>
      <c r="FM13" s="148"/>
      <c r="FN13" s="148"/>
      <c r="FO13" s="148"/>
      <c r="FP13" s="148"/>
      <c r="FQ13" s="148"/>
      <c r="FR13" s="148"/>
      <c r="FS13" s="148"/>
      <c r="FT13" s="148"/>
      <c r="FU13" s="148"/>
      <c r="FV13" s="148"/>
      <c r="FW13" s="148"/>
      <c r="FX13" s="148"/>
      <c r="FY13" s="148"/>
      <c r="FZ13" s="148"/>
      <c r="GA13" s="148"/>
      <c r="GB13" s="148"/>
      <c r="GC13" s="148"/>
      <c r="GD13" s="148"/>
      <c r="GE13" s="148"/>
      <c r="GF13" s="148"/>
      <c r="GG13" s="148"/>
      <c r="GH13" s="148"/>
      <c r="GI13" s="148"/>
      <c r="GJ13" s="148"/>
      <c r="GK13" s="148"/>
      <c r="GL13" s="148"/>
      <c r="GM13" s="148"/>
      <c r="GN13" s="148"/>
      <c r="GO13" s="148"/>
      <c r="GP13" s="148"/>
      <c r="GQ13" s="148"/>
      <c r="GR13" s="148"/>
      <c r="GS13" s="148"/>
      <c r="GT13" s="148"/>
      <c r="GU13" s="148"/>
      <c r="GV13" s="148"/>
      <c r="GW13" s="148"/>
      <c r="GX13" s="148"/>
      <c r="GY13" s="148"/>
      <c r="GZ13" s="148"/>
      <c r="HA13" s="148"/>
      <c r="HB13" s="148"/>
      <c r="HC13" s="148"/>
      <c r="HD13" s="148"/>
      <c r="HE13" s="148"/>
      <c r="HF13" s="148"/>
      <c r="HG13" s="148"/>
      <c r="HH13" s="148"/>
      <c r="HI13" s="148"/>
      <c r="HJ13" s="148"/>
      <c r="HK13" s="148"/>
      <c r="HL13" s="148"/>
      <c r="HM13" s="148"/>
      <c r="HN13" s="148"/>
      <c r="HO13" s="148"/>
      <c r="HP13" s="148"/>
      <c r="HQ13" s="148"/>
      <c r="HR13" s="148"/>
      <c r="HS13" s="148"/>
      <c r="HT13" s="148"/>
      <c r="HU13" s="148"/>
      <c r="HV13" s="148"/>
      <c r="HW13" s="148"/>
      <c r="HX13" s="148"/>
      <c r="HY13" s="148"/>
      <c r="HZ13" s="148"/>
      <c r="IA13" s="148"/>
      <c r="IB13" s="148"/>
      <c r="IC13" s="148"/>
      <c r="ID13" s="148"/>
      <c r="IE13" s="148"/>
      <c r="IF13" s="148"/>
      <c r="IG13" s="148"/>
      <c r="IH13" s="148"/>
      <c r="II13" s="148"/>
      <c r="IJ13" s="148"/>
      <c r="IK13" s="148"/>
      <c r="IL13" s="148"/>
      <c r="IM13" s="148"/>
      <c r="IN13" s="148"/>
      <c r="IO13" s="148"/>
      <c r="IP13" s="148"/>
      <c r="IQ13" s="148"/>
      <c r="IR13" s="148"/>
      <c r="IS13" s="148"/>
      <c r="IT13" s="148"/>
      <c r="IU13" s="148"/>
      <c r="IV13" s="148"/>
      <c r="IW13" s="148"/>
      <c r="IX13" s="148"/>
      <c r="IY13" s="148"/>
      <c r="IZ13" s="148"/>
      <c r="JA13" s="148"/>
      <c r="JB13" s="148"/>
      <c r="JC13" s="148"/>
      <c r="JD13" s="148"/>
      <c r="JE13" s="148"/>
      <c r="JF13" s="148"/>
      <c r="JG13" s="148"/>
      <c r="JH13" s="148"/>
      <c r="JI13" s="148"/>
      <c r="JJ13" s="148"/>
      <c r="JK13" s="148"/>
      <c r="JL13" s="148"/>
      <c r="JM13" s="148"/>
      <c r="JN13" s="148"/>
      <c r="JO13" s="148"/>
      <c r="JP13" s="148"/>
      <c r="JQ13" s="148"/>
      <c r="JR13" s="148"/>
      <c r="JS13" s="148"/>
      <c r="JT13" s="148"/>
      <c r="JU13" s="148"/>
      <c r="JV13" s="148"/>
      <c r="JW13" s="148"/>
      <c r="JX13" s="148"/>
      <c r="JY13" s="148"/>
      <c r="JZ13" s="148"/>
      <c r="KA13" s="148"/>
      <c r="KB13" s="148"/>
      <c r="KC13" s="148"/>
      <c r="KD13" s="148"/>
      <c r="KE13" s="148"/>
      <c r="KF13" s="148"/>
      <c r="KG13" s="148"/>
      <c r="KH13" s="148"/>
      <c r="KI13" s="148"/>
      <c r="KJ13" s="148"/>
      <c r="KK13" s="148"/>
      <c r="KL13" s="148"/>
      <c r="KM13" s="148"/>
      <c r="KN13" s="148"/>
      <c r="KO13" s="148"/>
      <c r="KP13" s="148"/>
      <c r="KQ13" s="148"/>
      <c r="KR13" s="148"/>
      <c r="KS13" s="148"/>
      <c r="KT13" s="148"/>
      <c r="KU13" s="148"/>
      <c r="KV13" s="148"/>
      <c r="KW13" s="148"/>
      <c r="KX13" s="148"/>
      <c r="KY13" s="148"/>
      <c r="KZ13" s="148"/>
      <c r="LA13" s="148"/>
      <c r="LB13" s="148"/>
      <c r="LC13" s="148"/>
      <c r="LD13" s="148"/>
      <c r="LE13" s="148"/>
      <c r="LF13" s="148"/>
      <c r="LG13" s="148"/>
      <c r="LH13" s="148"/>
      <c r="LI13" s="148"/>
      <c r="LJ13" s="148"/>
      <c r="LK13" s="148"/>
      <c r="LL13" s="148"/>
      <c r="LM13" s="148"/>
      <c r="LN13" s="148"/>
      <c r="LO13" s="148"/>
      <c r="LP13" s="148"/>
      <c r="LQ13" s="148"/>
      <c r="LR13" s="148"/>
      <c r="LS13" s="148"/>
      <c r="LT13" s="148"/>
      <c r="LU13" s="148"/>
      <c r="LV13" s="148"/>
      <c r="LW13" s="148"/>
      <c r="LX13" s="148"/>
      <c r="LY13" s="148"/>
      <c r="LZ13" s="148"/>
      <c r="MA13" s="148"/>
      <c r="MB13" s="148"/>
      <c r="MC13" s="148"/>
      <c r="MD13" s="148"/>
      <c r="ME13" s="148"/>
      <c r="MF13" s="148"/>
      <c r="MG13" s="148"/>
      <c r="MH13" s="148"/>
      <c r="MI13" s="148"/>
      <c r="MJ13" s="148"/>
      <c r="MK13" s="148"/>
      <c r="ML13" s="148"/>
      <c r="MM13" s="148"/>
      <c r="MN13" s="148"/>
      <c r="MO13" s="148"/>
      <c r="MP13" s="148"/>
      <c r="MQ13" s="148"/>
      <c r="MR13" s="148"/>
      <c r="MS13" s="148"/>
      <c r="MT13" s="148"/>
      <c r="MU13" s="148"/>
      <c r="MV13" s="148"/>
      <c r="MW13" s="148"/>
      <c r="MX13" s="148"/>
      <c r="MY13" s="148"/>
      <c r="MZ13" s="148"/>
      <c r="NA13" s="148"/>
      <c r="NB13" s="148"/>
      <c r="NC13" s="148"/>
      <c r="ND13" s="148"/>
      <c r="NE13" s="148"/>
      <c r="NF13" s="148"/>
      <c r="NG13" s="148"/>
      <c r="NH13" s="148"/>
      <c r="NI13" s="148"/>
      <c r="NJ13" s="148"/>
      <c r="NK13" s="148"/>
      <c r="NL13" s="148"/>
      <c r="NM13" s="148"/>
      <c r="NN13" s="148"/>
      <c r="NO13" s="148"/>
      <c r="NP13" s="148"/>
      <c r="NQ13" s="148"/>
      <c r="NR13" s="148"/>
      <c r="NS13" s="148"/>
      <c r="NT13" s="148"/>
      <c r="NU13" s="148"/>
      <c r="NV13" s="148"/>
      <c r="NW13" s="148"/>
      <c r="NX13" s="148"/>
      <c r="NY13" s="148"/>
      <c r="NZ13" s="148"/>
      <c r="OA13" s="148"/>
      <c r="OB13" s="148"/>
      <c r="OC13" s="148"/>
      <c r="OD13" s="148"/>
      <c r="OE13" s="148"/>
      <c r="OF13" s="148"/>
      <c r="OG13" s="148"/>
      <c r="OH13" s="148"/>
      <c r="OI13" s="148"/>
      <c r="OJ13" s="148"/>
      <c r="OK13" s="148"/>
      <c r="OL13" s="148"/>
      <c r="OM13" s="148"/>
      <c r="ON13" s="148"/>
      <c r="OO13" s="148"/>
      <c r="OP13" s="148"/>
      <c r="OQ13" s="148"/>
      <c r="OR13" s="148"/>
      <c r="OS13" s="148"/>
      <c r="OT13" s="148"/>
      <c r="OU13" s="148"/>
      <c r="OV13" s="148"/>
      <c r="OW13" s="148"/>
      <c r="OX13" s="148"/>
      <c r="OY13" s="148"/>
      <c r="OZ13" s="148"/>
      <c r="PA13" s="148"/>
      <c r="PB13" s="148"/>
      <c r="PC13" s="148"/>
      <c r="PD13" s="148"/>
      <c r="PE13" s="148"/>
      <c r="PF13" s="148"/>
      <c r="PG13" s="148"/>
      <c r="PH13" s="148"/>
      <c r="PI13" s="148"/>
      <c r="PJ13" s="148"/>
      <c r="PK13" s="148"/>
      <c r="PL13" s="148"/>
      <c r="PM13" s="148"/>
      <c r="PN13" s="148"/>
      <c r="PO13" s="148"/>
      <c r="PP13" s="148"/>
      <c r="PQ13" s="148"/>
      <c r="PR13" s="148"/>
      <c r="PS13" s="148"/>
      <c r="PT13" s="148"/>
      <c r="PU13" s="148"/>
      <c r="PV13" s="148"/>
      <c r="PW13" s="148"/>
      <c r="PX13" s="148"/>
      <c r="PY13" s="148"/>
      <c r="PZ13" s="148"/>
      <c r="QA13" s="148"/>
      <c r="QB13" s="148"/>
      <c r="QC13" s="148"/>
      <c r="QD13" s="148"/>
      <c r="QE13" s="148"/>
      <c r="QF13" s="148"/>
      <c r="QG13" s="148"/>
      <c r="QH13" s="148"/>
      <c r="QI13" s="148"/>
      <c r="QJ13" s="148"/>
      <c r="QK13" s="148"/>
      <c r="QL13" s="148"/>
      <c r="QM13" s="148"/>
      <c r="QN13" s="148"/>
      <c r="QO13" s="148"/>
      <c r="QP13" s="148"/>
      <c r="QQ13" s="148"/>
      <c r="QR13" s="148"/>
      <c r="QS13" s="148"/>
      <c r="QT13" s="148"/>
      <c r="QU13" s="148"/>
      <c r="QV13" s="148"/>
      <c r="QW13" s="148"/>
      <c r="QX13" s="148"/>
      <c r="QY13" s="148"/>
      <c r="QZ13" s="148"/>
      <c r="RA13" s="148"/>
      <c r="RB13" s="148"/>
      <c r="RC13" s="148"/>
      <c r="RD13" s="148"/>
      <c r="RE13" s="148"/>
      <c r="RF13" s="148"/>
      <c r="RG13" s="148"/>
      <c r="RH13" s="148"/>
      <c r="RI13" s="148"/>
      <c r="RJ13" s="148"/>
      <c r="RK13" s="148"/>
      <c r="RL13" s="148"/>
      <c r="RM13" s="148"/>
      <c r="RN13" s="148"/>
      <c r="RO13" s="148"/>
      <c r="RP13" s="148"/>
      <c r="RQ13" s="148"/>
      <c r="RR13" s="148"/>
      <c r="RS13" s="148"/>
      <c r="RT13" s="148"/>
      <c r="RU13" s="148"/>
      <c r="RV13" s="148"/>
      <c r="RW13" s="148"/>
      <c r="RX13" s="148"/>
      <c r="RY13" s="148"/>
      <c r="RZ13" s="148"/>
      <c r="SA13" s="148"/>
      <c r="SB13" s="148"/>
      <c r="SC13" s="148"/>
      <c r="SD13" s="148"/>
      <c r="SE13" s="148"/>
      <c r="SF13" s="148"/>
      <c r="SG13" s="148"/>
      <c r="SH13" s="148"/>
      <c r="SI13" s="148"/>
      <c r="SJ13" s="148"/>
      <c r="SK13" s="148"/>
      <c r="SL13" s="148"/>
      <c r="SM13" s="148"/>
      <c r="SN13" s="148"/>
      <c r="SO13" s="148"/>
      <c r="SP13" s="148"/>
      <c r="SQ13" s="148"/>
      <c r="SR13" s="148"/>
      <c r="SS13" s="148"/>
    </row>
    <row r="14" spans="1:513 16384:16384" s="146" customFormat="1" ht="14.5" x14ac:dyDescent="0.35">
      <c r="A14" s="147"/>
      <c r="B14" s="147" t="s">
        <v>862</v>
      </c>
      <c r="C14" s="147"/>
      <c r="D14" s="193"/>
      <c r="E14" s="193"/>
      <c r="F14" s="193"/>
      <c r="G14" s="193"/>
      <c r="H14" s="193"/>
      <c r="I14" s="193"/>
      <c r="J14" s="193"/>
      <c r="K14" s="193"/>
      <c r="L14" s="193"/>
      <c r="M14" s="193"/>
      <c r="N14" s="194"/>
      <c r="O14" s="194"/>
      <c r="P14" s="194"/>
      <c r="Q14" s="194"/>
      <c r="R14" s="194"/>
      <c r="S14" s="194"/>
      <c r="T14" s="194"/>
      <c r="U14" s="193"/>
      <c r="V14" s="193"/>
      <c r="W14" s="193"/>
      <c r="X14" s="193"/>
      <c r="Y14" s="193"/>
      <c r="Z14" s="193"/>
      <c r="AA14" s="193"/>
      <c r="AB14" s="282"/>
      <c r="AC14" s="193"/>
      <c r="AD14" s="193"/>
      <c r="AE14" s="282"/>
      <c r="AF14" s="282"/>
      <c r="AG14" s="282">
        <v>1000000</v>
      </c>
      <c r="AH14" s="282">
        <f>AG14</f>
        <v>1000000</v>
      </c>
      <c r="AI14" s="282">
        <f t="shared" si="81"/>
        <v>1000000</v>
      </c>
      <c r="AJ14" s="282">
        <f t="shared" si="81"/>
        <v>1000000</v>
      </c>
      <c r="AK14" s="282">
        <v>2000000</v>
      </c>
      <c r="AL14" s="282">
        <f t="shared" si="81"/>
        <v>2000000</v>
      </c>
      <c r="AM14" s="282">
        <f t="shared" si="81"/>
        <v>2000000</v>
      </c>
      <c r="AN14" s="194">
        <f t="shared" si="81"/>
        <v>2000000</v>
      </c>
      <c r="AO14" s="194">
        <f>AN14</f>
        <v>2000000</v>
      </c>
      <c r="AP14" s="194">
        <f>AO14</f>
        <v>2000000</v>
      </c>
      <c r="AQ14" s="194">
        <f>AP14</f>
        <v>2000000</v>
      </c>
      <c r="AR14" s="194">
        <f t="shared" si="81"/>
        <v>2000000</v>
      </c>
      <c r="AS14" s="194">
        <f t="shared" si="81"/>
        <v>2000000</v>
      </c>
      <c r="AT14" s="194">
        <f t="shared" si="81"/>
        <v>2000000</v>
      </c>
      <c r="AU14" s="194">
        <f t="shared" si="81"/>
        <v>2000000</v>
      </c>
      <c r="AV14" s="194">
        <f t="shared" si="81"/>
        <v>2000000</v>
      </c>
      <c r="AW14" s="194">
        <f t="shared" si="81"/>
        <v>2000000</v>
      </c>
      <c r="AX14" s="194">
        <f t="shared" si="81"/>
        <v>2000000</v>
      </c>
      <c r="AY14" s="194">
        <f t="shared" si="81"/>
        <v>2000000</v>
      </c>
      <c r="AZ14" s="194">
        <f>AY14</f>
        <v>2000000</v>
      </c>
      <c r="BA14" s="194">
        <f t="shared" si="81"/>
        <v>2000000</v>
      </c>
      <c r="BB14" s="194">
        <f t="shared" si="81"/>
        <v>2000000</v>
      </c>
      <c r="BC14" s="194">
        <f t="shared" si="81"/>
        <v>2000000</v>
      </c>
      <c r="BD14" s="194">
        <f t="shared" si="81"/>
        <v>2000000</v>
      </c>
      <c r="BE14" s="194">
        <f t="shared" si="81"/>
        <v>2000000</v>
      </c>
      <c r="BF14" s="194"/>
      <c r="BG14" s="194"/>
      <c r="BH14" s="194"/>
      <c r="BI14" s="194"/>
      <c r="BJ14" s="194"/>
      <c r="BK14" s="194"/>
      <c r="BL14" s="194"/>
      <c r="BM14" s="193"/>
      <c r="BN14" s="193"/>
      <c r="BO14" s="193"/>
      <c r="BP14" s="193"/>
      <c r="BQ14" s="193"/>
      <c r="BR14" s="193"/>
      <c r="BS14" s="193"/>
      <c r="BT14" s="193"/>
      <c r="BU14" s="193"/>
      <c r="BV14" s="193"/>
      <c r="BW14" s="193">
        <v>2000000</v>
      </c>
      <c r="BX14" s="193">
        <v>2000000</v>
      </c>
      <c r="BY14" s="193">
        <v>2000000</v>
      </c>
      <c r="BZ14" s="193">
        <v>2000000</v>
      </c>
      <c r="CA14" s="193">
        <v>2000000</v>
      </c>
      <c r="CB14" s="193">
        <v>2000000</v>
      </c>
      <c r="CC14" s="193">
        <f>2000000-CC23</f>
        <v>1500000</v>
      </c>
      <c r="CD14" s="193">
        <v>1000000</v>
      </c>
      <c r="CE14" s="193">
        <f>CD14</f>
        <v>1000000</v>
      </c>
      <c r="CF14" s="193">
        <f>CE14-CF23</f>
        <v>1000000</v>
      </c>
      <c r="CG14" s="193">
        <f>CF14-CG23</f>
        <v>1500000</v>
      </c>
      <c r="CH14" s="193">
        <f t="shared" ref="CH14:CN14" si="82">CG14-CH23</f>
        <v>1500000</v>
      </c>
      <c r="CI14" s="193">
        <f t="shared" si="82"/>
        <v>1500000</v>
      </c>
      <c r="CJ14" s="193">
        <f t="shared" si="82"/>
        <v>1500000</v>
      </c>
      <c r="CK14" s="193">
        <f t="shared" si="82"/>
        <v>1500000</v>
      </c>
      <c r="CL14" s="193">
        <f t="shared" si="82"/>
        <v>2000000</v>
      </c>
      <c r="CM14" s="193">
        <f t="shared" si="82"/>
        <v>2000000</v>
      </c>
      <c r="CN14" s="193">
        <f t="shared" si="82"/>
        <v>2000000</v>
      </c>
      <c r="CO14" s="193">
        <f t="shared" ref="CO14" si="83">CN14-CO23</f>
        <v>2000000</v>
      </c>
      <c r="CP14" s="193">
        <f t="shared" ref="CP14" si="84">CO14-CP23</f>
        <v>2000000</v>
      </c>
      <c r="CQ14" s="193">
        <f t="shared" ref="CQ14" si="85">CP14-CQ23</f>
        <v>2000000</v>
      </c>
      <c r="CR14" s="193">
        <f t="shared" ref="CR14" si="86">CQ14-CR23</f>
        <v>2000000</v>
      </c>
      <c r="CS14" s="193">
        <f t="shared" ref="CS14" si="87">CR14-CS23</f>
        <v>2000000</v>
      </c>
      <c r="CT14" s="193">
        <f t="shared" ref="CT14" si="88">CS14-CT23</f>
        <v>2000000</v>
      </c>
      <c r="CU14" s="193">
        <f t="shared" ref="CU14" si="89">CT14-CU23</f>
        <v>1500000</v>
      </c>
      <c r="CV14" s="193">
        <f t="shared" ref="CV14" si="90">CU14-CV23</f>
        <v>850000</v>
      </c>
      <c r="CW14" s="193">
        <f t="shared" ref="CW14" si="91">CV14-CW23</f>
        <v>850000</v>
      </c>
      <c r="CX14" s="193">
        <f>CW14-CX23+500000</f>
        <v>1850000</v>
      </c>
      <c r="CY14" s="193">
        <f t="shared" ref="CY14" si="92">CX14-CY23</f>
        <v>2500000</v>
      </c>
      <c r="CZ14" s="193">
        <f t="shared" ref="CZ14" si="93">CY14-CZ23</f>
        <v>2500000</v>
      </c>
      <c r="DA14" s="193">
        <f t="shared" ref="DA14" si="94">CZ14-DA23</f>
        <v>2500000</v>
      </c>
      <c r="DB14" s="193">
        <f t="shared" ref="DB14" si="95">DA14-DB23</f>
        <v>2500000</v>
      </c>
      <c r="DC14" s="147"/>
      <c r="DD14" s="147"/>
      <c r="DE14" s="147"/>
      <c r="DF14" s="147"/>
      <c r="DG14" s="147"/>
      <c r="DH14" s="147"/>
      <c r="DI14" s="147"/>
      <c r="DJ14" s="147"/>
      <c r="DK14" s="147"/>
      <c r="DL14" s="147"/>
      <c r="DM14" s="147"/>
      <c r="DN14" s="147"/>
      <c r="DO14" s="148"/>
      <c r="DP14" s="148"/>
      <c r="DQ14" s="148"/>
      <c r="DR14" s="148"/>
      <c r="DS14" s="148"/>
      <c r="DT14" s="148"/>
      <c r="DU14" s="148"/>
      <c r="DV14" s="148"/>
      <c r="DW14" s="148"/>
      <c r="DX14" s="148"/>
      <c r="DY14" s="148"/>
      <c r="DZ14" s="148"/>
      <c r="EA14" s="148"/>
      <c r="EB14" s="148"/>
      <c r="EC14" s="148"/>
      <c r="ED14" s="148"/>
      <c r="EE14" s="148"/>
      <c r="EF14" s="148"/>
      <c r="EG14" s="148"/>
      <c r="EH14" s="148"/>
      <c r="EI14" s="148"/>
      <c r="EJ14" s="148"/>
      <c r="EK14" s="148"/>
      <c r="EL14" s="148"/>
      <c r="EM14" s="148"/>
      <c r="EN14" s="148"/>
      <c r="EO14" s="148"/>
      <c r="EP14" s="148"/>
      <c r="EQ14" s="148"/>
      <c r="ER14" s="148"/>
      <c r="ES14" s="148"/>
      <c r="ET14" s="148"/>
      <c r="EU14" s="148"/>
      <c r="EV14" s="148"/>
      <c r="EW14" s="148"/>
      <c r="EX14" s="148"/>
      <c r="EY14" s="148"/>
      <c r="EZ14" s="148"/>
      <c r="FA14" s="148"/>
      <c r="FB14" s="148"/>
      <c r="FC14" s="148"/>
      <c r="FD14" s="148"/>
      <c r="FE14" s="148"/>
      <c r="FF14" s="148"/>
      <c r="FG14" s="148"/>
      <c r="FH14" s="148"/>
      <c r="FI14" s="148"/>
      <c r="FJ14" s="148"/>
      <c r="FK14" s="148"/>
      <c r="FL14" s="148"/>
      <c r="FM14" s="148"/>
      <c r="FN14" s="148"/>
      <c r="FO14" s="148"/>
      <c r="FP14" s="148"/>
      <c r="FQ14" s="148"/>
      <c r="FR14" s="148"/>
      <c r="FS14" s="148"/>
      <c r="FT14" s="148"/>
      <c r="FU14" s="148"/>
      <c r="FV14" s="148"/>
      <c r="FW14" s="148"/>
      <c r="FX14" s="148"/>
      <c r="FY14" s="148"/>
      <c r="FZ14" s="148"/>
      <c r="GA14" s="148"/>
      <c r="GB14" s="148"/>
      <c r="GC14" s="148"/>
      <c r="GD14" s="148"/>
      <c r="GE14" s="148"/>
      <c r="GF14" s="148"/>
      <c r="GG14" s="148"/>
      <c r="GH14" s="148"/>
      <c r="GI14" s="148"/>
      <c r="GJ14" s="148"/>
      <c r="GK14" s="148"/>
      <c r="GL14" s="148"/>
      <c r="GM14" s="148"/>
      <c r="GN14" s="148"/>
      <c r="GO14" s="148"/>
      <c r="GP14" s="148"/>
      <c r="GQ14" s="148"/>
      <c r="GR14" s="148"/>
      <c r="GS14" s="148"/>
      <c r="GT14" s="148"/>
      <c r="GU14" s="148"/>
      <c r="GV14" s="148"/>
      <c r="GW14" s="148"/>
      <c r="GX14" s="148"/>
      <c r="GY14" s="148"/>
      <c r="GZ14" s="148"/>
      <c r="HA14" s="148"/>
      <c r="HB14" s="148"/>
      <c r="HC14" s="148"/>
      <c r="HD14" s="148"/>
      <c r="HE14" s="148"/>
      <c r="HF14" s="148"/>
      <c r="HG14" s="148"/>
      <c r="HH14" s="148"/>
      <c r="HI14" s="148"/>
      <c r="HJ14" s="148"/>
      <c r="HK14" s="148"/>
      <c r="HL14" s="148"/>
      <c r="HM14" s="148"/>
      <c r="HN14" s="148"/>
      <c r="HO14" s="148"/>
      <c r="HP14" s="148"/>
      <c r="HQ14" s="148"/>
      <c r="HR14" s="148"/>
      <c r="HS14" s="148"/>
      <c r="HT14" s="148"/>
      <c r="HU14" s="148"/>
      <c r="HV14" s="148"/>
      <c r="HW14" s="148"/>
      <c r="HX14" s="148"/>
      <c r="HY14" s="148"/>
      <c r="HZ14" s="148"/>
      <c r="IA14" s="148"/>
      <c r="IB14" s="148"/>
      <c r="IC14" s="148"/>
      <c r="ID14" s="148"/>
      <c r="IE14" s="148"/>
      <c r="IF14" s="148"/>
      <c r="IG14" s="148"/>
      <c r="IH14" s="148"/>
      <c r="II14" s="148"/>
      <c r="IJ14" s="148"/>
      <c r="IK14" s="148"/>
      <c r="IL14" s="148"/>
      <c r="IM14" s="148"/>
      <c r="IN14" s="148"/>
      <c r="IO14" s="148"/>
      <c r="IP14" s="148"/>
      <c r="IQ14" s="148"/>
      <c r="IR14" s="148"/>
      <c r="IS14" s="148"/>
      <c r="IT14" s="148"/>
      <c r="IU14" s="148"/>
      <c r="IV14" s="148"/>
      <c r="IW14" s="148"/>
      <c r="IX14" s="148"/>
      <c r="IY14" s="148"/>
      <c r="IZ14" s="148"/>
      <c r="JA14" s="148"/>
      <c r="JB14" s="148"/>
      <c r="JC14" s="148"/>
      <c r="JD14" s="148"/>
      <c r="JE14" s="148"/>
      <c r="JF14" s="148"/>
      <c r="JG14" s="148"/>
      <c r="JH14" s="148"/>
      <c r="JI14" s="148"/>
      <c r="JJ14" s="148"/>
      <c r="JK14" s="148"/>
      <c r="JL14" s="148"/>
      <c r="JM14" s="148"/>
      <c r="JN14" s="148"/>
      <c r="JO14" s="148"/>
      <c r="JP14" s="148"/>
      <c r="JQ14" s="148"/>
      <c r="JR14" s="148"/>
      <c r="JS14" s="148"/>
      <c r="JT14" s="148"/>
      <c r="JU14" s="148"/>
      <c r="JV14" s="148"/>
      <c r="JW14" s="148"/>
      <c r="JX14" s="148"/>
      <c r="JY14" s="148"/>
      <c r="JZ14" s="148"/>
      <c r="KA14" s="148"/>
      <c r="KB14" s="148"/>
      <c r="KC14" s="148"/>
      <c r="KD14" s="148"/>
      <c r="KE14" s="148"/>
      <c r="KF14" s="148"/>
      <c r="KG14" s="148"/>
      <c r="KH14" s="148"/>
      <c r="KI14" s="148"/>
      <c r="KJ14" s="148"/>
      <c r="KK14" s="148"/>
      <c r="KL14" s="148"/>
      <c r="KM14" s="148"/>
      <c r="KN14" s="148"/>
      <c r="KO14" s="148"/>
      <c r="KP14" s="148"/>
      <c r="KQ14" s="148"/>
      <c r="KR14" s="148"/>
      <c r="KS14" s="148"/>
      <c r="KT14" s="148"/>
      <c r="KU14" s="148"/>
      <c r="KV14" s="148"/>
      <c r="KW14" s="148"/>
      <c r="KX14" s="148"/>
      <c r="KY14" s="148"/>
      <c r="KZ14" s="148"/>
      <c r="LA14" s="148"/>
      <c r="LB14" s="148"/>
      <c r="LC14" s="148"/>
      <c r="LD14" s="148"/>
      <c r="LE14" s="148"/>
      <c r="LF14" s="148"/>
      <c r="LG14" s="148"/>
      <c r="LH14" s="148"/>
      <c r="LI14" s="148"/>
      <c r="LJ14" s="148"/>
      <c r="LK14" s="148"/>
      <c r="LL14" s="148"/>
      <c r="LM14" s="148"/>
      <c r="LN14" s="148"/>
      <c r="LO14" s="148"/>
      <c r="LP14" s="148"/>
      <c r="LQ14" s="148"/>
      <c r="LR14" s="148"/>
      <c r="LS14" s="148"/>
      <c r="LT14" s="148"/>
      <c r="LU14" s="148"/>
      <c r="LV14" s="148"/>
      <c r="LW14" s="148"/>
      <c r="LX14" s="148"/>
      <c r="LY14" s="148"/>
      <c r="LZ14" s="148"/>
      <c r="MA14" s="148"/>
      <c r="MB14" s="148"/>
      <c r="MC14" s="148"/>
      <c r="MD14" s="148"/>
      <c r="ME14" s="148"/>
      <c r="MF14" s="148"/>
      <c r="MG14" s="148"/>
      <c r="MH14" s="148"/>
      <c r="MI14" s="148"/>
      <c r="MJ14" s="148"/>
      <c r="MK14" s="148"/>
      <c r="ML14" s="148"/>
      <c r="MM14" s="148"/>
      <c r="MN14" s="148"/>
      <c r="MO14" s="148"/>
      <c r="MP14" s="148"/>
      <c r="MQ14" s="148"/>
      <c r="MR14" s="148"/>
      <c r="MS14" s="148"/>
      <c r="MT14" s="148"/>
      <c r="MU14" s="148"/>
      <c r="MV14" s="148"/>
      <c r="MW14" s="148"/>
      <c r="MX14" s="148"/>
      <c r="MY14" s="148"/>
      <c r="MZ14" s="148"/>
      <c r="NA14" s="148"/>
      <c r="NB14" s="148"/>
      <c r="NC14" s="148"/>
      <c r="ND14" s="148"/>
      <c r="NE14" s="148"/>
      <c r="NF14" s="148"/>
      <c r="NG14" s="148"/>
      <c r="NH14" s="148"/>
      <c r="NI14" s="148"/>
      <c r="NJ14" s="148"/>
      <c r="NK14" s="148"/>
      <c r="NL14" s="148"/>
      <c r="NM14" s="148"/>
      <c r="NN14" s="148"/>
      <c r="NO14" s="148"/>
      <c r="NP14" s="148"/>
      <c r="NQ14" s="148"/>
      <c r="NR14" s="148"/>
      <c r="NS14" s="148"/>
      <c r="NT14" s="148"/>
      <c r="NU14" s="148"/>
      <c r="NV14" s="148"/>
      <c r="NW14" s="148"/>
      <c r="NX14" s="148"/>
      <c r="NY14" s="148"/>
      <c r="NZ14" s="148"/>
      <c r="OA14" s="148"/>
      <c r="OB14" s="148"/>
      <c r="OC14" s="148"/>
      <c r="OD14" s="148"/>
      <c r="OE14" s="148"/>
      <c r="OF14" s="148"/>
      <c r="OG14" s="148"/>
      <c r="OH14" s="148"/>
      <c r="OI14" s="148"/>
      <c r="OJ14" s="148"/>
      <c r="OK14" s="148"/>
      <c r="OL14" s="148"/>
      <c r="OM14" s="148"/>
      <c r="ON14" s="148"/>
      <c r="OO14" s="148"/>
      <c r="OP14" s="148"/>
      <c r="OQ14" s="148"/>
      <c r="OR14" s="148"/>
      <c r="OS14" s="148"/>
      <c r="OT14" s="148"/>
      <c r="OU14" s="148"/>
      <c r="OV14" s="148"/>
      <c r="OW14" s="148"/>
      <c r="OX14" s="148"/>
      <c r="OY14" s="148"/>
      <c r="OZ14" s="148"/>
      <c r="PA14" s="148"/>
      <c r="PB14" s="148"/>
      <c r="PC14" s="148"/>
      <c r="PD14" s="148"/>
      <c r="PE14" s="148"/>
      <c r="PF14" s="148"/>
      <c r="PG14" s="148"/>
      <c r="PH14" s="148"/>
      <c r="PI14" s="148"/>
      <c r="PJ14" s="148"/>
      <c r="PK14" s="148"/>
      <c r="PL14" s="148"/>
      <c r="PM14" s="148"/>
      <c r="PN14" s="148"/>
      <c r="PO14" s="148"/>
      <c r="PP14" s="148"/>
      <c r="PQ14" s="148"/>
      <c r="PR14" s="148"/>
      <c r="PS14" s="148"/>
      <c r="PT14" s="148"/>
      <c r="PU14" s="148"/>
      <c r="PV14" s="148"/>
      <c r="PW14" s="148"/>
      <c r="PX14" s="148"/>
      <c r="PY14" s="148"/>
      <c r="PZ14" s="148"/>
      <c r="QA14" s="148"/>
      <c r="QB14" s="148"/>
      <c r="QC14" s="148"/>
      <c r="QD14" s="148"/>
      <c r="QE14" s="148"/>
      <c r="QF14" s="148"/>
      <c r="QG14" s="148"/>
      <c r="QH14" s="148"/>
      <c r="QI14" s="148"/>
      <c r="QJ14" s="148"/>
      <c r="QK14" s="148"/>
      <c r="QL14" s="148"/>
      <c r="QM14" s="148"/>
      <c r="QN14" s="148"/>
      <c r="QO14" s="148"/>
      <c r="QP14" s="148"/>
      <c r="QQ14" s="148"/>
      <c r="QR14" s="148"/>
      <c r="QS14" s="148"/>
      <c r="QT14" s="148"/>
      <c r="QU14" s="148"/>
      <c r="QV14" s="148"/>
      <c r="QW14" s="148"/>
      <c r="QX14" s="148"/>
      <c r="QY14" s="148"/>
      <c r="QZ14" s="148"/>
      <c r="RA14" s="148"/>
      <c r="RB14" s="148"/>
      <c r="RC14" s="148"/>
      <c r="RD14" s="148"/>
      <c r="RE14" s="148"/>
      <c r="RF14" s="148"/>
      <c r="RG14" s="148"/>
      <c r="RH14" s="148"/>
      <c r="RI14" s="148"/>
      <c r="RJ14" s="148"/>
      <c r="RK14" s="148"/>
      <c r="RL14" s="148"/>
      <c r="RM14" s="148"/>
      <c r="RN14" s="148"/>
      <c r="RO14" s="148"/>
      <c r="RP14" s="148"/>
      <c r="RQ14" s="148"/>
      <c r="RR14" s="148"/>
      <c r="RS14" s="148"/>
      <c r="RT14" s="148"/>
      <c r="RU14" s="148"/>
      <c r="RV14" s="148"/>
      <c r="RW14" s="148"/>
      <c r="RX14" s="148"/>
      <c r="RY14" s="148"/>
      <c r="RZ14" s="148"/>
      <c r="SA14" s="148"/>
      <c r="SB14" s="148"/>
      <c r="SC14" s="148"/>
      <c r="SD14" s="148"/>
      <c r="SE14" s="148"/>
      <c r="SF14" s="148"/>
      <c r="SG14" s="148"/>
      <c r="SH14" s="148"/>
      <c r="SI14" s="148"/>
      <c r="SJ14" s="148"/>
      <c r="SK14" s="148"/>
      <c r="SL14" s="148"/>
      <c r="SM14" s="148"/>
      <c r="SN14" s="148"/>
      <c r="SO14" s="148"/>
      <c r="SP14" s="148"/>
      <c r="SQ14" s="148"/>
      <c r="SR14" s="148"/>
      <c r="SS14" s="148"/>
    </row>
    <row r="15" spans="1:513 16384:16384" s="144" customFormat="1" ht="14.5" x14ac:dyDescent="0.35">
      <c r="A15" s="190"/>
      <c r="B15" s="189"/>
      <c r="C15" s="190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2"/>
      <c r="O15" s="192"/>
      <c r="P15" s="192"/>
      <c r="Q15" s="192"/>
      <c r="R15" s="192"/>
      <c r="S15" s="192"/>
      <c r="T15" s="192"/>
      <c r="U15" s="191"/>
      <c r="V15" s="191"/>
      <c r="W15" s="191"/>
      <c r="X15" s="191"/>
      <c r="Y15" s="191"/>
      <c r="Z15" s="191"/>
      <c r="AA15" s="191"/>
      <c r="AB15" s="281"/>
      <c r="AC15" s="191"/>
      <c r="AD15" s="191"/>
      <c r="AE15" s="281"/>
      <c r="AF15" s="281"/>
      <c r="AG15" s="281"/>
      <c r="AH15" s="281"/>
      <c r="AI15" s="281"/>
      <c r="AJ15" s="191"/>
      <c r="AK15" s="191"/>
      <c r="AL15" s="191"/>
      <c r="AM15" s="191"/>
      <c r="AN15" s="281"/>
      <c r="AO15" s="192"/>
      <c r="AP15" s="192"/>
      <c r="AQ15" s="192"/>
      <c r="AR15" s="192"/>
      <c r="AS15" s="192"/>
      <c r="AT15" s="192"/>
      <c r="AU15" s="192"/>
      <c r="AV15" s="192"/>
      <c r="AW15" s="192"/>
      <c r="AX15" s="192"/>
      <c r="AY15" s="192"/>
      <c r="AZ15" s="192"/>
      <c r="BA15" s="192"/>
      <c r="BB15" s="192"/>
      <c r="BC15" s="192"/>
      <c r="BD15" s="192"/>
      <c r="BE15" s="192"/>
      <c r="BF15" s="192"/>
      <c r="BG15" s="192"/>
      <c r="BH15" s="192"/>
      <c r="BI15" s="192"/>
      <c r="BJ15" s="192"/>
      <c r="BK15" s="192"/>
      <c r="BL15" s="192"/>
      <c r="BM15" s="191"/>
      <c r="BN15" s="191"/>
      <c r="BO15" s="191"/>
      <c r="BP15" s="191"/>
      <c r="BQ15" s="191"/>
      <c r="BR15" s="191"/>
      <c r="BS15" s="191"/>
      <c r="BT15" s="191"/>
      <c r="BU15" s="191"/>
      <c r="BV15" s="191"/>
      <c r="BW15" s="191"/>
      <c r="BX15" s="191"/>
      <c r="BY15" s="135"/>
      <c r="BZ15" s="135"/>
      <c r="CA15" s="135"/>
      <c r="CB15" s="135"/>
      <c r="CC15" s="135"/>
      <c r="CD15" s="135"/>
      <c r="CE15" s="135"/>
      <c r="CF15" s="135"/>
      <c r="CG15" s="135"/>
      <c r="CH15" s="135"/>
      <c r="CI15" s="135"/>
      <c r="CJ15" s="135"/>
      <c r="CK15" s="135"/>
      <c r="CL15" s="135"/>
      <c r="CM15" s="135"/>
      <c r="CN15" s="135"/>
      <c r="CO15" s="135"/>
      <c r="CP15" s="135"/>
      <c r="CQ15" s="135"/>
      <c r="CR15" s="135"/>
      <c r="CS15" s="135"/>
      <c r="CT15" s="135"/>
      <c r="CU15" s="135"/>
      <c r="CV15" s="135"/>
      <c r="CW15" s="135"/>
      <c r="CX15" s="135"/>
      <c r="CY15" s="135"/>
      <c r="CZ15" s="135"/>
      <c r="DA15" s="135"/>
      <c r="DB15" s="135"/>
      <c r="DC15" s="135"/>
      <c r="DD15" s="135"/>
      <c r="DE15" s="135"/>
      <c r="DF15" s="135"/>
      <c r="DG15" s="135"/>
      <c r="DH15" s="135"/>
      <c r="DI15" s="135"/>
      <c r="DJ15" s="135"/>
      <c r="DK15" s="135"/>
      <c r="DL15" s="135"/>
      <c r="DM15" s="135"/>
      <c r="DN15" s="135"/>
      <c r="DO15" s="145"/>
      <c r="DP15" s="145"/>
      <c r="DQ15" s="145"/>
      <c r="DR15" s="145"/>
      <c r="DS15" s="145"/>
      <c r="DT15" s="145"/>
      <c r="DU15" s="145"/>
      <c r="DV15" s="145"/>
      <c r="DW15" s="145"/>
      <c r="DX15" s="145"/>
      <c r="DY15" s="145"/>
      <c r="DZ15" s="145"/>
      <c r="EA15" s="145"/>
      <c r="EB15" s="145"/>
      <c r="EC15" s="145"/>
      <c r="ED15" s="145"/>
      <c r="EE15" s="145"/>
      <c r="EF15" s="145"/>
      <c r="EG15" s="145"/>
      <c r="EH15" s="145"/>
      <c r="EI15" s="145"/>
      <c r="EJ15" s="145"/>
      <c r="EK15" s="145"/>
      <c r="EL15" s="145"/>
      <c r="EM15" s="145"/>
      <c r="EN15" s="145"/>
      <c r="EO15" s="145"/>
      <c r="EP15" s="145"/>
      <c r="EQ15" s="145"/>
      <c r="ER15" s="145"/>
      <c r="ES15" s="145"/>
      <c r="ET15" s="145"/>
      <c r="EU15" s="145"/>
      <c r="EV15" s="145"/>
      <c r="EW15" s="145"/>
      <c r="EX15" s="145"/>
      <c r="EY15" s="145"/>
      <c r="EZ15" s="145"/>
      <c r="FA15" s="145"/>
      <c r="FB15" s="145"/>
      <c r="FC15" s="145"/>
      <c r="FD15" s="145"/>
      <c r="FE15" s="145"/>
      <c r="FF15" s="145"/>
      <c r="FG15" s="145"/>
      <c r="FH15" s="145"/>
      <c r="FI15" s="145"/>
      <c r="FJ15" s="145"/>
      <c r="FK15" s="145"/>
      <c r="FL15" s="145"/>
      <c r="FM15" s="145"/>
      <c r="FN15" s="145"/>
      <c r="FO15" s="145"/>
      <c r="FP15" s="145"/>
      <c r="FQ15" s="145"/>
      <c r="FR15" s="145"/>
      <c r="FS15" s="145"/>
      <c r="FT15" s="145"/>
      <c r="FU15" s="145"/>
      <c r="FV15" s="145"/>
      <c r="FW15" s="145"/>
      <c r="FX15" s="145"/>
      <c r="FY15" s="145"/>
      <c r="FZ15" s="145"/>
      <c r="GA15" s="145"/>
      <c r="GB15" s="145"/>
      <c r="GC15" s="145"/>
      <c r="GD15" s="145"/>
      <c r="GE15" s="145"/>
      <c r="GF15" s="145"/>
      <c r="GG15" s="145"/>
      <c r="GH15" s="145"/>
      <c r="GI15" s="145"/>
      <c r="GJ15" s="145"/>
      <c r="GK15" s="145"/>
      <c r="GL15" s="145"/>
      <c r="GM15" s="145"/>
      <c r="GN15" s="145"/>
      <c r="GO15" s="145"/>
      <c r="GP15" s="145"/>
      <c r="GQ15" s="145"/>
      <c r="GR15" s="145"/>
      <c r="GS15" s="145"/>
      <c r="GT15" s="145"/>
      <c r="GU15" s="145"/>
      <c r="GV15" s="145"/>
      <c r="GW15" s="145"/>
      <c r="GX15" s="145"/>
      <c r="GY15" s="145"/>
      <c r="GZ15" s="145"/>
      <c r="HA15" s="145"/>
      <c r="HB15" s="145"/>
      <c r="HC15" s="145"/>
      <c r="HD15" s="145"/>
      <c r="HE15" s="145"/>
      <c r="HF15" s="145"/>
      <c r="HG15" s="145"/>
      <c r="HH15" s="145"/>
      <c r="HI15" s="145"/>
      <c r="HJ15" s="145"/>
      <c r="HK15" s="145"/>
      <c r="HL15" s="145"/>
      <c r="HM15" s="145"/>
      <c r="HN15" s="145"/>
      <c r="HO15" s="145"/>
      <c r="HP15" s="145"/>
      <c r="HQ15" s="145"/>
      <c r="HR15" s="145"/>
      <c r="HS15" s="145"/>
      <c r="HT15" s="145"/>
      <c r="HU15" s="145"/>
      <c r="HV15" s="145"/>
      <c r="HW15" s="145"/>
      <c r="HX15" s="145"/>
      <c r="HY15" s="145"/>
      <c r="HZ15" s="145"/>
      <c r="IA15" s="145"/>
      <c r="IB15" s="145"/>
      <c r="IC15" s="145"/>
      <c r="ID15" s="145"/>
      <c r="IE15" s="145"/>
      <c r="IF15" s="145"/>
      <c r="IG15" s="145"/>
      <c r="IH15" s="145"/>
      <c r="II15" s="145"/>
      <c r="IJ15" s="145"/>
      <c r="IK15" s="145"/>
      <c r="IL15" s="145"/>
      <c r="IM15" s="145"/>
      <c r="IN15" s="145"/>
      <c r="IO15" s="145"/>
      <c r="IP15" s="145"/>
      <c r="IQ15" s="145"/>
      <c r="IR15" s="145"/>
      <c r="IS15" s="145"/>
      <c r="IT15" s="145"/>
      <c r="IU15" s="145"/>
      <c r="IV15" s="145"/>
      <c r="IW15" s="145"/>
      <c r="IX15" s="145"/>
      <c r="IY15" s="145"/>
      <c r="IZ15" s="145"/>
      <c r="JA15" s="145"/>
      <c r="JB15" s="145"/>
      <c r="JC15" s="145"/>
      <c r="JD15" s="145"/>
      <c r="JE15" s="145"/>
      <c r="JF15" s="145"/>
      <c r="JG15" s="145"/>
      <c r="JH15" s="145"/>
      <c r="JI15" s="145"/>
      <c r="JJ15" s="145"/>
      <c r="JK15" s="145"/>
      <c r="JL15" s="145"/>
      <c r="JM15" s="145"/>
      <c r="JN15" s="145"/>
      <c r="JO15" s="145"/>
      <c r="JP15" s="145"/>
      <c r="JQ15" s="145"/>
      <c r="JR15" s="145"/>
      <c r="JS15" s="145"/>
      <c r="JT15" s="145"/>
      <c r="JU15" s="145"/>
      <c r="JV15" s="145"/>
      <c r="JW15" s="145"/>
      <c r="JX15" s="145"/>
      <c r="JY15" s="145"/>
      <c r="JZ15" s="145"/>
      <c r="KA15" s="145"/>
      <c r="KB15" s="145"/>
      <c r="KC15" s="145"/>
      <c r="KD15" s="145"/>
      <c r="KE15" s="145"/>
      <c r="KF15" s="145"/>
      <c r="KG15" s="145"/>
      <c r="KH15" s="145"/>
      <c r="KI15" s="145"/>
      <c r="KJ15" s="145"/>
      <c r="KK15" s="145"/>
      <c r="KL15" s="145"/>
      <c r="KM15" s="145"/>
      <c r="KN15" s="145"/>
      <c r="KO15" s="145"/>
      <c r="KP15" s="145"/>
      <c r="KQ15" s="145"/>
      <c r="KR15" s="145"/>
      <c r="KS15" s="145"/>
      <c r="KT15" s="145"/>
      <c r="KU15" s="145"/>
      <c r="KV15" s="145"/>
      <c r="KW15" s="145"/>
      <c r="KX15" s="145"/>
      <c r="KY15" s="145"/>
      <c r="KZ15" s="145"/>
      <c r="LA15" s="145"/>
      <c r="LB15" s="145"/>
      <c r="LC15" s="145"/>
      <c r="LD15" s="145"/>
      <c r="LE15" s="145"/>
      <c r="LF15" s="145"/>
      <c r="LG15" s="145"/>
      <c r="LH15" s="145"/>
      <c r="LI15" s="145"/>
      <c r="LJ15" s="145"/>
      <c r="LK15" s="145"/>
      <c r="LL15" s="145"/>
      <c r="LM15" s="145"/>
      <c r="LN15" s="145"/>
      <c r="LO15" s="145"/>
      <c r="LP15" s="145"/>
      <c r="LQ15" s="145"/>
      <c r="LR15" s="145"/>
      <c r="LS15" s="145"/>
      <c r="LT15" s="145"/>
      <c r="LU15" s="145"/>
      <c r="LV15" s="145"/>
      <c r="LW15" s="145"/>
      <c r="LX15" s="145"/>
      <c r="LY15" s="145"/>
      <c r="LZ15" s="145"/>
      <c r="MA15" s="145"/>
      <c r="MB15" s="145"/>
      <c r="MC15" s="145"/>
      <c r="MD15" s="145"/>
      <c r="ME15" s="145"/>
      <c r="MF15" s="145"/>
      <c r="MG15" s="145"/>
      <c r="MH15" s="145"/>
      <c r="MI15" s="145"/>
      <c r="MJ15" s="145"/>
      <c r="MK15" s="145"/>
      <c r="ML15" s="145"/>
      <c r="MM15" s="145"/>
      <c r="MN15" s="145"/>
      <c r="MO15" s="145"/>
      <c r="MP15" s="145"/>
      <c r="MQ15" s="145"/>
      <c r="MR15" s="145"/>
      <c r="MS15" s="145"/>
      <c r="MT15" s="145"/>
      <c r="MU15" s="145"/>
      <c r="MV15" s="145"/>
      <c r="MW15" s="145"/>
      <c r="MX15" s="145"/>
      <c r="MY15" s="145"/>
      <c r="MZ15" s="145"/>
      <c r="NA15" s="145"/>
      <c r="NB15" s="145"/>
      <c r="NC15" s="145"/>
      <c r="ND15" s="145"/>
      <c r="NE15" s="145"/>
      <c r="NF15" s="145"/>
      <c r="NG15" s="145"/>
      <c r="NH15" s="145"/>
      <c r="NI15" s="145"/>
      <c r="NJ15" s="145"/>
      <c r="NK15" s="145"/>
      <c r="NL15" s="145"/>
      <c r="NM15" s="145"/>
      <c r="NN15" s="145"/>
      <c r="NO15" s="145"/>
      <c r="NP15" s="145"/>
      <c r="NQ15" s="145"/>
      <c r="NR15" s="145"/>
      <c r="NS15" s="145"/>
      <c r="NT15" s="145"/>
      <c r="NU15" s="145"/>
      <c r="NV15" s="145"/>
      <c r="NW15" s="145"/>
      <c r="NX15" s="145"/>
      <c r="NY15" s="145"/>
      <c r="NZ15" s="145"/>
      <c r="OA15" s="145"/>
      <c r="OB15" s="145"/>
      <c r="OC15" s="145"/>
      <c r="OD15" s="145"/>
      <c r="OE15" s="145"/>
      <c r="OF15" s="145"/>
      <c r="OG15" s="145"/>
      <c r="OH15" s="145"/>
      <c r="OI15" s="145"/>
      <c r="OJ15" s="145"/>
      <c r="OK15" s="145"/>
      <c r="OL15" s="145"/>
      <c r="OM15" s="145"/>
      <c r="ON15" s="145"/>
      <c r="OO15" s="145"/>
      <c r="OP15" s="145"/>
      <c r="OQ15" s="145"/>
      <c r="OR15" s="145"/>
      <c r="OS15" s="145"/>
      <c r="OT15" s="145"/>
      <c r="OU15" s="145"/>
      <c r="OV15" s="145"/>
      <c r="OW15" s="145"/>
      <c r="OX15" s="145"/>
      <c r="OY15" s="145"/>
      <c r="OZ15" s="145"/>
      <c r="PA15" s="145"/>
      <c r="PB15" s="145"/>
      <c r="PC15" s="145"/>
      <c r="PD15" s="145"/>
      <c r="PE15" s="145"/>
      <c r="PF15" s="145"/>
      <c r="PG15" s="145"/>
      <c r="PH15" s="145"/>
      <c r="PI15" s="145"/>
      <c r="PJ15" s="145"/>
      <c r="PK15" s="145"/>
      <c r="PL15" s="145"/>
      <c r="PM15" s="145"/>
      <c r="PN15" s="145"/>
      <c r="PO15" s="145"/>
      <c r="PP15" s="145"/>
      <c r="PQ15" s="145"/>
      <c r="PR15" s="145"/>
      <c r="PS15" s="145"/>
      <c r="PT15" s="145"/>
      <c r="PU15" s="145"/>
      <c r="PV15" s="145"/>
      <c r="PW15" s="145"/>
      <c r="PX15" s="145"/>
      <c r="PY15" s="145"/>
      <c r="PZ15" s="145"/>
      <c r="QA15" s="145"/>
      <c r="QB15" s="145"/>
      <c r="QC15" s="145"/>
      <c r="QD15" s="145"/>
      <c r="QE15" s="145"/>
      <c r="QF15" s="145"/>
      <c r="QG15" s="145"/>
      <c r="QH15" s="145"/>
      <c r="QI15" s="145"/>
      <c r="QJ15" s="145"/>
      <c r="QK15" s="145"/>
      <c r="QL15" s="145"/>
      <c r="QM15" s="145"/>
      <c r="QN15" s="145"/>
      <c r="QO15" s="145"/>
      <c r="QP15" s="145"/>
      <c r="QQ15" s="145"/>
      <c r="QR15" s="145"/>
      <c r="QS15" s="145"/>
      <c r="QT15" s="145"/>
      <c r="QU15" s="145"/>
      <c r="QV15" s="145"/>
      <c r="QW15" s="145"/>
      <c r="QX15" s="145"/>
      <c r="QY15" s="145"/>
      <c r="QZ15" s="145"/>
      <c r="RA15" s="145"/>
      <c r="RB15" s="145"/>
      <c r="RC15" s="145"/>
      <c r="RD15" s="145"/>
      <c r="RE15" s="145"/>
      <c r="RF15" s="145"/>
      <c r="RG15" s="145"/>
      <c r="RH15" s="145"/>
      <c r="RI15" s="145"/>
      <c r="RJ15" s="145"/>
      <c r="RK15" s="145"/>
      <c r="RL15" s="145"/>
      <c r="RM15" s="145"/>
      <c r="RN15" s="145"/>
      <c r="RO15" s="145"/>
      <c r="RP15" s="145"/>
      <c r="RQ15" s="145"/>
      <c r="RR15" s="145"/>
      <c r="RS15" s="145"/>
      <c r="RT15" s="145"/>
      <c r="RU15" s="145"/>
      <c r="RV15" s="145"/>
      <c r="RW15" s="145"/>
      <c r="RX15" s="145"/>
      <c r="RY15" s="145"/>
      <c r="RZ15" s="145"/>
      <c r="SA15" s="145"/>
      <c r="SB15" s="145"/>
      <c r="SC15" s="145"/>
      <c r="SD15" s="145"/>
      <c r="SE15" s="145"/>
      <c r="SF15" s="145"/>
      <c r="SG15" s="145"/>
      <c r="SH15" s="145"/>
      <c r="SI15" s="145"/>
      <c r="SJ15" s="145"/>
      <c r="SK15" s="145"/>
      <c r="SL15" s="145"/>
      <c r="SM15" s="145"/>
      <c r="SN15" s="145"/>
      <c r="SO15" s="145"/>
      <c r="SP15" s="145"/>
      <c r="SQ15" s="145"/>
      <c r="SR15" s="145"/>
      <c r="SS15" s="145"/>
    </row>
    <row r="16" spans="1:513 16384:16384" s="144" customFormat="1" ht="14.5" x14ac:dyDescent="0.35">
      <c r="A16" s="190"/>
      <c r="B16" s="189" t="s">
        <v>863</v>
      </c>
      <c r="C16" s="190"/>
      <c r="D16" s="191"/>
      <c r="E16" s="192" t="e">
        <f>E11+#REF!</f>
        <v>#REF!</v>
      </c>
      <c r="F16" s="192" t="e">
        <f>F11+#REF!</f>
        <v>#REF!</v>
      </c>
      <c r="G16" s="192" t="e">
        <f>G11+#REF!</f>
        <v>#REF!</v>
      </c>
      <c r="H16" s="192" t="e">
        <f>H11+#REF!</f>
        <v>#REF!</v>
      </c>
      <c r="I16" s="192" t="e">
        <f>I11+#REF!</f>
        <v>#REF!</v>
      </c>
      <c r="J16" s="192" t="e">
        <f>J11+#REF!</f>
        <v>#REF!</v>
      </c>
      <c r="K16" s="192" t="e">
        <f>K11+#REF!</f>
        <v>#REF!</v>
      </c>
      <c r="L16" s="192" t="e">
        <f>L11+#REF!</f>
        <v>#REF!</v>
      </c>
      <c r="M16" s="192" t="e">
        <f>M11+#REF!</f>
        <v>#REF!</v>
      </c>
      <c r="N16" s="192" t="e">
        <f>N11+#REF!</f>
        <v>#REF!</v>
      </c>
      <c r="O16" s="192" t="e">
        <f>O11+#REF!</f>
        <v>#REF!</v>
      </c>
      <c r="P16" s="192">
        <f>P13+P11</f>
        <v>903850</v>
      </c>
      <c r="Q16" s="192">
        <f t="shared" ref="Q16:AF16" si="96">Q13+Q11</f>
        <v>1593333</v>
      </c>
      <c r="R16" s="192">
        <f t="shared" si="96"/>
        <v>1055991</v>
      </c>
      <c r="S16" s="192">
        <f t="shared" si="96"/>
        <v>1198409</v>
      </c>
      <c r="T16" s="192">
        <f t="shared" si="96"/>
        <v>1020309</v>
      </c>
      <c r="U16" s="191">
        <f>U13+U11</f>
        <v>5222604</v>
      </c>
      <c r="V16" s="191">
        <f t="shared" si="96"/>
        <v>4318462</v>
      </c>
      <c r="W16" s="191">
        <f t="shared" si="96"/>
        <v>4256488</v>
      </c>
      <c r="X16" s="191">
        <f>X13+X11</f>
        <v>3757620</v>
      </c>
      <c r="Y16" s="191">
        <f t="shared" si="96"/>
        <v>3314205</v>
      </c>
      <c r="Z16" s="191">
        <f t="shared" si="96"/>
        <v>3278150</v>
      </c>
      <c r="AA16" s="191">
        <f t="shared" si="96"/>
        <v>2591588</v>
      </c>
      <c r="AB16" s="281">
        <f t="shared" si="96"/>
        <v>2549830</v>
      </c>
      <c r="AC16" s="191">
        <f t="shared" si="96"/>
        <v>2309364</v>
      </c>
      <c r="AD16" s="191">
        <f t="shared" si="96"/>
        <v>2518625</v>
      </c>
      <c r="AE16" s="281">
        <f t="shared" si="96"/>
        <v>2326307</v>
      </c>
      <c r="AF16" s="281">
        <f t="shared" si="96"/>
        <v>2371052</v>
      </c>
      <c r="AG16" s="281">
        <f t="shared" ref="AG16:AN16" si="97">AG13+AG11+AG14</f>
        <v>3564295</v>
      </c>
      <c r="AH16" s="281">
        <f t="shared" si="97"/>
        <v>4104267</v>
      </c>
      <c r="AI16" s="281">
        <f t="shared" si="97"/>
        <v>3200819</v>
      </c>
      <c r="AJ16" s="191">
        <f t="shared" si="97"/>
        <v>2880413.71</v>
      </c>
      <c r="AK16" s="191">
        <f t="shared" si="97"/>
        <v>3862349.87</v>
      </c>
      <c r="AL16" s="191">
        <f t="shared" si="97"/>
        <v>4094684.67</v>
      </c>
      <c r="AM16" s="191">
        <f t="shared" si="97"/>
        <v>3478972.91</v>
      </c>
      <c r="AN16" s="191">
        <f t="shared" si="97"/>
        <v>18244488.270000003</v>
      </c>
      <c r="AO16" s="192">
        <f t="shared" ref="AO16:AX16" si="98">AO13+AO11+AO14</f>
        <v>16508405.91</v>
      </c>
      <c r="AP16" s="192">
        <f t="shared" si="98"/>
        <v>15554211.710000001</v>
      </c>
      <c r="AQ16" s="192">
        <f t="shared" si="98"/>
        <v>15513986.57</v>
      </c>
      <c r="AR16" s="192">
        <f>AR13+AR11+AR14</f>
        <v>14733605.9</v>
      </c>
      <c r="AS16" s="192">
        <f t="shared" si="98"/>
        <v>13946238.789999999</v>
      </c>
      <c r="AT16" s="192">
        <f t="shared" si="98"/>
        <v>13668910.18</v>
      </c>
      <c r="AU16" s="192">
        <f t="shared" si="98"/>
        <v>12625697.26</v>
      </c>
      <c r="AV16" s="192">
        <f t="shared" si="98"/>
        <v>11741402.187796755</v>
      </c>
      <c r="AW16" s="192">
        <f t="shared" si="98"/>
        <v>16657634.539999999</v>
      </c>
      <c r="AX16" s="192">
        <f t="shared" si="98"/>
        <v>15372565.02</v>
      </c>
      <c r="AY16" s="192">
        <f>AY13+AY11+AY14</f>
        <v>14983481.699999999</v>
      </c>
      <c r="AZ16" s="192">
        <f t="shared" ref="AZ16:BK16" si="99">AZ13+AZ11+AZ14</f>
        <v>14171162.170000004</v>
      </c>
      <c r="BA16" s="191">
        <f t="shared" si="99"/>
        <v>12616371.91</v>
      </c>
      <c r="BB16" s="191">
        <f t="shared" si="99"/>
        <v>12026678.109999999</v>
      </c>
      <c r="BC16" s="191">
        <f t="shared" si="99"/>
        <v>11613613.359999999</v>
      </c>
      <c r="BD16" s="191">
        <f t="shared" si="99"/>
        <v>10505448.390000001</v>
      </c>
      <c r="BE16" s="191">
        <f t="shared" si="99"/>
        <v>9927932.2400000002</v>
      </c>
      <c r="BF16" s="191">
        <f>BF13+BF11+BF14</f>
        <v>12265841.25</v>
      </c>
      <c r="BG16" s="191">
        <f t="shared" si="99"/>
        <v>11810817.640000001</v>
      </c>
      <c r="BH16" s="191">
        <f>BH13+BH11+BH14</f>
        <v>12024752.77</v>
      </c>
      <c r="BI16" s="191">
        <f t="shared" si="99"/>
        <v>10392750.890000001</v>
      </c>
      <c r="BJ16" s="191">
        <f t="shared" si="99"/>
        <v>9923628</v>
      </c>
      <c r="BK16" s="191">
        <f t="shared" si="99"/>
        <v>9047234</v>
      </c>
      <c r="BL16" s="191">
        <f>BL13+BL11+BL14</f>
        <v>8442636.9970905259</v>
      </c>
      <c r="BM16" s="191">
        <f t="shared" ref="BM16:CI16" si="100">BM13+BM11+BM14</f>
        <v>9129620.5600000005</v>
      </c>
      <c r="BN16" s="191">
        <f t="shared" si="100"/>
        <v>7920374.9900000002</v>
      </c>
      <c r="BO16" s="191">
        <f t="shared" si="100"/>
        <v>7017717.7000000002</v>
      </c>
      <c r="BP16" s="191">
        <f t="shared" si="100"/>
        <v>6130834.8700000001</v>
      </c>
      <c r="BQ16" s="191">
        <f t="shared" si="100"/>
        <v>6464107.8099999996</v>
      </c>
      <c r="BR16" s="191">
        <f t="shared" si="100"/>
        <v>5559138.8300000001</v>
      </c>
      <c r="BS16" s="191">
        <f t="shared" si="100"/>
        <v>6089186.7224634904</v>
      </c>
      <c r="BT16" s="191">
        <f t="shared" si="100"/>
        <v>5673591.8027059296</v>
      </c>
      <c r="BU16" s="191">
        <f t="shared" si="100"/>
        <v>5295596.6294021904</v>
      </c>
      <c r="BV16" s="191">
        <f t="shared" si="100"/>
        <v>4633664.0963715902</v>
      </c>
      <c r="BW16" s="191">
        <f t="shared" si="100"/>
        <v>6671824.5761107868</v>
      </c>
      <c r="BX16" s="191">
        <f t="shared" si="100"/>
        <v>6143324.3771296591</v>
      </c>
      <c r="BY16" s="191">
        <f t="shared" si="100"/>
        <v>6385626.7420543507</v>
      </c>
      <c r="BZ16" s="191">
        <f t="shared" si="100"/>
        <v>5197701.6310328078</v>
      </c>
      <c r="CA16" s="191">
        <f t="shared" si="100"/>
        <v>4605792.4845970962</v>
      </c>
      <c r="CB16" s="191">
        <f t="shared" si="100"/>
        <v>4759175.6884436198</v>
      </c>
      <c r="CC16" s="191">
        <f t="shared" si="100"/>
        <v>3968764.0496096662</v>
      </c>
      <c r="CD16" s="191">
        <f t="shared" si="100"/>
        <v>3353140.2950251303</v>
      </c>
      <c r="CE16" s="191">
        <f t="shared" si="100"/>
        <v>4130310.5620051571</v>
      </c>
      <c r="CF16" s="191">
        <f t="shared" si="100"/>
        <v>5255112.0310622267</v>
      </c>
      <c r="CG16" s="191">
        <f t="shared" si="100"/>
        <v>4928321.744589733</v>
      </c>
      <c r="CH16" s="191">
        <f t="shared" si="100"/>
        <v>4545742.2727231309</v>
      </c>
      <c r="CI16" s="191">
        <f t="shared" si="100"/>
        <v>3851182.9401169033</v>
      </c>
      <c r="CJ16" s="191">
        <f>CJ13+CJ11+CJ14</f>
        <v>6172940.0991020957</v>
      </c>
      <c r="CK16" s="191">
        <f t="shared" ref="CK16:CL16" si="101">CK13+CK11+CK14</f>
        <v>5406031.7634248566</v>
      </c>
      <c r="CL16" s="191">
        <f t="shared" si="101"/>
        <v>5099115.2867071331</v>
      </c>
      <c r="CM16" s="191">
        <f t="shared" ref="CM16:CN16" si="102">CM13+CM11+CM14</f>
        <v>4832541.2929573487</v>
      </c>
      <c r="CN16" s="191">
        <f t="shared" si="102"/>
        <v>4467098.4919532258</v>
      </c>
      <c r="CO16" s="191">
        <f t="shared" ref="CO16:CP16" si="103">CO13+CO11+CO14</f>
        <v>4427631.8500138111</v>
      </c>
      <c r="CP16" s="191">
        <f t="shared" si="103"/>
        <v>4537064.2252016263</v>
      </c>
      <c r="CQ16" s="191">
        <f t="shared" ref="CQ16:CV16" si="104">CQ13+CQ11+CQ14</f>
        <v>5301624.9456113772</v>
      </c>
      <c r="CR16" s="191">
        <f t="shared" si="104"/>
        <v>5285212.9272379056</v>
      </c>
      <c r="CS16" s="191">
        <f t="shared" si="104"/>
        <v>4603949.8638108419</v>
      </c>
      <c r="CT16" s="191">
        <f t="shared" si="104"/>
        <v>4430217.6833325624</v>
      </c>
      <c r="CU16" s="191">
        <f t="shared" si="104"/>
        <v>3275501.8466863194</v>
      </c>
      <c r="CV16" s="191">
        <f t="shared" si="104"/>
        <v>3946169.7488773288</v>
      </c>
      <c r="CW16" s="191">
        <f t="shared" ref="CW16:CX16" si="105">CW13+CW11+CW14</f>
        <v>3996355.31614932</v>
      </c>
      <c r="CX16" s="191">
        <f t="shared" si="105"/>
        <v>6623852.065736643</v>
      </c>
      <c r="CY16" s="191">
        <f t="shared" ref="CY16:DB16" si="106">CY13+CY11+CY14</f>
        <v>5653091.4025868941</v>
      </c>
      <c r="CZ16" s="191">
        <f t="shared" si="106"/>
        <v>5483573.3676714711</v>
      </c>
      <c r="DA16" s="191">
        <f t="shared" si="106"/>
        <v>5416443.9523461554</v>
      </c>
      <c r="DB16" s="191">
        <f t="shared" si="106"/>
        <v>6334939.5370208398</v>
      </c>
      <c r="DC16" s="135"/>
      <c r="DD16" s="135"/>
      <c r="DE16" s="135"/>
      <c r="DF16" s="135"/>
      <c r="DG16" s="135"/>
      <c r="DH16" s="135"/>
      <c r="DI16" s="135"/>
      <c r="DJ16" s="135"/>
      <c r="DK16" s="135"/>
      <c r="DL16" s="135"/>
      <c r="DM16" s="135"/>
      <c r="DN16" s="135"/>
      <c r="DO16" s="145"/>
      <c r="DP16" s="145"/>
      <c r="DQ16" s="145"/>
      <c r="DR16" s="145"/>
      <c r="DS16" s="145"/>
      <c r="DT16" s="145"/>
      <c r="DU16" s="145"/>
      <c r="DV16" s="145"/>
      <c r="DW16" s="145"/>
      <c r="DX16" s="145"/>
      <c r="DY16" s="145"/>
      <c r="DZ16" s="145"/>
      <c r="EA16" s="145"/>
      <c r="EB16" s="145"/>
      <c r="EC16" s="145"/>
      <c r="ED16" s="145"/>
      <c r="EE16" s="145"/>
      <c r="EF16" s="145"/>
      <c r="EG16" s="145"/>
      <c r="EH16" s="145"/>
      <c r="EI16" s="145"/>
      <c r="EJ16" s="145"/>
      <c r="EK16" s="145"/>
      <c r="EL16" s="145"/>
      <c r="EM16" s="145"/>
      <c r="EN16" s="145"/>
      <c r="EO16" s="145"/>
      <c r="EP16" s="145"/>
      <c r="EQ16" s="145"/>
      <c r="ER16" s="145"/>
      <c r="ES16" s="145"/>
      <c r="ET16" s="145"/>
      <c r="EU16" s="145"/>
      <c r="EV16" s="145"/>
      <c r="EW16" s="145"/>
      <c r="EX16" s="145"/>
      <c r="EY16" s="145"/>
      <c r="EZ16" s="145"/>
      <c r="FA16" s="145"/>
      <c r="FB16" s="145"/>
      <c r="FC16" s="145"/>
      <c r="FD16" s="145"/>
      <c r="FE16" s="145"/>
      <c r="FF16" s="145"/>
      <c r="FG16" s="145"/>
      <c r="FH16" s="145"/>
      <c r="FI16" s="145"/>
      <c r="FJ16" s="145"/>
      <c r="FK16" s="145"/>
      <c r="FL16" s="145"/>
      <c r="FM16" s="145"/>
      <c r="FN16" s="145"/>
      <c r="FO16" s="145"/>
      <c r="FP16" s="145"/>
      <c r="FQ16" s="145"/>
      <c r="FR16" s="145"/>
      <c r="FS16" s="145"/>
      <c r="FT16" s="145"/>
      <c r="FU16" s="145"/>
      <c r="FV16" s="145"/>
      <c r="FW16" s="145"/>
      <c r="FX16" s="145"/>
      <c r="FY16" s="145"/>
      <c r="FZ16" s="145"/>
      <c r="GA16" s="145"/>
      <c r="GB16" s="145"/>
      <c r="GC16" s="145"/>
      <c r="GD16" s="145"/>
      <c r="GE16" s="145"/>
      <c r="GF16" s="145"/>
      <c r="GG16" s="145"/>
      <c r="GH16" s="145"/>
      <c r="GI16" s="145"/>
      <c r="GJ16" s="145"/>
      <c r="GK16" s="145"/>
      <c r="GL16" s="145"/>
      <c r="GM16" s="145"/>
      <c r="GN16" s="145"/>
      <c r="GO16" s="145"/>
      <c r="GP16" s="145"/>
      <c r="GQ16" s="145"/>
      <c r="GR16" s="145"/>
      <c r="GS16" s="145"/>
      <c r="GT16" s="145"/>
      <c r="GU16" s="145"/>
      <c r="GV16" s="145"/>
      <c r="GW16" s="145"/>
      <c r="GX16" s="145"/>
      <c r="GY16" s="145"/>
      <c r="GZ16" s="145"/>
      <c r="HA16" s="145"/>
      <c r="HB16" s="145"/>
      <c r="HC16" s="145"/>
      <c r="HD16" s="145"/>
      <c r="HE16" s="145"/>
      <c r="HF16" s="145"/>
      <c r="HG16" s="145"/>
      <c r="HH16" s="145"/>
      <c r="HI16" s="145"/>
      <c r="HJ16" s="145"/>
      <c r="HK16" s="145"/>
      <c r="HL16" s="145"/>
      <c r="HM16" s="145"/>
      <c r="HN16" s="145"/>
      <c r="HO16" s="145"/>
      <c r="HP16" s="145"/>
      <c r="HQ16" s="145"/>
      <c r="HR16" s="145"/>
      <c r="HS16" s="145"/>
      <c r="HT16" s="145"/>
      <c r="HU16" s="145"/>
      <c r="HV16" s="145"/>
      <c r="HW16" s="145"/>
      <c r="HX16" s="145"/>
      <c r="HY16" s="145"/>
      <c r="HZ16" s="145"/>
      <c r="IA16" s="145"/>
      <c r="IB16" s="145"/>
      <c r="IC16" s="145"/>
      <c r="ID16" s="145"/>
      <c r="IE16" s="145"/>
      <c r="IF16" s="145"/>
      <c r="IG16" s="145"/>
      <c r="IH16" s="145"/>
      <c r="II16" s="145"/>
      <c r="IJ16" s="145"/>
      <c r="IK16" s="145"/>
      <c r="IL16" s="145"/>
      <c r="IM16" s="145"/>
      <c r="IN16" s="145"/>
      <c r="IO16" s="145"/>
      <c r="IP16" s="145"/>
      <c r="IQ16" s="145"/>
      <c r="IR16" s="145"/>
      <c r="IS16" s="145"/>
      <c r="IT16" s="145"/>
      <c r="IU16" s="145"/>
      <c r="IV16" s="145"/>
      <c r="IW16" s="145"/>
      <c r="IX16" s="145"/>
      <c r="IY16" s="145"/>
      <c r="IZ16" s="145"/>
      <c r="JA16" s="145"/>
      <c r="JB16" s="145"/>
      <c r="JC16" s="145"/>
      <c r="JD16" s="145"/>
      <c r="JE16" s="145"/>
      <c r="JF16" s="145"/>
      <c r="JG16" s="145"/>
      <c r="JH16" s="145"/>
      <c r="JI16" s="145"/>
      <c r="JJ16" s="145"/>
      <c r="JK16" s="145"/>
      <c r="JL16" s="145"/>
      <c r="JM16" s="145"/>
      <c r="JN16" s="145"/>
      <c r="JO16" s="145"/>
      <c r="JP16" s="145"/>
      <c r="JQ16" s="145"/>
      <c r="JR16" s="145"/>
      <c r="JS16" s="145"/>
      <c r="JT16" s="145"/>
      <c r="JU16" s="145"/>
      <c r="JV16" s="145"/>
      <c r="JW16" s="145"/>
      <c r="JX16" s="145"/>
      <c r="JY16" s="145"/>
      <c r="JZ16" s="145"/>
      <c r="KA16" s="145"/>
      <c r="KB16" s="145"/>
      <c r="KC16" s="145"/>
      <c r="KD16" s="145"/>
      <c r="KE16" s="145"/>
      <c r="KF16" s="145"/>
      <c r="KG16" s="145"/>
      <c r="KH16" s="145"/>
      <c r="KI16" s="145"/>
      <c r="KJ16" s="145"/>
      <c r="KK16" s="145"/>
      <c r="KL16" s="145"/>
      <c r="KM16" s="145"/>
      <c r="KN16" s="145"/>
      <c r="KO16" s="145"/>
      <c r="KP16" s="145"/>
      <c r="KQ16" s="145"/>
      <c r="KR16" s="145"/>
      <c r="KS16" s="145"/>
      <c r="KT16" s="145"/>
      <c r="KU16" s="145"/>
      <c r="KV16" s="145"/>
      <c r="KW16" s="145"/>
      <c r="KX16" s="145"/>
      <c r="KY16" s="145"/>
      <c r="KZ16" s="145"/>
      <c r="LA16" s="145"/>
      <c r="LB16" s="145"/>
      <c r="LC16" s="145"/>
      <c r="LD16" s="145"/>
      <c r="LE16" s="145"/>
      <c r="LF16" s="145"/>
      <c r="LG16" s="145"/>
      <c r="LH16" s="145"/>
      <c r="LI16" s="145"/>
      <c r="LJ16" s="145"/>
      <c r="LK16" s="145"/>
      <c r="LL16" s="145"/>
      <c r="LM16" s="145"/>
      <c r="LN16" s="145"/>
      <c r="LO16" s="145"/>
      <c r="LP16" s="145"/>
      <c r="LQ16" s="145"/>
      <c r="LR16" s="145"/>
      <c r="LS16" s="145"/>
      <c r="LT16" s="145"/>
      <c r="LU16" s="145"/>
      <c r="LV16" s="145"/>
      <c r="LW16" s="145"/>
      <c r="LX16" s="145"/>
      <c r="LY16" s="145"/>
      <c r="LZ16" s="145"/>
      <c r="MA16" s="145"/>
      <c r="MB16" s="145"/>
      <c r="MC16" s="145"/>
      <c r="MD16" s="145"/>
      <c r="ME16" s="145"/>
      <c r="MF16" s="145"/>
      <c r="MG16" s="145"/>
      <c r="MH16" s="145"/>
      <c r="MI16" s="145"/>
      <c r="MJ16" s="145"/>
      <c r="MK16" s="145"/>
      <c r="ML16" s="145"/>
      <c r="MM16" s="145"/>
      <c r="MN16" s="145"/>
      <c r="MO16" s="145"/>
      <c r="MP16" s="145"/>
      <c r="MQ16" s="145"/>
      <c r="MR16" s="145"/>
      <c r="MS16" s="145"/>
      <c r="MT16" s="145"/>
      <c r="MU16" s="145"/>
      <c r="MV16" s="145"/>
      <c r="MW16" s="145"/>
      <c r="MX16" s="145"/>
      <c r="MY16" s="145"/>
      <c r="MZ16" s="145"/>
      <c r="NA16" s="145"/>
      <c r="NB16" s="145"/>
      <c r="NC16" s="145"/>
      <c r="ND16" s="145"/>
      <c r="NE16" s="145"/>
      <c r="NF16" s="145"/>
      <c r="NG16" s="145"/>
      <c r="NH16" s="145"/>
      <c r="NI16" s="145"/>
      <c r="NJ16" s="145"/>
      <c r="NK16" s="145"/>
      <c r="NL16" s="145"/>
      <c r="NM16" s="145"/>
      <c r="NN16" s="145"/>
      <c r="NO16" s="145"/>
      <c r="NP16" s="145"/>
      <c r="NQ16" s="145"/>
      <c r="NR16" s="145"/>
      <c r="NS16" s="145"/>
      <c r="NT16" s="145"/>
      <c r="NU16" s="145"/>
      <c r="NV16" s="145"/>
      <c r="NW16" s="145"/>
      <c r="NX16" s="145"/>
      <c r="NY16" s="145"/>
      <c r="NZ16" s="145"/>
      <c r="OA16" s="145"/>
      <c r="OB16" s="145"/>
      <c r="OC16" s="145"/>
      <c r="OD16" s="145"/>
      <c r="OE16" s="145"/>
      <c r="OF16" s="145"/>
      <c r="OG16" s="145"/>
      <c r="OH16" s="145"/>
      <c r="OI16" s="145"/>
      <c r="OJ16" s="145"/>
      <c r="OK16" s="145"/>
      <c r="OL16" s="145"/>
      <c r="OM16" s="145"/>
      <c r="ON16" s="145"/>
      <c r="OO16" s="145"/>
      <c r="OP16" s="145"/>
      <c r="OQ16" s="145"/>
      <c r="OR16" s="145"/>
      <c r="OS16" s="145"/>
      <c r="OT16" s="145"/>
      <c r="OU16" s="145"/>
      <c r="OV16" s="145"/>
      <c r="OW16" s="145"/>
      <c r="OX16" s="145"/>
      <c r="OY16" s="145"/>
      <c r="OZ16" s="145"/>
      <c r="PA16" s="145"/>
      <c r="PB16" s="145"/>
      <c r="PC16" s="145"/>
      <c r="PD16" s="145"/>
      <c r="PE16" s="145"/>
      <c r="PF16" s="145"/>
      <c r="PG16" s="145"/>
      <c r="PH16" s="145"/>
      <c r="PI16" s="145"/>
      <c r="PJ16" s="145"/>
      <c r="PK16" s="145"/>
      <c r="PL16" s="145"/>
      <c r="PM16" s="145"/>
      <c r="PN16" s="145"/>
      <c r="PO16" s="145"/>
      <c r="PP16" s="145"/>
      <c r="PQ16" s="145"/>
      <c r="PR16" s="145"/>
      <c r="PS16" s="145"/>
      <c r="PT16" s="145"/>
      <c r="PU16" s="145"/>
      <c r="PV16" s="145"/>
      <c r="PW16" s="145"/>
      <c r="PX16" s="145"/>
      <c r="PY16" s="145"/>
      <c r="PZ16" s="145"/>
      <c r="QA16" s="145"/>
      <c r="QB16" s="145"/>
      <c r="QC16" s="145"/>
      <c r="QD16" s="145"/>
      <c r="QE16" s="145"/>
      <c r="QF16" s="145"/>
      <c r="QG16" s="145"/>
      <c r="QH16" s="145"/>
      <c r="QI16" s="145"/>
      <c r="QJ16" s="145"/>
      <c r="QK16" s="145"/>
      <c r="QL16" s="145"/>
      <c r="QM16" s="145"/>
      <c r="QN16" s="145"/>
      <c r="QO16" s="145"/>
      <c r="QP16" s="145"/>
      <c r="QQ16" s="145"/>
      <c r="QR16" s="145"/>
      <c r="QS16" s="145"/>
      <c r="QT16" s="145"/>
      <c r="QU16" s="145"/>
      <c r="QV16" s="145"/>
      <c r="QW16" s="145"/>
      <c r="QX16" s="145"/>
      <c r="QY16" s="145"/>
      <c r="QZ16" s="145"/>
      <c r="RA16" s="145"/>
      <c r="RB16" s="145"/>
      <c r="RC16" s="145"/>
      <c r="RD16" s="145"/>
      <c r="RE16" s="145"/>
      <c r="RF16" s="145"/>
      <c r="RG16" s="145"/>
      <c r="RH16" s="145"/>
      <c r="RI16" s="145"/>
      <c r="RJ16" s="145"/>
      <c r="RK16" s="145"/>
      <c r="RL16" s="145"/>
      <c r="RM16" s="145"/>
      <c r="RN16" s="145"/>
      <c r="RO16" s="145"/>
      <c r="RP16" s="145"/>
      <c r="RQ16" s="145"/>
      <c r="RR16" s="145"/>
      <c r="RS16" s="145"/>
      <c r="RT16" s="145"/>
      <c r="RU16" s="145"/>
      <c r="RV16" s="145"/>
      <c r="RW16" s="145"/>
      <c r="RX16" s="145"/>
      <c r="RY16" s="145"/>
      <c r="RZ16" s="145"/>
      <c r="SA16" s="145"/>
      <c r="SB16" s="145"/>
      <c r="SC16" s="145"/>
      <c r="SD16" s="145"/>
      <c r="SE16" s="145"/>
      <c r="SF16" s="145"/>
      <c r="SG16" s="145"/>
      <c r="SH16" s="145"/>
      <c r="SI16" s="145"/>
      <c r="SJ16" s="145"/>
      <c r="SK16" s="145"/>
      <c r="SL16" s="145"/>
      <c r="SM16" s="145"/>
      <c r="SN16" s="145"/>
      <c r="SO16" s="145"/>
      <c r="SP16" s="145"/>
      <c r="SQ16" s="145"/>
      <c r="SR16" s="145"/>
      <c r="SS16" s="145"/>
    </row>
    <row r="17" spans="1:513" s="135" customFormat="1" ht="14.5" x14ac:dyDescent="0.35">
      <c r="B17" s="143"/>
      <c r="N17" s="141"/>
      <c r="O17" s="141"/>
      <c r="P17" s="141"/>
      <c r="Q17" s="141"/>
      <c r="R17" s="141"/>
      <c r="S17" s="141"/>
      <c r="T17" s="141"/>
      <c r="U17" s="142"/>
      <c r="V17" s="142"/>
      <c r="W17" s="142"/>
      <c r="X17" s="142"/>
      <c r="Y17" s="142"/>
      <c r="Z17" s="142"/>
      <c r="AA17" s="142"/>
      <c r="AB17" s="172"/>
      <c r="AC17" s="142"/>
      <c r="AD17" s="142"/>
      <c r="AE17" s="172"/>
      <c r="AF17" s="172"/>
      <c r="AG17" s="172"/>
      <c r="AH17" s="172"/>
      <c r="AI17" s="172"/>
      <c r="AJ17" s="142"/>
      <c r="AK17" s="142"/>
      <c r="AL17" s="142"/>
      <c r="AM17" s="142"/>
      <c r="AN17" s="172"/>
      <c r="AO17" s="141"/>
      <c r="AP17" s="141"/>
      <c r="AQ17" s="141"/>
      <c r="AR17" s="141"/>
      <c r="AS17" s="141"/>
      <c r="AT17" s="141"/>
      <c r="AU17" s="141"/>
      <c r="AV17" s="141"/>
      <c r="AW17" s="141"/>
      <c r="AX17" s="141"/>
      <c r="AY17" s="141"/>
      <c r="AZ17" s="141"/>
      <c r="BA17" s="141"/>
      <c r="BB17" s="141"/>
      <c r="BC17" s="141"/>
      <c r="BD17" s="141"/>
      <c r="BE17" s="141"/>
      <c r="BF17" s="141"/>
      <c r="BG17" s="141"/>
      <c r="BH17" s="141"/>
      <c r="BI17" s="141"/>
      <c r="BJ17" s="141"/>
      <c r="BK17" s="141"/>
      <c r="BL17" s="141"/>
      <c r="BM17" s="142"/>
      <c r="BN17" s="142"/>
      <c r="BO17" s="142"/>
      <c r="BP17" s="142"/>
      <c r="BQ17" s="142"/>
      <c r="BR17" s="142"/>
      <c r="BS17" s="142"/>
      <c r="BT17" s="142"/>
      <c r="BU17" s="142"/>
      <c r="BV17" s="142"/>
      <c r="BW17" s="142"/>
      <c r="BX17" s="142"/>
      <c r="DO17" s="136"/>
      <c r="DP17" s="136"/>
      <c r="DQ17" s="136"/>
      <c r="DR17" s="136"/>
      <c r="DS17" s="136"/>
      <c r="DT17" s="136"/>
      <c r="DU17" s="136"/>
      <c r="DV17" s="136"/>
      <c r="DW17" s="136"/>
      <c r="DX17" s="136"/>
      <c r="DY17" s="136"/>
      <c r="DZ17" s="136"/>
      <c r="EA17" s="136"/>
      <c r="EB17" s="136"/>
      <c r="EC17" s="136"/>
      <c r="ED17" s="136"/>
      <c r="EE17" s="136"/>
      <c r="EF17" s="136"/>
      <c r="EG17" s="136"/>
      <c r="EH17" s="136"/>
      <c r="EI17" s="136"/>
      <c r="EJ17" s="136"/>
      <c r="EK17" s="136"/>
      <c r="EL17" s="136"/>
      <c r="EM17" s="136"/>
      <c r="EN17" s="136"/>
      <c r="EO17" s="136"/>
      <c r="EP17" s="136"/>
      <c r="EQ17" s="136"/>
      <c r="ER17" s="136"/>
      <c r="ES17" s="136"/>
      <c r="ET17" s="136"/>
      <c r="EU17" s="136"/>
      <c r="EV17" s="136"/>
      <c r="EW17" s="136"/>
      <c r="EX17" s="136"/>
      <c r="EY17" s="136"/>
      <c r="EZ17" s="136"/>
      <c r="FA17" s="136"/>
      <c r="FB17" s="136"/>
      <c r="FC17" s="136"/>
      <c r="FD17" s="136"/>
      <c r="FE17" s="136"/>
      <c r="FF17" s="136"/>
      <c r="FG17" s="136"/>
      <c r="FH17" s="136"/>
      <c r="FI17" s="136"/>
      <c r="FJ17" s="136"/>
      <c r="FK17" s="136"/>
      <c r="FL17" s="136"/>
      <c r="FM17" s="136"/>
      <c r="FN17" s="136"/>
      <c r="FO17" s="136"/>
      <c r="FP17" s="136"/>
      <c r="FQ17" s="136"/>
      <c r="FR17" s="136"/>
      <c r="FS17" s="136"/>
      <c r="FT17" s="136"/>
      <c r="FU17" s="136"/>
      <c r="FV17" s="136"/>
      <c r="FW17" s="136"/>
      <c r="FX17" s="136"/>
      <c r="FY17" s="136"/>
      <c r="FZ17" s="136"/>
      <c r="GA17" s="136"/>
      <c r="GB17" s="136"/>
      <c r="GC17" s="136"/>
      <c r="GD17" s="136"/>
      <c r="GE17" s="136"/>
      <c r="GF17" s="136"/>
      <c r="GG17" s="136"/>
      <c r="GH17" s="136"/>
      <c r="GI17" s="136"/>
      <c r="GJ17" s="136"/>
      <c r="GK17" s="136"/>
      <c r="GL17" s="136"/>
      <c r="GM17" s="136"/>
      <c r="GN17" s="136"/>
      <c r="GO17" s="136"/>
      <c r="GP17" s="136"/>
      <c r="GQ17" s="136"/>
      <c r="GR17" s="136"/>
      <c r="GS17" s="136"/>
      <c r="GT17" s="136"/>
      <c r="GU17" s="136"/>
      <c r="GV17" s="136"/>
      <c r="GW17" s="136"/>
      <c r="GX17" s="136"/>
      <c r="GY17" s="136"/>
      <c r="GZ17" s="136"/>
      <c r="HA17" s="136"/>
      <c r="HB17" s="136"/>
      <c r="HC17" s="136"/>
      <c r="HD17" s="136"/>
      <c r="HE17" s="136"/>
      <c r="HF17" s="136"/>
      <c r="HG17" s="136"/>
      <c r="HH17" s="136"/>
      <c r="HI17" s="136"/>
      <c r="HJ17" s="136"/>
      <c r="HK17" s="136"/>
      <c r="HL17" s="136"/>
      <c r="HM17" s="136"/>
      <c r="HN17" s="136"/>
      <c r="HO17" s="136"/>
      <c r="HP17" s="136"/>
      <c r="HQ17" s="136"/>
      <c r="HR17" s="136"/>
      <c r="HS17" s="136"/>
      <c r="HT17" s="136"/>
      <c r="HU17" s="136"/>
      <c r="HV17" s="136"/>
      <c r="HW17" s="136"/>
      <c r="HX17" s="136"/>
      <c r="HY17" s="136"/>
      <c r="HZ17" s="136"/>
      <c r="IA17" s="136"/>
      <c r="IB17" s="136"/>
      <c r="IC17" s="136"/>
      <c r="ID17" s="136"/>
      <c r="IE17" s="136"/>
      <c r="IF17" s="136"/>
      <c r="IG17" s="136"/>
      <c r="IH17" s="136"/>
      <c r="II17" s="136"/>
      <c r="IJ17" s="136"/>
      <c r="IK17" s="136"/>
      <c r="IL17" s="136"/>
      <c r="IM17" s="136"/>
      <c r="IN17" s="136"/>
      <c r="IO17" s="136"/>
      <c r="IP17" s="136"/>
      <c r="IQ17" s="136"/>
      <c r="IR17" s="136"/>
      <c r="IS17" s="136"/>
      <c r="IT17" s="136"/>
      <c r="IU17" s="136"/>
      <c r="IV17" s="136"/>
      <c r="IW17" s="136"/>
      <c r="IX17" s="136"/>
      <c r="IY17" s="136"/>
      <c r="IZ17" s="136"/>
      <c r="JA17" s="136"/>
      <c r="JB17" s="136"/>
      <c r="JC17" s="136"/>
      <c r="JD17" s="136"/>
      <c r="JE17" s="136"/>
      <c r="JF17" s="136"/>
      <c r="JG17" s="136"/>
      <c r="JH17" s="136"/>
      <c r="JI17" s="136"/>
      <c r="JJ17" s="136"/>
      <c r="JK17" s="136"/>
      <c r="JL17" s="136"/>
      <c r="JM17" s="136"/>
      <c r="JN17" s="136"/>
      <c r="JO17" s="136"/>
      <c r="JP17" s="136"/>
      <c r="JQ17" s="136"/>
      <c r="JR17" s="136"/>
      <c r="JS17" s="136"/>
      <c r="JT17" s="136"/>
      <c r="JU17" s="136"/>
      <c r="JV17" s="136"/>
      <c r="JW17" s="136"/>
      <c r="JX17" s="136"/>
      <c r="JY17" s="136"/>
      <c r="JZ17" s="136"/>
      <c r="KA17" s="136"/>
      <c r="KB17" s="136"/>
      <c r="KC17" s="136"/>
      <c r="KD17" s="136"/>
      <c r="KE17" s="136"/>
      <c r="KF17" s="136"/>
      <c r="KG17" s="136"/>
      <c r="KH17" s="136"/>
      <c r="KI17" s="136"/>
      <c r="KJ17" s="136"/>
      <c r="KK17" s="136"/>
      <c r="KL17" s="136"/>
      <c r="KM17" s="136"/>
      <c r="KN17" s="136"/>
      <c r="KO17" s="136"/>
      <c r="KP17" s="136"/>
      <c r="KQ17" s="136"/>
      <c r="KR17" s="136"/>
      <c r="KS17" s="136"/>
      <c r="KT17" s="136"/>
      <c r="KU17" s="136"/>
      <c r="KV17" s="136"/>
      <c r="KW17" s="136"/>
      <c r="KX17" s="136"/>
      <c r="KY17" s="136"/>
      <c r="KZ17" s="136"/>
      <c r="LA17" s="136"/>
      <c r="LB17" s="136"/>
      <c r="LC17" s="136"/>
      <c r="LD17" s="136"/>
      <c r="LE17" s="136"/>
      <c r="LF17" s="136"/>
      <c r="LG17" s="136"/>
      <c r="LH17" s="136"/>
      <c r="LI17" s="136"/>
      <c r="LJ17" s="136"/>
      <c r="LK17" s="136"/>
      <c r="LL17" s="136"/>
      <c r="LM17" s="136"/>
      <c r="LN17" s="136"/>
      <c r="LO17" s="136"/>
      <c r="LP17" s="136"/>
      <c r="LQ17" s="136"/>
      <c r="LR17" s="136"/>
      <c r="LS17" s="136"/>
      <c r="LT17" s="136"/>
      <c r="LU17" s="136"/>
      <c r="LV17" s="136"/>
      <c r="LW17" s="136"/>
      <c r="LX17" s="136"/>
      <c r="LY17" s="136"/>
      <c r="LZ17" s="136"/>
      <c r="MA17" s="136"/>
      <c r="MB17" s="136"/>
      <c r="MC17" s="136"/>
      <c r="MD17" s="136"/>
      <c r="ME17" s="136"/>
      <c r="MF17" s="136"/>
      <c r="MG17" s="136"/>
      <c r="MH17" s="136"/>
      <c r="MI17" s="136"/>
      <c r="MJ17" s="136"/>
      <c r="MK17" s="136"/>
      <c r="ML17" s="136"/>
      <c r="MM17" s="136"/>
      <c r="MN17" s="136"/>
      <c r="MO17" s="136"/>
      <c r="MP17" s="136"/>
      <c r="MQ17" s="136"/>
      <c r="MR17" s="136"/>
      <c r="MS17" s="136"/>
      <c r="MT17" s="136"/>
      <c r="MU17" s="136"/>
      <c r="MV17" s="136"/>
      <c r="MW17" s="136"/>
      <c r="MX17" s="136"/>
      <c r="MY17" s="136"/>
      <c r="MZ17" s="136"/>
      <c r="NA17" s="136"/>
      <c r="NB17" s="136"/>
      <c r="NC17" s="136"/>
      <c r="ND17" s="136"/>
      <c r="NE17" s="136"/>
      <c r="NF17" s="136"/>
      <c r="NG17" s="136"/>
      <c r="NH17" s="136"/>
      <c r="NI17" s="136"/>
      <c r="NJ17" s="136"/>
      <c r="NK17" s="136"/>
      <c r="NL17" s="136"/>
      <c r="NM17" s="136"/>
      <c r="NN17" s="136"/>
      <c r="NO17" s="136"/>
      <c r="NP17" s="136"/>
      <c r="NQ17" s="136"/>
      <c r="NR17" s="136"/>
      <c r="NS17" s="136"/>
      <c r="NT17" s="136"/>
      <c r="NU17" s="136"/>
      <c r="NV17" s="136"/>
      <c r="NW17" s="136"/>
      <c r="NX17" s="136"/>
      <c r="NY17" s="136"/>
      <c r="NZ17" s="136"/>
      <c r="OA17" s="136"/>
      <c r="OB17" s="136"/>
      <c r="OC17" s="136"/>
      <c r="OD17" s="136"/>
      <c r="OE17" s="136"/>
      <c r="OF17" s="136"/>
      <c r="OG17" s="136"/>
      <c r="OH17" s="136"/>
      <c r="OI17" s="136"/>
      <c r="OJ17" s="136"/>
      <c r="OK17" s="136"/>
      <c r="OL17" s="136"/>
      <c r="OM17" s="136"/>
      <c r="ON17" s="136"/>
      <c r="OO17" s="136"/>
      <c r="OP17" s="136"/>
      <c r="OQ17" s="136"/>
      <c r="OR17" s="136"/>
      <c r="OS17" s="136"/>
      <c r="OT17" s="136"/>
      <c r="OU17" s="136"/>
      <c r="OV17" s="136"/>
      <c r="OW17" s="136"/>
      <c r="OX17" s="136"/>
      <c r="OY17" s="136"/>
      <c r="OZ17" s="136"/>
      <c r="PA17" s="136"/>
      <c r="PB17" s="136"/>
      <c r="PC17" s="136"/>
      <c r="PD17" s="136"/>
      <c r="PE17" s="136"/>
      <c r="PF17" s="136"/>
      <c r="PG17" s="136"/>
      <c r="PH17" s="136"/>
      <c r="PI17" s="136"/>
      <c r="PJ17" s="136"/>
      <c r="PK17" s="136"/>
      <c r="PL17" s="136"/>
      <c r="PM17" s="136"/>
      <c r="PN17" s="136"/>
      <c r="PO17" s="136"/>
      <c r="PP17" s="136"/>
      <c r="PQ17" s="136"/>
      <c r="PR17" s="136"/>
      <c r="PS17" s="136"/>
      <c r="PT17" s="136"/>
      <c r="PU17" s="136"/>
      <c r="PV17" s="136"/>
      <c r="PW17" s="136"/>
      <c r="PX17" s="136"/>
      <c r="PY17" s="136"/>
      <c r="PZ17" s="136"/>
      <c r="QA17" s="136"/>
      <c r="QB17" s="136"/>
      <c r="QC17" s="136"/>
      <c r="QD17" s="136"/>
      <c r="QE17" s="136"/>
      <c r="QF17" s="136"/>
      <c r="QG17" s="136"/>
      <c r="QH17" s="136"/>
      <c r="QI17" s="136"/>
      <c r="QJ17" s="136"/>
      <c r="QK17" s="136"/>
      <c r="QL17" s="136"/>
      <c r="QM17" s="136"/>
      <c r="QN17" s="136"/>
      <c r="QO17" s="136"/>
      <c r="QP17" s="136"/>
      <c r="QQ17" s="136"/>
      <c r="QR17" s="136"/>
      <c r="QS17" s="136"/>
      <c r="QT17" s="136"/>
      <c r="QU17" s="136"/>
      <c r="QV17" s="136"/>
      <c r="QW17" s="136"/>
      <c r="QX17" s="136"/>
      <c r="QY17" s="136"/>
      <c r="QZ17" s="136"/>
      <c r="RA17" s="136"/>
      <c r="RB17" s="136"/>
      <c r="RC17" s="136"/>
      <c r="RD17" s="136"/>
      <c r="RE17" s="136"/>
      <c r="RF17" s="136"/>
      <c r="RG17" s="136"/>
      <c r="RH17" s="136"/>
      <c r="RI17" s="136"/>
      <c r="RJ17" s="136"/>
      <c r="RK17" s="136"/>
      <c r="RL17" s="136"/>
      <c r="RM17" s="136"/>
      <c r="RN17" s="136"/>
      <c r="RO17" s="136"/>
      <c r="RP17" s="136"/>
      <c r="RQ17" s="136"/>
      <c r="RR17" s="136"/>
      <c r="RS17" s="136"/>
      <c r="RT17" s="136"/>
      <c r="RU17" s="136"/>
      <c r="RV17" s="136"/>
      <c r="RW17" s="136"/>
      <c r="RX17" s="136"/>
      <c r="RY17" s="136"/>
      <c r="RZ17" s="136"/>
      <c r="SA17" s="136"/>
      <c r="SB17" s="136"/>
      <c r="SC17" s="136"/>
      <c r="SD17" s="136"/>
      <c r="SE17" s="136"/>
      <c r="SF17" s="136"/>
      <c r="SG17" s="136"/>
      <c r="SH17" s="136"/>
      <c r="SI17" s="136"/>
      <c r="SJ17" s="136"/>
      <c r="SK17" s="136"/>
      <c r="SL17" s="136"/>
      <c r="SM17" s="136"/>
      <c r="SN17" s="136"/>
      <c r="SO17" s="136"/>
      <c r="SP17" s="136"/>
      <c r="SQ17" s="136"/>
      <c r="SR17" s="136"/>
      <c r="SS17" s="136"/>
    </row>
    <row r="18" spans="1:513" s="149" customFormat="1" ht="14.5" outlineLevel="1" x14ac:dyDescent="0.35">
      <c r="B18" s="149" t="s">
        <v>864</v>
      </c>
      <c r="D18" s="142">
        <f t="shared" ref="D18:AH18" si="107">D8-D9</f>
        <v>0</v>
      </c>
      <c r="E18" s="142">
        <f t="shared" si="107"/>
        <v>-1163323</v>
      </c>
      <c r="F18" s="142">
        <f t="shared" si="107"/>
        <v>375951</v>
      </c>
      <c r="G18" s="142">
        <f t="shared" si="107"/>
        <v>271357</v>
      </c>
      <c r="H18" s="142">
        <f t="shared" si="107"/>
        <v>-93023</v>
      </c>
      <c r="I18" s="142">
        <f t="shared" si="107"/>
        <v>126709</v>
      </c>
      <c r="J18" s="142">
        <f t="shared" si="107"/>
        <v>-247688</v>
      </c>
      <c r="K18" s="142">
        <f t="shared" si="107"/>
        <v>455765</v>
      </c>
      <c r="L18" s="142">
        <f t="shared" si="107"/>
        <v>-410917</v>
      </c>
      <c r="M18" s="142">
        <f t="shared" si="107"/>
        <v>4659</v>
      </c>
      <c r="N18" s="142">
        <f t="shared" si="107"/>
        <v>-160703</v>
      </c>
      <c r="O18" s="142">
        <f t="shared" si="107"/>
        <v>275295</v>
      </c>
      <c r="P18" s="142">
        <f t="shared" si="107"/>
        <v>-337932</v>
      </c>
      <c r="Q18" s="142">
        <f t="shared" si="107"/>
        <v>-689483</v>
      </c>
      <c r="R18" s="150">
        <f t="shared" si="107"/>
        <v>537342</v>
      </c>
      <c r="S18" s="150">
        <f t="shared" si="107"/>
        <v>-142418</v>
      </c>
      <c r="T18" s="150">
        <f t="shared" si="107"/>
        <v>178100</v>
      </c>
      <c r="U18" s="202">
        <f>U8-U9</f>
        <v>-2402295</v>
      </c>
      <c r="V18" s="142">
        <f>V8-V9</f>
        <v>904142</v>
      </c>
      <c r="W18" s="142">
        <f>W8-W9</f>
        <v>61974</v>
      </c>
      <c r="X18" s="142">
        <f>X8-X9</f>
        <v>498868</v>
      </c>
      <c r="Y18" s="142">
        <f>Y8-Y9</f>
        <v>143415</v>
      </c>
      <c r="Z18" s="142">
        <f t="shared" si="107"/>
        <v>36055</v>
      </c>
      <c r="AA18" s="142">
        <f>AA8-AA9</f>
        <v>686562</v>
      </c>
      <c r="AB18" s="172">
        <f t="shared" si="107"/>
        <v>41758</v>
      </c>
      <c r="AC18" s="142">
        <f>AC8-AC9</f>
        <v>240466</v>
      </c>
      <c r="AD18" s="142">
        <f>AD8-AD9</f>
        <v>-209261</v>
      </c>
      <c r="AE18" s="172">
        <f t="shared" si="107"/>
        <v>-1307682</v>
      </c>
      <c r="AF18" s="172">
        <f t="shared" si="107"/>
        <v>-44745</v>
      </c>
      <c r="AG18" s="172">
        <f t="shared" si="107"/>
        <v>-193243</v>
      </c>
      <c r="AH18" s="172">
        <f t="shared" si="107"/>
        <v>-539972</v>
      </c>
      <c r="AI18" s="172">
        <f>AI8-AI9</f>
        <v>903448</v>
      </c>
      <c r="AJ18" s="142">
        <f>AJ8-AJ9</f>
        <v>320405.2899999998</v>
      </c>
      <c r="AK18" s="142">
        <f>AK8-AK9</f>
        <v>18063.840000000084</v>
      </c>
      <c r="AL18" s="142">
        <f t="shared" ref="AL18:BL18" si="108">AL8-AL9</f>
        <v>-232334.79999999981</v>
      </c>
      <c r="AM18" s="142">
        <f t="shared" si="108"/>
        <v>615711.76</v>
      </c>
      <c r="AN18" s="172">
        <f>AN8-AN9</f>
        <v>-14765515.360000001</v>
      </c>
      <c r="AO18" s="141">
        <f t="shared" si="108"/>
        <v>1736082.3600000013</v>
      </c>
      <c r="AP18" s="141">
        <f t="shared" si="108"/>
        <v>954194.19999999925</v>
      </c>
      <c r="AQ18" s="141">
        <f t="shared" si="108"/>
        <v>40225.140000000596</v>
      </c>
      <c r="AR18" s="141">
        <f t="shared" si="108"/>
        <v>780380.66999999993</v>
      </c>
      <c r="AS18" s="141">
        <f t="shared" si="108"/>
        <v>787367.11000000127</v>
      </c>
      <c r="AT18" s="141">
        <f t="shared" si="108"/>
        <v>277328.6099999994</v>
      </c>
      <c r="AU18" s="141">
        <f t="shared" si="108"/>
        <v>1043212.9199999999</v>
      </c>
      <c r="AV18" s="141">
        <f t="shared" si="108"/>
        <v>884295.07220324501</v>
      </c>
      <c r="AW18" s="141">
        <f t="shared" si="108"/>
        <v>-4916232.3522032443</v>
      </c>
      <c r="AX18" s="141">
        <f t="shared" si="108"/>
        <v>1285069.5199999996</v>
      </c>
      <c r="AY18" s="141">
        <f t="shared" si="108"/>
        <v>389083.3200000003</v>
      </c>
      <c r="AZ18" s="141">
        <f t="shared" si="108"/>
        <v>812319.5299999956</v>
      </c>
      <c r="BA18" s="142">
        <f t="shared" si="108"/>
        <v>1554790.2600000035</v>
      </c>
      <c r="BB18" s="142">
        <f t="shared" si="108"/>
        <v>589693.80000000075</v>
      </c>
      <c r="BC18" s="142">
        <f>BC8-BC9</f>
        <v>413064.75</v>
      </c>
      <c r="BD18" s="142">
        <f t="shared" si="108"/>
        <v>1108164.9699999988</v>
      </c>
      <c r="BE18" s="142">
        <f t="shared" si="108"/>
        <v>577516.15000000037</v>
      </c>
      <c r="BF18" s="141">
        <f t="shared" si="108"/>
        <v>-837909.00999999978</v>
      </c>
      <c r="BG18" s="142">
        <f>BG8-BG9</f>
        <v>455023.61000000034</v>
      </c>
      <c r="BH18" s="142">
        <f>BH8-BH9</f>
        <v>-3713935.13</v>
      </c>
      <c r="BI18" s="142">
        <f t="shared" si="108"/>
        <v>1632001.879999999</v>
      </c>
      <c r="BJ18" s="142">
        <f>BJ8-BJ9</f>
        <v>469122.8900000006</v>
      </c>
      <c r="BK18" s="142">
        <f t="shared" si="108"/>
        <v>876394</v>
      </c>
      <c r="BL18" s="142">
        <f t="shared" si="108"/>
        <v>604597.00290947407</v>
      </c>
      <c r="BM18" s="142">
        <f>BM8-BM9</f>
        <v>-686983.5629094746</v>
      </c>
      <c r="BN18" s="142">
        <f t="shared" ref="BN18:BV18" si="109">BN8-BN9</f>
        <v>1209245.5700000003</v>
      </c>
      <c r="BO18" s="142">
        <f t="shared" si="109"/>
        <v>902657.29</v>
      </c>
      <c r="BP18" s="142">
        <f t="shared" si="109"/>
        <v>886882.83000000007</v>
      </c>
      <c r="BQ18" s="142">
        <f t="shared" si="109"/>
        <v>-333272.93999999948</v>
      </c>
      <c r="BR18" s="142">
        <f>BR8-BR9</f>
        <v>904968.97999999952</v>
      </c>
      <c r="BS18" s="142">
        <f t="shared" si="109"/>
        <v>-530047.89246349037</v>
      </c>
      <c r="BT18" s="142">
        <f t="shared" si="109"/>
        <v>415594.91975756083</v>
      </c>
      <c r="BU18" s="142">
        <f t="shared" si="109"/>
        <v>377995.17330373917</v>
      </c>
      <c r="BV18" s="142">
        <f t="shared" si="109"/>
        <v>661932.53303060029</v>
      </c>
      <c r="BW18" s="142">
        <f>BW8-BW9</f>
        <v>-38160.479739196599</v>
      </c>
      <c r="BX18" s="142">
        <f>BX8-BX9</f>
        <v>528500.19898112724</v>
      </c>
      <c r="BY18" s="142">
        <f>BY8-BY9</f>
        <v>-242302.36492469115</v>
      </c>
      <c r="BZ18" s="142">
        <f t="shared" ref="BZ18:CI18" si="110">BZ8-BZ9</f>
        <v>1187925.1110215425</v>
      </c>
      <c r="CA18" s="142">
        <f t="shared" si="110"/>
        <v>591909.146435712</v>
      </c>
      <c r="CB18" s="142">
        <f t="shared" si="110"/>
        <v>-153383.203846524</v>
      </c>
      <c r="CC18" s="142">
        <f t="shared" si="110"/>
        <v>290411.638833954</v>
      </c>
      <c r="CD18" s="142">
        <f>CD8-CD9</f>
        <v>115623.75458453596</v>
      </c>
      <c r="CE18" s="142">
        <f>CE8-CE9</f>
        <v>-777170.26698002685</v>
      </c>
      <c r="CF18" s="142">
        <f>CF8-CF9</f>
        <v>-1124801.4690570696</v>
      </c>
      <c r="CG18" s="142">
        <f t="shared" si="110"/>
        <v>826790.28647249378</v>
      </c>
      <c r="CH18" s="142">
        <f t="shared" si="110"/>
        <v>382579.47186660161</v>
      </c>
      <c r="CI18" s="142">
        <f t="shared" si="110"/>
        <v>694559.33260622807</v>
      </c>
      <c r="CJ18" s="142">
        <f>CJ8-CJ9</f>
        <v>-2321757.1589851924</v>
      </c>
      <c r="CK18" s="141">
        <f t="shared" ref="CK18:CL18" si="111">CK8-CK9</f>
        <v>766908.33567723958</v>
      </c>
      <c r="CL18" s="141">
        <f t="shared" si="111"/>
        <v>806916.47671772307</v>
      </c>
      <c r="CM18" s="141">
        <f t="shared" ref="CM18:CN18" si="112">CM8-CM9</f>
        <v>266573.99374978431</v>
      </c>
      <c r="CN18" s="141">
        <f t="shared" si="112"/>
        <v>365442.80100412294</v>
      </c>
      <c r="CO18" s="141">
        <f t="shared" ref="CO18:CP18" si="113">CO8-CO9</f>
        <v>39466.641939414665</v>
      </c>
      <c r="CP18" s="141">
        <f t="shared" si="113"/>
        <v>-109432.37518781517</v>
      </c>
      <c r="CQ18" s="141">
        <f t="shared" ref="CQ18:CU18" si="114">CQ8-CQ9</f>
        <v>-764560.72040975094</v>
      </c>
      <c r="CR18" s="141">
        <f t="shared" si="114"/>
        <v>16412.01837347215</v>
      </c>
      <c r="CS18" s="141">
        <f t="shared" si="114"/>
        <v>681263.06342706317</v>
      </c>
      <c r="CT18" s="141">
        <f t="shared" si="114"/>
        <v>173732.18047827948</v>
      </c>
      <c r="CU18" s="141">
        <f t="shared" si="114"/>
        <v>654715.83664624323</v>
      </c>
      <c r="CV18" s="141">
        <f>CV8-CV9</f>
        <v>-1320667.9021910096</v>
      </c>
      <c r="CW18" s="141">
        <f t="shared" ref="CW18:CX18" si="115">CW8-CW9</f>
        <v>-50185.567271991167</v>
      </c>
      <c r="CX18" s="141">
        <f t="shared" si="115"/>
        <v>-1627496.7495873231</v>
      </c>
      <c r="CY18" s="141">
        <f t="shared" ref="CY18:DB18" si="116">CY8-CY9</f>
        <v>1620760.6631497494</v>
      </c>
      <c r="CZ18" s="141">
        <f t="shared" si="116"/>
        <v>169518.03491542209</v>
      </c>
      <c r="DA18" s="141">
        <f t="shared" si="116"/>
        <v>67129.415325316135</v>
      </c>
      <c r="DB18" s="141">
        <f t="shared" si="116"/>
        <v>-918495.58467468387</v>
      </c>
      <c r="DC18" s="135"/>
      <c r="DD18" s="135"/>
      <c r="DE18" s="135"/>
      <c r="DF18" s="135"/>
      <c r="DG18" s="135"/>
      <c r="DH18" s="135"/>
      <c r="DI18" s="135"/>
      <c r="DJ18" s="135"/>
      <c r="DK18" s="135"/>
      <c r="DL18" s="135"/>
      <c r="DM18" s="135"/>
      <c r="DN18" s="135"/>
      <c r="DO18" s="151"/>
      <c r="DP18" s="151"/>
      <c r="DQ18" s="151"/>
      <c r="DR18" s="151"/>
      <c r="DS18" s="151"/>
      <c r="DT18" s="151"/>
      <c r="DU18" s="151"/>
      <c r="DV18" s="151"/>
      <c r="DW18" s="151"/>
      <c r="DX18" s="151"/>
      <c r="DY18" s="151"/>
      <c r="DZ18" s="151"/>
      <c r="EA18" s="151"/>
      <c r="EB18" s="151"/>
      <c r="EC18" s="151"/>
      <c r="ED18" s="151"/>
      <c r="EE18" s="151"/>
      <c r="EF18" s="151"/>
      <c r="EG18" s="151"/>
      <c r="EH18" s="151"/>
      <c r="EI18" s="151"/>
      <c r="EJ18" s="151"/>
      <c r="EK18" s="151"/>
      <c r="EL18" s="151"/>
      <c r="EM18" s="151"/>
      <c r="EN18" s="151"/>
      <c r="EO18" s="151"/>
      <c r="EP18" s="151"/>
      <c r="EQ18" s="151"/>
      <c r="ER18" s="151"/>
      <c r="ES18" s="151"/>
      <c r="ET18" s="151"/>
      <c r="EU18" s="151"/>
      <c r="EV18" s="151"/>
      <c r="EW18" s="151"/>
      <c r="EX18" s="151"/>
      <c r="EY18" s="151"/>
      <c r="EZ18" s="151"/>
      <c r="FA18" s="151"/>
      <c r="FB18" s="151"/>
      <c r="FC18" s="151"/>
      <c r="FD18" s="151"/>
      <c r="FE18" s="151"/>
      <c r="FF18" s="151"/>
      <c r="FG18" s="151"/>
      <c r="FH18" s="151"/>
      <c r="FI18" s="151"/>
      <c r="FJ18" s="151"/>
      <c r="FK18" s="151"/>
      <c r="FL18" s="151"/>
      <c r="FM18" s="151"/>
      <c r="FN18" s="151"/>
      <c r="FO18" s="151"/>
      <c r="FP18" s="151"/>
      <c r="FQ18" s="151"/>
      <c r="FR18" s="151"/>
      <c r="FS18" s="151"/>
      <c r="FT18" s="151"/>
      <c r="FU18" s="151"/>
      <c r="FV18" s="151"/>
      <c r="FW18" s="151"/>
      <c r="FX18" s="151"/>
      <c r="FY18" s="151"/>
      <c r="FZ18" s="151"/>
      <c r="GA18" s="151"/>
      <c r="GB18" s="151"/>
      <c r="GC18" s="151"/>
      <c r="GD18" s="151"/>
      <c r="GE18" s="151"/>
      <c r="GF18" s="151"/>
      <c r="GG18" s="151"/>
      <c r="GH18" s="151"/>
      <c r="GI18" s="151"/>
      <c r="GJ18" s="151"/>
      <c r="GK18" s="151"/>
      <c r="GL18" s="151"/>
      <c r="GM18" s="151"/>
      <c r="GN18" s="151"/>
      <c r="GO18" s="151"/>
      <c r="GP18" s="151"/>
      <c r="GQ18" s="151"/>
      <c r="GR18" s="151"/>
      <c r="GS18" s="151"/>
      <c r="GT18" s="151"/>
      <c r="GU18" s="151"/>
      <c r="GV18" s="151"/>
      <c r="GW18" s="151"/>
      <c r="GX18" s="151"/>
      <c r="GY18" s="151"/>
      <c r="GZ18" s="151"/>
      <c r="HA18" s="151"/>
      <c r="HB18" s="151"/>
      <c r="HC18" s="151"/>
      <c r="HD18" s="151"/>
      <c r="HE18" s="151"/>
      <c r="HF18" s="151"/>
      <c r="HG18" s="151"/>
      <c r="HH18" s="151"/>
      <c r="HI18" s="151"/>
      <c r="HJ18" s="151"/>
      <c r="HK18" s="151"/>
      <c r="HL18" s="151"/>
      <c r="HM18" s="151"/>
      <c r="HN18" s="151"/>
      <c r="HO18" s="151"/>
      <c r="HP18" s="151"/>
      <c r="HQ18" s="151"/>
      <c r="HR18" s="151"/>
      <c r="HS18" s="151"/>
      <c r="HT18" s="151"/>
      <c r="HU18" s="151"/>
      <c r="HV18" s="151"/>
      <c r="HW18" s="151"/>
      <c r="HX18" s="151"/>
      <c r="HY18" s="151"/>
      <c r="HZ18" s="151"/>
      <c r="IA18" s="151"/>
      <c r="IB18" s="151"/>
      <c r="IC18" s="151"/>
      <c r="ID18" s="151"/>
      <c r="IE18" s="151"/>
      <c r="IF18" s="151"/>
      <c r="IG18" s="151"/>
      <c r="IH18" s="151"/>
      <c r="II18" s="151"/>
      <c r="IJ18" s="151"/>
      <c r="IK18" s="151"/>
      <c r="IL18" s="151"/>
      <c r="IM18" s="151"/>
      <c r="IN18" s="151"/>
      <c r="IO18" s="151"/>
      <c r="IP18" s="151"/>
      <c r="IQ18" s="151"/>
      <c r="IR18" s="151"/>
      <c r="IS18" s="151"/>
      <c r="IT18" s="151"/>
      <c r="IU18" s="151"/>
      <c r="IV18" s="151"/>
      <c r="IW18" s="151"/>
      <c r="IX18" s="151"/>
      <c r="IY18" s="151"/>
      <c r="IZ18" s="151"/>
      <c r="JA18" s="151"/>
      <c r="JB18" s="151"/>
      <c r="JC18" s="151"/>
      <c r="JD18" s="151"/>
      <c r="JE18" s="151"/>
      <c r="JF18" s="151"/>
      <c r="JG18" s="151"/>
      <c r="JH18" s="151"/>
      <c r="JI18" s="151"/>
      <c r="JJ18" s="151"/>
      <c r="JK18" s="151"/>
      <c r="JL18" s="151"/>
      <c r="JM18" s="151"/>
      <c r="JN18" s="151"/>
      <c r="JO18" s="151"/>
      <c r="JP18" s="151"/>
      <c r="JQ18" s="151"/>
      <c r="JR18" s="151"/>
      <c r="JS18" s="151"/>
      <c r="JT18" s="151"/>
      <c r="JU18" s="151"/>
      <c r="JV18" s="151"/>
      <c r="JW18" s="151"/>
      <c r="JX18" s="151"/>
      <c r="JY18" s="151"/>
      <c r="JZ18" s="151"/>
      <c r="KA18" s="151"/>
      <c r="KB18" s="151"/>
      <c r="KC18" s="151"/>
      <c r="KD18" s="151"/>
      <c r="KE18" s="151"/>
      <c r="KF18" s="151"/>
      <c r="KG18" s="151"/>
      <c r="KH18" s="151"/>
      <c r="KI18" s="151"/>
      <c r="KJ18" s="151"/>
      <c r="KK18" s="151"/>
      <c r="KL18" s="151"/>
      <c r="KM18" s="151"/>
      <c r="KN18" s="151"/>
      <c r="KO18" s="151"/>
      <c r="KP18" s="151"/>
      <c r="KQ18" s="151"/>
      <c r="KR18" s="151"/>
      <c r="KS18" s="151"/>
      <c r="KT18" s="151"/>
      <c r="KU18" s="151"/>
      <c r="KV18" s="151"/>
      <c r="KW18" s="151"/>
      <c r="KX18" s="151"/>
      <c r="KY18" s="151"/>
      <c r="KZ18" s="151"/>
      <c r="LA18" s="151"/>
      <c r="LB18" s="151"/>
      <c r="LC18" s="151"/>
      <c r="LD18" s="151"/>
      <c r="LE18" s="151"/>
      <c r="LF18" s="151"/>
      <c r="LG18" s="151"/>
      <c r="LH18" s="151"/>
      <c r="LI18" s="151"/>
      <c r="LJ18" s="151"/>
      <c r="LK18" s="151"/>
      <c r="LL18" s="151"/>
      <c r="LM18" s="151"/>
      <c r="LN18" s="151"/>
      <c r="LO18" s="151"/>
      <c r="LP18" s="151"/>
      <c r="LQ18" s="151"/>
      <c r="LR18" s="151"/>
      <c r="LS18" s="151"/>
      <c r="LT18" s="151"/>
      <c r="LU18" s="151"/>
      <c r="LV18" s="151"/>
      <c r="LW18" s="151"/>
      <c r="LX18" s="151"/>
      <c r="LY18" s="151"/>
      <c r="LZ18" s="151"/>
      <c r="MA18" s="151"/>
      <c r="MB18" s="151"/>
      <c r="MC18" s="151"/>
      <c r="MD18" s="151"/>
      <c r="ME18" s="151"/>
      <c r="MF18" s="151"/>
      <c r="MG18" s="151"/>
      <c r="MH18" s="151"/>
      <c r="MI18" s="151"/>
      <c r="MJ18" s="151"/>
      <c r="MK18" s="151"/>
      <c r="ML18" s="151"/>
      <c r="MM18" s="151"/>
      <c r="MN18" s="151"/>
      <c r="MO18" s="151"/>
      <c r="MP18" s="151"/>
      <c r="MQ18" s="151"/>
      <c r="MR18" s="151"/>
      <c r="MS18" s="151"/>
      <c r="MT18" s="151"/>
      <c r="MU18" s="151"/>
      <c r="MV18" s="151"/>
      <c r="MW18" s="151"/>
      <c r="MX18" s="151"/>
      <c r="MY18" s="151"/>
      <c r="MZ18" s="151"/>
      <c r="NA18" s="151"/>
      <c r="NB18" s="151"/>
      <c r="NC18" s="151"/>
      <c r="ND18" s="151"/>
      <c r="NE18" s="151"/>
      <c r="NF18" s="151"/>
      <c r="NG18" s="151"/>
      <c r="NH18" s="151"/>
      <c r="NI18" s="151"/>
      <c r="NJ18" s="151"/>
      <c r="NK18" s="151"/>
      <c r="NL18" s="151"/>
      <c r="NM18" s="151"/>
      <c r="NN18" s="151"/>
      <c r="NO18" s="151"/>
      <c r="NP18" s="151"/>
      <c r="NQ18" s="151"/>
      <c r="NR18" s="151"/>
      <c r="NS18" s="151"/>
      <c r="NT18" s="151"/>
      <c r="NU18" s="151"/>
      <c r="NV18" s="151"/>
      <c r="NW18" s="151"/>
      <c r="NX18" s="151"/>
      <c r="NY18" s="151"/>
      <c r="NZ18" s="151"/>
      <c r="OA18" s="151"/>
      <c r="OB18" s="151"/>
      <c r="OC18" s="151"/>
      <c r="OD18" s="151"/>
      <c r="OE18" s="151"/>
      <c r="OF18" s="151"/>
      <c r="OG18" s="151"/>
      <c r="OH18" s="151"/>
      <c r="OI18" s="151"/>
      <c r="OJ18" s="151"/>
      <c r="OK18" s="151"/>
      <c r="OL18" s="151"/>
      <c r="OM18" s="151"/>
      <c r="ON18" s="151"/>
      <c r="OO18" s="151"/>
      <c r="OP18" s="151"/>
      <c r="OQ18" s="151"/>
      <c r="OR18" s="151"/>
      <c r="OS18" s="151"/>
      <c r="OT18" s="151"/>
      <c r="OU18" s="151"/>
      <c r="OV18" s="151"/>
      <c r="OW18" s="151"/>
      <c r="OX18" s="151"/>
      <c r="OY18" s="151"/>
      <c r="OZ18" s="151"/>
      <c r="PA18" s="151"/>
      <c r="PB18" s="151"/>
      <c r="PC18" s="151"/>
      <c r="PD18" s="151"/>
      <c r="PE18" s="151"/>
      <c r="PF18" s="151"/>
      <c r="PG18" s="151"/>
      <c r="PH18" s="151"/>
      <c r="PI18" s="151"/>
      <c r="PJ18" s="151"/>
      <c r="PK18" s="151"/>
      <c r="PL18" s="151"/>
      <c r="PM18" s="151"/>
      <c r="PN18" s="151"/>
      <c r="PO18" s="151"/>
      <c r="PP18" s="151"/>
      <c r="PQ18" s="151"/>
      <c r="PR18" s="151"/>
      <c r="PS18" s="151"/>
      <c r="PT18" s="151"/>
      <c r="PU18" s="151"/>
      <c r="PV18" s="151"/>
      <c r="PW18" s="151"/>
      <c r="PX18" s="151"/>
      <c r="PY18" s="151"/>
      <c r="PZ18" s="151"/>
      <c r="QA18" s="151"/>
      <c r="QB18" s="151"/>
      <c r="QC18" s="151"/>
      <c r="QD18" s="151"/>
      <c r="QE18" s="151"/>
      <c r="QF18" s="151"/>
      <c r="QG18" s="151"/>
      <c r="QH18" s="151"/>
      <c r="QI18" s="151"/>
      <c r="QJ18" s="151"/>
      <c r="QK18" s="151"/>
      <c r="QL18" s="151"/>
      <c r="QM18" s="151"/>
      <c r="QN18" s="151"/>
      <c r="QO18" s="151"/>
      <c r="QP18" s="151"/>
      <c r="QQ18" s="151"/>
      <c r="QR18" s="151"/>
      <c r="QS18" s="151"/>
      <c r="QT18" s="151"/>
      <c r="QU18" s="151"/>
      <c r="QV18" s="151"/>
      <c r="QW18" s="151"/>
      <c r="QX18" s="151"/>
      <c r="QY18" s="151"/>
      <c r="QZ18" s="151"/>
      <c r="RA18" s="151"/>
      <c r="RB18" s="151"/>
      <c r="RC18" s="151"/>
      <c r="RD18" s="151"/>
      <c r="RE18" s="151"/>
      <c r="RF18" s="151"/>
      <c r="RG18" s="151"/>
      <c r="RH18" s="151"/>
      <c r="RI18" s="151"/>
      <c r="RJ18" s="151"/>
      <c r="RK18" s="151"/>
      <c r="RL18" s="151"/>
      <c r="RM18" s="151"/>
      <c r="RN18" s="151"/>
      <c r="RO18" s="151"/>
      <c r="RP18" s="151"/>
      <c r="RQ18" s="151"/>
      <c r="RR18" s="151"/>
      <c r="RS18" s="151"/>
      <c r="RT18" s="151"/>
      <c r="RU18" s="151"/>
      <c r="RV18" s="151"/>
      <c r="RW18" s="151"/>
      <c r="RX18" s="151"/>
      <c r="RY18" s="151"/>
      <c r="RZ18" s="151"/>
      <c r="SA18" s="151"/>
      <c r="SB18" s="151"/>
      <c r="SC18" s="151"/>
      <c r="SD18" s="151"/>
      <c r="SE18" s="151"/>
      <c r="SF18" s="151"/>
      <c r="SG18" s="151"/>
      <c r="SH18" s="151"/>
      <c r="SI18" s="151"/>
      <c r="SJ18" s="151"/>
      <c r="SK18" s="151"/>
      <c r="SL18" s="151"/>
      <c r="SM18" s="151"/>
      <c r="SN18" s="151"/>
      <c r="SO18" s="151"/>
      <c r="SP18" s="151"/>
      <c r="SQ18" s="151"/>
      <c r="SR18" s="151"/>
      <c r="SS18" s="151"/>
    </row>
    <row r="19" spans="1:513" s="149" customFormat="1" ht="14.5" outlineLevel="1" x14ac:dyDescent="0.35">
      <c r="B19" s="149" t="s">
        <v>865</v>
      </c>
      <c r="C19" s="143" t="s">
        <v>858</v>
      </c>
      <c r="D19" s="142"/>
      <c r="E19" s="142"/>
      <c r="F19" s="142"/>
      <c r="G19" s="142"/>
      <c r="H19" s="142"/>
      <c r="I19" s="142"/>
      <c r="J19" s="142"/>
      <c r="K19" s="142"/>
      <c r="L19" s="142">
        <v>460000</v>
      </c>
      <c r="M19" s="142">
        <v>81000</v>
      </c>
      <c r="N19" s="141">
        <v>429586</v>
      </c>
      <c r="O19" s="141">
        <v>131200</v>
      </c>
      <c r="P19" s="141">
        <v>500000</v>
      </c>
      <c r="Q19" s="141">
        <v>500000</v>
      </c>
      <c r="R19" s="141">
        <v>0</v>
      </c>
      <c r="S19" s="141">
        <v>0</v>
      </c>
      <c r="T19" s="141">
        <v>0</v>
      </c>
      <c r="U19" s="142">
        <v>0</v>
      </c>
      <c r="V19" s="142">
        <v>0</v>
      </c>
      <c r="W19" s="142">
        <v>0</v>
      </c>
      <c r="X19" s="142">
        <v>0</v>
      </c>
      <c r="Y19" s="142">
        <v>0</v>
      </c>
      <c r="Z19" s="142">
        <v>0</v>
      </c>
      <c r="AA19" s="142">
        <v>0</v>
      </c>
      <c r="AB19" s="172">
        <v>0</v>
      </c>
      <c r="AC19" s="142">
        <v>0</v>
      </c>
      <c r="AD19" s="142">
        <v>0</v>
      </c>
      <c r="AE19" s="172">
        <v>270000</v>
      </c>
      <c r="AF19" s="172">
        <v>360000</v>
      </c>
      <c r="AG19" s="172">
        <v>550000</v>
      </c>
      <c r="AH19" s="172">
        <v>300000</v>
      </c>
      <c r="AI19" s="172">
        <v>100000</v>
      </c>
      <c r="AJ19" s="142">
        <v>0</v>
      </c>
      <c r="AK19" s="142">
        <v>0</v>
      </c>
      <c r="AL19" s="142">
        <v>0</v>
      </c>
      <c r="AM19" s="142">
        <v>0</v>
      </c>
      <c r="AN19" s="172">
        <v>15000000</v>
      </c>
      <c r="AO19" s="141">
        <v>0</v>
      </c>
      <c r="AP19" s="141">
        <v>0</v>
      </c>
      <c r="AQ19" s="141">
        <v>0</v>
      </c>
      <c r="AR19" s="141">
        <v>0</v>
      </c>
      <c r="AS19" s="141">
        <v>0</v>
      </c>
      <c r="AT19" s="141">
        <v>0</v>
      </c>
      <c r="AU19" s="141">
        <v>0</v>
      </c>
      <c r="AV19" s="141">
        <v>0</v>
      </c>
      <c r="AW19" s="141">
        <v>4400000</v>
      </c>
      <c r="AX19" s="141">
        <v>0</v>
      </c>
      <c r="AY19" s="141">
        <v>114240.07999999999</v>
      </c>
      <c r="AZ19" s="141">
        <v>120535.9</v>
      </c>
      <c r="BA19" s="141">
        <v>0</v>
      </c>
      <c r="BB19" s="141">
        <v>0</v>
      </c>
      <c r="BC19" s="141">
        <v>0</v>
      </c>
      <c r="BD19" s="141">
        <v>0</v>
      </c>
      <c r="BE19" s="141">
        <v>0</v>
      </c>
      <c r="BF19" s="141">
        <v>0</v>
      </c>
      <c r="BG19" s="141">
        <v>0</v>
      </c>
      <c r="BH19" s="141">
        <v>0</v>
      </c>
      <c r="BI19" s="141">
        <v>0</v>
      </c>
      <c r="BJ19" s="141">
        <v>0</v>
      </c>
      <c r="BK19" s="141">
        <v>0</v>
      </c>
      <c r="BL19" s="141">
        <v>0</v>
      </c>
      <c r="BM19" s="141">
        <v>0</v>
      </c>
      <c r="BN19" s="141">
        <v>0</v>
      </c>
      <c r="BO19" s="141">
        <v>0</v>
      </c>
      <c r="BP19" s="141">
        <v>0</v>
      </c>
      <c r="BQ19" s="141">
        <v>0</v>
      </c>
      <c r="BR19" s="141">
        <v>0</v>
      </c>
      <c r="BS19" s="141">
        <v>0</v>
      </c>
      <c r="BT19" s="141">
        <v>0</v>
      </c>
      <c r="BU19" s="172">
        <v>266266</v>
      </c>
      <c r="BV19" s="141">
        <v>0</v>
      </c>
      <c r="BW19" s="142">
        <v>0</v>
      </c>
      <c r="BX19" s="141">
        <v>0</v>
      </c>
      <c r="BY19" s="141">
        <v>0</v>
      </c>
      <c r="BZ19" s="141">
        <v>0</v>
      </c>
      <c r="CA19" s="141">
        <v>0</v>
      </c>
      <c r="CB19" s="141">
        <v>0</v>
      </c>
      <c r="CC19" s="142">
        <v>0</v>
      </c>
      <c r="CD19" s="142">
        <v>0</v>
      </c>
      <c r="CF19" s="141">
        <v>2500000</v>
      </c>
      <c r="CG19" s="141">
        <v>0</v>
      </c>
      <c r="CH19" s="141">
        <v>0</v>
      </c>
      <c r="CI19" s="141">
        <v>0</v>
      </c>
      <c r="CJ19" s="141">
        <v>2050000</v>
      </c>
      <c r="CK19" s="141">
        <v>30000</v>
      </c>
      <c r="CL19" s="141">
        <v>0</v>
      </c>
      <c r="CM19" s="141">
        <v>0</v>
      </c>
      <c r="CN19" s="141">
        <v>0</v>
      </c>
      <c r="CO19" s="141">
        <v>0</v>
      </c>
      <c r="CP19" s="141">
        <v>0</v>
      </c>
      <c r="CQ19" s="141">
        <v>1690000</v>
      </c>
      <c r="CR19" s="141">
        <v>0</v>
      </c>
      <c r="CS19" s="141">
        <v>0</v>
      </c>
      <c r="CT19" s="141">
        <v>0</v>
      </c>
      <c r="CU19" s="141">
        <v>0</v>
      </c>
      <c r="CV19" s="141">
        <v>0</v>
      </c>
      <c r="CW19" s="141">
        <v>80800</v>
      </c>
      <c r="CX19" s="141">
        <f>2700000+80800</f>
        <v>2780800</v>
      </c>
      <c r="CY19" s="141">
        <v>0</v>
      </c>
      <c r="CZ19" s="141">
        <v>0</v>
      </c>
      <c r="DA19" s="141">
        <v>0</v>
      </c>
      <c r="DB19" s="141">
        <v>1220000</v>
      </c>
      <c r="DC19" s="135"/>
      <c r="DD19" s="135"/>
      <c r="DE19" s="135"/>
      <c r="DF19" s="135"/>
      <c r="DG19" s="135"/>
      <c r="DH19" s="135"/>
      <c r="DI19" s="135"/>
      <c r="DJ19" s="135"/>
      <c r="DK19" s="135"/>
      <c r="DL19" s="135"/>
      <c r="DM19" s="135"/>
      <c r="DN19" s="135"/>
      <c r="DO19" s="151"/>
      <c r="DP19" s="151"/>
      <c r="DQ19" s="151"/>
      <c r="DR19" s="151"/>
      <c r="DS19" s="151"/>
      <c r="DT19" s="151"/>
      <c r="DU19" s="151"/>
      <c r="DV19" s="151"/>
      <c r="DW19" s="151"/>
      <c r="DX19" s="151"/>
      <c r="DY19" s="151"/>
      <c r="DZ19" s="151"/>
      <c r="EA19" s="151"/>
      <c r="EB19" s="151"/>
      <c r="EC19" s="151"/>
      <c r="ED19" s="151"/>
      <c r="EE19" s="151"/>
      <c r="EF19" s="151"/>
      <c r="EG19" s="151"/>
      <c r="EH19" s="151"/>
      <c r="EI19" s="151"/>
      <c r="EJ19" s="151"/>
      <c r="EK19" s="151"/>
      <c r="EL19" s="151"/>
      <c r="EM19" s="151"/>
      <c r="EN19" s="151"/>
      <c r="EO19" s="151"/>
      <c r="EP19" s="151"/>
      <c r="EQ19" s="151"/>
      <c r="ER19" s="151"/>
      <c r="ES19" s="151"/>
      <c r="ET19" s="151"/>
      <c r="EU19" s="151"/>
      <c r="EV19" s="151"/>
      <c r="EW19" s="151"/>
      <c r="EX19" s="151"/>
      <c r="EY19" s="151"/>
      <c r="EZ19" s="151"/>
      <c r="FA19" s="151"/>
      <c r="FB19" s="151"/>
      <c r="FC19" s="151"/>
      <c r="FD19" s="151"/>
      <c r="FE19" s="151"/>
      <c r="FF19" s="151"/>
      <c r="FG19" s="151"/>
      <c r="FH19" s="151"/>
      <c r="FI19" s="151"/>
      <c r="FJ19" s="151"/>
      <c r="FK19" s="151"/>
      <c r="FL19" s="151"/>
      <c r="FM19" s="151"/>
      <c r="FN19" s="151"/>
      <c r="FO19" s="151"/>
      <c r="FP19" s="151"/>
      <c r="FQ19" s="151"/>
      <c r="FR19" s="151"/>
      <c r="FS19" s="151"/>
      <c r="FT19" s="151"/>
      <c r="FU19" s="151"/>
      <c r="FV19" s="151"/>
      <c r="FW19" s="151"/>
      <c r="FX19" s="151"/>
      <c r="FY19" s="151"/>
      <c r="FZ19" s="151"/>
      <c r="GA19" s="151"/>
      <c r="GB19" s="151"/>
      <c r="GC19" s="151"/>
      <c r="GD19" s="151"/>
      <c r="GE19" s="151"/>
      <c r="GF19" s="151"/>
      <c r="GG19" s="151"/>
      <c r="GH19" s="151"/>
      <c r="GI19" s="151"/>
      <c r="GJ19" s="151"/>
      <c r="GK19" s="151"/>
      <c r="GL19" s="151"/>
      <c r="GM19" s="151"/>
      <c r="GN19" s="151"/>
      <c r="GO19" s="151"/>
      <c r="GP19" s="151"/>
      <c r="GQ19" s="151"/>
      <c r="GR19" s="151"/>
      <c r="GS19" s="151"/>
      <c r="GT19" s="151"/>
      <c r="GU19" s="151"/>
      <c r="GV19" s="151"/>
      <c r="GW19" s="151"/>
      <c r="GX19" s="151"/>
      <c r="GY19" s="151"/>
      <c r="GZ19" s="151"/>
      <c r="HA19" s="151"/>
      <c r="HB19" s="151"/>
      <c r="HC19" s="151"/>
      <c r="HD19" s="151"/>
      <c r="HE19" s="151"/>
      <c r="HF19" s="151"/>
      <c r="HG19" s="151"/>
      <c r="HH19" s="151"/>
      <c r="HI19" s="151"/>
      <c r="HJ19" s="151"/>
      <c r="HK19" s="151"/>
      <c r="HL19" s="151"/>
      <c r="HM19" s="151"/>
      <c r="HN19" s="151"/>
      <c r="HO19" s="151"/>
      <c r="HP19" s="151"/>
      <c r="HQ19" s="151"/>
      <c r="HR19" s="151"/>
      <c r="HS19" s="151"/>
      <c r="HT19" s="151"/>
      <c r="HU19" s="151"/>
      <c r="HV19" s="151"/>
      <c r="HW19" s="151"/>
      <c r="HX19" s="151"/>
      <c r="HY19" s="151"/>
      <c r="HZ19" s="151"/>
      <c r="IA19" s="151"/>
      <c r="IB19" s="151"/>
      <c r="IC19" s="151"/>
      <c r="ID19" s="151"/>
      <c r="IE19" s="151"/>
      <c r="IF19" s="151"/>
      <c r="IG19" s="151"/>
      <c r="IH19" s="151"/>
      <c r="II19" s="151"/>
      <c r="IJ19" s="151"/>
      <c r="IK19" s="151"/>
      <c r="IL19" s="151"/>
      <c r="IM19" s="151"/>
      <c r="IN19" s="151"/>
      <c r="IO19" s="151"/>
      <c r="IP19" s="151"/>
      <c r="IQ19" s="151"/>
      <c r="IR19" s="151"/>
      <c r="IS19" s="151"/>
      <c r="IT19" s="151"/>
      <c r="IU19" s="151"/>
      <c r="IV19" s="151"/>
      <c r="IW19" s="151"/>
      <c r="IX19" s="151"/>
      <c r="IY19" s="151"/>
      <c r="IZ19" s="151"/>
      <c r="JA19" s="151"/>
      <c r="JB19" s="151"/>
      <c r="JC19" s="151"/>
      <c r="JD19" s="151"/>
      <c r="JE19" s="151"/>
      <c r="JF19" s="151"/>
      <c r="JG19" s="151"/>
      <c r="JH19" s="151"/>
      <c r="JI19" s="151"/>
      <c r="JJ19" s="151"/>
      <c r="JK19" s="151"/>
      <c r="JL19" s="151"/>
      <c r="JM19" s="151"/>
      <c r="JN19" s="151"/>
      <c r="JO19" s="151"/>
      <c r="JP19" s="151"/>
      <c r="JQ19" s="151"/>
      <c r="JR19" s="151"/>
      <c r="JS19" s="151"/>
      <c r="JT19" s="151"/>
      <c r="JU19" s="151"/>
      <c r="JV19" s="151"/>
      <c r="JW19" s="151"/>
      <c r="JX19" s="151"/>
      <c r="JY19" s="151"/>
      <c r="JZ19" s="151"/>
      <c r="KA19" s="151"/>
      <c r="KB19" s="151"/>
      <c r="KC19" s="151"/>
      <c r="KD19" s="151"/>
      <c r="KE19" s="151"/>
      <c r="KF19" s="151"/>
      <c r="KG19" s="151"/>
      <c r="KH19" s="151"/>
      <c r="KI19" s="151"/>
      <c r="KJ19" s="151"/>
      <c r="KK19" s="151"/>
      <c r="KL19" s="151"/>
      <c r="KM19" s="151"/>
      <c r="KN19" s="151"/>
      <c r="KO19" s="151"/>
      <c r="KP19" s="151"/>
      <c r="KQ19" s="151"/>
      <c r="KR19" s="151"/>
      <c r="KS19" s="151"/>
      <c r="KT19" s="151"/>
      <c r="KU19" s="151"/>
      <c r="KV19" s="151"/>
      <c r="KW19" s="151"/>
      <c r="KX19" s="151"/>
      <c r="KY19" s="151"/>
      <c r="KZ19" s="151"/>
      <c r="LA19" s="151"/>
      <c r="LB19" s="151"/>
      <c r="LC19" s="151"/>
      <c r="LD19" s="151"/>
      <c r="LE19" s="151"/>
      <c r="LF19" s="151"/>
      <c r="LG19" s="151"/>
      <c r="LH19" s="151"/>
      <c r="LI19" s="151"/>
      <c r="LJ19" s="151"/>
      <c r="LK19" s="151"/>
      <c r="LL19" s="151"/>
      <c r="LM19" s="151"/>
      <c r="LN19" s="151"/>
      <c r="LO19" s="151"/>
      <c r="LP19" s="151"/>
      <c r="LQ19" s="151"/>
      <c r="LR19" s="151"/>
      <c r="LS19" s="151"/>
      <c r="LT19" s="151"/>
      <c r="LU19" s="151"/>
      <c r="LV19" s="151"/>
      <c r="LW19" s="151"/>
      <c r="LX19" s="151"/>
      <c r="LY19" s="151"/>
      <c r="LZ19" s="151"/>
      <c r="MA19" s="151"/>
      <c r="MB19" s="151"/>
      <c r="MC19" s="151"/>
      <c r="MD19" s="151"/>
      <c r="ME19" s="151"/>
      <c r="MF19" s="151"/>
      <c r="MG19" s="151"/>
      <c r="MH19" s="151"/>
      <c r="MI19" s="151"/>
      <c r="MJ19" s="151"/>
      <c r="MK19" s="151"/>
      <c r="ML19" s="151"/>
      <c r="MM19" s="151"/>
      <c r="MN19" s="151"/>
      <c r="MO19" s="151"/>
      <c r="MP19" s="151"/>
      <c r="MQ19" s="151"/>
      <c r="MR19" s="151"/>
      <c r="MS19" s="151"/>
      <c r="MT19" s="151"/>
      <c r="MU19" s="151"/>
      <c r="MV19" s="151"/>
      <c r="MW19" s="151"/>
      <c r="MX19" s="151"/>
      <c r="MY19" s="151"/>
      <c r="MZ19" s="151"/>
      <c r="NA19" s="151"/>
      <c r="NB19" s="151"/>
      <c r="NC19" s="151"/>
      <c r="ND19" s="151"/>
      <c r="NE19" s="151"/>
      <c r="NF19" s="151"/>
      <c r="NG19" s="151"/>
      <c r="NH19" s="151"/>
      <c r="NI19" s="151"/>
      <c r="NJ19" s="151"/>
      <c r="NK19" s="151"/>
      <c r="NL19" s="151"/>
      <c r="NM19" s="151"/>
      <c r="NN19" s="151"/>
      <c r="NO19" s="151"/>
      <c r="NP19" s="151"/>
      <c r="NQ19" s="151"/>
      <c r="NR19" s="151"/>
      <c r="NS19" s="151"/>
      <c r="NT19" s="151"/>
      <c r="NU19" s="151"/>
      <c r="NV19" s="151"/>
      <c r="NW19" s="151"/>
      <c r="NX19" s="151"/>
      <c r="NY19" s="151"/>
      <c r="NZ19" s="151"/>
      <c r="OA19" s="151"/>
      <c r="OB19" s="151"/>
      <c r="OC19" s="151"/>
      <c r="OD19" s="151"/>
      <c r="OE19" s="151"/>
      <c r="OF19" s="151"/>
      <c r="OG19" s="151"/>
      <c r="OH19" s="151"/>
      <c r="OI19" s="151"/>
      <c r="OJ19" s="151"/>
      <c r="OK19" s="151"/>
      <c r="OL19" s="151"/>
      <c r="OM19" s="151"/>
      <c r="ON19" s="151"/>
      <c r="OO19" s="151"/>
      <c r="OP19" s="151"/>
      <c r="OQ19" s="151"/>
      <c r="OR19" s="151"/>
      <c r="OS19" s="151"/>
      <c r="OT19" s="151"/>
      <c r="OU19" s="151"/>
      <c r="OV19" s="151"/>
      <c r="OW19" s="151"/>
      <c r="OX19" s="151"/>
      <c r="OY19" s="151"/>
      <c r="OZ19" s="151"/>
      <c r="PA19" s="151"/>
      <c r="PB19" s="151"/>
      <c r="PC19" s="151"/>
      <c r="PD19" s="151"/>
      <c r="PE19" s="151"/>
      <c r="PF19" s="151"/>
      <c r="PG19" s="151"/>
      <c r="PH19" s="151"/>
      <c r="PI19" s="151"/>
      <c r="PJ19" s="151"/>
      <c r="PK19" s="151"/>
      <c r="PL19" s="151"/>
      <c r="PM19" s="151"/>
      <c r="PN19" s="151"/>
      <c r="PO19" s="151"/>
      <c r="PP19" s="151"/>
      <c r="PQ19" s="151"/>
      <c r="PR19" s="151"/>
      <c r="PS19" s="151"/>
      <c r="PT19" s="151"/>
      <c r="PU19" s="151"/>
      <c r="PV19" s="151"/>
      <c r="PW19" s="151"/>
      <c r="PX19" s="151"/>
      <c r="PY19" s="151"/>
      <c r="PZ19" s="151"/>
      <c r="QA19" s="151"/>
      <c r="QB19" s="151"/>
      <c r="QC19" s="151"/>
      <c r="QD19" s="151"/>
      <c r="QE19" s="151"/>
      <c r="QF19" s="151"/>
      <c r="QG19" s="151"/>
      <c r="QH19" s="151"/>
      <c r="QI19" s="151"/>
      <c r="QJ19" s="151"/>
      <c r="QK19" s="151"/>
      <c r="QL19" s="151"/>
      <c r="QM19" s="151"/>
      <c r="QN19" s="151"/>
      <c r="QO19" s="151"/>
      <c r="QP19" s="151"/>
      <c r="QQ19" s="151"/>
      <c r="QR19" s="151"/>
      <c r="QS19" s="151"/>
      <c r="QT19" s="151"/>
      <c r="QU19" s="151"/>
      <c r="QV19" s="151"/>
      <c r="QW19" s="151"/>
      <c r="QX19" s="151"/>
      <c r="QY19" s="151"/>
      <c r="QZ19" s="151"/>
      <c r="RA19" s="151"/>
      <c r="RB19" s="151"/>
      <c r="RC19" s="151"/>
      <c r="RD19" s="151"/>
      <c r="RE19" s="151"/>
      <c r="RF19" s="151"/>
      <c r="RG19" s="151"/>
      <c r="RH19" s="151"/>
      <c r="RI19" s="151"/>
      <c r="RJ19" s="151"/>
      <c r="RK19" s="151"/>
      <c r="RL19" s="151"/>
      <c r="RM19" s="151"/>
      <c r="RN19" s="151"/>
      <c r="RO19" s="151"/>
      <c r="RP19" s="151"/>
      <c r="RQ19" s="151"/>
      <c r="RR19" s="151"/>
      <c r="RS19" s="151"/>
      <c r="RT19" s="151"/>
      <c r="RU19" s="151"/>
      <c r="RV19" s="151"/>
      <c r="RW19" s="151"/>
      <c r="RX19" s="151"/>
      <c r="RY19" s="151"/>
      <c r="RZ19" s="151"/>
      <c r="SA19" s="151"/>
      <c r="SB19" s="151"/>
      <c r="SC19" s="151"/>
      <c r="SD19" s="151"/>
      <c r="SE19" s="151"/>
      <c r="SF19" s="151"/>
      <c r="SG19" s="151"/>
      <c r="SH19" s="151"/>
      <c r="SI19" s="151"/>
      <c r="SJ19" s="151"/>
      <c r="SK19" s="151"/>
      <c r="SL19" s="151"/>
      <c r="SM19" s="151"/>
      <c r="SN19" s="151"/>
      <c r="SO19" s="151"/>
      <c r="SP19" s="151"/>
      <c r="SQ19" s="151"/>
      <c r="SR19" s="151"/>
      <c r="SS19" s="151"/>
    </row>
    <row r="20" spans="1:513" s="149" customFormat="1" ht="14.5" outlineLevel="1" x14ac:dyDescent="0.35">
      <c r="B20" s="152" t="s">
        <v>866</v>
      </c>
      <c r="C20" s="143" t="s">
        <v>858</v>
      </c>
      <c r="D20" s="142"/>
      <c r="E20" s="142">
        <v>250000</v>
      </c>
      <c r="F20" s="142">
        <v>0</v>
      </c>
      <c r="G20" s="142">
        <v>0</v>
      </c>
      <c r="H20" s="142">
        <v>0</v>
      </c>
      <c r="I20" s="142">
        <v>0</v>
      </c>
      <c r="J20" s="142">
        <v>550000</v>
      </c>
      <c r="K20" s="142"/>
      <c r="L20" s="142"/>
      <c r="M20" s="142"/>
      <c r="N20" s="141"/>
      <c r="O20" s="141"/>
      <c r="P20" s="141"/>
      <c r="Q20" s="141">
        <v>0</v>
      </c>
      <c r="R20" s="141">
        <v>0</v>
      </c>
      <c r="S20" s="141">
        <v>0</v>
      </c>
      <c r="T20" s="141">
        <v>0</v>
      </c>
      <c r="U20" s="142">
        <v>0</v>
      </c>
      <c r="V20" s="142">
        <v>0</v>
      </c>
      <c r="W20" s="142"/>
      <c r="X20" s="142">
        <v>0</v>
      </c>
      <c r="Y20" s="142">
        <v>0</v>
      </c>
      <c r="Z20" s="142">
        <v>0</v>
      </c>
      <c r="AA20" s="142">
        <v>0</v>
      </c>
      <c r="AB20" s="172">
        <v>0</v>
      </c>
      <c r="AC20" s="142">
        <v>0</v>
      </c>
      <c r="AD20" s="142">
        <v>0</v>
      </c>
      <c r="AE20" s="172">
        <v>0</v>
      </c>
      <c r="AF20" s="172">
        <v>0</v>
      </c>
      <c r="AG20" s="172">
        <v>0</v>
      </c>
      <c r="AH20" s="172">
        <v>0</v>
      </c>
      <c r="AI20" s="172">
        <v>0</v>
      </c>
      <c r="AJ20" s="142">
        <v>0</v>
      </c>
      <c r="AK20" s="142">
        <v>0</v>
      </c>
      <c r="AL20" s="142">
        <v>0</v>
      </c>
      <c r="AM20" s="142">
        <v>0</v>
      </c>
      <c r="AN20" s="172">
        <v>0</v>
      </c>
      <c r="AO20" s="141">
        <v>0</v>
      </c>
      <c r="AP20" s="141">
        <v>0</v>
      </c>
      <c r="AQ20" s="141">
        <v>0</v>
      </c>
      <c r="AR20" s="141">
        <v>0</v>
      </c>
      <c r="AS20" s="141">
        <v>0</v>
      </c>
      <c r="AT20" s="141">
        <v>0</v>
      </c>
      <c r="AU20" s="141">
        <v>0</v>
      </c>
      <c r="AV20" s="141">
        <v>0</v>
      </c>
      <c r="AW20" s="141">
        <v>0</v>
      </c>
      <c r="AX20" s="141">
        <v>0</v>
      </c>
      <c r="AY20" s="141">
        <v>0</v>
      </c>
      <c r="AZ20" s="141">
        <v>0</v>
      </c>
      <c r="BA20" s="141">
        <v>0</v>
      </c>
      <c r="BB20" s="141">
        <v>0</v>
      </c>
      <c r="BC20" s="141">
        <v>0</v>
      </c>
      <c r="BD20" s="141">
        <v>0</v>
      </c>
      <c r="BE20" s="141">
        <v>0</v>
      </c>
      <c r="BF20" s="141"/>
      <c r="BG20" s="141">
        <v>0</v>
      </c>
      <c r="BH20" s="141">
        <v>0</v>
      </c>
      <c r="BI20" s="141">
        <v>0</v>
      </c>
      <c r="BJ20" s="141">
        <v>0</v>
      </c>
      <c r="BK20" s="141">
        <v>0</v>
      </c>
      <c r="BL20" s="141">
        <v>0</v>
      </c>
      <c r="BM20" s="141">
        <v>0</v>
      </c>
      <c r="BN20" s="141">
        <v>0</v>
      </c>
      <c r="BO20" s="141">
        <v>0</v>
      </c>
      <c r="BP20" s="141">
        <v>0</v>
      </c>
      <c r="BQ20" s="141">
        <v>0</v>
      </c>
      <c r="BR20" s="141">
        <v>0</v>
      </c>
      <c r="BS20" s="141">
        <v>0</v>
      </c>
      <c r="BT20" s="141">
        <v>0</v>
      </c>
      <c r="BU20" s="141">
        <v>0</v>
      </c>
      <c r="BV20" s="141">
        <v>0</v>
      </c>
      <c r="BW20" s="142">
        <v>0</v>
      </c>
      <c r="BX20" s="141">
        <v>0</v>
      </c>
      <c r="BY20" s="141">
        <v>0</v>
      </c>
      <c r="BZ20" s="141">
        <v>0</v>
      </c>
      <c r="CA20" s="141">
        <v>0</v>
      </c>
      <c r="CB20" s="141">
        <v>0</v>
      </c>
      <c r="CC20" s="142">
        <v>0</v>
      </c>
      <c r="CD20" s="142">
        <v>0</v>
      </c>
      <c r="CE20" s="141">
        <v>0</v>
      </c>
      <c r="CF20" s="141">
        <v>0</v>
      </c>
      <c r="CG20" s="141">
        <v>0</v>
      </c>
      <c r="CH20" s="141">
        <v>0</v>
      </c>
      <c r="CI20" s="141">
        <v>0</v>
      </c>
      <c r="CJ20" s="141">
        <v>0</v>
      </c>
      <c r="CK20" s="141">
        <v>0</v>
      </c>
      <c r="CL20" s="141">
        <v>0</v>
      </c>
      <c r="CM20" s="141">
        <v>0</v>
      </c>
      <c r="CN20" s="141">
        <v>0</v>
      </c>
      <c r="CO20" s="141">
        <v>0</v>
      </c>
      <c r="CP20" s="141">
        <v>0</v>
      </c>
      <c r="CQ20" s="141">
        <v>0</v>
      </c>
      <c r="CR20" s="141">
        <v>0</v>
      </c>
      <c r="CS20" s="141">
        <v>0</v>
      </c>
      <c r="CT20" s="141">
        <v>0</v>
      </c>
      <c r="CU20" s="141">
        <v>0</v>
      </c>
      <c r="CV20" s="141">
        <v>0</v>
      </c>
      <c r="CW20" s="141">
        <v>0</v>
      </c>
      <c r="CX20" s="141">
        <v>0</v>
      </c>
      <c r="CY20" s="141">
        <v>0</v>
      </c>
      <c r="CZ20" s="141">
        <v>0</v>
      </c>
      <c r="DA20" s="141">
        <v>0</v>
      </c>
      <c r="DB20" s="141">
        <v>0</v>
      </c>
      <c r="DC20" s="135"/>
      <c r="DD20" s="135"/>
      <c r="DE20" s="135"/>
      <c r="DF20" s="135"/>
      <c r="DG20" s="135"/>
      <c r="DH20" s="135"/>
      <c r="DI20" s="135"/>
      <c r="DJ20" s="135"/>
      <c r="DK20" s="135"/>
      <c r="DL20" s="135"/>
      <c r="DM20" s="135"/>
      <c r="DN20" s="135"/>
      <c r="DO20" s="151"/>
      <c r="DP20" s="151"/>
      <c r="DQ20" s="151"/>
      <c r="DR20" s="151"/>
      <c r="DS20" s="151"/>
      <c r="DT20" s="151"/>
      <c r="DU20" s="151"/>
      <c r="DV20" s="151"/>
      <c r="DW20" s="151"/>
      <c r="DX20" s="151"/>
      <c r="DY20" s="151"/>
      <c r="DZ20" s="151"/>
      <c r="EA20" s="151"/>
      <c r="EB20" s="151"/>
      <c r="EC20" s="151"/>
      <c r="ED20" s="151"/>
      <c r="EE20" s="151"/>
      <c r="EF20" s="151"/>
      <c r="EG20" s="151"/>
      <c r="EH20" s="151"/>
      <c r="EI20" s="151"/>
      <c r="EJ20" s="151"/>
      <c r="EK20" s="151"/>
      <c r="EL20" s="151"/>
      <c r="EM20" s="151"/>
      <c r="EN20" s="151"/>
      <c r="EO20" s="151"/>
      <c r="EP20" s="151"/>
      <c r="EQ20" s="151"/>
      <c r="ER20" s="151"/>
      <c r="ES20" s="151"/>
      <c r="ET20" s="151"/>
      <c r="EU20" s="151"/>
      <c r="EV20" s="151"/>
      <c r="EW20" s="151"/>
      <c r="EX20" s="151"/>
      <c r="EY20" s="151"/>
      <c r="EZ20" s="151"/>
      <c r="FA20" s="151"/>
      <c r="FB20" s="151"/>
      <c r="FC20" s="151"/>
      <c r="FD20" s="151"/>
      <c r="FE20" s="151"/>
      <c r="FF20" s="151"/>
      <c r="FG20" s="151"/>
      <c r="FH20" s="151"/>
      <c r="FI20" s="151"/>
      <c r="FJ20" s="151"/>
      <c r="FK20" s="151"/>
      <c r="FL20" s="151"/>
      <c r="FM20" s="151"/>
      <c r="FN20" s="151"/>
      <c r="FO20" s="151"/>
      <c r="FP20" s="151"/>
      <c r="FQ20" s="151"/>
      <c r="FR20" s="151"/>
      <c r="FS20" s="151"/>
      <c r="FT20" s="151"/>
      <c r="FU20" s="151"/>
      <c r="FV20" s="151"/>
      <c r="FW20" s="151"/>
      <c r="FX20" s="151"/>
      <c r="FY20" s="151"/>
      <c r="FZ20" s="151"/>
      <c r="GA20" s="151"/>
      <c r="GB20" s="151"/>
      <c r="GC20" s="151"/>
      <c r="GD20" s="151"/>
      <c r="GE20" s="151"/>
      <c r="GF20" s="151"/>
      <c r="GG20" s="151"/>
      <c r="GH20" s="151"/>
      <c r="GI20" s="151"/>
      <c r="GJ20" s="151"/>
      <c r="GK20" s="151"/>
      <c r="GL20" s="151"/>
      <c r="GM20" s="151"/>
      <c r="GN20" s="151"/>
      <c r="GO20" s="151"/>
      <c r="GP20" s="151"/>
      <c r="GQ20" s="151"/>
      <c r="GR20" s="151"/>
      <c r="GS20" s="151"/>
      <c r="GT20" s="151"/>
      <c r="GU20" s="151"/>
      <c r="GV20" s="151"/>
      <c r="GW20" s="151"/>
      <c r="GX20" s="151"/>
      <c r="GY20" s="151"/>
      <c r="GZ20" s="151"/>
      <c r="HA20" s="151"/>
      <c r="HB20" s="151"/>
      <c r="HC20" s="151"/>
      <c r="HD20" s="151"/>
      <c r="HE20" s="151"/>
      <c r="HF20" s="151"/>
      <c r="HG20" s="151"/>
      <c r="HH20" s="151"/>
      <c r="HI20" s="151"/>
      <c r="HJ20" s="151"/>
      <c r="HK20" s="151"/>
      <c r="HL20" s="151"/>
      <c r="HM20" s="151"/>
      <c r="HN20" s="151"/>
      <c r="HO20" s="151"/>
      <c r="HP20" s="151"/>
      <c r="HQ20" s="151"/>
      <c r="HR20" s="151"/>
      <c r="HS20" s="151"/>
      <c r="HT20" s="151"/>
      <c r="HU20" s="151"/>
      <c r="HV20" s="151"/>
      <c r="HW20" s="151"/>
      <c r="HX20" s="151"/>
      <c r="HY20" s="151"/>
      <c r="HZ20" s="151"/>
      <c r="IA20" s="151"/>
      <c r="IB20" s="151"/>
      <c r="IC20" s="151"/>
      <c r="ID20" s="151"/>
      <c r="IE20" s="151"/>
      <c r="IF20" s="151"/>
      <c r="IG20" s="151"/>
      <c r="IH20" s="151"/>
      <c r="II20" s="151"/>
      <c r="IJ20" s="151"/>
      <c r="IK20" s="151"/>
      <c r="IL20" s="151"/>
      <c r="IM20" s="151"/>
      <c r="IN20" s="151"/>
      <c r="IO20" s="151"/>
      <c r="IP20" s="151"/>
      <c r="IQ20" s="151"/>
      <c r="IR20" s="151"/>
      <c r="IS20" s="151"/>
      <c r="IT20" s="151"/>
      <c r="IU20" s="151"/>
      <c r="IV20" s="151"/>
      <c r="IW20" s="151"/>
      <c r="IX20" s="151"/>
      <c r="IY20" s="151"/>
      <c r="IZ20" s="151"/>
      <c r="JA20" s="151"/>
      <c r="JB20" s="151"/>
      <c r="JC20" s="151"/>
      <c r="JD20" s="151"/>
      <c r="JE20" s="151"/>
      <c r="JF20" s="151"/>
      <c r="JG20" s="151"/>
      <c r="JH20" s="151"/>
      <c r="JI20" s="151"/>
      <c r="JJ20" s="151"/>
      <c r="JK20" s="151"/>
      <c r="JL20" s="151"/>
      <c r="JM20" s="151"/>
      <c r="JN20" s="151"/>
      <c r="JO20" s="151"/>
      <c r="JP20" s="151"/>
      <c r="JQ20" s="151"/>
      <c r="JR20" s="151"/>
      <c r="JS20" s="151"/>
      <c r="JT20" s="151"/>
      <c r="JU20" s="151"/>
      <c r="JV20" s="151"/>
      <c r="JW20" s="151"/>
      <c r="JX20" s="151"/>
      <c r="JY20" s="151"/>
      <c r="JZ20" s="151"/>
      <c r="KA20" s="151"/>
      <c r="KB20" s="151"/>
      <c r="KC20" s="151"/>
      <c r="KD20" s="151"/>
      <c r="KE20" s="151"/>
      <c r="KF20" s="151"/>
      <c r="KG20" s="151"/>
      <c r="KH20" s="151"/>
      <c r="KI20" s="151"/>
      <c r="KJ20" s="151"/>
      <c r="KK20" s="151"/>
      <c r="KL20" s="151"/>
      <c r="KM20" s="151"/>
      <c r="KN20" s="151"/>
      <c r="KO20" s="151"/>
      <c r="KP20" s="151"/>
      <c r="KQ20" s="151"/>
      <c r="KR20" s="151"/>
      <c r="KS20" s="151"/>
      <c r="KT20" s="151"/>
      <c r="KU20" s="151"/>
      <c r="KV20" s="151"/>
      <c r="KW20" s="151"/>
      <c r="KX20" s="151"/>
      <c r="KY20" s="151"/>
      <c r="KZ20" s="151"/>
      <c r="LA20" s="151"/>
      <c r="LB20" s="151"/>
      <c r="LC20" s="151"/>
      <c r="LD20" s="151"/>
      <c r="LE20" s="151"/>
      <c r="LF20" s="151"/>
      <c r="LG20" s="151"/>
      <c r="LH20" s="151"/>
      <c r="LI20" s="151"/>
      <c r="LJ20" s="151"/>
      <c r="LK20" s="151"/>
      <c r="LL20" s="151"/>
      <c r="LM20" s="151"/>
      <c r="LN20" s="151"/>
      <c r="LO20" s="151"/>
      <c r="LP20" s="151"/>
      <c r="LQ20" s="151"/>
      <c r="LR20" s="151"/>
      <c r="LS20" s="151"/>
      <c r="LT20" s="151"/>
      <c r="LU20" s="151"/>
      <c r="LV20" s="151"/>
      <c r="LW20" s="151"/>
      <c r="LX20" s="151"/>
      <c r="LY20" s="151"/>
      <c r="LZ20" s="151"/>
      <c r="MA20" s="151"/>
      <c r="MB20" s="151"/>
      <c r="MC20" s="151"/>
      <c r="MD20" s="151"/>
      <c r="ME20" s="151"/>
      <c r="MF20" s="151"/>
      <c r="MG20" s="151"/>
      <c r="MH20" s="151"/>
      <c r="MI20" s="151"/>
      <c r="MJ20" s="151"/>
      <c r="MK20" s="151"/>
      <c r="ML20" s="151"/>
      <c r="MM20" s="151"/>
      <c r="MN20" s="151"/>
      <c r="MO20" s="151"/>
      <c r="MP20" s="151"/>
      <c r="MQ20" s="151"/>
      <c r="MR20" s="151"/>
      <c r="MS20" s="151"/>
      <c r="MT20" s="151"/>
      <c r="MU20" s="151"/>
      <c r="MV20" s="151"/>
      <c r="MW20" s="151"/>
      <c r="MX20" s="151"/>
      <c r="MY20" s="151"/>
      <c r="MZ20" s="151"/>
      <c r="NA20" s="151"/>
      <c r="NB20" s="151"/>
      <c r="NC20" s="151"/>
      <c r="ND20" s="151"/>
      <c r="NE20" s="151"/>
      <c r="NF20" s="151"/>
      <c r="NG20" s="151"/>
      <c r="NH20" s="151"/>
      <c r="NI20" s="151"/>
      <c r="NJ20" s="151"/>
      <c r="NK20" s="151"/>
      <c r="NL20" s="151"/>
      <c r="NM20" s="151"/>
      <c r="NN20" s="151"/>
      <c r="NO20" s="151"/>
      <c r="NP20" s="151"/>
      <c r="NQ20" s="151"/>
      <c r="NR20" s="151"/>
      <c r="NS20" s="151"/>
      <c r="NT20" s="151"/>
      <c r="NU20" s="151"/>
      <c r="NV20" s="151"/>
      <c r="NW20" s="151"/>
      <c r="NX20" s="151"/>
      <c r="NY20" s="151"/>
      <c r="NZ20" s="151"/>
      <c r="OA20" s="151"/>
      <c r="OB20" s="151"/>
      <c r="OC20" s="151"/>
      <c r="OD20" s="151"/>
      <c r="OE20" s="151"/>
      <c r="OF20" s="151"/>
      <c r="OG20" s="151"/>
      <c r="OH20" s="151"/>
      <c r="OI20" s="151"/>
      <c r="OJ20" s="151"/>
      <c r="OK20" s="151"/>
      <c r="OL20" s="151"/>
      <c r="OM20" s="151"/>
      <c r="ON20" s="151"/>
      <c r="OO20" s="151"/>
      <c r="OP20" s="151"/>
      <c r="OQ20" s="151"/>
      <c r="OR20" s="151"/>
      <c r="OS20" s="151"/>
      <c r="OT20" s="151"/>
      <c r="OU20" s="151"/>
      <c r="OV20" s="151"/>
      <c r="OW20" s="151"/>
      <c r="OX20" s="151"/>
      <c r="OY20" s="151"/>
      <c r="OZ20" s="151"/>
      <c r="PA20" s="151"/>
      <c r="PB20" s="151"/>
      <c r="PC20" s="151"/>
      <c r="PD20" s="151"/>
      <c r="PE20" s="151"/>
      <c r="PF20" s="151"/>
      <c r="PG20" s="151"/>
      <c r="PH20" s="151"/>
      <c r="PI20" s="151"/>
      <c r="PJ20" s="151"/>
      <c r="PK20" s="151"/>
      <c r="PL20" s="151"/>
      <c r="PM20" s="151"/>
      <c r="PN20" s="151"/>
      <c r="PO20" s="151"/>
      <c r="PP20" s="151"/>
      <c r="PQ20" s="151"/>
      <c r="PR20" s="151"/>
      <c r="PS20" s="151"/>
      <c r="PT20" s="151"/>
      <c r="PU20" s="151"/>
      <c r="PV20" s="151"/>
      <c r="PW20" s="151"/>
      <c r="PX20" s="151"/>
      <c r="PY20" s="151"/>
      <c r="PZ20" s="151"/>
      <c r="QA20" s="151"/>
      <c r="QB20" s="151"/>
      <c r="QC20" s="151"/>
      <c r="QD20" s="151"/>
      <c r="QE20" s="151"/>
      <c r="QF20" s="151"/>
      <c r="QG20" s="151"/>
      <c r="QH20" s="151"/>
      <c r="QI20" s="151"/>
      <c r="QJ20" s="151"/>
      <c r="QK20" s="151"/>
      <c r="QL20" s="151"/>
      <c r="QM20" s="151"/>
      <c r="QN20" s="151"/>
      <c r="QO20" s="151"/>
      <c r="QP20" s="151"/>
      <c r="QQ20" s="151"/>
      <c r="QR20" s="151"/>
      <c r="QS20" s="151"/>
      <c r="QT20" s="151"/>
      <c r="QU20" s="151"/>
      <c r="QV20" s="151"/>
      <c r="QW20" s="151"/>
      <c r="QX20" s="151"/>
      <c r="QY20" s="151"/>
      <c r="QZ20" s="151"/>
      <c r="RA20" s="151"/>
      <c r="RB20" s="151"/>
      <c r="RC20" s="151"/>
      <c r="RD20" s="151"/>
      <c r="RE20" s="151"/>
      <c r="RF20" s="151"/>
      <c r="RG20" s="151"/>
      <c r="RH20" s="151"/>
      <c r="RI20" s="151"/>
      <c r="RJ20" s="151"/>
      <c r="RK20" s="151"/>
      <c r="RL20" s="151"/>
      <c r="RM20" s="151"/>
      <c r="RN20" s="151"/>
      <c r="RO20" s="151"/>
      <c r="RP20" s="151"/>
      <c r="RQ20" s="151"/>
      <c r="RR20" s="151"/>
      <c r="RS20" s="151"/>
      <c r="RT20" s="151"/>
      <c r="RU20" s="151"/>
      <c r="RV20" s="151"/>
      <c r="RW20" s="151"/>
      <c r="RX20" s="151"/>
      <c r="RY20" s="151"/>
      <c r="RZ20" s="151"/>
      <c r="SA20" s="151"/>
      <c r="SB20" s="151"/>
      <c r="SC20" s="151"/>
      <c r="SD20" s="151"/>
      <c r="SE20" s="151"/>
      <c r="SF20" s="151"/>
      <c r="SG20" s="151"/>
      <c r="SH20" s="151"/>
      <c r="SI20" s="151"/>
      <c r="SJ20" s="151"/>
      <c r="SK20" s="151"/>
      <c r="SL20" s="151"/>
      <c r="SM20" s="151"/>
      <c r="SN20" s="151"/>
      <c r="SO20" s="151"/>
      <c r="SP20" s="151"/>
      <c r="SQ20" s="151"/>
      <c r="SR20" s="151"/>
      <c r="SS20" s="151"/>
    </row>
    <row r="21" spans="1:513" s="149" customFormat="1" ht="14.5" outlineLevel="1" x14ac:dyDescent="0.35">
      <c r="B21" s="152" t="s">
        <v>867</v>
      </c>
      <c r="C21" s="143" t="s">
        <v>858</v>
      </c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1"/>
      <c r="O21" s="141"/>
      <c r="P21" s="141"/>
      <c r="Q21" s="141"/>
      <c r="R21" s="141"/>
      <c r="S21" s="141"/>
      <c r="T21" s="141"/>
      <c r="U21" s="142">
        <v>2480000</v>
      </c>
      <c r="V21" s="142">
        <v>0</v>
      </c>
      <c r="W21" s="142"/>
      <c r="X21" s="142"/>
      <c r="Y21" s="142"/>
      <c r="Z21" s="142"/>
      <c r="AA21" s="142"/>
      <c r="AB21" s="172"/>
      <c r="AC21" s="142"/>
      <c r="AD21" s="142"/>
      <c r="AE21" s="172">
        <v>1500000</v>
      </c>
      <c r="AF21" s="172"/>
      <c r="AG21" s="172"/>
      <c r="AH21" s="172"/>
      <c r="AI21" s="172"/>
      <c r="AJ21" s="142"/>
      <c r="AK21" s="142"/>
      <c r="AL21" s="142"/>
      <c r="AM21" s="142"/>
      <c r="AN21" s="172"/>
      <c r="AO21" s="141"/>
      <c r="AP21" s="141"/>
      <c r="AQ21" s="141"/>
      <c r="AR21" s="141"/>
      <c r="AS21" s="141"/>
      <c r="AT21" s="141"/>
      <c r="AU21" s="141"/>
      <c r="AV21" s="141"/>
      <c r="AW21" s="141"/>
      <c r="AX21" s="141"/>
      <c r="AY21" s="141"/>
      <c r="AZ21" s="141"/>
      <c r="BA21" s="141"/>
      <c r="BB21" s="141"/>
      <c r="BC21" s="141"/>
      <c r="BD21" s="141"/>
      <c r="BE21" s="141"/>
      <c r="BF21" s="141">
        <v>3500000</v>
      </c>
      <c r="BG21" s="141">
        <v>0</v>
      </c>
      <c r="BH21" s="141">
        <v>3500000</v>
      </c>
      <c r="BI21" s="141">
        <v>0</v>
      </c>
      <c r="BJ21" s="141">
        <v>0</v>
      </c>
      <c r="BK21" s="141">
        <v>0</v>
      </c>
      <c r="BL21" s="141">
        <v>0</v>
      </c>
      <c r="BM21" s="141">
        <v>0</v>
      </c>
      <c r="BN21" s="141">
        <v>0</v>
      </c>
      <c r="BO21" s="141">
        <v>0</v>
      </c>
      <c r="BP21" s="141">
        <v>0</v>
      </c>
      <c r="BQ21" s="141">
        <v>0</v>
      </c>
      <c r="BR21" s="141">
        <v>0</v>
      </c>
      <c r="BS21" s="141">
        <v>0</v>
      </c>
      <c r="BT21" s="141">
        <v>0</v>
      </c>
      <c r="BU21" s="141">
        <v>0</v>
      </c>
      <c r="BV21" s="141">
        <v>0</v>
      </c>
      <c r="BW21" s="142">
        <f>866666.666600001-22500-10000</f>
        <v>834166.66660000104</v>
      </c>
      <c r="BX21" s="141">
        <v>0</v>
      </c>
      <c r="BY21" s="141">
        <v>0</v>
      </c>
      <c r="BZ21" s="141">
        <v>0</v>
      </c>
      <c r="CA21" s="141">
        <v>0</v>
      </c>
      <c r="CB21" s="141">
        <v>0</v>
      </c>
      <c r="CC21" s="142">
        <v>0</v>
      </c>
      <c r="CD21" s="142">
        <v>0</v>
      </c>
      <c r="CE21" s="141">
        <v>0</v>
      </c>
      <c r="CF21" s="141">
        <v>0</v>
      </c>
      <c r="CG21" s="141">
        <v>0</v>
      </c>
      <c r="CH21" s="141">
        <v>0</v>
      </c>
      <c r="CI21" s="141">
        <v>0</v>
      </c>
      <c r="CJ21" s="141">
        <v>0</v>
      </c>
      <c r="CK21" s="141">
        <v>0</v>
      </c>
      <c r="CL21" s="141">
        <v>0</v>
      </c>
      <c r="CM21" s="141">
        <v>0</v>
      </c>
      <c r="CN21" s="141">
        <v>0</v>
      </c>
      <c r="CO21" s="141">
        <v>0</v>
      </c>
      <c r="CP21" s="141">
        <v>0</v>
      </c>
      <c r="CQ21" s="141">
        <v>0</v>
      </c>
      <c r="CR21" s="141">
        <v>0</v>
      </c>
      <c r="CS21" s="141">
        <v>0</v>
      </c>
      <c r="CT21" s="141">
        <v>0</v>
      </c>
      <c r="CU21" s="141">
        <v>0</v>
      </c>
      <c r="CV21" s="141">
        <v>0</v>
      </c>
      <c r="CW21" s="141">
        <v>0</v>
      </c>
      <c r="CX21" s="141">
        <v>0</v>
      </c>
      <c r="CY21" s="141">
        <v>0</v>
      </c>
      <c r="CZ21" s="141">
        <v>0</v>
      </c>
      <c r="DA21" s="141">
        <v>0</v>
      </c>
      <c r="DB21" s="141">
        <v>0</v>
      </c>
      <c r="DC21" s="135"/>
      <c r="DD21" s="135"/>
      <c r="DE21" s="135"/>
      <c r="DF21" s="135"/>
      <c r="DG21" s="135"/>
      <c r="DH21" s="135"/>
      <c r="DI21" s="135"/>
      <c r="DJ21" s="135"/>
      <c r="DK21" s="135"/>
      <c r="DL21" s="135"/>
      <c r="DM21" s="135"/>
      <c r="DN21" s="135"/>
      <c r="DO21" s="151"/>
      <c r="DP21" s="151"/>
      <c r="DQ21" s="151"/>
      <c r="DR21" s="151"/>
      <c r="DS21" s="151"/>
      <c r="DT21" s="151"/>
      <c r="DU21" s="151"/>
      <c r="DV21" s="151"/>
      <c r="DW21" s="151"/>
      <c r="DX21" s="151"/>
      <c r="DY21" s="151"/>
      <c r="DZ21" s="151"/>
      <c r="EA21" s="151"/>
      <c r="EB21" s="151"/>
      <c r="EC21" s="151"/>
      <c r="ED21" s="151"/>
      <c r="EE21" s="151"/>
      <c r="EF21" s="151"/>
      <c r="EG21" s="151"/>
      <c r="EH21" s="151"/>
      <c r="EI21" s="151"/>
      <c r="EJ21" s="151"/>
      <c r="EK21" s="151"/>
      <c r="EL21" s="151"/>
      <c r="EM21" s="151"/>
      <c r="EN21" s="151"/>
      <c r="EO21" s="151"/>
      <c r="EP21" s="151"/>
      <c r="EQ21" s="151"/>
      <c r="ER21" s="151"/>
      <c r="ES21" s="151"/>
      <c r="ET21" s="151"/>
      <c r="EU21" s="151"/>
      <c r="EV21" s="151"/>
      <c r="EW21" s="151"/>
      <c r="EX21" s="151"/>
      <c r="EY21" s="151"/>
      <c r="EZ21" s="151"/>
      <c r="FA21" s="151"/>
      <c r="FB21" s="151"/>
      <c r="FC21" s="151"/>
      <c r="FD21" s="151"/>
      <c r="FE21" s="151"/>
      <c r="FF21" s="151"/>
      <c r="FG21" s="151"/>
      <c r="FH21" s="151"/>
      <c r="FI21" s="151"/>
      <c r="FJ21" s="151"/>
      <c r="FK21" s="151"/>
      <c r="FL21" s="151"/>
      <c r="FM21" s="151"/>
      <c r="FN21" s="151"/>
      <c r="FO21" s="151"/>
      <c r="FP21" s="151"/>
      <c r="FQ21" s="151"/>
      <c r="FR21" s="151"/>
      <c r="FS21" s="151"/>
      <c r="FT21" s="151"/>
      <c r="FU21" s="151"/>
      <c r="FV21" s="151"/>
      <c r="FW21" s="151"/>
      <c r="FX21" s="151"/>
      <c r="FY21" s="151"/>
      <c r="FZ21" s="151"/>
      <c r="GA21" s="151"/>
      <c r="GB21" s="151"/>
      <c r="GC21" s="151"/>
      <c r="GD21" s="151"/>
      <c r="GE21" s="151"/>
      <c r="GF21" s="151"/>
      <c r="GG21" s="151"/>
      <c r="GH21" s="151"/>
      <c r="GI21" s="151"/>
      <c r="GJ21" s="151"/>
      <c r="GK21" s="151"/>
      <c r="GL21" s="151"/>
      <c r="GM21" s="151"/>
      <c r="GN21" s="151"/>
      <c r="GO21" s="151"/>
      <c r="GP21" s="151"/>
      <c r="GQ21" s="151"/>
      <c r="GR21" s="151"/>
      <c r="GS21" s="151"/>
      <c r="GT21" s="151"/>
      <c r="GU21" s="151"/>
      <c r="GV21" s="151"/>
      <c r="GW21" s="151"/>
      <c r="GX21" s="151"/>
      <c r="GY21" s="151"/>
      <c r="GZ21" s="151"/>
      <c r="HA21" s="151"/>
      <c r="HB21" s="151"/>
      <c r="HC21" s="151"/>
      <c r="HD21" s="151"/>
      <c r="HE21" s="151"/>
      <c r="HF21" s="151"/>
      <c r="HG21" s="151"/>
      <c r="HH21" s="151"/>
      <c r="HI21" s="151"/>
      <c r="HJ21" s="151"/>
      <c r="HK21" s="151"/>
      <c r="HL21" s="151"/>
      <c r="HM21" s="151"/>
      <c r="HN21" s="151"/>
      <c r="HO21" s="151"/>
      <c r="HP21" s="151"/>
      <c r="HQ21" s="151"/>
      <c r="HR21" s="151"/>
      <c r="HS21" s="151"/>
      <c r="HT21" s="151"/>
      <c r="HU21" s="151"/>
      <c r="HV21" s="151"/>
      <c r="HW21" s="151"/>
      <c r="HX21" s="151"/>
      <c r="HY21" s="151"/>
      <c r="HZ21" s="151"/>
      <c r="IA21" s="151"/>
      <c r="IB21" s="151"/>
      <c r="IC21" s="151"/>
      <c r="ID21" s="151"/>
      <c r="IE21" s="151"/>
      <c r="IF21" s="151"/>
      <c r="IG21" s="151"/>
      <c r="IH21" s="151"/>
      <c r="II21" s="151"/>
      <c r="IJ21" s="151"/>
      <c r="IK21" s="151"/>
      <c r="IL21" s="151"/>
      <c r="IM21" s="151"/>
      <c r="IN21" s="151"/>
      <c r="IO21" s="151"/>
      <c r="IP21" s="151"/>
      <c r="IQ21" s="151"/>
      <c r="IR21" s="151"/>
      <c r="IS21" s="151"/>
      <c r="IT21" s="151"/>
      <c r="IU21" s="151"/>
      <c r="IV21" s="151"/>
      <c r="IW21" s="151"/>
      <c r="IX21" s="151"/>
      <c r="IY21" s="151"/>
      <c r="IZ21" s="151"/>
      <c r="JA21" s="151"/>
      <c r="JB21" s="151"/>
      <c r="JC21" s="151"/>
      <c r="JD21" s="151"/>
      <c r="JE21" s="151"/>
      <c r="JF21" s="151"/>
      <c r="JG21" s="151"/>
      <c r="JH21" s="151"/>
      <c r="JI21" s="151"/>
      <c r="JJ21" s="151"/>
      <c r="JK21" s="151"/>
      <c r="JL21" s="151"/>
      <c r="JM21" s="151"/>
      <c r="JN21" s="151"/>
      <c r="JO21" s="151"/>
      <c r="JP21" s="151"/>
      <c r="JQ21" s="151"/>
      <c r="JR21" s="151"/>
      <c r="JS21" s="151"/>
      <c r="JT21" s="151"/>
      <c r="JU21" s="151"/>
      <c r="JV21" s="151"/>
      <c r="JW21" s="151"/>
      <c r="JX21" s="151"/>
      <c r="JY21" s="151"/>
      <c r="JZ21" s="151"/>
      <c r="KA21" s="151"/>
      <c r="KB21" s="151"/>
      <c r="KC21" s="151"/>
      <c r="KD21" s="151"/>
      <c r="KE21" s="151"/>
      <c r="KF21" s="151"/>
      <c r="KG21" s="151"/>
      <c r="KH21" s="151"/>
      <c r="KI21" s="151"/>
      <c r="KJ21" s="151"/>
      <c r="KK21" s="151"/>
      <c r="KL21" s="151"/>
      <c r="KM21" s="151"/>
      <c r="KN21" s="151"/>
      <c r="KO21" s="151"/>
      <c r="KP21" s="151"/>
      <c r="KQ21" s="151"/>
      <c r="KR21" s="151"/>
      <c r="KS21" s="151"/>
      <c r="KT21" s="151"/>
      <c r="KU21" s="151"/>
      <c r="KV21" s="151"/>
      <c r="KW21" s="151"/>
      <c r="KX21" s="151"/>
      <c r="KY21" s="151"/>
      <c r="KZ21" s="151"/>
      <c r="LA21" s="151"/>
      <c r="LB21" s="151"/>
      <c r="LC21" s="151"/>
      <c r="LD21" s="151"/>
      <c r="LE21" s="151"/>
      <c r="LF21" s="151"/>
      <c r="LG21" s="151"/>
      <c r="LH21" s="151"/>
      <c r="LI21" s="151"/>
      <c r="LJ21" s="151"/>
      <c r="LK21" s="151"/>
      <c r="LL21" s="151"/>
      <c r="LM21" s="151"/>
      <c r="LN21" s="151"/>
      <c r="LO21" s="151"/>
      <c r="LP21" s="151"/>
      <c r="LQ21" s="151"/>
      <c r="LR21" s="151"/>
      <c r="LS21" s="151"/>
      <c r="LT21" s="151"/>
      <c r="LU21" s="151"/>
      <c r="LV21" s="151"/>
      <c r="LW21" s="151"/>
      <c r="LX21" s="151"/>
      <c r="LY21" s="151"/>
      <c r="LZ21" s="151"/>
      <c r="MA21" s="151"/>
      <c r="MB21" s="151"/>
      <c r="MC21" s="151"/>
      <c r="MD21" s="151"/>
      <c r="ME21" s="151"/>
      <c r="MF21" s="151"/>
      <c r="MG21" s="151"/>
      <c r="MH21" s="151"/>
      <c r="MI21" s="151"/>
      <c r="MJ21" s="151"/>
      <c r="MK21" s="151"/>
      <c r="ML21" s="151"/>
      <c r="MM21" s="151"/>
      <c r="MN21" s="151"/>
      <c r="MO21" s="151"/>
      <c r="MP21" s="151"/>
      <c r="MQ21" s="151"/>
      <c r="MR21" s="151"/>
      <c r="MS21" s="151"/>
      <c r="MT21" s="151"/>
      <c r="MU21" s="151"/>
      <c r="MV21" s="151"/>
      <c r="MW21" s="151"/>
      <c r="MX21" s="151"/>
      <c r="MY21" s="151"/>
      <c r="MZ21" s="151"/>
      <c r="NA21" s="151"/>
      <c r="NB21" s="151"/>
      <c r="NC21" s="151"/>
      <c r="ND21" s="151"/>
      <c r="NE21" s="151"/>
      <c r="NF21" s="151"/>
      <c r="NG21" s="151"/>
      <c r="NH21" s="151"/>
      <c r="NI21" s="151"/>
      <c r="NJ21" s="151"/>
      <c r="NK21" s="151"/>
      <c r="NL21" s="151"/>
      <c r="NM21" s="151"/>
      <c r="NN21" s="151"/>
      <c r="NO21" s="151"/>
      <c r="NP21" s="151"/>
      <c r="NQ21" s="151"/>
      <c r="NR21" s="151"/>
      <c r="NS21" s="151"/>
      <c r="NT21" s="151"/>
      <c r="NU21" s="151"/>
      <c r="NV21" s="151"/>
      <c r="NW21" s="151"/>
      <c r="NX21" s="151"/>
      <c r="NY21" s="151"/>
      <c r="NZ21" s="151"/>
      <c r="OA21" s="151"/>
      <c r="OB21" s="151"/>
      <c r="OC21" s="151"/>
      <c r="OD21" s="151"/>
      <c r="OE21" s="151"/>
      <c r="OF21" s="151"/>
      <c r="OG21" s="151"/>
      <c r="OH21" s="151"/>
      <c r="OI21" s="151"/>
      <c r="OJ21" s="151"/>
      <c r="OK21" s="151"/>
      <c r="OL21" s="151"/>
      <c r="OM21" s="151"/>
      <c r="ON21" s="151"/>
      <c r="OO21" s="151"/>
      <c r="OP21" s="151"/>
      <c r="OQ21" s="151"/>
      <c r="OR21" s="151"/>
      <c r="OS21" s="151"/>
      <c r="OT21" s="151"/>
      <c r="OU21" s="151"/>
      <c r="OV21" s="151"/>
      <c r="OW21" s="151"/>
      <c r="OX21" s="151"/>
      <c r="OY21" s="151"/>
      <c r="OZ21" s="151"/>
      <c r="PA21" s="151"/>
      <c r="PB21" s="151"/>
      <c r="PC21" s="151"/>
      <c r="PD21" s="151"/>
      <c r="PE21" s="151"/>
      <c r="PF21" s="151"/>
      <c r="PG21" s="151"/>
      <c r="PH21" s="151"/>
      <c r="PI21" s="151"/>
      <c r="PJ21" s="151"/>
      <c r="PK21" s="151"/>
      <c r="PL21" s="151"/>
      <c r="PM21" s="151"/>
      <c r="PN21" s="151"/>
      <c r="PO21" s="151"/>
      <c r="PP21" s="151"/>
      <c r="PQ21" s="151"/>
      <c r="PR21" s="151"/>
      <c r="PS21" s="151"/>
      <c r="PT21" s="151"/>
      <c r="PU21" s="151"/>
      <c r="PV21" s="151"/>
      <c r="PW21" s="151"/>
      <c r="PX21" s="151"/>
      <c r="PY21" s="151"/>
      <c r="PZ21" s="151"/>
      <c r="QA21" s="151"/>
      <c r="QB21" s="151"/>
      <c r="QC21" s="151"/>
      <c r="QD21" s="151"/>
      <c r="QE21" s="151"/>
      <c r="QF21" s="151"/>
      <c r="QG21" s="151"/>
      <c r="QH21" s="151"/>
      <c r="QI21" s="151"/>
      <c r="QJ21" s="151"/>
      <c r="QK21" s="151"/>
      <c r="QL21" s="151"/>
      <c r="QM21" s="151"/>
      <c r="QN21" s="151"/>
      <c r="QO21" s="151"/>
      <c r="QP21" s="151"/>
      <c r="QQ21" s="151"/>
      <c r="QR21" s="151"/>
      <c r="QS21" s="151"/>
      <c r="QT21" s="151"/>
      <c r="QU21" s="151"/>
      <c r="QV21" s="151"/>
      <c r="QW21" s="151"/>
      <c r="QX21" s="151"/>
      <c r="QY21" s="151"/>
      <c r="QZ21" s="151"/>
      <c r="RA21" s="151"/>
      <c r="RB21" s="151"/>
      <c r="RC21" s="151"/>
      <c r="RD21" s="151"/>
      <c r="RE21" s="151"/>
      <c r="RF21" s="151"/>
      <c r="RG21" s="151"/>
      <c r="RH21" s="151"/>
      <c r="RI21" s="151"/>
      <c r="RJ21" s="151"/>
      <c r="RK21" s="151"/>
      <c r="RL21" s="151"/>
      <c r="RM21" s="151"/>
      <c r="RN21" s="151"/>
      <c r="RO21" s="151"/>
      <c r="RP21" s="151"/>
      <c r="RQ21" s="151"/>
      <c r="RR21" s="151"/>
      <c r="RS21" s="151"/>
      <c r="RT21" s="151"/>
      <c r="RU21" s="151"/>
      <c r="RV21" s="151"/>
      <c r="RW21" s="151"/>
      <c r="RX21" s="151"/>
      <c r="RY21" s="151"/>
      <c r="RZ21" s="151"/>
      <c r="SA21" s="151"/>
      <c r="SB21" s="151"/>
      <c r="SC21" s="151"/>
      <c r="SD21" s="151"/>
      <c r="SE21" s="151"/>
      <c r="SF21" s="151"/>
      <c r="SG21" s="151"/>
      <c r="SH21" s="151"/>
      <c r="SI21" s="151"/>
      <c r="SJ21" s="151"/>
      <c r="SK21" s="151"/>
      <c r="SL21" s="151"/>
      <c r="SM21" s="151"/>
      <c r="SN21" s="151"/>
      <c r="SO21" s="151"/>
      <c r="SP21" s="151"/>
      <c r="SQ21" s="151"/>
      <c r="SR21" s="151"/>
      <c r="SS21" s="151"/>
    </row>
    <row r="22" spans="1:513" s="149" customFormat="1" ht="14.5" outlineLevel="1" x14ac:dyDescent="0.35">
      <c r="B22" s="152" t="s">
        <v>868</v>
      </c>
      <c r="C22" s="143" t="s">
        <v>858</v>
      </c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1"/>
      <c r="O22" s="153"/>
      <c r="P22" s="141"/>
      <c r="Q22" s="141">
        <v>0</v>
      </c>
      <c r="R22" s="141">
        <v>0</v>
      </c>
      <c r="S22" s="141">
        <v>0</v>
      </c>
      <c r="T22" s="141">
        <v>0</v>
      </c>
      <c r="U22" s="142">
        <v>0</v>
      </c>
      <c r="W22" s="142">
        <v>0</v>
      </c>
      <c r="X22" s="142">
        <v>0</v>
      </c>
      <c r="Y22" s="142">
        <v>0</v>
      </c>
      <c r="Z22" s="142">
        <v>0</v>
      </c>
      <c r="AA22" s="142">
        <v>0</v>
      </c>
      <c r="AB22" s="172"/>
      <c r="AC22" s="142">
        <v>0</v>
      </c>
      <c r="AD22" s="142">
        <v>0</v>
      </c>
      <c r="AE22" s="172">
        <v>0</v>
      </c>
      <c r="AF22" s="172">
        <v>0</v>
      </c>
      <c r="AG22" s="172">
        <v>0</v>
      </c>
      <c r="AH22" s="172">
        <v>0</v>
      </c>
      <c r="AI22" s="172">
        <v>0</v>
      </c>
      <c r="AJ22" s="142">
        <v>0</v>
      </c>
      <c r="AK22" s="142">
        <v>0</v>
      </c>
      <c r="AL22" s="142">
        <v>0</v>
      </c>
      <c r="AM22" s="142">
        <v>0</v>
      </c>
      <c r="AN22" s="172">
        <v>0</v>
      </c>
      <c r="AO22" s="141">
        <v>0</v>
      </c>
      <c r="AP22" s="141">
        <v>0</v>
      </c>
      <c r="AQ22" s="141">
        <v>0</v>
      </c>
      <c r="AR22" s="141">
        <v>0</v>
      </c>
      <c r="AS22" s="141">
        <v>0</v>
      </c>
      <c r="AT22" s="141">
        <v>0</v>
      </c>
      <c r="AU22" s="141">
        <v>0</v>
      </c>
      <c r="AV22" s="141">
        <v>0</v>
      </c>
      <c r="AW22" s="141">
        <v>0</v>
      </c>
      <c r="AX22" s="141">
        <v>0</v>
      </c>
      <c r="AY22" s="141">
        <v>0</v>
      </c>
      <c r="AZ22" s="141">
        <v>0</v>
      </c>
      <c r="BA22" s="141">
        <v>0</v>
      </c>
      <c r="BB22" s="141">
        <v>0</v>
      </c>
      <c r="BC22" s="141"/>
      <c r="BD22" s="141">
        <v>0</v>
      </c>
      <c r="BE22" s="141">
        <v>0</v>
      </c>
      <c r="BF22" s="141">
        <v>-1866664</v>
      </c>
      <c r="BG22" s="141">
        <v>0</v>
      </c>
      <c r="BH22" s="141">
        <v>0</v>
      </c>
      <c r="BI22" s="141"/>
      <c r="BJ22" s="141">
        <v>0</v>
      </c>
      <c r="BK22" s="141">
        <v>0</v>
      </c>
      <c r="BL22" s="141">
        <v>0</v>
      </c>
      <c r="BM22" s="141">
        <v>0</v>
      </c>
      <c r="BN22" s="141">
        <v>0</v>
      </c>
      <c r="BO22" s="141">
        <v>0</v>
      </c>
      <c r="BP22" s="141">
        <v>0</v>
      </c>
      <c r="BQ22" s="141">
        <v>0</v>
      </c>
      <c r="BR22" s="141">
        <v>0</v>
      </c>
      <c r="BS22" s="141">
        <v>0</v>
      </c>
      <c r="BT22" s="141">
        <v>0</v>
      </c>
      <c r="BU22" s="141">
        <v>0</v>
      </c>
      <c r="BV22" s="141">
        <v>0</v>
      </c>
      <c r="BW22" s="142">
        <v>0</v>
      </c>
      <c r="BX22" s="141">
        <v>0</v>
      </c>
      <c r="BY22" s="141">
        <v>0</v>
      </c>
      <c r="BZ22" s="141">
        <v>0</v>
      </c>
      <c r="CA22" s="141">
        <v>0</v>
      </c>
      <c r="CB22" s="141">
        <v>0</v>
      </c>
      <c r="CC22" s="142">
        <v>0</v>
      </c>
      <c r="CD22" s="142">
        <v>0</v>
      </c>
      <c r="CE22" s="141">
        <v>0</v>
      </c>
      <c r="CF22" s="141">
        <v>0</v>
      </c>
      <c r="CG22" s="141">
        <v>0</v>
      </c>
      <c r="CH22" s="141">
        <v>0</v>
      </c>
      <c r="CI22" s="141">
        <v>0</v>
      </c>
      <c r="CJ22" s="141">
        <v>0</v>
      </c>
      <c r="CK22" s="141">
        <v>0</v>
      </c>
      <c r="CL22" s="141">
        <v>0</v>
      </c>
      <c r="CM22" s="141">
        <v>0</v>
      </c>
      <c r="CN22" s="141">
        <v>0</v>
      </c>
      <c r="CO22" s="141">
        <v>0</v>
      </c>
      <c r="CP22" s="141">
        <v>0</v>
      </c>
      <c r="CQ22" s="141">
        <v>0</v>
      </c>
      <c r="CR22" s="141">
        <v>0</v>
      </c>
      <c r="CS22" s="141">
        <v>0</v>
      </c>
      <c r="CT22" s="141">
        <v>0</v>
      </c>
      <c r="CU22" s="141">
        <v>0</v>
      </c>
      <c r="CV22" s="141">
        <v>0</v>
      </c>
      <c r="CW22" s="141">
        <v>0</v>
      </c>
      <c r="CX22" s="141">
        <v>0</v>
      </c>
      <c r="CY22" s="141">
        <v>0</v>
      </c>
      <c r="CZ22" s="141">
        <v>0</v>
      </c>
      <c r="DA22" s="141">
        <v>0</v>
      </c>
      <c r="DB22" s="141">
        <v>0</v>
      </c>
      <c r="DC22" s="135"/>
      <c r="DD22" s="135"/>
      <c r="DE22" s="135"/>
      <c r="DF22" s="135"/>
      <c r="DG22" s="135"/>
      <c r="DH22" s="135"/>
      <c r="DI22" s="135"/>
      <c r="DJ22" s="135"/>
      <c r="DK22" s="135"/>
      <c r="DL22" s="135"/>
      <c r="DM22" s="135"/>
      <c r="DN22" s="135"/>
      <c r="DO22" s="151"/>
      <c r="DP22" s="151"/>
      <c r="DQ22" s="151"/>
      <c r="DR22" s="151"/>
      <c r="DS22" s="151"/>
      <c r="DT22" s="151"/>
      <c r="DU22" s="151"/>
      <c r="DV22" s="151"/>
      <c r="DW22" s="151"/>
      <c r="DX22" s="151"/>
      <c r="DY22" s="151"/>
      <c r="DZ22" s="151"/>
      <c r="EA22" s="151"/>
      <c r="EB22" s="151"/>
      <c r="EC22" s="151"/>
      <c r="ED22" s="151"/>
      <c r="EE22" s="151"/>
      <c r="EF22" s="151"/>
      <c r="EG22" s="151"/>
      <c r="EH22" s="151"/>
      <c r="EI22" s="151"/>
      <c r="EJ22" s="151"/>
      <c r="EK22" s="151"/>
      <c r="EL22" s="151"/>
      <c r="EM22" s="151"/>
      <c r="EN22" s="151"/>
      <c r="EO22" s="151"/>
      <c r="EP22" s="151"/>
      <c r="EQ22" s="151"/>
      <c r="ER22" s="151"/>
      <c r="ES22" s="151"/>
      <c r="ET22" s="151"/>
      <c r="EU22" s="151"/>
      <c r="EV22" s="151"/>
      <c r="EW22" s="151"/>
      <c r="EX22" s="151"/>
      <c r="EY22" s="151"/>
      <c r="EZ22" s="151"/>
      <c r="FA22" s="151"/>
      <c r="FB22" s="151"/>
      <c r="FC22" s="151"/>
      <c r="FD22" s="151"/>
      <c r="FE22" s="151"/>
      <c r="FF22" s="151"/>
      <c r="FG22" s="151"/>
      <c r="FH22" s="151"/>
      <c r="FI22" s="151"/>
      <c r="FJ22" s="151"/>
      <c r="FK22" s="151"/>
      <c r="FL22" s="151"/>
      <c r="FM22" s="151"/>
      <c r="FN22" s="151"/>
      <c r="FO22" s="151"/>
      <c r="FP22" s="151"/>
      <c r="FQ22" s="151"/>
      <c r="FR22" s="151"/>
      <c r="FS22" s="151"/>
      <c r="FT22" s="151"/>
      <c r="FU22" s="151"/>
      <c r="FV22" s="151"/>
      <c r="FW22" s="151"/>
      <c r="FX22" s="151"/>
      <c r="FY22" s="151"/>
      <c r="FZ22" s="151"/>
      <c r="GA22" s="151"/>
      <c r="GB22" s="151"/>
      <c r="GC22" s="151"/>
      <c r="GD22" s="151"/>
      <c r="GE22" s="151"/>
      <c r="GF22" s="151"/>
      <c r="GG22" s="151"/>
      <c r="GH22" s="151"/>
      <c r="GI22" s="151"/>
      <c r="GJ22" s="151"/>
      <c r="GK22" s="151"/>
      <c r="GL22" s="151"/>
      <c r="GM22" s="151"/>
      <c r="GN22" s="151"/>
      <c r="GO22" s="151"/>
      <c r="GP22" s="151"/>
      <c r="GQ22" s="151"/>
      <c r="GR22" s="151"/>
      <c r="GS22" s="151"/>
      <c r="GT22" s="151"/>
      <c r="GU22" s="151"/>
      <c r="GV22" s="151"/>
      <c r="GW22" s="151"/>
      <c r="GX22" s="151"/>
      <c r="GY22" s="151"/>
      <c r="GZ22" s="151"/>
      <c r="HA22" s="151"/>
      <c r="HB22" s="151"/>
      <c r="HC22" s="151"/>
      <c r="HD22" s="151"/>
      <c r="HE22" s="151"/>
      <c r="HF22" s="151"/>
      <c r="HG22" s="151"/>
      <c r="HH22" s="151"/>
      <c r="HI22" s="151"/>
      <c r="HJ22" s="151"/>
      <c r="HK22" s="151"/>
      <c r="HL22" s="151"/>
      <c r="HM22" s="151"/>
      <c r="HN22" s="151"/>
      <c r="HO22" s="151"/>
      <c r="HP22" s="151"/>
      <c r="HQ22" s="151"/>
      <c r="HR22" s="151"/>
      <c r="HS22" s="151"/>
      <c r="HT22" s="151"/>
      <c r="HU22" s="151"/>
      <c r="HV22" s="151"/>
      <c r="HW22" s="151"/>
      <c r="HX22" s="151"/>
      <c r="HY22" s="151"/>
      <c r="HZ22" s="151"/>
      <c r="IA22" s="151"/>
      <c r="IB22" s="151"/>
      <c r="IC22" s="151"/>
      <c r="ID22" s="151"/>
      <c r="IE22" s="151"/>
      <c r="IF22" s="151"/>
      <c r="IG22" s="151"/>
      <c r="IH22" s="151"/>
      <c r="II22" s="151"/>
      <c r="IJ22" s="151"/>
      <c r="IK22" s="151"/>
      <c r="IL22" s="151"/>
      <c r="IM22" s="151"/>
      <c r="IN22" s="151"/>
      <c r="IO22" s="151"/>
      <c r="IP22" s="151"/>
      <c r="IQ22" s="151"/>
      <c r="IR22" s="151"/>
      <c r="IS22" s="151"/>
      <c r="IT22" s="151"/>
      <c r="IU22" s="151"/>
      <c r="IV22" s="151"/>
      <c r="IW22" s="151"/>
      <c r="IX22" s="151"/>
      <c r="IY22" s="151"/>
      <c r="IZ22" s="151"/>
      <c r="JA22" s="151"/>
      <c r="JB22" s="151"/>
      <c r="JC22" s="151"/>
      <c r="JD22" s="151"/>
      <c r="JE22" s="151"/>
      <c r="JF22" s="151"/>
      <c r="JG22" s="151"/>
      <c r="JH22" s="151"/>
      <c r="JI22" s="151"/>
      <c r="JJ22" s="151"/>
      <c r="JK22" s="151"/>
      <c r="JL22" s="151"/>
      <c r="JM22" s="151"/>
      <c r="JN22" s="151"/>
      <c r="JO22" s="151"/>
      <c r="JP22" s="151"/>
      <c r="JQ22" s="151"/>
      <c r="JR22" s="151"/>
      <c r="JS22" s="151"/>
      <c r="JT22" s="151"/>
      <c r="JU22" s="151"/>
      <c r="JV22" s="151"/>
      <c r="JW22" s="151"/>
      <c r="JX22" s="151"/>
      <c r="JY22" s="151"/>
      <c r="JZ22" s="151"/>
      <c r="KA22" s="151"/>
      <c r="KB22" s="151"/>
      <c r="KC22" s="151"/>
      <c r="KD22" s="151"/>
      <c r="KE22" s="151"/>
      <c r="KF22" s="151"/>
      <c r="KG22" s="151"/>
      <c r="KH22" s="151"/>
      <c r="KI22" s="151"/>
      <c r="KJ22" s="151"/>
      <c r="KK22" s="151"/>
      <c r="KL22" s="151"/>
      <c r="KM22" s="151"/>
      <c r="KN22" s="151"/>
      <c r="KO22" s="151"/>
      <c r="KP22" s="151"/>
      <c r="KQ22" s="151"/>
      <c r="KR22" s="151"/>
      <c r="KS22" s="151"/>
      <c r="KT22" s="151"/>
      <c r="KU22" s="151"/>
      <c r="KV22" s="151"/>
      <c r="KW22" s="151"/>
      <c r="KX22" s="151"/>
      <c r="KY22" s="151"/>
      <c r="KZ22" s="151"/>
      <c r="LA22" s="151"/>
      <c r="LB22" s="151"/>
      <c r="LC22" s="151"/>
      <c r="LD22" s="151"/>
      <c r="LE22" s="151"/>
      <c r="LF22" s="151"/>
      <c r="LG22" s="151"/>
      <c r="LH22" s="151"/>
      <c r="LI22" s="151"/>
      <c r="LJ22" s="151"/>
      <c r="LK22" s="151"/>
      <c r="LL22" s="151"/>
      <c r="LM22" s="151"/>
      <c r="LN22" s="151"/>
      <c r="LO22" s="151"/>
      <c r="LP22" s="151"/>
      <c r="LQ22" s="151"/>
      <c r="LR22" s="151"/>
      <c r="LS22" s="151"/>
      <c r="LT22" s="151"/>
      <c r="LU22" s="151"/>
      <c r="LV22" s="151"/>
      <c r="LW22" s="151"/>
      <c r="LX22" s="151"/>
      <c r="LY22" s="151"/>
      <c r="LZ22" s="151"/>
      <c r="MA22" s="151"/>
      <c r="MB22" s="151"/>
      <c r="MC22" s="151"/>
      <c r="MD22" s="151"/>
      <c r="ME22" s="151"/>
      <c r="MF22" s="151"/>
      <c r="MG22" s="151"/>
      <c r="MH22" s="151"/>
      <c r="MI22" s="151"/>
      <c r="MJ22" s="151"/>
      <c r="MK22" s="151"/>
      <c r="ML22" s="151"/>
      <c r="MM22" s="151"/>
      <c r="MN22" s="151"/>
      <c r="MO22" s="151"/>
      <c r="MP22" s="151"/>
      <c r="MQ22" s="151"/>
      <c r="MR22" s="151"/>
      <c r="MS22" s="151"/>
      <c r="MT22" s="151"/>
      <c r="MU22" s="151"/>
      <c r="MV22" s="151"/>
      <c r="MW22" s="151"/>
      <c r="MX22" s="151"/>
      <c r="MY22" s="151"/>
      <c r="MZ22" s="151"/>
      <c r="NA22" s="151"/>
      <c r="NB22" s="151"/>
      <c r="NC22" s="151"/>
      <c r="ND22" s="151"/>
      <c r="NE22" s="151"/>
      <c r="NF22" s="151"/>
      <c r="NG22" s="151"/>
      <c r="NH22" s="151"/>
      <c r="NI22" s="151"/>
      <c r="NJ22" s="151"/>
      <c r="NK22" s="151"/>
      <c r="NL22" s="151"/>
      <c r="NM22" s="151"/>
      <c r="NN22" s="151"/>
      <c r="NO22" s="151"/>
      <c r="NP22" s="151"/>
      <c r="NQ22" s="151"/>
      <c r="NR22" s="151"/>
      <c r="NS22" s="151"/>
      <c r="NT22" s="151"/>
      <c r="NU22" s="151"/>
      <c r="NV22" s="151"/>
      <c r="NW22" s="151"/>
      <c r="NX22" s="151"/>
      <c r="NY22" s="151"/>
      <c r="NZ22" s="151"/>
      <c r="OA22" s="151"/>
      <c r="OB22" s="151"/>
      <c r="OC22" s="151"/>
      <c r="OD22" s="151"/>
      <c r="OE22" s="151"/>
      <c r="OF22" s="151"/>
      <c r="OG22" s="151"/>
      <c r="OH22" s="151"/>
      <c r="OI22" s="151"/>
      <c r="OJ22" s="151"/>
      <c r="OK22" s="151"/>
      <c r="OL22" s="151"/>
      <c r="OM22" s="151"/>
      <c r="ON22" s="151"/>
      <c r="OO22" s="151"/>
      <c r="OP22" s="151"/>
      <c r="OQ22" s="151"/>
      <c r="OR22" s="151"/>
      <c r="OS22" s="151"/>
      <c r="OT22" s="151"/>
      <c r="OU22" s="151"/>
      <c r="OV22" s="151"/>
      <c r="OW22" s="151"/>
      <c r="OX22" s="151"/>
      <c r="OY22" s="151"/>
      <c r="OZ22" s="151"/>
      <c r="PA22" s="151"/>
      <c r="PB22" s="151"/>
      <c r="PC22" s="151"/>
      <c r="PD22" s="151"/>
      <c r="PE22" s="151"/>
      <c r="PF22" s="151"/>
      <c r="PG22" s="151"/>
      <c r="PH22" s="151"/>
      <c r="PI22" s="151"/>
      <c r="PJ22" s="151"/>
      <c r="PK22" s="151"/>
      <c r="PL22" s="151"/>
      <c r="PM22" s="151"/>
      <c r="PN22" s="151"/>
      <c r="PO22" s="151"/>
      <c r="PP22" s="151"/>
      <c r="PQ22" s="151"/>
      <c r="PR22" s="151"/>
      <c r="PS22" s="151"/>
      <c r="PT22" s="151"/>
      <c r="PU22" s="151"/>
      <c r="PV22" s="151"/>
      <c r="PW22" s="151"/>
      <c r="PX22" s="151"/>
      <c r="PY22" s="151"/>
      <c r="PZ22" s="151"/>
      <c r="QA22" s="151"/>
      <c r="QB22" s="151"/>
      <c r="QC22" s="151"/>
      <c r="QD22" s="151"/>
      <c r="QE22" s="151"/>
      <c r="QF22" s="151"/>
      <c r="QG22" s="151"/>
      <c r="QH22" s="151"/>
      <c r="QI22" s="151"/>
      <c r="QJ22" s="151"/>
      <c r="QK22" s="151"/>
      <c r="QL22" s="151"/>
      <c r="QM22" s="151"/>
      <c r="QN22" s="151"/>
      <c r="QO22" s="151"/>
      <c r="QP22" s="151"/>
      <c r="QQ22" s="151"/>
      <c r="QR22" s="151"/>
      <c r="QS22" s="151"/>
      <c r="QT22" s="151"/>
      <c r="QU22" s="151"/>
      <c r="QV22" s="151"/>
      <c r="QW22" s="151"/>
      <c r="QX22" s="151"/>
      <c r="QY22" s="151"/>
      <c r="QZ22" s="151"/>
      <c r="RA22" s="151"/>
      <c r="RB22" s="151"/>
      <c r="RC22" s="151"/>
      <c r="RD22" s="151"/>
      <c r="RE22" s="151"/>
      <c r="RF22" s="151"/>
      <c r="RG22" s="151"/>
      <c r="RH22" s="151"/>
      <c r="RI22" s="151"/>
      <c r="RJ22" s="151"/>
      <c r="RK22" s="151"/>
      <c r="RL22" s="151"/>
      <c r="RM22" s="151"/>
      <c r="RN22" s="151"/>
      <c r="RO22" s="151"/>
      <c r="RP22" s="151"/>
      <c r="RQ22" s="151"/>
      <c r="RR22" s="151"/>
      <c r="RS22" s="151"/>
      <c r="RT22" s="151"/>
      <c r="RU22" s="151"/>
      <c r="RV22" s="151"/>
      <c r="RW22" s="151"/>
      <c r="RX22" s="151"/>
      <c r="RY22" s="151"/>
      <c r="RZ22" s="151"/>
      <c r="SA22" s="151"/>
      <c r="SB22" s="151"/>
      <c r="SC22" s="151"/>
      <c r="SD22" s="151"/>
      <c r="SE22" s="151"/>
      <c r="SF22" s="151"/>
      <c r="SG22" s="151"/>
      <c r="SH22" s="151"/>
      <c r="SI22" s="151"/>
      <c r="SJ22" s="151"/>
      <c r="SK22" s="151"/>
      <c r="SL22" s="151"/>
      <c r="SM22" s="151"/>
      <c r="SN22" s="151"/>
      <c r="SO22" s="151"/>
      <c r="SP22" s="151"/>
      <c r="SQ22" s="151"/>
      <c r="SR22" s="151"/>
      <c r="SS22" s="151"/>
    </row>
    <row r="23" spans="1:513" s="149" customFormat="1" ht="14.5" outlineLevel="1" x14ac:dyDescent="0.35">
      <c r="B23" s="149" t="s">
        <v>869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3"/>
      <c r="O23" s="153"/>
      <c r="P23" s="153"/>
      <c r="Q23" s="153"/>
      <c r="R23" s="153"/>
      <c r="S23" s="153"/>
      <c r="T23" s="153"/>
      <c r="U23" s="203"/>
      <c r="V23" s="203"/>
      <c r="W23" s="203"/>
      <c r="X23" s="203"/>
      <c r="Y23" s="203"/>
      <c r="Z23" s="203"/>
      <c r="AA23" s="203"/>
      <c r="AB23" s="154"/>
      <c r="AC23" s="203"/>
      <c r="AD23" s="203"/>
      <c r="AE23" s="154"/>
      <c r="AF23" s="154"/>
      <c r="AG23" s="154"/>
      <c r="AH23" s="154"/>
      <c r="AI23" s="154"/>
      <c r="AJ23" s="203"/>
      <c r="AK23" s="203"/>
      <c r="AL23" s="203"/>
      <c r="AM23" s="203"/>
      <c r="AN23" s="154"/>
      <c r="AO23" s="153"/>
      <c r="AP23" s="153"/>
      <c r="AQ23" s="153"/>
      <c r="AR23" s="153"/>
      <c r="AS23" s="153"/>
      <c r="AT23" s="153"/>
      <c r="AU23" s="153"/>
      <c r="AV23" s="153"/>
      <c r="AW23" s="153"/>
      <c r="AX23" s="153"/>
      <c r="AY23" s="153"/>
      <c r="AZ23" s="153"/>
      <c r="BA23" s="153"/>
      <c r="BB23" s="153"/>
      <c r="BC23" s="153"/>
      <c r="BD23" s="153"/>
      <c r="BE23" s="153"/>
      <c r="BF23" s="153"/>
      <c r="BG23" s="153"/>
      <c r="BH23" s="153"/>
      <c r="BI23" s="153"/>
      <c r="BJ23" s="153"/>
      <c r="BK23" s="153"/>
      <c r="BL23" s="153"/>
      <c r="BM23" s="154"/>
      <c r="BN23" s="154"/>
      <c r="BO23" s="154"/>
      <c r="BP23" s="154"/>
      <c r="BQ23" s="154"/>
      <c r="BR23" s="154"/>
      <c r="BS23" s="154"/>
      <c r="BT23" s="154"/>
      <c r="BU23" s="154"/>
      <c r="BV23" s="154"/>
      <c r="BW23" s="203"/>
      <c r="BX23" s="154"/>
      <c r="BY23" s="154"/>
      <c r="BZ23" s="154"/>
      <c r="CA23" s="154"/>
      <c r="CB23" s="141"/>
      <c r="CC23" s="142">
        <v>500000</v>
      </c>
      <c r="CD23" s="203">
        <v>500000</v>
      </c>
      <c r="CE23" s="141">
        <v>0</v>
      </c>
      <c r="CF23" s="141"/>
      <c r="CG23" s="141">
        <v>-500000</v>
      </c>
      <c r="CH23" s="141">
        <v>0</v>
      </c>
      <c r="CI23" s="141"/>
      <c r="CJ23" s="141">
        <v>0</v>
      </c>
      <c r="CK23" s="141">
        <v>0</v>
      </c>
      <c r="CL23" s="141">
        <v>-500000</v>
      </c>
      <c r="CM23" s="141">
        <v>0</v>
      </c>
      <c r="CN23" s="141">
        <v>0</v>
      </c>
      <c r="CO23" s="141">
        <v>0</v>
      </c>
      <c r="CP23" s="141">
        <v>0</v>
      </c>
      <c r="CQ23" s="141">
        <v>0</v>
      </c>
      <c r="CR23" s="141">
        <v>0</v>
      </c>
      <c r="CS23" s="141">
        <v>0</v>
      </c>
      <c r="CT23" s="141">
        <v>0</v>
      </c>
      <c r="CU23" s="141">
        <v>500000</v>
      </c>
      <c r="CV23" s="141">
        <v>650000</v>
      </c>
      <c r="CW23" s="141">
        <v>0</v>
      </c>
      <c r="CX23" s="141">
        <v>-500000</v>
      </c>
      <c r="CY23" s="141">
        <v>-650000</v>
      </c>
      <c r="CZ23" s="141">
        <v>0</v>
      </c>
      <c r="DA23" s="141">
        <v>0</v>
      </c>
      <c r="DB23" s="141">
        <v>0</v>
      </c>
      <c r="DC23" s="135"/>
      <c r="DD23" s="135"/>
      <c r="DE23" s="135"/>
      <c r="DF23" s="135"/>
      <c r="DG23" s="135"/>
      <c r="DH23" s="135"/>
      <c r="DI23" s="135"/>
      <c r="DJ23" s="135"/>
      <c r="DK23" s="135"/>
      <c r="DL23" s="135"/>
      <c r="DM23" s="135"/>
      <c r="DN23" s="135"/>
      <c r="DO23" s="151"/>
      <c r="DP23" s="151"/>
      <c r="DQ23" s="151"/>
      <c r="DR23" s="151"/>
      <c r="DS23" s="151"/>
      <c r="DT23" s="151"/>
      <c r="DU23" s="151"/>
      <c r="DV23" s="151"/>
      <c r="DW23" s="151"/>
      <c r="DX23" s="151"/>
      <c r="DY23" s="151"/>
      <c r="DZ23" s="151"/>
      <c r="EA23" s="151"/>
      <c r="EB23" s="151"/>
      <c r="EC23" s="151"/>
      <c r="ED23" s="151"/>
      <c r="EE23" s="151"/>
      <c r="EF23" s="151"/>
      <c r="EG23" s="151"/>
      <c r="EH23" s="151"/>
      <c r="EI23" s="151"/>
      <c r="EJ23" s="151"/>
      <c r="EK23" s="151"/>
      <c r="EL23" s="151"/>
      <c r="EM23" s="151"/>
      <c r="EN23" s="151"/>
      <c r="EO23" s="151"/>
      <c r="EP23" s="151"/>
      <c r="EQ23" s="151"/>
      <c r="ER23" s="151"/>
      <c r="ES23" s="151"/>
      <c r="ET23" s="151"/>
      <c r="EU23" s="151"/>
      <c r="EV23" s="151"/>
      <c r="EW23" s="151"/>
      <c r="EX23" s="151"/>
      <c r="EY23" s="151"/>
      <c r="EZ23" s="151"/>
      <c r="FA23" s="151"/>
      <c r="FB23" s="151"/>
      <c r="FC23" s="151"/>
      <c r="FD23" s="151"/>
      <c r="FE23" s="151"/>
      <c r="FF23" s="151"/>
      <c r="FG23" s="151"/>
      <c r="FH23" s="151"/>
      <c r="FI23" s="151"/>
      <c r="FJ23" s="151"/>
      <c r="FK23" s="151"/>
      <c r="FL23" s="151"/>
      <c r="FM23" s="151"/>
      <c r="FN23" s="151"/>
      <c r="FO23" s="151"/>
      <c r="FP23" s="151"/>
      <c r="FQ23" s="151"/>
      <c r="FR23" s="151"/>
      <c r="FS23" s="151"/>
      <c r="FT23" s="151"/>
      <c r="FU23" s="151"/>
      <c r="FV23" s="151"/>
      <c r="FW23" s="151"/>
      <c r="FX23" s="151"/>
      <c r="FY23" s="151"/>
      <c r="FZ23" s="151"/>
      <c r="GA23" s="151"/>
      <c r="GB23" s="151"/>
      <c r="GC23" s="151"/>
      <c r="GD23" s="151"/>
      <c r="GE23" s="151"/>
      <c r="GF23" s="151"/>
      <c r="GG23" s="151"/>
      <c r="GH23" s="151"/>
      <c r="GI23" s="151"/>
      <c r="GJ23" s="151"/>
      <c r="GK23" s="151"/>
      <c r="GL23" s="151"/>
      <c r="GM23" s="151"/>
      <c r="GN23" s="151"/>
      <c r="GO23" s="151"/>
      <c r="GP23" s="151"/>
      <c r="GQ23" s="151"/>
      <c r="GR23" s="151"/>
      <c r="GS23" s="151"/>
      <c r="GT23" s="151"/>
      <c r="GU23" s="151"/>
      <c r="GV23" s="151"/>
      <c r="GW23" s="151"/>
      <c r="GX23" s="151"/>
      <c r="GY23" s="151"/>
      <c r="GZ23" s="151"/>
      <c r="HA23" s="151"/>
      <c r="HB23" s="151"/>
      <c r="HC23" s="151"/>
      <c r="HD23" s="151"/>
      <c r="HE23" s="151"/>
      <c r="HF23" s="151"/>
      <c r="HG23" s="151"/>
      <c r="HH23" s="151"/>
      <c r="HI23" s="151"/>
      <c r="HJ23" s="151"/>
      <c r="HK23" s="151"/>
      <c r="HL23" s="151"/>
      <c r="HM23" s="151"/>
      <c r="HN23" s="151"/>
      <c r="HO23" s="151"/>
      <c r="HP23" s="151"/>
      <c r="HQ23" s="151"/>
      <c r="HR23" s="151"/>
      <c r="HS23" s="151"/>
      <c r="HT23" s="151"/>
      <c r="HU23" s="151"/>
      <c r="HV23" s="151"/>
      <c r="HW23" s="151"/>
      <c r="HX23" s="151"/>
      <c r="HY23" s="151"/>
      <c r="HZ23" s="151"/>
      <c r="IA23" s="151"/>
      <c r="IB23" s="151"/>
      <c r="IC23" s="151"/>
      <c r="ID23" s="151"/>
      <c r="IE23" s="151"/>
      <c r="IF23" s="151"/>
      <c r="IG23" s="151"/>
      <c r="IH23" s="151"/>
      <c r="II23" s="151"/>
      <c r="IJ23" s="151"/>
      <c r="IK23" s="151"/>
      <c r="IL23" s="151"/>
      <c r="IM23" s="151"/>
      <c r="IN23" s="151"/>
      <c r="IO23" s="151"/>
      <c r="IP23" s="151"/>
      <c r="IQ23" s="151"/>
      <c r="IR23" s="151"/>
      <c r="IS23" s="151"/>
      <c r="IT23" s="151"/>
      <c r="IU23" s="151"/>
      <c r="IV23" s="151"/>
      <c r="IW23" s="151"/>
      <c r="IX23" s="151"/>
      <c r="IY23" s="151"/>
      <c r="IZ23" s="151"/>
      <c r="JA23" s="151"/>
      <c r="JB23" s="151"/>
      <c r="JC23" s="151"/>
      <c r="JD23" s="151"/>
      <c r="JE23" s="151"/>
      <c r="JF23" s="151"/>
      <c r="JG23" s="151"/>
      <c r="JH23" s="151"/>
      <c r="JI23" s="151"/>
      <c r="JJ23" s="151"/>
      <c r="JK23" s="151"/>
      <c r="JL23" s="151"/>
      <c r="JM23" s="151"/>
      <c r="JN23" s="151"/>
      <c r="JO23" s="151"/>
      <c r="JP23" s="151"/>
      <c r="JQ23" s="151"/>
      <c r="JR23" s="151"/>
      <c r="JS23" s="151"/>
      <c r="JT23" s="151"/>
      <c r="JU23" s="151"/>
      <c r="JV23" s="151"/>
      <c r="JW23" s="151"/>
      <c r="JX23" s="151"/>
      <c r="JY23" s="151"/>
      <c r="JZ23" s="151"/>
      <c r="KA23" s="151"/>
      <c r="KB23" s="151"/>
      <c r="KC23" s="151"/>
      <c r="KD23" s="151"/>
      <c r="KE23" s="151"/>
      <c r="KF23" s="151"/>
      <c r="KG23" s="151"/>
      <c r="KH23" s="151"/>
      <c r="KI23" s="151"/>
      <c r="KJ23" s="151"/>
      <c r="KK23" s="151"/>
      <c r="KL23" s="151"/>
      <c r="KM23" s="151"/>
      <c r="KN23" s="151"/>
      <c r="KO23" s="151"/>
      <c r="KP23" s="151"/>
      <c r="KQ23" s="151"/>
      <c r="KR23" s="151"/>
      <c r="KS23" s="151"/>
      <c r="KT23" s="151"/>
      <c r="KU23" s="151"/>
      <c r="KV23" s="151"/>
      <c r="KW23" s="151"/>
      <c r="KX23" s="151"/>
      <c r="KY23" s="151"/>
      <c r="KZ23" s="151"/>
      <c r="LA23" s="151"/>
      <c r="LB23" s="151"/>
      <c r="LC23" s="151"/>
      <c r="LD23" s="151"/>
      <c r="LE23" s="151"/>
      <c r="LF23" s="151"/>
      <c r="LG23" s="151"/>
      <c r="LH23" s="151"/>
      <c r="LI23" s="151"/>
      <c r="LJ23" s="151"/>
      <c r="LK23" s="151"/>
      <c r="LL23" s="151"/>
      <c r="LM23" s="151"/>
      <c r="LN23" s="151"/>
      <c r="LO23" s="151"/>
      <c r="LP23" s="151"/>
      <c r="LQ23" s="151"/>
      <c r="LR23" s="151"/>
      <c r="LS23" s="151"/>
      <c r="LT23" s="151"/>
      <c r="LU23" s="151"/>
      <c r="LV23" s="151"/>
      <c r="LW23" s="151"/>
      <c r="LX23" s="151"/>
      <c r="LY23" s="151"/>
      <c r="LZ23" s="151"/>
      <c r="MA23" s="151"/>
      <c r="MB23" s="151"/>
      <c r="MC23" s="151"/>
      <c r="MD23" s="151"/>
      <c r="ME23" s="151"/>
      <c r="MF23" s="151"/>
      <c r="MG23" s="151"/>
      <c r="MH23" s="151"/>
      <c r="MI23" s="151"/>
      <c r="MJ23" s="151"/>
      <c r="MK23" s="151"/>
      <c r="ML23" s="151"/>
      <c r="MM23" s="151"/>
      <c r="MN23" s="151"/>
      <c r="MO23" s="151"/>
      <c r="MP23" s="151"/>
      <c r="MQ23" s="151"/>
      <c r="MR23" s="151"/>
      <c r="MS23" s="151"/>
      <c r="MT23" s="151"/>
      <c r="MU23" s="151"/>
      <c r="MV23" s="151"/>
      <c r="MW23" s="151"/>
      <c r="MX23" s="151"/>
      <c r="MY23" s="151"/>
      <c r="MZ23" s="151"/>
      <c r="NA23" s="151"/>
      <c r="NB23" s="151"/>
      <c r="NC23" s="151"/>
      <c r="ND23" s="151"/>
      <c r="NE23" s="151"/>
      <c r="NF23" s="151"/>
      <c r="NG23" s="151"/>
      <c r="NH23" s="151"/>
      <c r="NI23" s="151"/>
      <c r="NJ23" s="151"/>
      <c r="NK23" s="151"/>
      <c r="NL23" s="151"/>
      <c r="NM23" s="151"/>
      <c r="NN23" s="151"/>
      <c r="NO23" s="151"/>
      <c r="NP23" s="151"/>
      <c r="NQ23" s="151"/>
      <c r="NR23" s="151"/>
      <c r="NS23" s="151"/>
      <c r="NT23" s="151"/>
      <c r="NU23" s="151"/>
      <c r="NV23" s="151"/>
      <c r="NW23" s="151"/>
      <c r="NX23" s="151"/>
      <c r="NY23" s="151"/>
      <c r="NZ23" s="151"/>
      <c r="OA23" s="151"/>
      <c r="OB23" s="151"/>
      <c r="OC23" s="151"/>
      <c r="OD23" s="151"/>
      <c r="OE23" s="151"/>
      <c r="OF23" s="151"/>
      <c r="OG23" s="151"/>
      <c r="OH23" s="151"/>
      <c r="OI23" s="151"/>
      <c r="OJ23" s="151"/>
      <c r="OK23" s="151"/>
      <c r="OL23" s="151"/>
      <c r="OM23" s="151"/>
      <c r="ON23" s="151"/>
      <c r="OO23" s="151"/>
      <c r="OP23" s="151"/>
      <c r="OQ23" s="151"/>
      <c r="OR23" s="151"/>
      <c r="OS23" s="151"/>
      <c r="OT23" s="151"/>
      <c r="OU23" s="151"/>
      <c r="OV23" s="151"/>
      <c r="OW23" s="151"/>
      <c r="OX23" s="151"/>
      <c r="OY23" s="151"/>
      <c r="OZ23" s="151"/>
      <c r="PA23" s="151"/>
      <c r="PB23" s="151"/>
      <c r="PC23" s="151"/>
      <c r="PD23" s="151"/>
      <c r="PE23" s="151"/>
      <c r="PF23" s="151"/>
      <c r="PG23" s="151"/>
      <c r="PH23" s="151"/>
      <c r="PI23" s="151"/>
      <c r="PJ23" s="151"/>
      <c r="PK23" s="151"/>
      <c r="PL23" s="151"/>
      <c r="PM23" s="151"/>
      <c r="PN23" s="151"/>
      <c r="PO23" s="151"/>
      <c r="PP23" s="151"/>
      <c r="PQ23" s="151"/>
      <c r="PR23" s="151"/>
      <c r="PS23" s="151"/>
      <c r="PT23" s="151"/>
      <c r="PU23" s="151"/>
      <c r="PV23" s="151"/>
      <c r="PW23" s="151"/>
      <c r="PX23" s="151"/>
      <c r="PY23" s="151"/>
      <c r="PZ23" s="151"/>
      <c r="QA23" s="151"/>
      <c r="QB23" s="151"/>
      <c r="QC23" s="151"/>
      <c r="QD23" s="151"/>
      <c r="QE23" s="151"/>
      <c r="QF23" s="151"/>
      <c r="QG23" s="151"/>
      <c r="QH23" s="151"/>
      <c r="QI23" s="151"/>
      <c r="QJ23" s="151"/>
      <c r="QK23" s="151"/>
      <c r="QL23" s="151"/>
      <c r="QM23" s="151"/>
      <c r="QN23" s="151"/>
      <c r="QO23" s="151"/>
      <c r="QP23" s="151"/>
      <c r="QQ23" s="151"/>
      <c r="QR23" s="151"/>
      <c r="QS23" s="151"/>
      <c r="QT23" s="151"/>
      <c r="QU23" s="151"/>
      <c r="QV23" s="151"/>
      <c r="QW23" s="151"/>
      <c r="QX23" s="151"/>
      <c r="QY23" s="151"/>
      <c r="QZ23" s="151"/>
      <c r="RA23" s="151"/>
      <c r="RB23" s="151"/>
      <c r="RC23" s="151"/>
      <c r="RD23" s="151"/>
      <c r="RE23" s="151"/>
      <c r="RF23" s="151"/>
      <c r="RG23" s="151"/>
      <c r="RH23" s="151"/>
      <c r="RI23" s="151"/>
      <c r="RJ23" s="151"/>
      <c r="RK23" s="151"/>
      <c r="RL23" s="151"/>
      <c r="RM23" s="151"/>
      <c r="RN23" s="151"/>
      <c r="RO23" s="151"/>
      <c r="RP23" s="151"/>
      <c r="RQ23" s="151"/>
      <c r="RR23" s="151"/>
      <c r="RS23" s="151"/>
      <c r="RT23" s="151"/>
      <c r="RU23" s="151"/>
      <c r="RV23" s="151"/>
      <c r="RW23" s="151"/>
      <c r="RX23" s="151"/>
      <c r="RY23" s="151"/>
      <c r="RZ23" s="151"/>
      <c r="SA23" s="151"/>
      <c r="SB23" s="151"/>
      <c r="SC23" s="151"/>
      <c r="SD23" s="151"/>
      <c r="SE23" s="151"/>
      <c r="SF23" s="151"/>
      <c r="SG23" s="151"/>
      <c r="SH23" s="151"/>
      <c r="SI23" s="151"/>
      <c r="SJ23" s="151"/>
      <c r="SK23" s="151"/>
      <c r="SL23" s="151"/>
      <c r="SM23" s="151"/>
      <c r="SN23" s="151"/>
      <c r="SO23" s="151"/>
      <c r="SP23" s="151"/>
      <c r="SQ23" s="151"/>
      <c r="SR23" s="151"/>
      <c r="SS23" s="151"/>
    </row>
    <row r="24" spans="1:513" s="155" customFormat="1" ht="14.5" outlineLevel="1" x14ac:dyDescent="0.35">
      <c r="B24" s="155" t="s">
        <v>870</v>
      </c>
      <c r="D24" s="156">
        <f t="shared" ref="D24:AD24" si="117">SUM(D18:D22)</f>
        <v>0</v>
      </c>
      <c r="E24" s="156">
        <f>SUM(E18:E22)</f>
        <v>-913323</v>
      </c>
      <c r="F24" s="156">
        <f t="shared" si="117"/>
        <v>375951</v>
      </c>
      <c r="G24" s="156">
        <f t="shared" si="117"/>
        <v>271357</v>
      </c>
      <c r="H24" s="156">
        <f t="shared" si="117"/>
        <v>-93023</v>
      </c>
      <c r="I24" s="156">
        <f t="shared" si="117"/>
        <v>126709</v>
      </c>
      <c r="J24" s="156">
        <f t="shared" si="117"/>
        <v>302312</v>
      </c>
      <c r="K24" s="156">
        <f t="shared" si="117"/>
        <v>455765</v>
      </c>
      <c r="L24" s="156">
        <f t="shared" si="117"/>
        <v>49083</v>
      </c>
      <c r="M24" s="156">
        <f t="shared" si="117"/>
        <v>85659</v>
      </c>
      <c r="N24" s="157">
        <f t="shared" si="117"/>
        <v>268883</v>
      </c>
      <c r="O24" s="157">
        <f t="shared" si="117"/>
        <v>406495</v>
      </c>
      <c r="P24" s="157">
        <f t="shared" si="117"/>
        <v>162068</v>
      </c>
      <c r="Q24" s="157">
        <f>SUM(Q18:Q22)</f>
        <v>-189483</v>
      </c>
      <c r="R24" s="157">
        <f>SUM(R18:R22)</f>
        <v>537342</v>
      </c>
      <c r="S24" s="157">
        <f t="shared" si="117"/>
        <v>-142418</v>
      </c>
      <c r="T24" s="157">
        <f>SUM(T18:T22)</f>
        <v>178100</v>
      </c>
      <c r="U24" s="204">
        <f>SUM(U18:U22)</f>
        <v>77705</v>
      </c>
      <c r="V24" s="204">
        <f>SUM(V18:V21)</f>
        <v>904142</v>
      </c>
      <c r="W24" s="204">
        <f>SUM(W18:W22)</f>
        <v>61974</v>
      </c>
      <c r="X24" s="204">
        <f>SUM(X18:X22)</f>
        <v>498868</v>
      </c>
      <c r="Y24" s="204">
        <f t="shared" si="117"/>
        <v>143415</v>
      </c>
      <c r="Z24" s="204">
        <f>SUM(Z18:Z22)</f>
        <v>36055</v>
      </c>
      <c r="AA24" s="204">
        <f t="shared" si="117"/>
        <v>686562</v>
      </c>
      <c r="AB24" s="156">
        <f t="shared" si="117"/>
        <v>41758</v>
      </c>
      <c r="AC24" s="204">
        <f>SUM(AC18:AC22)</f>
        <v>240466</v>
      </c>
      <c r="AD24" s="204">
        <f t="shared" si="117"/>
        <v>-209261</v>
      </c>
      <c r="AE24" s="156">
        <f>SUM(AE18:AE22)</f>
        <v>462318</v>
      </c>
      <c r="AF24" s="156">
        <f>SUM(AF18:AF22)</f>
        <v>315255</v>
      </c>
      <c r="AG24" s="156">
        <f t="shared" ref="AG24:BL24" si="118">SUM(AG18:AG22)</f>
        <v>356757</v>
      </c>
      <c r="AH24" s="156">
        <f t="shared" si="118"/>
        <v>-239972</v>
      </c>
      <c r="AI24" s="156">
        <f>SUM(AI18:AI22)</f>
        <v>1003448</v>
      </c>
      <c r="AJ24" s="204">
        <f t="shared" si="118"/>
        <v>320405.2899999998</v>
      </c>
      <c r="AK24" s="204">
        <f>SUM(AK18:AK22)</f>
        <v>18063.840000000084</v>
      </c>
      <c r="AL24" s="204">
        <f t="shared" si="118"/>
        <v>-232334.79999999981</v>
      </c>
      <c r="AM24" s="204">
        <f>SUM(AM18:AM22)</f>
        <v>615711.76</v>
      </c>
      <c r="AN24" s="156">
        <f>SUM(AN18:AN22)</f>
        <v>234484.63999999873</v>
      </c>
      <c r="AO24" s="157">
        <f t="shared" si="118"/>
        <v>1736082.3600000013</v>
      </c>
      <c r="AP24" s="157">
        <f t="shared" si="118"/>
        <v>954194.19999999925</v>
      </c>
      <c r="AQ24" s="157">
        <f t="shared" si="118"/>
        <v>40225.140000000596</v>
      </c>
      <c r="AR24" s="157">
        <f t="shared" si="118"/>
        <v>780380.66999999993</v>
      </c>
      <c r="AS24" s="157">
        <f t="shared" si="118"/>
        <v>787367.11000000127</v>
      </c>
      <c r="AT24" s="157">
        <f t="shared" si="118"/>
        <v>277328.6099999994</v>
      </c>
      <c r="AU24" s="157">
        <f t="shared" si="118"/>
        <v>1043212.9199999999</v>
      </c>
      <c r="AV24" s="157">
        <f t="shared" si="118"/>
        <v>884295.07220324501</v>
      </c>
      <c r="AW24" s="157">
        <f t="shared" si="118"/>
        <v>-516232.35220324434</v>
      </c>
      <c r="AX24" s="157">
        <f t="shared" si="118"/>
        <v>1285069.5199999996</v>
      </c>
      <c r="AY24" s="157">
        <f t="shared" si="118"/>
        <v>503323.40000000026</v>
      </c>
      <c r="AZ24" s="157">
        <f t="shared" si="118"/>
        <v>932855.42999999563</v>
      </c>
      <c r="BA24" s="157">
        <f t="shared" si="118"/>
        <v>1554790.2600000035</v>
      </c>
      <c r="BB24" s="157">
        <f t="shared" si="118"/>
        <v>589693.80000000075</v>
      </c>
      <c r="BC24" s="157">
        <f>SUM(BC18:BC22)</f>
        <v>413064.75</v>
      </c>
      <c r="BD24" s="157">
        <f t="shared" si="118"/>
        <v>1108164.9699999988</v>
      </c>
      <c r="BE24" s="157">
        <f t="shared" si="118"/>
        <v>577516.15000000037</v>
      </c>
      <c r="BF24" s="157">
        <f>SUM(BF18:BF22)</f>
        <v>795426.99000000022</v>
      </c>
      <c r="BG24" s="157">
        <f t="shared" si="118"/>
        <v>455023.61000000034</v>
      </c>
      <c r="BH24" s="157">
        <f>SUM(BH18:BH22)</f>
        <v>-213935.12999999989</v>
      </c>
      <c r="BI24" s="157">
        <f t="shared" si="118"/>
        <v>1632001.879999999</v>
      </c>
      <c r="BJ24" s="157">
        <f t="shared" si="118"/>
        <v>469122.8900000006</v>
      </c>
      <c r="BK24" s="157">
        <f>SUM(BK18:BK22)</f>
        <v>876394</v>
      </c>
      <c r="BL24" s="157">
        <f t="shared" si="118"/>
        <v>604597.00290947407</v>
      </c>
      <c r="BM24" s="157">
        <f t="shared" ref="BM24:BX24" si="119">SUM(BM18:BM22)</f>
        <v>-686983.5629094746</v>
      </c>
      <c r="BN24" s="157">
        <f t="shared" si="119"/>
        <v>1209245.5700000003</v>
      </c>
      <c r="BO24" s="157">
        <f t="shared" si="119"/>
        <v>902657.29</v>
      </c>
      <c r="BP24" s="157">
        <f t="shared" si="119"/>
        <v>886882.83000000007</v>
      </c>
      <c r="BQ24" s="157">
        <f t="shared" si="119"/>
        <v>-333272.93999999948</v>
      </c>
      <c r="BR24" s="157">
        <f>SUM(BR18:BR22)</f>
        <v>904968.97999999952</v>
      </c>
      <c r="BS24" s="157">
        <f>SUM(BS18:BS22)</f>
        <v>-530047.89246349037</v>
      </c>
      <c r="BT24" s="157">
        <f>SUM(BT18:BT22)</f>
        <v>415594.91975756083</v>
      </c>
      <c r="BU24" s="157">
        <f t="shared" si="119"/>
        <v>644261.17330373917</v>
      </c>
      <c r="BV24" s="157">
        <f t="shared" si="119"/>
        <v>661932.53303060029</v>
      </c>
      <c r="BW24" s="204">
        <f>SUM(BW18:BW22)</f>
        <v>796006.18686080445</v>
      </c>
      <c r="BX24" s="157">
        <f t="shared" si="119"/>
        <v>528500.19898112724</v>
      </c>
      <c r="BY24" s="157">
        <f t="shared" ref="BY24:BZ24" si="120">SUM(BY18:BY22)</f>
        <v>-242302.36492469115</v>
      </c>
      <c r="BZ24" s="157">
        <f t="shared" si="120"/>
        <v>1187925.1110215425</v>
      </c>
      <c r="CA24" s="157">
        <f>SUM(CA18:CA22)</f>
        <v>591909.146435712</v>
      </c>
      <c r="CB24" s="157">
        <f>SUM(CB18:CB22)</f>
        <v>-153383.203846524</v>
      </c>
      <c r="CC24" s="204">
        <f>SUM(CC18:CC23)</f>
        <v>790411.638833954</v>
      </c>
      <c r="CD24" s="204">
        <f t="shared" ref="CD24:CI24" si="121">SUM(CD18:CD23)</f>
        <v>615623.75458453596</v>
      </c>
      <c r="CE24" s="157">
        <f>SUM(CE18:CE23)</f>
        <v>-777170.26698002685</v>
      </c>
      <c r="CF24" s="157">
        <f>SUM(CF18:CF23)</f>
        <v>1375198.5309429304</v>
      </c>
      <c r="CG24" s="157">
        <f t="shared" si="121"/>
        <v>326790.28647249378</v>
      </c>
      <c r="CH24" s="157">
        <f t="shared" si="121"/>
        <v>382579.47186660161</v>
      </c>
      <c r="CI24" s="157">
        <f t="shared" si="121"/>
        <v>694559.33260622807</v>
      </c>
      <c r="CJ24" s="157">
        <f>SUM(CJ18:CJ23)</f>
        <v>-271757.15898519242</v>
      </c>
      <c r="CK24" s="204">
        <f t="shared" ref="CK24:CL24" si="122">SUM(CK18:CK23)</f>
        <v>796908.33567723958</v>
      </c>
      <c r="CL24" s="204">
        <f t="shared" si="122"/>
        <v>306916.47671772307</v>
      </c>
      <c r="CM24" s="204">
        <f t="shared" ref="CM24:CN24" si="123">SUM(CM18:CM23)</f>
        <v>266573.99374978431</v>
      </c>
      <c r="CN24" s="204">
        <f t="shared" si="123"/>
        <v>365442.80100412294</v>
      </c>
      <c r="CO24" s="204">
        <f t="shared" ref="CO24:CP24" si="124">SUM(CO18:CO23)</f>
        <v>39466.641939414665</v>
      </c>
      <c r="CP24" s="204">
        <f t="shared" si="124"/>
        <v>-109432.37518781517</v>
      </c>
      <c r="CQ24" s="204">
        <f t="shared" ref="CQ24:CU24" si="125">SUM(CQ18:CQ23)</f>
        <v>925439.27959024906</v>
      </c>
      <c r="CR24" s="204">
        <f t="shared" si="125"/>
        <v>16412.01837347215</v>
      </c>
      <c r="CS24" s="204">
        <f t="shared" si="125"/>
        <v>681263.06342706317</v>
      </c>
      <c r="CT24" s="204">
        <f t="shared" si="125"/>
        <v>173732.18047827948</v>
      </c>
      <c r="CU24" s="204">
        <f t="shared" si="125"/>
        <v>1154715.8366462432</v>
      </c>
      <c r="CV24" s="204">
        <f>SUM(CV18:CV23)</f>
        <v>-670667.90219100961</v>
      </c>
      <c r="CW24" s="204">
        <f t="shared" ref="CW24:CX24" si="126">SUM(CW18:CW23)</f>
        <v>30614.432728008833</v>
      </c>
      <c r="CX24" s="204">
        <f t="shared" si="126"/>
        <v>653303.25041267695</v>
      </c>
      <c r="CY24" s="204">
        <f t="shared" ref="CY24:DB24" si="127">SUM(CY18:CY23)</f>
        <v>970760.66314974939</v>
      </c>
      <c r="CZ24" s="204">
        <f t="shared" si="127"/>
        <v>169518.03491542209</v>
      </c>
      <c r="DA24" s="204">
        <f t="shared" si="127"/>
        <v>67129.415325316135</v>
      </c>
      <c r="DB24" s="204">
        <f t="shared" si="127"/>
        <v>301504.41532531613</v>
      </c>
      <c r="DC24" s="135"/>
      <c r="DD24" s="135"/>
      <c r="DE24" s="135"/>
      <c r="DF24" s="135"/>
      <c r="DG24" s="135"/>
      <c r="DH24" s="135"/>
      <c r="DI24" s="135"/>
      <c r="DJ24" s="135"/>
      <c r="DK24" s="135"/>
      <c r="DL24" s="135"/>
      <c r="DM24" s="135"/>
      <c r="DN24" s="135"/>
      <c r="DO24" s="158"/>
      <c r="DP24" s="158"/>
      <c r="DQ24" s="158"/>
      <c r="DR24" s="158"/>
      <c r="DS24" s="158"/>
      <c r="DT24" s="158"/>
      <c r="DU24" s="158"/>
      <c r="DV24" s="158"/>
      <c r="DW24" s="158"/>
      <c r="DX24" s="158"/>
      <c r="DY24" s="158"/>
      <c r="DZ24" s="158"/>
      <c r="EA24" s="158"/>
      <c r="EB24" s="158"/>
      <c r="EC24" s="158"/>
      <c r="ED24" s="158"/>
      <c r="EE24" s="158"/>
      <c r="EF24" s="158"/>
      <c r="EG24" s="158"/>
      <c r="EH24" s="158"/>
      <c r="EI24" s="158"/>
      <c r="EJ24" s="158"/>
      <c r="EK24" s="158"/>
      <c r="EL24" s="158"/>
      <c r="EM24" s="158"/>
      <c r="EN24" s="158"/>
      <c r="EO24" s="158"/>
      <c r="EP24" s="158"/>
      <c r="EQ24" s="158"/>
      <c r="ER24" s="158"/>
      <c r="ES24" s="158"/>
      <c r="ET24" s="158"/>
      <c r="EU24" s="158"/>
      <c r="EV24" s="158"/>
      <c r="EW24" s="158"/>
      <c r="EX24" s="158"/>
      <c r="EY24" s="158"/>
      <c r="EZ24" s="158"/>
      <c r="FA24" s="158"/>
      <c r="FB24" s="158"/>
      <c r="FC24" s="158"/>
      <c r="FD24" s="158"/>
      <c r="FE24" s="158"/>
      <c r="FF24" s="158"/>
      <c r="FG24" s="158"/>
      <c r="FH24" s="158"/>
      <c r="FI24" s="158"/>
      <c r="FJ24" s="158"/>
      <c r="FK24" s="158"/>
      <c r="FL24" s="158"/>
      <c r="FM24" s="158"/>
      <c r="FN24" s="158"/>
      <c r="FO24" s="158"/>
      <c r="FP24" s="158"/>
      <c r="FQ24" s="158"/>
      <c r="FR24" s="158"/>
      <c r="FS24" s="158"/>
      <c r="FT24" s="158"/>
      <c r="FU24" s="158"/>
      <c r="FV24" s="158"/>
      <c r="FW24" s="158"/>
      <c r="FX24" s="158"/>
      <c r="FY24" s="158"/>
      <c r="FZ24" s="158"/>
      <c r="GA24" s="158"/>
      <c r="GB24" s="158"/>
      <c r="GC24" s="158"/>
      <c r="GD24" s="158"/>
      <c r="GE24" s="158"/>
      <c r="GF24" s="158"/>
      <c r="GG24" s="158"/>
      <c r="GH24" s="158"/>
      <c r="GI24" s="158"/>
      <c r="GJ24" s="158"/>
      <c r="GK24" s="158"/>
      <c r="GL24" s="158"/>
      <c r="GM24" s="158"/>
      <c r="GN24" s="158"/>
      <c r="GO24" s="158"/>
      <c r="GP24" s="158"/>
      <c r="GQ24" s="158"/>
      <c r="GR24" s="158"/>
      <c r="GS24" s="158"/>
      <c r="GT24" s="158"/>
      <c r="GU24" s="158"/>
      <c r="GV24" s="158"/>
      <c r="GW24" s="158"/>
      <c r="GX24" s="158"/>
      <c r="GY24" s="158"/>
      <c r="GZ24" s="158"/>
      <c r="HA24" s="158"/>
      <c r="HB24" s="158"/>
      <c r="HC24" s="158"/>
      <c r="HD24" s="158"/>
      <c r="HE24" s="158"/>
      <c r="HF24" s="158"/>
      <c r="HG24" s="158"/>
      <c r="HH24" s="158"/>
      <c r="HI24" s="158"/>
      <c r="HJ24" s="158"/>
      <c r="HK24" s="158"/>
      <c r="HL24" s="158"/>
      <c r="HM24" s="158"/>
      <c r="HN24" s="158"/>
      <c r="HO24" s="158"/>
      <c r="HP24" s="158"/>
      <c r="HQ24" s="158"/>
      <c r="HR24" s="158"/>
      <c r="HS24" s="158"/>
      <c r="HT24" s="158"/>
      <c r="HU24" s="158"/>
      <c r="HV24" s="158"/>
      <c r="HW24" s="158"/>
      <c r="HX24" s="158"/>
      <c r="HY24" s="158"/>
      <c r="HZ24" s="158"/>
      <c r="IA24" s="158"/>
      <c r="IB24" s="158"/>
      <c r="IC24" s="158"/>
      <c r="ID24" s="158"/>
      <c r="IE24" s="158"/>
      <c r="IF24" s="158"/>
      <c r="IG24" s="158"/>
      <c r="IH24" s="158"/>
      <c r="II24" s="158"/>
      <c r="IJ24" s="158"/>
      <c r="IK24" s="158"/>
      <c r="IL24" s="158"/>
      <c r="IM24" s="158"/>
      <c r="IN24" s="158"/>
      <c r="IO24" s="158"/>
      <c r="IP24" s="158"/>
      <c r="IQ24" s="158"/>
      <c r="IR24" s="158"/>
      <c r="IS24" s="158"/>
      <c r="IT24" s="158"/>
      <c r="IU24" s="158"/>
      <c r="IV24" s="158"/>
      <c r="IW24" s="158"/>
      <c r="IX24" s="158"/>
      <c r="IY24" s="158"/>
      <c r="IZ24" s="158"/>
      <c r="JA24" s="158"/>
      <c r="JB24" s="158"/>
      <c r="JC24" s="158"/>
      <c r="JD24" s="158"/>
      <c r="JE24" s="158"/>
      <c r="JF24" s="158"/>
      <c r="JG24" s="158"/>
      <c r="JH24" s="158"/>
      <c r="JI24" s="158"/>
      <c r="JJ24" s="158"/>
      <c r="JK24" s="158"/>
      <c r="JL24" s="158"/>
      <c r="JM24" s="158"/>
      <c r="JN24" s="158"/>
      <c r="JO24" s="158"/>
      <c r="JP24" s="158"/>
      <c r="JQ24" s="158"/>
      <c r="JR24" s="158"/>
      <c r="JS24" s="158"/>
      <c r="JT24" s="158"/>
      <c r="JU24" s="158"/>
      <c r="JV24" s="158"/>
      <c r="JW24" s="158"/>
      <c r="JX24" s="158"/>
      <c r="JY24" s="158"/>
      <c r="JZ24" s="158"/>
      <c r="KA24" s="158"/>
      <c r="KB24" s="158"/>
      <c r="KC24" s="158"/>
      <c r="KD24" s="158"/>
      <c r="KE24" s="158"/>
      <c r="KF24" s="158"/>
      <c r="KG24" s="158"/>
      <c r="KH24" s="158"/>
      <c r="KI24" s="158"/>
      <c r="KJ24" s="158"/>
      <c r="KK24" s="158"/>
      <c r="KL24" s="158"/>
      <c r="KM24" s="158"/>
      <c r="KN24" s="158"/>
      <c r="KO24" s="158"/>
      <c r="KP24" s="158"/>
      <c r="KQ24" s="158"/>
      <c r="KR24" s="158"/>
      <c r="KS24" s="158"/>
      <c r="KT24" s="158"/>
      <c r="KU24" s="158"/>
      <c r="KV24" s="158"/>
      <c r="KW24" s="158"/>
      <c r="KX24" s="158"/>
      <c r="KY24" s="158"/>
      <c r="KZ24" s="158"/>
      <c r="LA24" s="158"/>
      <c r="LB24" s="158"/>
      <c r="LC24" s="158"/>
      <c r="LD24" s="158"/>
      <c r="LE24" s="158"/>
      <c r="LF24" s="158"/>
      <c r="LG24" s="158"/>
      <c r="LH24" s="158"/>
      <c r="LI24" s="158"/>
      <c r="LJ24" s="158"/>
      <c r="LK24" s="158"/>
      <c r="LL24" s="158"/>
      <c r="LM24" s="158"/>
      <c r="LN24" s="158"/>
      <c r="LO24" s="158"/>
      <c r="LP24" s="158"/>
      <c r="LQ24" s="158"/>
      <c r="LR24" s="158"/>
      <c r="LS24" s="158"/>
      <c r="LT24" s="158"/>
      <c r="LU24" s="158"/>
      <c r="LV24" s="158"/>
      <c r="LW24" s="158"/>
      <c r="LX24" s="158"/>
      <c r="LY24" s="158"/>
      <c r="LZ24" s="158"/>
      <c r="MA24" s="158"/>
      <c r="MB24" s="158"/>
      <c r="MC24" s="158"/>
      <c r="MD24" s="158"/>
      <c r="ME24" s="158"/>
      <c r="MF24" s="158"/>
      <c r="MG24" s="158"/>
      <c r="MH24" s="158"/>
      <c r="MI24" s="158"/>
      <c r="MJ24" s="158"/>
      <c r="MK24" s="158"/>
      <c r="ML24" s="158"/>
      <c r="MM24" s="158"/>
      <c r="MN24" s="158"/>
      <c r="MO24" s="158"/>
      <c r="MP24" s="158"/>
      <c r="MQ24" s="158"/>
      <c r="MR24" s="158"/>
      <c r="MS24" s="158"/>
      <c r="MT24" s="158"/>
      <c r="MU24" s="158"/>
      <c r="MV24" s="158"/>
      <c r="MW24" s="158"/>
      <c r="MX24" s="158"/>
      <c r="MY24" s="158"/>
      <c r="MZ24" s="158"/>
      <c r="NA24" s="158"/>
      <c r="NB24" s="158"/>
      <c r="NC24" s="158"/>
      <c r="ND24" s="158"/>
      <c r="NE24" s="158"/>
      <c r="NF24" s="158"/>
      <c r="NG24" s="158"/>
      <c r="NH24" s="158"/>
      <c r="NI24" s="158"/>
      <c r="NJ24" s="158"/>
      <c r="NK24" s="158"/>
      <c r="NL24" s="158"/>
      <c r="NM24" s="158"/>
      <c r="NN24" s="158"/>
      <c r="NO24" s="158"/>
      <c r="NP24" s="158"/>
      <c r="NQ24" s="158"/>
      <c r="NR24" s="158"/>
      <c r="NS24" s="158"/>
      <c r="NT24" s="158"/>
      <c r="NU24" s="158"/>
      <c r="NV24" s="158"/>
      <c r="NW24" s="158"/>
      <c r="NX24" s="158"/>
      <c r="NY24" s="158"/>
      <c r="NZ24" s="158"/>
      <c r="OA24" s="158"/>
      <c r="OB24" s="158"/>
      <c r="OC24" s="158"/>
      <c r="OD24" s="158"/>
      <c r="OE24" s="158"/>
      <c r="OF24" s="158"/>
      <c r="OG24" s="158"/>
      <c r="OH24" s="158"/>
      <c r="OI24" s="158"/>
      <c r="OJ24" s="158"/>
      <c r="OK24" s="158"/>
      <c r="OL24" s="158"/>
      <c r="OM24" s="158"/>
      <c r="ON24" s="158"/>
      <c r="OO24" s="158"/>
      <c r="OP24" s="158"/>
      <c r="OQ24" s="158"/>
      <c r="OR24" s="158"/>
      <c r="OS24" s="158"/>
      <c r="OT24" s="158"/>
      <c r="OU24" s="158"/>
      <c r="OV24" s="158"/>
      <c r="OW24" s="158"/>
      <c r="OX24" s="158"/>
      <c r="OY24" s="158"/>
      <c r="OZ24" s="158"/>
      <c r="PA24" s="158"/>
      <c r="PB24" s="158"/>
      <c r="PC24" s="158"/>
      <c r="PD24" s="158"/>
      <c r="PE24" s="158"/>
      <c r="PF24" s="158"/>
      <c r="PG24" s="158"/>
      <c r="PH24" s="158"/>
      <c r="PI24" s="158"/>
      <c r="PJ24" s="158"/>
      <c r="PK24" s="158"/>
      <c r="PL24" s="158"/>
      <c r="PM24" s="158"/>
      <c r="PN24" s="158"/>
      <c r="PO24" s="158"/>
      <c r="PP24" s="158"/>
      <c r="PQ24" s="158"/>
      <c r="PR24" s="158"/>
      <c r="PS24" s="158"/>
      <c r="PT24" s="158"/>
      <c r="PU24" s="158"/>
      <c r="PV24" s="158"/>
      <c r="PW24" s="158"/>
      <c r="PX24" s="158"/>
      <c r="PY24" s="158"/>
      <c r="PZ24" s="158"/>
      <c r="QA24" s="158"/>
      <c r="QB24" s="158"/>
      <c r="QC24" s="158"/>
      <c r="QD24" s="158"/>
      <c r="QE24" s="158"/>
      <c r="QF24" s="158"/>
      <c r="QG24" s="158"/>
      <c r="QH24" s="158"/>
      <c r="QI24" s="158"/>
      <c r="QJ24" s="158"/>
      <c r="QK24" s="158"/>
      <c r="QL24" s="158"/>
      <c r="QM24" s="158"/>
      <c r="QN24" s="158"/>
      <c r="QO24" s="158"/>
      <c r="QP24" s="158"/>
      <c r="QQ24" s="158"/>
      <c r="QR24" s="158"/>
      <c r="QS24" s="158"/>
      <c r="QT24" s="158"/>
      <c r="QU24" s="158"/>
      <c r="QV24" s="158"/>
      <c r="QW24" s="158"/>
      <c r="QX24" s="158"/>
      <c r="QY24" s="158"/>
      <c r="QZ24" s="158"/>
      <c r="RA24" s="158"/>
      <c r="RB24" s="158"/>
      <c r="RC24" s="158"/>
      <c r="RD24" s="158"/>
      <c r="RE24" s="158"/>
      <c r="RF24" s="158"/>
      <c r="RG24" s="158"/>
      <c r="RH24" s="158"/>
      <c r="RI24" s="158"/>
      <c r="RJ24" s="158"/>
      <c r="RK24" s="158"/>
      <c r="RL24" s="158"/>
      <c r="RM24" s="158"/>
      <c r="RN24" s="158"/>
      <c r="RO24" s="158"/>
      <c r="RP24" s="158"/>
      <c r="RQ24" s="158"/>
      <c r="RR24" s="158"/>
      <c r="RS24" s="158"/>
      <c r="RT24" s="158"/>
      <c r="RU24" s="158"/>
      <c r="RV24" s="158"/>
      <c r="RW24" s="158"/>
      <c r="RX24" s="158"/>
      <c r="RY24" s="158"/>
      <c r="RZ24" s="158"/>
      <c r="SA24" s="158"/>
      <c r="SB24" s="158"/>
      <c r="SC24" s="158"/>
      <c r="SD24" s="158"/>
      <c r="SE24" s="158"/>
      <c r="SF24" s="158"/>
      <c r="SG24" s="158"/>
      <c r="SH24" s="158"/>
      <c r="SI24" s="158"/>
      <c r="SJ24" s="158"/>
      <c r="SK24" s="158"/>
      <c r="SL24" s="158"/>
      <c r="SM24" s="158"/>
      <c r="SN24" s="158"/>
      <c r="SO24" s="158"/>
      <c r="SP24" s="158"/>
      <c r="SQ24" s="158"/>
      <c r="SR24" s="158"/>
      <c r="SS24" s="158"/>
    </row>
    <row r="25" spans="1:513" s="149" customFormat="1" ht="14.5" x14ac:dyDescent="0.35">
      <c r="N25" s="153"/>
      <c r="O25" s="153"/>
      <c r="P25" s="153"/>
      <c r="Q25" s="153"/>
      <c r="R25" s="153"/>
      <c r="S25" s="153"/>
      <c r="T25" s="153"/>
      <c r="U25" s="203"/>
      <c r="V25" s="203"/>
      <c r="W25" s="203"/>
      <c r="X25" s="205"/>
      <c r="Y25" s="205"/>
      <c r="Z25" s="205"/>
      <c r="AA25" s="205"/>
      <c r="AB25" s="160"/>
      <c r="AC25" s="205"/>
      <c r="AD25" s="205"/>
      <c r="AE25" s="160"/>
      <c r="AF25" s="160"/>
      <c r="AG25" s="160"/>
      <c r="AH25" s="160"/>
      <c r="AI25" s="160"/>
      <c r="AJ25" s="205"/>
      <c r="AK25" s="205"/>
      <c r="AL25" s="205"/>
      <c r="AM25" s="205"/>
      <c r="AN25" s="160"/>
      <c r="AO25" s="159"/>
      <c r="AP25" s="159"/>
      <c r="AQ25" s="159"/>
      <c r="AR25" s="159"/>
      <c r="AS25" s="159"/>
      <c r="AT25" s="159"/>
      <c r="AU25" s="159"/>
      <c r="AV25" s="159"/>
      <c r="AW25" s="159"/>
      <c r="AX25" s="159"/>
      <c r="AY25" s="159"/>
      <c r="AZ25" s="159"/>
      <c r="BA25" s="159"/>
      <c r="BB25" s="159"/>
      <c r="BC25" s="159"/>
      <c r="BD25" s="159"/>
      <c r="BE25" s="159"/>
      <c r="BF25" s="159"/>
      <c r="BG25" s="159"/>
      <c r="BH25" s="159"/>
      <c r="BI25" s="159"/>
      <c r="BJ25" s="159"/>
      <c r="BK25" s="159"/>
      <c r="BL25" s="159"/>
      <c r="BM25" s="159"/>
      <c r="BN25" s="159"/>
      <c r="BO25" s="159"/>
      <c r="BP25" s="159"/>
      <c r="BQ25" s="159"/>
      <c r="BR25" s="159"/>
      <c r="BS25" s="159"/>
      <c r="BT25" s="159"/>
      <c r="BU25" s="159"/>
      <c r="BV25" s="159"/>
      <c r="BW25" s="205"/>
      <c r="BX25" s="159"/>
      <c r="BY25" s="135"/>
      <c r="BZ25" s="135"/>
      <c r="CA25" s="135"/>
      <c r="CB25" s="135"/>
      <c r="CC25" s="135"/>
      <c r="CD25" s="135"/>
      <c r="CE25" s="135"/>
      <c r="CF25" s="135"/>
      <c r="CG25" s="135"/>
      <c r="CH25" s="135"/>
      <c r="CI25" s="135"/>
      <c r="CJ25" s="135"/>
      <c r="CK25" s="135"/>
      <c r="CL25" s="135"/>
      <c r="CM25" s="135"/>
      <c r="CN25" s="135"/>
      <c r="CO25" s="135"/>
      <c r="CP25" s="135"/>
      <c r="CQ25" s="135"/>
      <c r="CR25" s="135"/>
      <c r="CS25" s="135"/>
      <c r="CT25" s="135"/>
      <c r="CU25" s="135"/>
      <c r="CV25" s="135"/>
      <c r="CW25" s="135"/>
      <c r="CX25" s="135"/>
      <c r="CY25" s="135"/>
      <c r="CZ25" s="135"/>
      <c r="DA25" s="135"/>
      <c r="DB25" s="135"/>
      <c r="DC25" s="135"/>
      <c r="DD25" s="135"/>
      <c r="DE25" s="135"/>
      <c r="DF25" s="135"/>
      <c r="DG25" s="135"/>
      <c r="DH25" s="135"/>
      <c r="DI25" s="135"/>
      <c r="DJ25" s="135"/>
      <c r="DK25" s="135"/>
      <c r="DL25" s="135"/>
      <c r="DM25" s="135"/>
      <c r="DN25" s="135"/>
      <c r="DO25" s="151"/>
      <c r="DP25" s="151"/>
      <c r="DQ25" s="151"/>
      <c r="DR25" s="151"/>
      <c r="DS25" s="151"/>
      <c r="DT25" s="151"/>
      <c r="DU25" s="151"/>
      <c r="DV25" s="151"/>
      <c r="DW25" s="151"/>
      <c r="DX25" s="151"/>
      <c r="DY25" s="151"/>
      <c r="DZ25" s="151"/>
      <c r="EA25" s="151"/>
      <c r="EB25" s="151"/>
      <c r="EC25" s="151"/>
      <c r="ED25" s="151"/>
      <c r="EE25" s="151"/>
      <c r="EF25" s="151"/>
      <c r="EG25" s="151"/>
      <c r="EH25" s="151"/>
      <c r="EI25" s="151"/>
      <c r="EJ25" s="151"/>
      <c r="EK25" s="151"/>
      <c r="EL25" s="151"/>
      <c r="EM25" s="151"/>
      <c r="EN25" s="151"/>
      <c r="EO25" s="151"/>
      <c r="EP25" s="151"/>
      <c r="EQ25" s="151"/>
      <c r="ER25" s="151"/>
      <c r="ES25" s="151"/>
      <c r="ET25" s="151"/>
      <c r="EU25" s="151"/>
      <c r="EV25" s="151"/>
      <c r="EW25" s="151"/>
      <c r="EX25" s="151"/>
      <c r="EY25" s="151"/>
      <c r="EZ25" s="151"/>
      <c r="FA25" s="151"/>
      <c r="FB25" s="151"/>
      <c r="FC25" s="151"/>
      <c r="FD25" s="151"/>
      <c r="FE25" s="151"/>
      <c r="FF25" s="151"/>
      <c r="FG25" s="151"/>
      <c r="FH25" s="151"/>
      <c r="FI25" s="151"/>
      <c r="FJ25" s="151"/>
      <c r="FK25" s="151"/>
      <c r="FL25" s="151"/>
      <c r="FM25" s="151"/>
      <c r="FN25" s="151"/>
      <c r="FO25" s="151"/>
      <c r="FP25" s="151"/>
      <c r="FQ25" s="151"/>
      <c r="FR25" s="151"/>
      <c r="FS25" s="151"/>
      <c r="FT25" s="151"/>
      <c r="FU25" s="151"/>
      <c r="FV25" s="151"/>
      <c r="FW25" s="151"/>
      <c r="FX25" s="151"/>
      <c r="FY25" s="151"/>
      <c r="FZ25" s="151"/>
      <c r="GA25" s="151"/>
      <c r="GB25" s="151"/>
      <c r="GC25" s="151"/>
      <c r="GD25" s="151"/>
      <c r="GE25" s="151"/>
      <c r="GF25" s="151"/>
      <c r="GG25" s="151"/>
      <c r="GH25" s="151"/>
      <c r="GI25" s="151"/>
      <c r="GJ25" s="151"/>
      <c r="GK25" s="151"/>
      <c r="GL25" s="151"/>
      <c r="GM25" s="151"/>
      <c r="GN25" s="151"/>
      <c r="GO25" s="151"/>
      <c r="GP25" s="151"/>
      <c r="GQ25" s="151"/>
      <c r="GR25" s="151"/>
      <c r="GS25" s="151"/>
      <c r="GT25" s="151"/>
      <c r="GU25" s="151"/>
      <c r="GV25" s="151"/>
      <c r="GW25" s="151"/>
      <c r="GX25" s="151"/>
      <c r="GY25" s="151"/>
      <c r="GZ25" s="151"/>
      <c r="HA25" s="151"/>
      <c r="HB25" s="151"/>
      <c r="HC25" s="151"/>
      <c r="HD25" s="151"/>
      <c r="HE25" s="151"/>
      <c r="HF25" s="151"/>
      <c r="HG25" s="151"/>
      <c r="HH25" s="151"/>
      <c r="HI25" s="151"/>
      <c r="HJ25" s="151"/>
      <c r="HK25" s="151"/>
      <c r="HL25" s="151"/>
      <c r="HM25" s="151"/>
      <c r="HN25" s="151"/>
      <c r="HO25" s="151"/>
      <c r="HP25" s="151"/>
      <c r="HQ25" s="151"/>
      <c r="HR25" s="151"/>
      <c r="HS25" s="151"/>
      <c r="HT25" s="151"/>
      <c r="HU25" s="151"/>
      <c r="HV25" s="151"/>
      <c r="HW25" s="151"/>
      <c r="HX25" s="151"/>
      <c r="HY25" s="151"/>
      <c r="HZ25" s="151"/>
      <c r="IA25" s="151"/>
      <c r="IB25" s="151"/>
      <c r="IC25" s="151"/>
      <c r="ID25" s="151"/>
      <c r="IE25" s="151"/>
      <c r="IF25" s="151"/>
      <c r="IG25" s="151"/>
      <c r="IH25" s="151"/>
      <c r="II25" s="151"/>
      <c r="IJ25" s="151"/>
      <c r="IK25" s="151"/>
      <c r="IL25" s="151"/>
      <c r="IM25" s="151"/>
      <c r="IN25" s="151"/>
      <c r="IO25" s="151"/>
      <c r="IP25" s="151"/>
      <c r="IQ25" s="151"/>
      <c r="IR25" s="151"/>
      <c r="IS25" s="151"/>
      <c r="IT25" s="151"/>
      <c r="IU25" s="151"/>
      <c r="IV25" s="151"/>
      <c r="IW25" s="151"/>
      <c r="IX25" s="151"/>
      <c r="IY25" s="151"/>
      <c r="IZ25" s="151"/>
      <c r="JA25" s="151"/>
      <c r="JB25" s="151"/>
      <c r="JC25" s="151"/>
      <c r="JD25" s="151"/>
      <c r="JE25" s="151"/>
      <c r="JF25" s="151"/>
      <c r="JG25" s="151"/>
      <c r="JH25" s="151"/>
      <c r="JI25" s="151"/>
      <c r="JJ25" s="151"/>
      <c r="JK25" s="151"/>
      <c r="JL25" s="151"/>
      <c r="JM25" s="151"/>
      <c r="JN25" s="151"/>
      <c r="JO25" s="151"/>
      <c r="JP25" s="151"/>
      <c r="JQ25" s="151"/>
      <c r="JR25" s="151"/>
      <c r="JS25" s="151"/>
      <c r="JT25" s="151"/>
      <c r="JU25" s="151"/>
      <c r="JV25" s="151"/>
      <c r="JW25" s="151"/>
      <c r="JX25" s="151"/>
      <c r="JY25" s="151"/>
      <c r="JZ25" s="151"/>
      <c r="KA25" s="151"/>
      <c r="KB25" s="151"/>
      <c r="KC25" s="151"/>
      <c r="KD25" s="151"/>
      <c r="KE25" s="151"/>
      <c r="KF25" s="151"/>
      <c r="KG25" s="151"/>
      <c r="KH25" s="151"/>
      <c r="KI25" s="151"/>
      <c r="KJ25" s="151"/>
      <c r="KK25" s="151"/>
      <c r="KL25" s="151"/>
      <c r="KM25" s="151"/>
      <c r="KN25" s="151"/>
      <c r="KO25" s="151"/>
      <c r="KP25" s="151"/>
      <c r="KQ25" s="151"/>
      <c r="KR25" s="151"/>
      <c r="KS25" s="151"/>
      <c r="KT25" s="151"/>
      <c r="KU25" s="151"/>
      <c r="KV25" s="151"/>
      <c r="KW25" s="151"/>
      <c r="KX25" s="151"/>
      <c r="KY25" s="151"/>
      <c r="KZ25" s="151"/>
      <c r="LA25" s="151"/>
      <c r="LB25" s="151"/>
      <c r="LC25" s="151"/>
      <c r="LD25" s="151"/>
      <c r="LE25" s="151"/>
      <c r="LF25" s="151"/>
      <c r="LG25" s="151"/>
      <c r="LH25" s="151"/>
      <c r="LI25" s="151"/>
      <c r="LJ25" s="151"/>
      <c r="LK25" s="151"/>
      <c r="LL25" s="151"/>
      <c r="LM25" s="151"/>
      <c r="LN25" s="151"/>
      <c r="LO25" s="151"/>
      <c r="LP25" s="151"/>
      <c r="LQ25" s="151"/>
      <c r="LR25" s="151"/>
      <c r="LS25" s="151"/>
      <c r="LT25" s="151"/>
      <c r="LU25" s="151"/>
      <c r="LV25" s="151"/>
      <c r="LW25" s="151"/>
      <c r="LX25" s="151"/>
      <c r="LY25" s="151"/>
      <c r="LZ25" s="151"/>
      <c r="MA25" s="151"/>
      <c r="MB25" s="151"/>
      <c r="MC25" s="151"/>
      <c r="MD25" s="151"/>
      <c r="ME25" s="151"/>
      <c r="MF25" s="151"/>
      <c r="MG25" s="151"/>
      <c r="MH25" s="151"/>
      <c r="MI25" s="151"/>
      <c r="MJ25" s="151"/>
      <c r="MK25" s="151"/>
      <c r="ML25" s="151"/>
      <c r="MM25" s="151"/>
      <c r="MN25" s="151"/>
      <c r="MO25" s="151"/>
      <c r="MP25" s="151"/>
      <c r="MQ25" s="151"/>
      <c r="MR25" s="151"/>
      <c r="MS25" s="151"/>
      <c r="MT25" s="151"/>
      <c r="MU25" s="151"/>
      <c r="MV25" s="151"/>
      <c r="MW25" s="151"/>
      <c r="MX25" s="151"/>
      <c r="MY25" s="151"/>
      <c r="MZ25" s="151"/>
      <c r="NA25" s="151"/>
      <c r="NB25" s="151"/>
      <c r="NC25" s="151"/>
      <c r="ND25" s="151"/>
      <c r="NE25" s="151"/>
      <c r="NF25" s="151"/>
      <c r="NG25" s="151"/>
      <c r="NH25" s="151"/>
      <c r="NI25" s="151"/>
      <c r="NJ25" s="151"/>
      <c r="NK25" s="151"/>
      <c r="NL25" s="151"/>
      <c r="NM25" s="151"/>
      <c r="NN25" s="151"/>
      <c r="NO25" s="151"/>
      <c r="NP25" s="151"/>
      <c r="NQ25" s="151"/>
      <c r="NR25" s="151"/>
      <c r="NS25" s="151"/>
      <c r="NT25" s="151"/>
      <c r="NU25" s="151"/>
      <c r="NV25" s="151"/>
      <c r="NW25" s="151"/>
      <c r="NX25" s="151"/>
      <c r="NY25" s="151"/>
      <c r="NZ25" s="151"/>
      <c r="OA25" s="151"/>
      <c r="OB25" s="151"/>
      <c r="OC25" s="151"/>
      <c r="OD25" s="151"/>
      <c r="OE25" s="151"/>
      <c r="OF25" s="151"/>
      <c r="OG25" s="151"/>
      <c r="OH25" s="151"/>
      <c r="OI25" s="151"/>
      <c r="OJ25" s="151"/>
      <c r="OK25" s="151"/>
      <c r="OL25" s="151"/>
      <c r="OM25" s="151"/>
      <c r="ON25" s="151"/>
      <c r="OO25" s="151"/>
      <c r="OP25" s="151"/>
      <c r="OQ25" s="151"/>
      <c r="OR25" s="151"/>
      <c r="OS25" s="151"/>
      <c r="OT25" s="151"/>
      <c r="OU25" s="151"/>
      <c r="OV25" s="151"/>
      <c r="OW25" s="151"/>
      <c r="OX25" s="151"/>
      <c r="OY25" s="151"/>
      <c r="OZ25" s="151"/>
      <c r="PA25" s="151"/>
      <c r="PB25" s="151"/>
      <c r="PC25" s="151"/>
      <c r="PD25" s="151"/>
      <c r="PE25" s="151"/>
      <c r="PF25" s="151"/>
      <c r="PG25" s="151"/>
      <c r="PH25" s="151"/>
      <c r="PI25" s="151"/>
      <c r="PJ25" s="151"/>
      <c r="PK25" s="151"/>
      <c r="PL25" s="151"/>
      <c r="PM25" s="151"/>
      <c r="PN25" s="151"/>
      <c r="PO25" s="151"/>
      <c r="PP25" s="151"/>
      <c r="PQ25" s="151"/>
      <c r="PR25" s="151"/>
      <c r="PS25" s="151"/>
      <c r="PT25" s="151"/>
      <c r="PU25" s="151"/>
      <c r="PV25" s="151"/>
      <c r="PW25" s="151"/>
      <c r="PX25" s="151"/>
      <c r="PY25" s="151"/>
      <c r="PZ25" s="151"/>
      <c r="QA25" s="151"/>
      <c r="QB25" s="151"/>
      <c r="QC25" s="151"/>
      <c r="QD25" s="151"/>
      <c r="QE25" s="151"/>
      <c r="QF25" s="151"/>
      <c r="QG25" s="151"/>
      <c r="QH25" s="151"/>
      <c r="QI25" s="151"/>
      <c r="QJ25" s="151"/>
      <c r="QK25" s="151"/>
      <c r="QL25" s="151"/>
      <c r="QM25" s="151"/>
      <c r="QN25" s="151"/>
      <c r="QO25" s="151"/>
      <c r="QP25" s="151"/>
      <c r="QQ25" s="151"/>
      <c r="QR25" s="151"/>
      <c r="QS25" s="151"/>
      <c r="QT25" s="151"/>
      <c r="QU25" s="151"/>
      <c r="QV25" s="151"/>
      <c r="QW25" s="151"/>
      <c r="QX25" s="151"/>
      <c r="QY25" s="151"/>
      <c r="QZ25" s="151"/>
      <c r="RA25" s="151"/>
      <c r="RB25" s="151"/>
      <c r="RC25" s="151"/>
      <c r="RD25" s="151"/>
      <c r="RE25" s="151"/>
      <c r="RF25" s="151"/>
      <c r="RG25" s="151"/>
      <c r="RH25" s="151"/>
      <c r="RI25" s="151"/>
      <c r="RJ25" s="151"/>
      <c r="RK25" s="151"/>
      <c r="RL25" s="151"/>
      <c r="RM25" s="151"/>
      <c r="RN25" s="151"/>
      <c r="RO25" s="151"/>
      <c r="RP25" s="151"/>
      <c r="RQ25" s="151"/>
      <c r="RR25" s="151"/>
      <c r="RS25" s="151"/>
      <c r="RT25" s="151"/>
      <c r="RU25" s="151"/>
      <c r="RV25" s="151"/>
      <c r="RW25" s="151"/>
      <c r="RX25" s="151"/>
      <c r="RY25" s="151"/>
      <c r="RZ25" s="151"/>
      <c r="SA25" s="151"/>
      <c r="SB25" s="151"/>
      <c r="SC25" s="151"/>
      <c r="SD25" s="151"/>
      <c r="SE25" s="151"/>
      <c r="SF25" s="151"/>
      <c r="SG25" s="151"/>
      <c r="SH25" s="151"/>
      <c r="SI25" s="151"/>
      <c r="SJ25" s="151"/>
      <c r="SK25" s="151"/>
      <c r="SL25" s="151"/>
      <c r="SM25" s="151"/>
      <c r="SN25" s="151"/>
      <c r="SO25" s="151"/>
      <c r="SP25" s="151"/>
      <c r="SQ25" s="151"/>
      <c r="SR25" s="151"/>
      <c r="SS25" s="151"/>
    </row>
    <row r="26" spans="1:513" s="164" customFormat="1" ht="14.5" x14ac:dyDescent="0.35">
      <c r="A26" s="155"/>
      <c r="B26" s="201" t="s">
        <v>871</v>
      </c>
      <c r="C26" s="161"/>
      <c r="D26" s="161"/>
      <c r="E26" s="161"/>
      <c r="F26" s="161"/>
      <c r="G26" s="161"/>
      <c r="H26" s="162"/>
      <c r="I26" s="162"/>
      <c r="J26" s="162"/>
      <c r="K26" s="162"/>
      <c r="L26" s="162"/>
      <c r="M26" s="162"/>
      <c r="N26" s="163"/>
      <c r="O26" s="163"/>
      <c r="P26" s="163">
        <f>SUM(E24:P24)/12</f>
        <v>124828</v>
      </c>
      <c r="Q26" s="163">
        <f t="shared" ref="Q26:BL26" si="128">SUM(F24:Q24)/12</f>
        <v>185148</v>
      </c>
      <c r="R26" s="163">
        <f t="shared" si="128"/>
        <v>198597.25</v>
      </c>
      <c r="S26" s="163">
        <f t="shared" si="128"/>
        <v>164116</v>
      </c>
      <c r="T26" s="163">
        <f t="shared" si="128"/>
        <v>186709.58333333334</v>
      </c>
      <c r="U26" s="206">
        <f t="shared" si="128"/>
        <v>182625.91666666666</v>
      </c>
      <c r="V26" s="204">
        <f t="shared" si="128"/>
        <v>232778.41666666666</v>
      </c>
      <c r="W26" s="204">
        <f t="shared" si="128"/>
        <v>199962.5</v>
      </c>
      <c r="X26" s="204">
        <f t="shared" si="128"/>
        <v>237444.58333333334</v>
      </c>
      <c r="Y26" s="204">
        <f t="shared" si="128"/>
        <v>242257.58333333334</v>
      </c>
      <c r="Z26" s="204">
        <f t="shared" si="128"/>
        <v>222855.25</v>
      </c>
      <c r="AA26" s="204">
        <f t="shared" si="128"/>
        <v>246194.16666666666</v>
      </c>
      <c r="AB26" s="156">
        <f t="shared" si="128"/>
        <v>236168.33333333334</v>
      </c>
      <c r="AC26" s="204">
        <f t="shared" si="128"/>
        <v>271997.41666666669</v>
      </c>
      <c r="AD26" s="204">
        <f>SUM(S24:AD24)/12</f>
        <v>209780.5</v>
      </c>
      <c r="AE26" s="156">
        <f t="shared" si="128"/>
        <v>260175.16666666666</v>
      </c>
      <c r="AF26" s="156">
        <f t="shared" si="128"/>
        <v>271604.75</v>
      </c>
      <c r="AG26" s="156">
        <f t="shared" si="128"/>
        <v>294859.08333333331</v>
      </c>
      <c r="AH26" s="156">
        <f t="shared" si="128"/>
        <v>199516.25</v>
      </c>
      <c r="AI26" s="156">
        <f t="shared" si="128"/>
        <v>277972.41666666669</v>
      </c>
      <c r="AJ26" s="204">
        <f t="shared" si="128"/>
        <v>263100.52416666667</v>
      </c>
      <c r="AK26" s="204">
        <f t="shared" si="128"/>
        <v>252654.59416666665</v>
      </c>
      <c r="AL26" s="204">
        <f t="shared" si="128"/>
        <v>230288.7775</v>
      </c>
      <c r="AM26" s="204">
        <f t="shared" si="128"/>
        <v>224384.59083333332</v>
      </c>
      <c r="AN26" s="156">
        <f t="shared" si="128"/>
        <v>240445.14416666655</v>
      </c>
      <c r="AO26" s="157">
        <f t="shared" si="128"/>
        <v>365079.84083333332</v>
      </c>
      <c r="AP26" s="157">
        <f t="shared" si="128"/>
        <v>462034.44083333324</v>
      </c>
      <c r="AQ26" s="157">
        <f t="shared" si="128"/>
        <v>426860.03583333333</v>
      </c>
      <c r="AR26" s="157">
        <f t="shared" si="128"/>
        <v>465620.5083333333</v>
      </c>
      <c r="AS26" s="157">
        <f t="shared" si="128"/>
        <v>501504.68416666676</v>
      </c>
      <c r="AT26" s="157">
        <f t="shared" si="128"/>
        <v>544613.06833333336</v>
      </c>
      <c r="AU26" s="157">
        <f t="shared" si="128"/>
        <v>547926.81166666665</v>
      </c>
      <c r="AV26" s="157">
        <f t="shared" si="128"/>
        <v>594917.62685027055</v>
      </c>
      <c r="AW26" s="157">
        <f t="shared" si="128"/>
        <v>550392.94416666671</v>
      </c>
      <c r="AX26" s="157">
        <f t="shared" si="128"/>
        <v>676843.3041666667</v>
      </c>
      <c r="AY26" s="157">
        <f t="shared" si="128"/>
        <v>667477.60750000004</v>
      </c>
      <c r="AZ26" s="157">
        <f t="shared" si="128"/>
        <v>725675.17333333322</v>
      </c>
      <c r="BA26" s="157">
        <f t="shared" si="128"/>
        <v>710567.49833333341</v>
      </c>
      <c r="BB26" s="157">
        <f t="shared" si="128"/>
        <v>680192.4650000002</v>
      </c>
      <c r="BC26" s="157">
        <f t="shared" si="128"/>
        <v>711262.43250000011</v>
      </c>
      <c r="BD26" s="157">
        <f t="shared" si="128"/>
        <v>738577.79083333339</v>
      </c>
      <c r="BE26" s="157">
        <f t="shared" si="128"/>
        <v>721090.21083333332</v>
      </c>
      <c r="BF26" s="157">
        <f t="shared" si="128"/>
        <v>764265.07583333331</v>
      </c>
      <c r="BG26" s="157">
        <f t="shared" si="128"/>
        <v>715249.30000000016</v>
      </c>
      <c r="BH26" s="157">
        <f t="shared" si="128"/>
        <v>623730.11648306297</v>
      </c>
      <c r="BI26" s="157">
        <f t="shared" si="128"/>
        <v>802749.63583333325</v>
      </c>
      <c r="BJ26" s="157">
        <f t="shared" si="128"/>
        <v>734754.08333333337</v>
      </c>
      <c r="BK26" s="157">
        <f t="shared" si="128"/>
        <v>765843.29999999993</v>
      </c>
      <c r="BL26" s="157">
        <f t="shared" si="128"/>
        <v>738488.43107578985</v>
      </c>
      <c r="BM26" s="157">
        <f>SUM(BB24:BM24)/12</f>
        <v>551673.9458333333</v>
      </c>
      <c r="BN26" s="157">
        <f t="shared" ref="BN26" si="129">SUM(BC24:BN24)/12</f>
        <v>603303.25999999989</v>
      </c>
      <c r="BO26" s="157">
        <f t="shared" ref="BO26" si="130">SUM(BD24:BO24)/12</f>
        <v>644102.63833333331</v>
      </c>
      <c r="BP26" s="157">
        <f t="shared" ref="BP26" si="131">SUM(BE24:BP24)/12</f>
        <v>625662.46000000008</v>
      </c>
      <c r="BQ26" s="157">
        <f t="shared" ref="BQ26" si="132">SUM(BF24:BQ24)/12</f>
        <v>549763.36916666676</v>
      </c>
      <c r="BR26" s="157">
        <f t="shared" ref="BR26" si="133">SUM(BG24:BR24)/12</f>
        <v>558891.86833333329</v>
      </c>
      <c r="BS26" s="157">
        <f t="shared" ref="BS26" si="134">SUM(BH24:BS24)/12</f>
        <v>476802.57646137575</v>
      </c>
      <c r="BT26" s="157">
        <f t="shared" ref="BT26" si="135">SUM(BI24:BT24)/12</f>
        <v>529263.41394117253</v>
      </c>
      <c r="BU26" s="157">
        <f t="shared" ref="BU26" si="136">SUM(BJ24:BU24)/12</f>
        <v>446951.68838315085</v>
      </c>
      <c r="BV26" s="157">
        <f t="shared" ref="BV26" si="137">SUM(BK24:BV24)/12</f>
        <v>463019.15863570082</v>
      </c>
      <c r="BW26" s="204">
        <f>SUM(BL24:BW24)/12</f>
        <v>456320.17420743452</v>
      </c>
      <c r="BX26" s="157">
        <f t="shared" ref="BX26" si="138">SUM(BM24:BX24)/12</f>
        <v>449978.77388007223</v>
      </c>
      <c r="BY26" s="156">
        <f t="shared" ref="BY26" si="139">SUM(BN24:BY24)/12</f>
        <v>487035.54037880414</v>
      </c>
      <c r="BZ26" s="156">
        <f t="shared" ref="BZ26" si="140">SUM(BO24:BZ24)/12</f>
        <v>485258.83546393272</v>
      </c>
      <c r="CA26" s="156">
        <f t="shared" ref="CA26" si="141">SUM(BP24:CA24)/12</f>
        <v>459363.1568335754</v>
      </c>
      <c r="CB26" s="156">
        <f t="shared" ref="CB26" si="142">SUM(BQ24:CB24)/12</f>
        <v>372674.32067969843</v>
      </c>
      <c r="CC26" s="156">
        <f t="shared" ref="CC26" si="143">SUM(BR24:CC24)/12</f>
        <v>466314.70224919455</v>
      </c>
      <c r="CD26" s="156">
        <f t="shared" ref="CD26" si="144">SUM(BS24:CD24)/12</f>
        <v>442202.60013123928</v>
      </c>
      <c r="CE26" s="156">
        <f t="shared" ref="CE26" si="145">SUM(BT24:CE24)/12</f>
        <v>421609.06892152783</v>
      </c>
      <c r="CF26" s="156">
        <f t="shared" ref="CF26" si="146">SUM(BU24:CF24)/12</f>
        <v>501576.03652030864</v>
      </c>
      <c r="CG26" s="156">
        <f>SUM(BV24:CG24)/12</f>
        <v>475120.12928437162</v>
      </c>
      <c r="CH26" s="156">
        <f t="shared" ref="CH26" si="147">SUM(BW24:CH24)/12</f>
        <v>451840.70752070501</v>
      </c>
      <c r="CI26" s="156">
        <f>SUM(BX24:CI24)/12</f>
        <v>443386.80299949023</v>
      </c>
      <c r="CJ26" s="156">
        <f t="shared" ref="CJ26" si="148">SUM(BY24:CJ24)/12</f>
        <v>376698.68983563036</v>
      </c>
      <c r="CK26" s="156">
        <f t="shared" ref="CK26" si="149">SUM(BZ24:CK24)/12</f>
        <v>463299.581552458</v>
      </c>
      <c r="CL26" s="156">
        <f t="shared" ref="CL26" si="150">SUM(CA24:CL24)/12</f>
        <v>389882.19536047289</v>
      </c>
      <c r="CM26" s="156">
        <f t="shared" ref="CM26" si="151">SUM(CB24:CM24)/12</f>
        <v>362770.93263664562</v>
      </c>
      <c r="CN26" s="156">
        <f t="shared" ref="CN26" si="152">SUM(CC24:CN24)/12</f>
        <v>406006.43304086616</v>
      </c>
      <c r="CO26" s="156">
        <f t="shared" ref="CO26" si="153">SUM(CD24:CO24)/12</f>
        <v>343427.68329965457</v>
      </c>
      <c r="CP26" s="156">
        <f t="shared" ref="CP26" si="154">SUM(CE24:CP24)/12</f>
        <v>283006.33915195864</v>
      </c>
      <c r="CQ26" s="156">
        <f t="shared" ref="CQ26" si="155">SUM(CF24:CQ24)/12</f>
        <v>424890.46803281497</v>
      </c>
      <c r="CR26" s="156">
        <f t="shared" ref="CR26" si="156">SUM(CG24:CR24)/12</f>
        <v>311658.25865202682</v>
      </c>
      <c r="CS26" s="156">
        <f t="shared" ref="CS26" si="157">SUM(CH24:CS24)/12</f>
        <v>341197.65673157427</v>
      </c>
      <c r="CT26" s="156">
        <f t="shared" ref="CT26" si="158">SUM(CI24:CT24)/12</f>
        <v>323793.71578254743</v>
      </c>
      <c r="CU26" s="156">
        <f t="shared" ref="CU26" si="159">SUM(CJ24:CU24)/12</f>
        <v>362140.09111921536</v>
      </c>
      <c r="CV26" s="156">
        <f>SUM(CK24:CV24)/12</f>
        <v>328897.52918539726</v>
      </c>
      <c r="CW26" s="156">
        <f t="shared" ref="CW26" si="160">SUM(CL24:CW24)/12</f>
        <v>265039.70393962803</v>
      </c>
      <c r="CX26" s="156">
        <f t="shared" ref="CX26" si="161">SUM(CM24:CX24)/12</f>
        <v>293905.2684142075</v>
      </c>
      <c r="CY26" s="156">
        <f t="shared" ref="CY26" si="162">SUM(CN24:CY24)/12</f>
        <v>352587.49086420453</v>
      </c>
      <c r="CZ26" s="156">
        <f t="shared" ref="CZ26" si="163">SUM(CO24:CZ24)/12</f>
        <v>336260.42702347954</v>
      </c>
      <c r="DA26" s="156">
        <f t="shared" ref="DA26" si="164">SUM(CP24:DA24)/12</f>
        <v>338565.65813897131</v>
      </c>
      <c r="DB26" s="156">
        <f t="shared" ref="DB26" si="165">SUM(CQ24:DB24)/12</f>
        <v>372810.39068173227</v>
      </c>
      <c r="DC26" s="135"/>
      <c r="DD26" s="135"/>
      <c r="DE26" s="135"/>
      <c r="DF26" s="135"/>
      <c r="DG26" s="135"/>
      <c r="DH26" s="135"/>
      <c r="DI26" s="135"/>
      <c r="DJ26" s="135"/>
      <c r="DK26" s="135"/>
      <c r="DL26" s="135"/>
      <c r="DM26" s="135"/>
      <c r="DN26" s="135"/>
      <c r="DO26" s="158"/>
      <c r="DP26" s="158"/>
      <c r="DQ26" s="158"/>
      <c r="DR26" s="158"/>
      <c r="DS26" s="158"/>
      <c r="DT26" s="158"/>
      <c r="DU26" s="158"/>
      <c r="DV26" s="158"/>
      <c r="DW26" s="158"/>
      <c r="DX26" s="158"/>
      <c r="DY26" s="158"/>
      <c r="DZ26" s="158"/>
      <c r="EA26" s="158"/>
      <c r="EB26" s="158"/>
      <c r="EC26" s="158"/>
      <c r="ED26" s="158"/>
      <c r="EE26" s="158"/>
      <c r="EF26" s="158"/>
      <c r="EG26" s="158"/>
      <c r="EH26" s="158"/>
      <c r="EI26" s="158"/>
      <c r="EJ26" s="158"/>
      <c r="EK26" s="158"/>
      <c r="EL26" s="158"/>
      <c r="EM26" s="158"/>
      <c r="EN26" s="158"/>
      <c r="EO26" s="158"/>
      <c r="EP26" s="158"/>
      <c r="EQ26" s="158"/>
      <c r="ER26" s="158"/>
      <c r="ES26" s="158"/>
      <c r="ET26" s="158"/>
      <c r="EU26" s="158"/>
      <c r="EV26" s="158"/>
      <c r="EW26" s="158"/>
      <c r="EX26" s="158"/>
      <c r="EY26" s="158"/>
      <c r="EZ26" s="158"/>
      <c r="FA26" s="158"/>
      <c r="FB26" s="158"/>
      <c r="FC26" s="158"/>
      <c r="FD26" s="158"/>
      <c r="FE26" s="158"/>
      <c r="FF26" s="158"/>
      <c r="FG26" s="158"/>
      <c r="FH26" s="158"/>
      <c r="FI26" s="158"/>
      <c r="FJ26" s="158"/>
      <c r="FK26" s="158"/>
      <c r="FL26" s="158"/>
      <c r="FM26" s="158"/>
      <c r="FN26" s="158"/>
      <c r="FO26" s="158"/>
      <c r="FP26" s="158"/>
      <c r="FQ26" s="158"/>
      <c r="FR26" s="158"/>
      <c r="FS26" s="158"/>
      <c r="FT26" s="158"/>
      <c r="FU26" s="158"/>
      <c r="FV26" s="158"/>
      <c r="FW26" s="158"/>
      <c r="FX26" s="158"/>
      <c r="FY26" s="158"/>
      <c r="FZ26" s="158"/>
      <c r="GA26" s="158"/>
      <c r="GB26" s="158"/>
      <c r="GC26" s="158"/>
      <c r="GD26" s="158"/>
      <c r="GE26" s="158"/>
      <c r="GF26" s="158"/>
      <c r="GG26" s="158"/>
      <c r="GH26" s="158"/>
      <c r="GI26" s="158"/>
      <c r="GJ26" s="158"/>
      <c r="GK26" s="158"/>
      <c r="GL26" s="158"/>
      <c r="GM26" s="158"/>
      <c r="GN26" s="158"/>
      <c r="GO26" s="158"/>
      <c r="GP26" s="158"/>
      <c r="GQ26" s="158"/>
      <c r="GR26" s="158"/>
      <c r="GS26" s="158"/>
      <c r="GT26" s="158"/>
      <c r="GU26" s="158"/>
      <c r="GV26" s="158"/>
      <c r="GW26" s="158"/>
      <c r="GX26" s="158"/>
      <c r="GY26" s="158"/>
      <c r="GZ26" s="158"/>
      <c r="HA26" s="158"/>
      <c r="HB26" s="158"/>
      <c r="HC26" s="158"/>
      <c r="HD26" s="158"/>
      <c r="HE26" s="158"/>
      <c r="HF26" s="158"/>
      <c r="HG26" s="158"/>
      <c r="HH26" s="158"/>
      <c r="HI26" s="158"/>
      <c r="HJ26" s="158"/>
      <c r="HK26" s="158"/>
      <c r="HL26" s="158"/>
      <c r="HM26" s="158"/>
      <c r="HN26" s="158"/>
      <c r="HO26" s="158"/>
      <c r="HP26" s="158"/>
      <c r="HQ26" s="158"/>
      <c r="HR26" s="158"/>
      <c r="HS26" s="158"/>
      <c r="HT26" s="158"/>
      <c r="HU26" s="158"/>
      <c r="HV26" s="158"/>
      <c r="HW26" s="158"/>
      <c r="HX26" s="158"/>
      <c r="HY26" s="158"/>
      <c r="HZ26" s="158"/>
      <c r="IA26" s="158"/>
      <c r="IB26" s="158"/>
      <c r="IC26" s="158"/>
      <c r="ID26" s="158"/>
      <c r="IE26" s="158"/>
      <c r="IF26" s="158"/>
      <c r="IG26" s="158"/>
      <c r="IH26" s="158"/>
      <c r="II26" s="158"/>
      <c r="IJ26" s="158"/>
      <c r="IK26" s="158"/>
      <c r="IL26" s="158"/>
      <c r="IM26" s="158"/>
      <c r="IN26" s="158"/>
      <c r="IO26" s="158"/>
      <c r="IP26" s="158"/>
      <c r="IQ26" s="158"/>
      <c r="IR26" s="158"/>
      <c r="IS26" s="158"/>
      <c r="IT26" s="158"/>
      <c r="IU26" s="158"/>
      <c r="IV26" s="158"/>
      <c r="IW26" s="158"/>
      <c r="IX26" s="158"/>
      <c r="IY26" s="158"/>
      <c r="IZ26" s="158"/>
      <c r="JA26" s="158"/>
      <c r="JB26" s="158"/>
      <c r="JC26" s="158"/>
      <c r="JD26" s="158"/>
      <c r="JE26" s="158"/>
      <c r="JF26" s="158"/>
      <c r="JG26" s="158"/>
      <c r="JH26" s="158"/>
      <c r="JI26" s="158"/>
      <c r="JJ26" s="158"/>
      <c r="JK26" s="158"/>
      <c r="JL26" s="158"/>
      <c r="JM26" s="158"/>
      <c r="JN26" s="158"/>
      <c r="JO26" s="158"/>
      <c r="JP26" s="158"/>
      <c r="JQ26" s="158"/>
      <c r="JR26" s="158"/>
      <c r="JS26" s="158"/>
      <c r="JT26" s="158"/>
      <c r="JU26" s="158"/>
      <c r="JV26" s="158"/>
      <c r="JW26" s="158"/>
      <c r="JX26" s="158"/>
      <c r="JY26" s="158"/>
      <c r="JZ26" s="158"/>
      <c r="KA26" s="158"/>
      <c r="KB26" s="158"/>
      <c r="KC26" s="158"/>
      <c r="KD26" s="158"/>
      <c r="KE26" s="158"/>
      <c r="KF26" s="158"/>
      <c r="KG26" s="158"/>
      <c r="KH26" s="158"/>
      <c r="KI26" s="158"/>
      <c r="KJ26" s="158"/>
      <c r="KK26" s="158"/>
      <c r="KL26" s="158"/>
      <c r="KM26" s="158"/>
      <c r="KN26" s="158"/>
      <c r="KO26" s="158"/>
      <c r="KP26" s="158"/>
      <c r="KQ26" s="158"/>
      <c r="KR26" s="158"/>
      <c r="KS26" s="158"/>
      <c r="KT26" s="158"/>
      <c r="KU26" s="158"/>
      <c r="KV26" s="158"/>
      <c r="KW26" s="158"/>
      <c r="KX26" s="158"/>
      <c r="KY26" s="158"/>
      <c r="KZ26" s="158"/>
      <c r="LA26" s="158"/>
      <c r="LB26" s="158"/>
      <c r="LC26" s="158"/>
      <c r="LD26" s="158"/>
      <c r="LE26" s="158"/>
      <c r="LF26" s="158"/>
      <c r="LG26" s="158"/>
      <c r="LH26" s="158"/>
      <c r="LI26" s="158"/>
      <c r="LJ26" s="158"/>
      <c r="LK26" s="158"/>
      <c r="LL26" s="158"/>
      <c r="LM26" s="158"/>
      <c r="LN26" s="158"/>
      <c r="LO26" s="158"/>
      <c r="LP26" s="158"/>
      <c r="LQ26" s="158"/>
      <c r="LR26" s="158"/>
      <c r="LS26" s="158"/>
      <c r="LT26" s="158"/>
      <c r="LU26" s="158"/>
      <c r="LV26" s="158"/>
      <c r="LW26" s="158"/>
      <c r="LX26" s="158"/>
      <c r="LY26" s="158"/>
      <c r="LZ26" s="158"/>
      <c r="MA26" s="158"/>
      <c r="MB26" s="158"/>
      <c r="MC26" s="158"/>
      <c r="MD26" s="158"/>
      <c r="ME26" s="158"/>
      <c r="MF26" s="158"/>
      <c r="MG26" s="158"/>
      <c r="MH26" s="158"/>
      <c r="MI26" s="158"/>
      <c r="MJ26" s="158"/>
      <c r="MK26" s="158"/>
      <c r="ML26" s="158"/>
      <c r="MM26" s="158"/>
      <c r="MN26" s="158"/>
      <c r="MO26" s="158"/>
      <c r="MP26" s="158"/>
      <c r="MQ26" s="158"/>
      <c r="MR26" s="158"/>
      <c r="MS26" s="158"/>
      <c r="MT26" s="158"/>
      <c r="MU26" s="158"/>
      <c r="MV26" s="158"/>
      <c r="MW26" s="158"/>
      <c r="MX26" s="158"/>
      <c r="MY26" s="158"/>
      <c r="MZ26" s="158"/>
      <c r="NA26" s="158"/>
      <c r="NB26" s="158"/>
      <c r="NC26" s="158"/>
      <c r="ND26" s="158"/>
      <c r="NE26" s="158"/>
      <c r="NF26" s="158"/>
      <c r="NG26" s="158"/>
      <c r="NH26" s="158"/>
      <c r="NI26" s="158"/>
      <c r="NJ26" s="158"/>
      <c r="NK26" s="158"/>
      <c r="NL26" s="158"/>
      <c r="NM26" s="158"/>
      <c r="NN26" s="158"/>
      <c r="NO26" s="158"/>
      <c r="NP26" s="158"/>
      <c r="NQ26" s="158"/>
      <c r="NR26" s="158"/>
      <c r="NS26" s="158"/>
      <c r="NT26" s="158"/>
      <c r="NU26" s="158"/>
      <c r="NV26" s="158"/>
      <c r="NW26" s="158"/>
      <c r="NX26" s="158"/>
      <c r="NY26" s="158"/>
      <c r="NZ26" s="158"/>
      <c r="OA26" s="158"/>
      <c r="OB26" s="158"/>
      <c r="OC26" s="158"/>
      <c r="OD26" s="158"/>
      <c r="OE26" s="158"/>
      <c r="OF26" s="158"/>
      <c r="OG26" s="158"/>
      <c r="OH26" s="158"/>
      <c r="OI26" s="158"/>
      <c r="OJ26" s="158"/>
      <c r="OK26" s="158"/>
      <c r="OL26" s="158"/>
      <c r="OM26" s="158"/>
      <c r="ON26" s="158"/>
      <c r="OO26" s="158"/>
      <c r="OP26" s="158"/>
      <c r="OQ26" s="158"/>
      <c r="OR26" s="158"/>
      <c r="OS26" s="158"/>
      <c r="OT26" s="158"/>
      <c r="OU26" s="158"/>
      <c r="OV26" s="158"/>
      <c r="OW26" s="158"/>
      <c r="OX26" s="158"/>
      <c r="OY26" s="158"/>
      <c r="OZ26" s="158"/>
      <c r="PA26" s="158"/>
      <c r="PB26" s="158"/>
      <c r="PC26" s="158"/>
      <c r="PD26" s="158"/>
      <c r="PE26" s="158"/>
      <c r="PF26" s="158"/>
      <c r="PG26" s="158"/>
      <c r="PH26" s="158"/>
      <c r="PI26" s="158"/>
      <c r="PJ26" s="158"/>
      <c r="PK26" s="158"/>
      <c r="PL26" s="158"/>
      <c r="PM26" s="158"/>
      <c r="PN26" s="158"/>
      <c r="PO26" s="158"/>
      <c r="PP26" s="158"/>
      <c r="PQ26" s="158"/>
      <c r="PR26" s="158"/>
      <c r="PS26" s="158"/>
      <c r="PT26" s="158"/>
      <c r="PU26" s="158"/>
      <c r="PV26" s="158"/>
      <c r="PW26" s="158"/>
      <c r="PX26" s="158"/>
      <c r="PY26" s="158"/>
      <c r="PZ26" s="158"/>
      <c r="QA26" s="158"/>
      <c r="QB26" s="158"/>
      <c r="QC26" s="158"/>
      <c r="QD26" s="158"/>
      <c r="QE26" s="158"/>
      <c r="QF26" s="158"/>
      <c r="QG26" s="158"/>
      <c r="QH26" s="158"/>
      <c r="QI26" s="158"/>
      <c r="QJ26" s="158"/>
      <c r="QK26" s="158"/>
      <c r="QL26" s="158"/>
      <c r="QM26" s="158"/>
      <c r="QN26" s="158"/>
      <c r="QO26" s="158"/>
      <c r="QP26" s="158"/>
      <c r="QQ26" s="158"/>
      <c r="QR26" s="158"/>
      <c r="QS26" s="158"/>
      <c r="QT26" s="158"/>
      <c r="QU26" s="158"/>
      <c r="QV26" s="158"/>
      <c r="QW26" s="158"/>
      <c r="QX26" s="158"/>
      <c r="QY26" s="158"/>
      <c r="QZ26" s="158"/>
      <c r="RA26" s="158"/>
      <c r="RB26" s="158"/>
      <c r="RC26" s="158"/>
      <c r="RD26" s="158"/>
      <c r="RE26" s="158"/>
      <c r="RF26" s="158"/>
      <c r="RG26" s="158"/>
      <c r="RH26" s="158"/>
      <c r="RI26" s="158"/>
      <c r="RJ26" s="158"/>
      <c r="RK26" s="158"/>
      <c r="RL26" s="158"/>
      <c r="RM26" s="158"/>
      <c r="RN26" s="158"/>
      <c r="RO26" s="158"/>
      <c r="RP26" s="158"/>
      <c r="RQ26" s="158"/>
      <c r="RR26" s="158"/>
      <c r="RS26" s="158"/>
      <c r="RT26" s="158"/>
      <c r="RU26" s="158"/>
      <c r="RV26" s="158"/>
      <c r="RW26" s="158"/>
      <c r="RX26" s="158"/>
      <c r="RY26" s="158"/>
      <c r="RZ26" s="158"/>
      <c r="SA26" s="158"/>
      <c r="SB26" s="158"/>
      <c r="SC26" s="158"/>
      <c r="SD26" s="158"/>
      <c r="SE26" s="158"/>
      <c r="SF26" s="158"/>
      <c r="SG26" s="158"/>
      <c r="SH26" s="158"/>
      <c r="SI26" s="158"/>
      <c r="SJ26" s="158"/>
      <c r="SK26" s="158"/>
      <c r="SL26" s="158"/>
      <c r="SM26" s="158"/>
      <c r="SN26" s="158"/>
      <c r="SO26" s="158"/>
      <c r="SP26" s="158"/>
      <c r="SQ26" s="158"/>
      <c r="SR26" s="158"/>
      <c r="SS26" s="158"/>
    </row>
    <row r="27" spans="1:513" s="155" customFormat="1" ht="14.5" x14ac:dyDescent="0.35">
      <c r="B27" s="201" t="s">
        <v>872</v>
      </c>
      <c r="C27" s="201"/>
      <c r="D27" s="201"/>
      <c r="E27" s="201"/>
      <c r="F27" s="201"/>
      <c r="G27" s="201"/>
      <c r="H27" s="156"/>
      <c r="I27" s="156"/>
      <c r="J27" s="156"/>
      <c r="K27" s="156"/>
      <c r="L27" s="156"/>
      <c r="M27" s="156"/>
      <c r="N27" s="157"/>
      <c r="O27" s="157">
        <f t="shared" ref="O27:X27" si="166">SUM(J24:O24)/6</f>
        <v>261366.16666666666</v>
      </c>
      <c r="P27" s="157">
        <f t="shared" si="166"/>
        <v>237992.16666666666</v>
      </c>
      <c r="Q27" s="157">
        <f t="shared" si="166"/>
        <v>130450.83333333333</v>
      </c>
      <c r="R27" s="157">
        <f t="shared" si="166"/>
        <v>211827.33333333334</v>
      </c>
      <c r="S27" s="157">
        <f t="shared" si="166"/>
        <v>173814.5</v>
      </c>
      <c r="T27" s="157">
        <f t="shared" si="166"/>
        <v>158684</v>
      </c>
      <c r="U27" s="204">
        <f t="shared" si="166"/>
        <v>103885.66666666667</v>
      </c>
      <c r="V27" s="204">
        <f t="shared" si="166"/>
        <v>227564.66666666666</v>
      </c>
      <c r="W27" s="204">
        <f t="shared" si="166"/>
        <v>269474.16666666669</v>
      </c>
      <c r="X27" s="204">
        <f t="shared" si="166"/>
        <v>263061.83333333331</v>
      </c>
      <c r="Y27" s="204">
        <f t="shared" ref="Y27:AE27" si="167">SUM(T24:Y24)/6</f>
        <v>310700.66666666669</v>
      </c>
      <c r="Z27" s="204">
        <f t="shared" si="167"/>
        <v>287026.5</v>
      </c>
      <c r="AA27" s="204">
        <f t="shared" si="167"/>
        <v>388502.66666666669</v>
      </c>
      <c r="AB27" s="156">
        <f t="shared" si="167"/>
        <v>244772</v>
      </c>
      <c r="AC27" s="204">
        <f>SUM(X24:AC24)/6</f>
        <v>274520.66666666669</v>
      </c>
      <c r="AD27" s="204">
        <f t="shared" si="167"/>
        <v>156499.16666666666</v>
      </c>
      <c r="AE27" s="156">
        <f t="shared" si="167"/>
        <v>209649.66666666666</v>
      </c>
      <c r="AF27" s="156">
        <f t="shared" ref="AF27:BL27" si="168">SUM(AA24:AF24)/6</f>
        <v>256183</v>
      </c>
      <c r="AG27" s="156">
        <f t="shared" si="168"/>
        <v>201215.5</v>
      </c>
      <c r="AH27" s="156">
        <f t="shared" si="168"/>
        <v>154260.5</v>
      </c>
      <c r="AI27" s="156">
        <f t="shared" si="168"/>
        <v>281424.16666666669</v>
      </c>
      <c r="AJ27" s="204">
        <f t="shared" si="168"/>
        <v>369701.88166666665</v>
      </c>
      <c r="AK27" s="204">
        <f t="shared" si="168"/>
        <v>295659.52166666667</v>
      </c>
      <c r="AL27" s="204">
        <f t="shared" si="168"/>
        <v>204394.55500000002</v>
      </c>
      <c r="AM27" s="204">
        <f t="shared" si="168"/>
        <v>247553.68166666667</v>
      </c>
      <c r="AN27" s="156">
        <f t="shared" si="168"/>
        <v>326629.78833333316</v>
      </c>
      <c r="AO27" s="157">
        <f t="shared" si="168"/>
        <v>448735.51499999996</v>
      </c>
      <c r="AP27" s="157">
        <f t="shared" si="168"/>
        <v>554366.99999999988</v>
      </c>
      <c r="AQ27" s="157">
        <f t="shared" si="168"/>
        <v>558060.54999999993</v>
      </c>
      <c r="AR27" s="157">
        <f t="shared" si="168"/>
        <v>726846.46166666655</v>
      </c>
      <c r="AS27" s="157">
        <f t="shared" si="168"/>
        <v>755455.68666666688</v>
      </c>
      <c r="AT27" s="157">
        <f t="shared" si="168"/>
        <v>762596.34833333362</v>
      </c>
      <c r="AU27" s="157">
        <f t="shared" si="168"/>
        <v>647118.1083333334</v>
      </c>
      <c r="AV27" s="157">
        <f t="shared" si="168"/>
        <v>635468.25370054098</v>
      </c>
      <c r="AW27" s="157">
        <f t="shared" si="168"/>
        <v>542725.33833333349</v>
      </c>
      <c r="AX27" s="157">
        <f t="shared" si="168"/>
        <v>626840.14666666684</v>
      </c>
      <c r="AY27" s="157">
        <f t="shared" si="168"/>
        <v>579499.52833333332</v>
      </c>
      <c r="AZ27" s="157">
        <f t="shared" si="168"/>
        <v>688753.99833333271</v>
      </c>
      <c r="BA27" s="157">
        <f t="shared" si="168"/>
        <v>774016.88833333331</v>
      </c>
      <c r="BB27" s="157">
        <f t="shared" si="168"/>
        <v>724916.6762994593</v>
      </c>
      <c r="BC27" s="157">
        <f>SUM(AX24:BC24)/6</f>
        <v>879799.52666666673</v>
      </c>
      <c r="BD27" s="157">
        <f>SUM(AY24:BD24)/6</f>
        <v>850315.43499999994</v>
      </c>
      <c r="BE27" s="157">
        <f t="shared" si="168"/>
        <v>862680.8933333332</v>
      </c>
      <c r="BF27" s="157">
        <f>SUM(BA24:BF24)/6</f>
        <v>839776.1533333339</v>
      </c>
      <c r="BG27" s="157">
        <f>SUM(BB24:BG24)/6</f>
        <v>656481.71166666679</v>
      </c>
      <c r="BH27" s="157">
        <f t="shared" si="168"/>
        <v>522543.55666666664</v>
      </c>
      <c r="BI27" s="157">
        <f>SUM(BD24:BI24)/6</f>
        <v>725699.74499999976</v>
      </c>
      <c r="BJ27" s="157">
        <f t="shared" si="168"/>
        <v>619192.7316666668</v>
      </c>
      <c r="BK27" s="157">
        <f>SUM(BF24:BK24)/6</f>
        <v>669005.70666666667</v>
      </c>
      <c r="BL27" s="157">
        <f t="shared" si="168"/>
        <v>637200.70881824568</v>
      </c>
      <c r="BM27" s="157">
        <f>SUM(BH24:BM24)/6</f>
        <v>446866.17999999988</v>
      </c>
      <c r="BN27" s="157">
        <f t="shared" ref="BN27" si="169">SUM(BI24:BN24)/6</f>
        <v>684062.96333333326</v>
      </c>
      <c r="BO27" s="157">
        <f>SUM(BJ24:BO24)/6</f>
        <v>562505.53166666673</v>
      </c>
      <c r="BP27" s="157">
        <f t="shared" ref="BP27" si="170">SUM(BK24:BP24)/6</f>
        <v>632132.18833333335</v>
      </c>
      <c r="BQ27" s="157">
        <f t="shared" ref="BQ27" si="171">SUM(BL24:BQ24)/6</f>
        <v>430521.03166666673</v>
      </c>
      <c r="BR27" s="157">
        <f t="shared" ref="BR27" si="172">SUM(BM24:BR24)/6</f>
        <v>480583.02784842096</v>
      </c>
      <c r="BS27" s="157">
        <f>SUM(BN24:BS24)/6</f>
        <v>506738.97292275168</v>
      </c>
      <c r="BT27" s="157">
        <f>SUM(BO24:BT24)/6</f>
        <v>374463.86454901175</v>
      </c>
      <c r="BU27" s="157">
        <f>SUM(BP24:BU24)/6</f>
        <v>331397.84509963496</v>
      </c>
      <c r="BV27" s="157">
        <f t="shared" ref="BV27" si="173">SUM(BQ24:BV24)/6</f>
        <v>293906.12893806834</v>
      </c>
      <c r="BW27" s="204">
        <f t="shared" ref="BW27" si="174">SUM(BR24:BW24)/6</f>
        <v>482119.31674820231</v>
      </c>
      <c r="BX27" s="157">
        <f>SUM(BS24:BX24)/6</f>
        <v>419374.51991172362</v>
      </c>
      <c r="BY27" s="156">
        <f t="shared" ref="BY27:CJ27" si="175">SUM(BT24:BY24)/6</f>
        <v>467332.10783485678</v>
      </c>
      <c r="BZ27" s="156">
        <f t="shared" si="175"/>
        <v>596053.80637885374</v>
      </c>
      <c r="CA27" s="156">
        <f t="shared" si="175"/>
        <v>587328.46856751584</v>
      </c>
      <c r="CB27" s="156">
        <f t="shared" si="175"/>
        <v>451442.51242132852</v>
      </c>
      <c r="CC27" s="156">
        <f t="shared" si="175"/>
        <v>450510.08775018674</v>
      </c>
      <c r="CD27" s="156">
        <f t="shared" si="175"/>
        <v>465030.68035075488</v>
      </c>
      <c r="CE27" s="156">
        <f>SUM(BZ24:CE24)/6</f>
        <v>375886.03000819893</v>
      </c>
      <c r="CF27" s="156">
        <f>SUM(CA24:CF24)/6</f>
        <v>407098.2666617636</v>
      </c>
      <c r="CG27" s="156">
        <f>SUM(CB24:CG24)/6</f>
        <v>362911.79000122723</v>
      </c>
      <c r="CH27" s="156">
        <f t="shared" si="175"/>
        <v>452238.9026200815</v>
      </c>
      <c r="CI27" s="156">
        <f>SUM(CD24:CI24)/6</f>
        <v>436263.51824879384</v>
      </c>
      <c r="CJ27" s="156">
        <f t="shared" si="175"/>
        <v>288366.69932050578</v>
      </c>
      <c r="CK27" s="156">
        <f>SUM(CF24:CK24)/6</f>
        <v>550713.13309671683</v>
      </c>
      <c r="CL27" s="156">
        <f t="shared" ref="CL27" si="176">SUM(CG24:CL24)/6</f>
        <v>372666.1240591823</v>
      </c>
      <c r="CM27" s="156">
        <f t="shared" ref="CM27" si="177">SUM(CH24:CM24)/6</f>
        <v>362630.07527206402</v>
      </c>
      <c r="CN27" s="156">
        <f t="shared" ref="CN27" si="178">SUM(CI24:CN24)/6</f>
        <v>359773.96346165094</v>
      </c>
      <c r="CO27" s="156">
        <f t="shared" ref="CO27" si="179">SUM(CJ24:CO24)/6</f>
        <v>250591.84835051536</v>
      </c>
      <c r="CP27" s="156">
        <f>SUM(CK24:CP24)/6</f>
        <v>277645.97898341157</v>
      </c>
      <c r="CQ27" s="156">
        <f t="shared" ref="CQ27" si="180">SUM(CL24:CQ24)/6</f>
        <v>299067.80296891317</v>
      </c>
      <c r="CR27" s="156">
        <f t="shared" ref="CR27" si="181">SUM(CM24:CR24)/6</f>
        <v>250650.39324487132</v>
      </c>
      <c r="CS27" s="156">
        <f t="shared" ref="CS27" si="182">SUM(CN24:CS24)/6</f>
        <v>319765.23819108447</v>
      </c>
      <c r="CT27" s="156">
        <f t="shared" ref="CT27" si="183">SUM(CO24:CT24)/6</f>
        <v>287813.46810344391</v>
      </c>
      <c r="CU27" s="156">
        <f t="shared" ref="CU27" si="184">SUM(CP24:CU24)/6</f>
        <v>473688.3338879153</v>
      </c>
      <c r="CV27" s="156">
        <f>SUM(CQ24:CV24)/6</f>
        <v>380149.0793873829</v>
      </c>
      <c r="CW27" s="156">
        <f t="shared" ref="CW27:CX27" si="185">SUM(CR24:CW24)/6</f>
        <v>231011.60491034287</v>
      </c>
      <c r="CX27" s="156">
        <f t="shared" si="185"/>
        <v>337160.14358354366</v>
      </c>
      <c r="CY27" s="156">
        <f t="shared" ref="CY27" si="186">SUM(CT24:CY24)/6</f>
        <v>385409.74353732471</v>
      </c>
      <c r="CZ27" s="156">
        <f>SUM(CU24:CZ24)/6</f>
        <v>384707.38594351517</v>
      </c>
      <c r="DA27" s="156">
        <f>SUM(CV24:DA24)/6</f>
        <v>203442.98239002729</v>
      </c>
      <c r="DB27" s="156">
        <f>SUM(CW24:DB24)/6</f>
        <v>365471.70197608159</v>
      </c>
      <c r="DC27" s="135"/>
      <c r="DD27" s="135"/>
      <c r="DE27" s="135"/>
      <c r="DF27" s="135"/>
      <c r="DG27" s="135"/>
      <c r="DH27" s="135"/>
      <c r="DI27" s="135"/>
      <c r="DJ27" s="135"/>
      <c r="DK27" s="135"/>
      <c r="DL27" s="135"/>
      <c r="DM27" s="135"/>
      <c r="DN27" s="135"/>
    </row>
    <row r="28" spans="1:513" s="149" customFormat="1" ht="14.5" x14ac:dyDescent="0.35">
      <c r="B28" s="165" t="s">
        <v>873</v>
      </c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41"/>
      <c r="O28" s="141"/>
      <c r="P28" s="141"/>
      <c r="Q28" s="141"/>
      <c r="R28" s="141"/>
      <c r="S28" s="141"/>
      <c r="T28" s="141"/>
      <c r="U28" s="142"/>
      <c r="V28" s="167"/>
      <c r="W28" s="167"/>
      <c r="X28" s="167"/>
      <c r="Y28" s="167"/>
      <c r="Z28" s="167"/>
      <c r="AA28" s="167"/>
      <c r="AB28" s="166"/>
      <c r="AC28" s="167"/>
      <c r="AD28" s="167"/>
      <c r="AE28" s="168"/>
      <c r="AF28" s="168"/>
      <c r="AG28" s="168"/>
      <c r="AH28" s="168"/>
      <c r="AI28" s="168"/>
      <c r="AJ28" s="167"/>
      <c r="AK28" s="167"/>
      <c r="AL28" s="167"/>
      <c r="AM28" s="167"/>
      <c r="AN28" s="168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7"/>
      <c r="BX28" s="166"/>
      <c r="BY28" s="166"/>
      <c r="BZ28" s="166"/>
      <c r="CA28" s="166"/>
      <c r="CB28" s="166"/>
      <c r="CC28" s="167"/>
      <c r="CD28" s="167"/>
      <c r="CE28" s="166"/>
      <c r="CF28" s="166"/>
      <c r="CG28" s="166"/>
      <c r="CH28" s="166"/>
      <c r="CI28" s="166"/>
      <c r="CJ28" s="166"/>
      <c r="CK28" s="167"/>
      <c r="CL28" s="167"/>
      <c r="CM28" s="167"/>
      <c r="CN28" s="167"/>
      <c r="CO28" s="167"/>
      <c r="CP28" s="167"/>
      <c r="CQ28" s="167"/>
      <c r="CR28" s="167"/>
      <c r="CS28" s="167"/>
      <c r="CT28" s="167"/>
      <c r="CU28" s="167"/>
      <c r="CV28" s="167"/>
      <c r="CW28" s="167"/>
      <c r="CX28" s="167"/>
      <c r="CY28" s="167"/>
      <c r="CZ28" s="167"/>
      <c r="DA28" s="167"/>
      <c r="DB28" s="167"/>
      <c r="DC28" s="135"/>
      <c r="DD28" s="135"/>
      <c r="DE28" s="135"/>
      <c r="DF28" s="135"/>
      <c r="DG28" s="135"/>
      <c r="DH28" s="135"/>
      <c r="DI28" s="135"/>
      <c r="DJ28" s="135"/>
      <c r="DK28" s="135"/>
      <c r="DL28" s="135"/>
      <c r="DM28" s="135"/>
      <c r="DN28" s="135"/>
      <c r="DO28" s="151"/>
      <c r="DP28" s="151"/>
      <c r="DQ28" s="151"/>
      <c r="DR28" s="151"/>
      <c r="DS28" s="151"/>
      <c r="DT28" s="151"/>
      <c r="DU28" s="151"/>
      <c r="DV28" s="151"/>
      <c r="DW28" s="151"/>
      <c r="DX28" s="151"/>
      <c r="DY28" s="151"/>
      <c r="DZ28" s="151"/>
      <c r="EA28" s="151"/>
      <c r="EB28" s="151"/>
      <c r="EC28" s="151"/>
      <c r="ED28" s="151"/>
      <c r="EE28" s="151"/>
      <c r="EF28" s="151"/>
      <c r="EG28" s="151"/>
      <c r="EH28" s="151"/>
      <c r="EI28" s="151"/>
      <c r="EJ28" s="151"/>
      <c r="EK28" s="151"/>
      <c r="EL28" s="151"/>
      <c r="EM28" s="151"/>
      <c r="EN28" s="151"/>
      <c r="EO28" s="151"/>
      <c r="EP28" s="151"/>
      <c r="EQ28" s="151"/>
      <c r="ER28" s="151"/>
      <c r="ES28" s="151"/>
      <c r="ET28" s="151"/>
      <c r="EU28" s="151"/>
      <c r="EV28" s="151"/>
      <c r="EW28" s="151"/>
      <c r="EX28" s="151"/>
      <c r="EY28" s="151"/>
      <c r="EZ28" s="151"/>
      <c r="FA28" s="151"/>
      <c r="FB28" s="151"/>
      <c r="FC28" s="151"/>
      <c r="FD28" s="151"/>
      <c r="FE28" s="151"/>
      <c r="FF28" s="151"/>
      <c r="FG28" s="151"/>
      <c r="FH28" s="151"/>
      <c r="FI28" s="151"/>
      <c r="FJ28" s="151"/>
      <c r="FK28" s="151"/>
      <c r="FL28" s="151"/>
      <c r="FM28" s="151"/>
      <c r="FN28" s="151"/>
      <c r="FO28" s="151"/>
      <c r="FP28" s="151"/>
      <c r="FQ28" s="151"/>
      <c r="FR28" s="151"/>
      <c r="FS28" s="151"/>
      <c r="FT28" s="151"/>
      <c r="FU28" s="151"/>
      <c r="FV28" s="151"/>
      <c r="FW28" s="151"/>
      <c r="FX28" s="151"/>
      <c r="FY28" s="151"/>
      <c r="FZ28" s="151"/>
      <c r="GA28" s="151"/>
      <c r="GB28" s="151"/>
      <c r="GC28" s="151"/>
      <c r="GD28" s="151"/>
      <c r="GE28" s="151"/>
      <c r="GF28" s="151"/>
      <c r="GG28" s="151"/>
      <c r="GH28" s="151"/>
      <c r="GI28" s="151"/>
      <c r="GJ28" s="151"/>
      <c r="GK28" s="151"/>
      <c r="GL28" s="151"/>
      <c r="GM28" s="151"/>
      <c r="GN28" s="151"/>
      <c r="GO28" s="151"/>
      <c r="GP28" s="151"/>
      <c r="GQ28" s="151"/>
      <c r="GR28" s="151"/>
      <c r="GS28" s="151"/>
      <c r="GT28" s="151"/>
      <c r="GU28" s="151"/>
      <c r="GV28" s="151"/>
      <c r="GW28" s="151"/>
      <c r="GX28" s="151"/>
      <c r="GY28" s="151"/>
      <c r="GZ28" s="151"/>
      <c r="HA28" s="151"/>
      <c r="HB28" s="151"/>
      <c r="HC28" s="151"/>
      <c r="HD28" s="151"/>
      <c r="HE28" s="151"/>
      <c r="HF28" s="151"/>
      <c r="HG28" s="151"/>
      <c r="HH28" s="151"/>
      <c r="HI28" s="151"/>
      <c r="HJ28" s="151"/>
      <c r="HK28" s="151"/>
      <c r="HL28" s="151"/>
      <c r="HM28" s="151"/>
      <c r="HN28" s="151"/>
      <c r="HO28" s="151"/>
      <c r="HP28" s="151"/>
      <c r="HQ28" s="151"/>
      <c r="HR28" s="151"/>
      <c r="HS28" s="151"/>
      <c r="HT28" s="151"/>
      <c r="HU28" s="151"/>
      <c r="HV28" s="151"/>
      <c r="HW28" s="151"/>
      <c r="HX28" s="151"/>
      <c r="HY28" s="151"/>
      <c r="HZ28" s="151"/>
      <c r="IA28" s="151"/>
      <c r="IB28" s="151"/>
      <c r="IC28" s="151"/>
      <c r="ID28" s="151"/>
      <c r="IE28" s="151"/>
      <c r="IF28" s="151"/>
      <c r="IG28" s="151"/>
      <c r="IH28" s="151"/>
      <c r="II28" s="151"/>
      <c r="IJ28" s="151"/>
      <c r="IK28" s="151"/>
      <c r="IL28" s="151"/>
      <c r="IM28" s="151"/>
      <c r="IN28" s="151"/>
      <c r="IO28" s="151"/>
      <c r="IP28" s="151"/>
      <c r="IQ28" s="151"/>
      <c r="IR28" s="151"/>
      <c r="IS28" s="151"/>
      <c r="IT28" s="151"/>
      <c r="IU28" s="151"/>
      <c r="IV28" s="151"/>
      <c r="IW28" s="151"/>
      <c r="IX28" s="151"/>
      <c r="IY28" s="151"/>
      <c r="IZ28" s="151"/>
      <c r="JA28" s="151"/>
      <c r="JB28" s="151"/>
      <c r="JC28" s="151"/>
      <c r="JD28" s="151"/>
      <c r="JE28" s="151"/>
      <c r="JF28" s="151"/>
      <c r="JG28" s="151"/>
      <c r="JH28" s="151"/>
      <c r="JI28" s="151"/>
      <c r="JJ28" s="151"/>
      <c r="JK28" s="151"/>
      <c r="JL28" s="151"/>
      <c r="JM28" s="151"/>
      <c r="JN28" s="151"/>
      <c r="JO28" s="151"/>
      <c r="JP28" s="151"/>
      <c r="JQ28" s="151"/>
      <c r="JR28" s="151"/>
      <c r="JS28" s="151"/>
      <c r="JT28" s="151"/>
      <c r="JU28" s="151"/>
      <c r="JV28" s="151"/>
      <c r="JW28" s="151"/>
      <c r="JX28" s="151"/>
      <c r="JY28" s="151"/>
      <c r="JZ28" s="151"/>
      <c r="KA28" s="151"/>
      <c r="KB28" s="151"/>
      <c r="KC28" s="151"/>
      <c r="KD28" s="151"/>
      <c r="KE28" s="151"/>
      <c r="KF28" s="151"/>
      <c r="KG28" s="151"/>
      <c r="KH28" s="151"/>
      <c r="KI28" s="151"/>
      <c r="KJ28" s="151"/>
      <c r="KK28" s="151"/>
      <c r="KL28" s="151"/>
      <c r="KM28" s="151"/>
      <c r="KN28" s="151"/>
      <c r="KO28" s="151"/>
      <c r="KP28" s="151"/>
      <c r="KQ28" s="151"/>
      <c r="KR28" s="151"/>
      <c r="KS28" s="151"/>
      <c r="KT28" s="151"/>
      <c r="KU28" s="151"/>
      <c r="KV28" s="151"/>
      <c r="KW28" s="151"/>
      <c r="KX28" s="151"/>
      <c r="KY28" s="151"/>
      <c r="KZ28" s="151"/>
      <c r="LA28" s="151"/>
      <c r="LB28" s="151"/>
      <c r="LC28" s="151"/>
      <c r="LD28" s="151"/>
      <c r="LE28" s="151"/>
      <c r="LF28" s="151"/>
      <c r="LG28" s="151"/>
      <c r="LH28" s="151"/>
      <c r="LI28" s="151"/>
      <c r="LJ28" s="151"/>
      <c r="LK28" s="151"/>
      <c r="LL28" s="151"/>
      <c r="LM28" s="151"/>
      <c r="LN28" s="151"/>
      <c r="LO28" s="151"/>
      <c r="LP28" s="151"/>
      <c r="LQ28" s="151"/>
      <c r="LR28" s="151"/>
      <c r="LS28" s="151"/>
      <c r="LT28" s="151"/>
      <c r="LU28" s="151"/>
      <c r="LV28" s="151"/>
      <c r="LW28" s="151"/>
      <c r="LX28" s="151"/>
      <c r="LY28" s="151"/>
      <c r="LZ28" s="151"/>
      <c r="MA28" s="151"/>
      <c r="MB28" s="151"/>
      <c r="MC28" s="151"/>
      <c r="MD28" s="151"/>
      <c r="ME28" s="151"/>
      <c r="MF28" s="151"/>
      <c r="MG28" s="151"/>
      <c r="MH28" s="151"/>
      <c r="MI28" s="151"/>
      <c r="MJ28" s="151"/>
      <c r="MK28" s="151"/>
      <c r="ML28" s="151"/>
      <c r="MM28" s="151"/>
      <c r="MN28" s="151"/>
      <c r="MO28" s="151"/>
      <c r="MP28" s="151"/>
      <c r="MQ28" s="151"/>
      <c r="MR28" s="151"/>
      <c r="MS28" s="151"/>
      <c r="MT28" s="151"/>
      <c r="MU28" s="151"/>
      <c r="MV28" s="151"/>
      <c r="MW28" s="151"/>
      <c r="MX28" s="151"/>
      <c r="MY28" s="151"/>
      <c r="MZ28" s="151"/>
      <c r="NA28" s="151"/>
      <c r="NB28" s="151"/>
      <c r="NC28" s="151"/>
      <c r="ND28" s="151"/>
      <c r="NE28" s="151"/>
      <c r="NF28" s="151"/>
      <c r="NG28" s="151"/>
      <c r="NH28" s="151"/>
      <c r="NI28" s="151"/>
      <c r="NJ28" s="151"/>
      <c r="NK28" s="151"/>
      <c r="NL28" s="151"/>
      <c r="NM28" s="151"/>
      <c r="NN28" s="151"/>
      <c r="NO28" s="151"/>
      <c r="NP28" s="151"/>
      <c r="NQ28" s="151"/>
      <c r="NR28" s="151"/>
      <c r="NS28" s="151"/>
      <c r="NT28" s="151"/>
      <c r="NU28" s="151"/>
      <c r="NV28" s="151"/>
      <c r="NW28" s="151"/>
      <c r="NX28" s="151"/>
      <c r="NY28" s="151"/>
      <c r="NZ28" s="151"/>
      <c r="OA28" s="151"/>
      <c r="OB28" s="151"/>
      <c r="OC28" s="151"/>
      <c r="OD28" s="151"/>
      <c r="OE28" s="151"/>
      <c r="OF28" s="151"/>
      <c r="OG28" s="151"/>
      <c r="OH28" s="151"/>
      <c r="OI28" s="151"/>
      <c r="OJ28" s="151"/>
      <c r="OK28" s="151"/>
      <c r="OL28" s="151"/>
      <c r="OM28" s="151"/>
      <c r="ON28" s="151"/>
      <c r="OO28" s="151"/>
      <c r="OP28" s="151"/>
      <c r="OQ28" s="151"/>
      <c r="OR28" s="151"/>
      <c r="OS28" s="151"/>
      <c r="OT28" s="151"/>
      <c r="OU28" s="151"/>
      <c r="OV28" s="151"/>
      <c r="OW28" s="151"/>
      <c r="OX28" s="151"/>
      <c r="OY28" s="151"/>
      <c r="OZ28" s="151"/>
      <c r="PA28" s="151"/>
      <c r="PB28" s="151"/>
      <c r="PC28" s="151"/>
      <c r="PD28" s="151"/>
      <c r="PE28" s="151"/>
      <c r="PF28" s="151"/>
      <c r="PG28" s="151"/>
      <c r="PH28" s="151"/>
      <c r="PI28" s="151"/>
      <c r="PJ28" s="151"/>
      <c r="PK28" s="151"/>
      <c r="PL28" s="151"/>
      <c r="PM28" s="151"/>
      <c r="PN28" s="151"/>
      <c r="PO28" s="151"/>
      <c r="PP28" s="151"/>
      <c r="PQ28" s="151"/>
      <c r="PR28" s="151"/>
      <c r="PS28" s="151"/>
      <c r="PT28" s="151"/>
      <c r="PU28" s="151"/>
      <c r="PV28" s="151"/>
      <c r="PW28" s="151"/>
      <c r="PX28" s="151"/>
      <c r="PY28" s="151"/>
      <c r="PZ28" s="151"/>
      <c r="QA28" s="151"/>
      <c r="QB28" s="151"/>
      <c r="QC28" s="151"/>
      <c r="QD28" s="151"/>
      <c r="QE28" s="151"/>
      <c r="QF28" s="151"/>
      <c r="QG28" s="151"/>
      <c r="QH28" s="151"/>
      <c r="QI28" s="151"/>
      <c r="QJ28" s="151"/>
      <c r="QK28" s="151"/>
      <c r="QL28" s="151"/>
      <c r="QM28" s="151"/>
      <c r="QN28" s="151"/>
      <c r="QO28" s="151"/>
      <c r="QP28" s="151"/>
      <c r="QQ28" s="151"/>
      <c r="QR28" s="151"/>
      <c r="QS28" s="151"/>
      <c r="QT28" s="151"/>
      <c r="QU28" s="151"/>
      <c r="QV28" s="151"/>
      <c r="QW28" s="151"/>
      <c r="QX28" s="151"/>
      <c r="QY28" s="151"/>
      <c r="QZ28" s="151"/>
      <c r="RA28" s="151"/>
      <c r="RB28" s="151"/>
      <c r="RC28" s="151"/>
      <c r="RD28" s="151"/>
      <c r="RE28" s="151"/>
      <c r="RF28" s="151"/>
      <c r="RG28" s="151"/>
      <c r="RH28" s="151"/>
      <c r="RI28" s="151"/>
      <c r="RJ28" s="151"/>
      <c r="RK28" s="151"/>
      <c r="RL28" s="151"/>
      <c r="RM28" s="151"/>
      <c r="RN28" s="151"/>
      <c r="RO28" s="151"/>
      <c r="RP28" s="151"/>
      <c r="RQ28" s="151"/>
      <c r="RR28" s="151"/>
      <c r="RS28" s="151"/>
      <c r="RT28" s="151"/>
      <c r="RU28" s="151"/>
      <c r="RV28" s="151"/>
      <c r="RW28" s="151"/>
      <c r="RX28" s="151"/>
      <c r="RY28" s="151"/>
      <c r="RZ28" s="151"/>
      <c r="SA28" s="151"/>
      <c r="SB28" s="151"/>
      <c r="SC28" s="151"/>
      <c r="SD28" s="151"/>
      <c r="SE28" s="151"/>
      <c r="SF28" s="151"/>
      <c r="SG28" s="151"/>
      <c r="SH28" s="151"/>
      <c r="SI28" s="151"/>
      <c r="SJ28" s="151"/>
      <c r="SK28" s="151"/>
      <c r="SL28" s="151"/>
      <c r="SM28" s="151"/>
      <c r="SN28" s="151"/>
      <c r="SO28" s="151"/>
      <c r="SP28" s="151"/>
      <c r="SQ28" s="151"/>
      <c r="SR28" s="151"/>
      <c r="SS28" s="151"/>
    </row>
    <row r="29" spans="1:513" s="626" customFormat="1" ht="14.5" x14ac:dyDescent="0.35">
      <c r="B29" s="626" t="s">
        <v>874</v>
      </c>
      <c r="C29" s="627">
        <v>6</v>
      </c>
      <c r="N29" s="628"/>
      <c r="O29" s="628"/>
      <c r="P29" s="628"/>
      <c r="Q29" s="628"/>
      <c r="R29" s="628"/>
      <c r="S29" s="628"/>
      <c r="T29" s="628"/>
      <c r="U29" s="628">
        <f t="shared" ref="U29:CF29" si="187">$C$29</f>
        <v>6</v>
      </c>
      <c r="V29" s="629">
        <f>$C$29</f>
        <v>6</v>
      </c>
      <c r="W29" s="629">
        <f t="shared" si="187"/>
        <v>6</v>
      </c>
      <c r="X29" s="629">
        <f t="shared" si="187"/>
        <v>6</v>
      </c>
      <c r="Y29" s="629">
        <f t="shared" si="187"/>
        <v>6</v>
      </c>
      <c r="Z29" s="629">
        <f t="shared" si="187"/>
        <v>6</v>
      </c>
      <c r="AA29" s="629">
        <f t="shared" si="187"/>
        <v>6</v>
      </c>
      <c r="AB29" s="629">
        <f t="shared" si="187"/>
        <v>6</v>
      </c>
      <c r="AC29" s="629">
        <f t="shared" si="187"/>
        <v>6</v>
      </c>
      <c r="AD29" s="629">
        <f t="shared" si="187"/>
        <v>6</v>
      </c>
      <c r="AE29" s="629">
        <f t="shared" si="187"/>
        <v>6</v>
      </c>
      <c r="AF29" s="629">
        <f t="shared" si="187"/>
        <v>6</v>
      </c>
      <c r="AG29" s="629">
        <f t="shared" si="187"/>
        <v>6</v>
      </c>
      <c r="AH29" s="629">
        <f t="shared" si="187"/>
        <v>6</v>
      </c>
      <c r="AI29" s="629">
        <f t="shared" si="187"/>
        <v>6</v>
      </c>
      <c r="AJ29" s="629">
        <f t="shared" si="187"/>
        <v>6</v>
      </c>
      <c r="AK29" s="629">
        <f t="shared" si="187"/>
        <v>6</v>
      </c>
      <c r="AL29" s="629">
        <f t="shared" si="187"/>
        <v>6</v>
      </c>
      <c r="AM29" s="629">
        <f t="shared" si="187"/>
        <v>6</v>
      </c>
      <c r="AN29" s="629">
        <f t="shared" si="187"/>
        <v>6</v>
      </c>
      <c r="AO29" s="629">
        <f t="shared" si="187"/>
        <v>6</v>
      </c>
      <c r="AP29" s="629">
        <f t="shared" si="187"/>
        <v>6</v>
      </c>
      <c r="AQ29" s="629">
        <f t="shared" si="187"/>
        <v>6</v>
      </c>
      <c r="AR29" s="629">
        <f t="shared" si="187"/>
        <v>6</v>
      </c>
      <c r="AS29" s="629">
        <f t="shared" si="187"/>
        <v>6</v>
      </c>
      <c r="AT29" s="629">
        <f t="shared" si="187"/>
        <v>6</v>
      </c>
      <c r="AU29" s="629">
        <f t="shared" si="187"/>
        <v>6</v>
      </c>
      <c r="AV29" s="629">
        <f t="shared" si="187"/>
        <v>6</v>
      </c>
      <c r="AW29" s="629">
        <f t="shared" si="187"/>
        <v>6</v>
      </c>
      <c r="AX29" s="629">
        <f t="shared" si="187"/>
        <v>6</v>
      </c>
      <c r="AY29" s="629">
        <f t="shared" si="187"/>
        <v>6</v>
      </c>
      <c r="AZ29" s="629">
        <f t="shared" si="187"/>
        <v>6</v>
      </c>
      <c r="BA29" s="629">
        <f t="shared" si="187"/>
        <v>6</v>
      </c>
      <c r="BB29" s="629">
        <f t="shared" si="187"/>
        <v>6</v>
      </c>
      <c r="BC29" s="629">
        <f t="shared" si="187"/>
        <v>6</v>
      </c>
      <c r="BD29" s="629">
        <f t="shared" si="187"/>
        <v>6</v>
      </c>
      <c r="BE29" s="629">
        <f t="shared" si="187"/>
        <v>6</v>
      </c>
      <c r="BF29" s="629">
        <f t="shared" si="187"/>
        <v>6</v>
      </c>
      <c r="BG29" s="629">
        <f t="shared" si="187"/>
        <v>6</v>
      </c>
      <c r="BH29" s="629">
        <f t="shared" si="187"/>
        <v>6</v>
      </c>
      <c r="BI29" s="629">
        <f t="shared" si="187"/>
        <v>6</v>
      </c>
      <c r="BJ29" s="629">
        <f t="shared" si="187"/>
        <v>6</v>
      </c>
      <c r="BK29" s="629">
        <f t="shared" si="187"/>
        <v>6</v>
      </c>
      <c r="BL29" s="629">
        <f t="shared" si="187"/>
        <v>6</v>
      </c>
      <c r="BM29" s="629">
        <f t="shared" si="187"/>
        <v>6</v>
      </c>
      <c r="BN29" s="629">
        <f t="shared" si="187"/>
        <v>6</v>
      </c>
      <c r="BO29" s="629">
        <f t="shared" si="187"/>
        <v>6</v>
      </c>
      <c r="BP29" s="629">
        <f t="shared" si="187"/>
        <v>6</v>
      </c>
      <c r="BQ29" s="629">
        <f t="shared" si="187"/>
        <v>6</v>
      </c>
      <c r="BR29" s="629">
        <f t="shared" si="187"/>
        <v>6</v>
      </c>
      <c r="BS29" s="629">
        <f t="shared" si="187"/>
        <v>6</v>
      </c>
      <c r="BT29" s="629">
        <f t="shared" si="187"/>
        <v>6</v>
      </c>
      <c r="BU29" s="629">
        <f t="shared" si="187"/>
        <v>6</v>
      </c>
      <c r="BV29" s="629">
        <f t="shared" si="187"/>
        <v>6</v>
      </c>
      <c r="BW29" s="629">
        <f t="shared" si="187"/>
        <v>6</v>
      </c>
      <c r="BX29" s="630">
        <f t="shared" si="187"/>
        <v>6</v>
      </c>
      <c r="BY29" s="630">
        <f t="shared" si="187"/>
        <v>6</v>
      </c>
      <c r="BZ29" s="630">
        <f t="shared" si="187"/>
        <v>6</v>
      </c>
      <c r="CA29" s="630">
        <f t="shared" si="187"/>
        <v>6</v>
      </c>
      <c r="CB29" s="630">
        <f t="shared" si="187"/>
        <v>6</v>
      </c>
      <c r="CC29" s="630">
        <f t="shared" si="187"/>
        <v>6</v>
      </c>
      <c r="CD29" s="630">
        <f t="shared" si="187"/>
        <v>6</v>
      </c>
      <c r="CE29" s="630">
        <f t="shared" si="187"/>
        <v>6</v>
      </c>
      <c r="CF29" s="630">
        <f t="shared" si="187"/>
        <v>6</v>
      </c>
      <c r="CG29" s="630">
        <f t="shared" ref="CG29:DB29" si="188">$C$29</f>
        <v>6</v>
      </c>
      <c r="CH29" s="630">
        <f t="shared" si="188"/>
        <v>6</v>
      </c>
      <c r="CI29" s="630">
        <f t="shared" si="188"/>
        <v>6</v>
      </c>
      <c r="CJ29" s="630">
        <f t="shared" si="188"/>
        <v>6</v>
      </c>
      <c r="CK29" s="630">
        <f t="shared" si="188"/>
        <v>6</v>
      </c>
      <c r="CL29" s="630">
        <f t="shared" si="188"/>
        <v>6</v>
      </c>
      <c r="CM29" s="630">
        <f t="shared" si="188"/>
        <v>6</v>
      </c>
      <c r="CN29" s="630">
        <f t="shared" si="188"/>
        <v>6</v>
      </c>
      <c r="CO29" s="630">
        <f t="shared" si="188"/>
        <v>6</v>
      </c>
      <c r="CP29" s="630">
        <f t="shared" si="188"/>
        <v>6</v>
      </c>
      <c r="CQ29" s="630">
        <f t="shared" si="188"/>
        <v>6</v>
      </c>
      <c r="CR29" s="630">
        <f t="shared" si="188"/>
        <v>6</v>
      </c>
      <c r="CS29" s="630">
        <f t="shared" si="188"/>
        <v>6</v>
      </c>
      <c r="CT29" s="630">
        <f t="shared" si="188"/>
        <v>6</v>
      </c>
      <c r="CU29" s="630">
        <f t="shared" si="188"/>
        <v>6</v>
      </c>
      <c r="CV29" s="630">
        <f t="shared" si="188"/>
        <v>6</v>
      </c>
      <c r="CW29" s="630">
        <f t="shared" si="188"/>
        <v>6</v>
      </c>
      <c r="CX29" s="630">
        <f t="shared" si="188"/>
        <v>6</v>
      </c>
      <c r="CY29" s="630">
        <f t="shared" si="188"/>
        <v>6</v>
      </c>
      <c r="CZ29" s="630">
        <f t="shared" si="188"/>
        <v>6</v>
      </c>
      <c r="DA29" s="630">
        <f t="shared" si="188"/>
        <v>6</v>
      </c>
      <c r="DB29" s="630">
        <f t="shared" si="188"/>
        <v>6</v>
      </c>
      <c r="DC29" s="631"/>
      <c r="DD29" s="631"/>
      <c r="DE29" s="631"/>
      <c r="DF29" s="631"/>
      <c r="DG29" s="631"/>
      <c r="DH29" s="631"/>
      <c r="DI29" s="631"/>
      <c r="DJ29" s="631"/>
      <c r="DK29" s="631"/>
      <c r="DL29" s="631"/>
      <c r="DM29" s="631"/>
      <c r="DN29" s="631"/>
      <c r="DO29" s="632"/>
      <c r="DP29" s="632"/>
      <c r="DQ29" s="632"/>
      <c r="DR29" s="632"/>
      <c r="DS29" s="632"/>
      <c r="DT29" s="632"/>
      <c r="DU29" s="632"/>
      <c r="DV29" s="632"/>
      <c r="DW29" s="632"/>
      <c r="DX29" s="632"/>
      <c r="DY29" s="632"/>
      <c r="DZ29" s="632"/>
      <c r="EA29" s="632"/>
      <c r="EB29" s="632"/>
      <c r="EC29" s="632"/>
      <c r="ED29" s="632"/>
      <c r="EE29" s="632"/>
      <c r="EF29" s="632"/>
      <c r="EG29" s="632"/>
      <c r="EH29" s="632"/>
      <c r="EI29" s="632"/>
      <c r="EJ29" s="632"/>
      <c r="EK29" s="632"/>
      <c r="EL29" s="632"/>
      <c r="EM29" s="632"/>
      <c r="EN29" s="632"/>
      <c r="EO29" s="632"/>
      <c r="EP29" s="632"/>
      <c r="EQ29" s="632"/>
      <c r="ER29" s="632"/>
      <c r="ES29" s="632"/>
      <c r="ET29" s="632"/>
      <c r="EU29" s="632"/>
      <c r="EV29" s="632"/>
      <c r="EW29" s="632"/>
      <c r="EX29" s="632"/>
      <c r="EY29" s="632"/>
      <c r="EZ29" s="632"/>
      <c r="FA29" s="632"/>
      <c r="FB29" s="632"/>
      <c r="FC29" s="632"/>
      <c r="FD29" s="632"/>
      <c r="FE29" s="632"/>
      <c r="FF29" s="632"/>
      <c r="FG29" s="632"/>
      <c r="FH29" s="632"/>
      <c r="FI29" s="632"/>
      <c r="FJ29" s="632"/>
      <c r="FK29" s="632"/>
      <c r="FL29" s="632"/>
      <c r="FM29" s="632"/>
      <c r="FN29" s="632"/>
      <c r="FO29" s="632"/>
      <c r="FP29" s="632"/>
      <c r="FQ29" s="632"/>
      <c r="FR29" s="632"/>
      <c r="FS29" s="632"/>
      <c r="FT29" s="632"/>
      <c r="FU29" s="632"/>
      <c r="FV29" s="632"/>
      <c r="FW29" s="632"/>
      <c r="FX29" s="632"/>
      <c r="FY29" s="632"/>
      <c r="FZ29" s="632"/>
      <c r="GA29" s="632"/>
      <c r="GB29" s="632"/>
      <c r="GC29" s="632"/>
      <c r="GD29" s="632"/>
      <c r="GE29" s="632"/>
      <c r="GF29" s="632"/>
      <c r="GG29" s="632"/>
      <c r="GH29" s="632"/>
      <c r="GI29" s="632"/>
      <c r="GJ29" s="632"/>
      <c r="GK29" s="632"/>
      <c r="GL29" s="632"/>
      <c r="GM29" s="632"/>
      <c r="GN29" s="632"/>
      <c r="GO29" s="632"/>
      <c r="GP29" s="632"/>
      <c r="GQ29" s="632"/>
      <c r="GR29" s="632"/>
      <c r="GS29" s="632"/>
      <c r="GT29" s="632"/>
      <c r="GU29" s="632"/>
      <c r="GV29" s="632"/>
      <c r="GW29" s="632"/>
      <c r="GX29" s="632"/>
      <c r="GY29" s="632"/>
      <c r="GZ29" s="632"/>
      <c r="HA29" s="632"/>
      <c r="HB29" s="632"/>
      <c r="HC29" s="632"/>
      <c r="HD29" s="632"/>
      <c r="HE29" s="632"/>
      <c r="HF29" s="632"/>
      <c r="HG29" s="632"/>
      <c r="HH29" s="632"/>
      <c r="HI29" s="632"/>
      <c r="HJ29" s="632"/>
      <c r="HK29" s="632"/>
      <c r="HL29" s="632"/>
      <c r="HM29" s="632"/>
      <c r="HN29" s="632"/>
      <c r="HO29" s="632"/>
      <c r="HP29" s="632"/>
      <c r="HQ29" s="632"/>
      <c r="HR29" s="632"/>
      <c r="HS29" s="632"/>
      <c r="HT29" s="632"/>
      <c r="HU29" s="632"/>
      <c r="HV29" s="632"/>
      <c r="HW29" s="632"/>
      <c r="HX29" s="632"/>
      <c r="HY29" s="632"/>
      <c r="HZ29" s="632"/>
      <c r="IA29" s="632"/>
      <c r="IB29" s="632"/>
      <c r="IC29" s="632"/>
      <c r="ID29" s="632"/>
      <c r="IE29" s="632"/>
      <c r="IF29" s="632"/>
      <c r="IG29" s="632"/>
      <c r="IH29" s="632"/>
      <c r="II29" s="632"/>
      <c r="IJ29" s="632"/>
      <c r="IK29" s="632"/>
      <c r="IL29" s="632"/>
      <c r="IM29" s="632"/>
      <c r="IN29" s="632"/>
      <c r="IO29" s="632"/>
      <c r="IP29" s="632"/>
      <c r="IQ29" s="632"/>
      <c r="IR29" s="632"/>
      <c r="IS29" s="632"/>
      <c r="IT29" s="632"/>
      <c r="IU29" s="632"/>
      <c r="IV29" s="632"/>
      <c r="IW29" s="632"/>
      <c r="IX29" s="632"/>
      <c r="IY29" s="632"/>
      <c r="IZ29" s="632"/>
      <c r="JA29" s="632"/>
      <c r="JB29" s="632"/>
      <c r="JC29" s="632"/>
      <c r="JD29" s="632"/>
      <c r="JE29" s="632"/>
      <c r="JF29" s="632"/>
      <c r="JG29" s="632"/>
      <c r="JH29" s="632"/>
      <c r="JI29" s="632"/>
      <c r="JJ29" s="632"/>
      <c r="JK29" s="632"/>
      <c r="JL29" s="632"/>
      <c r="JM29" s="632"/>
      <c r="JN29" s="632"/>
      <c r="JO29" s="632"/>
      <c r="JP29" s="632"/>
      <c r="JQ29" s="632"/>
      <c r="JR29" s="632"/>
      <c r="JS29" s="632"/>
      <c r="JT29" s="632"/>
      <c r="JU29" s="632"/>
      <c r="JV29" s="632"/>
      <c r="JW29" s="632"/>
      <c r="JX29" s="632"/>
      <c r="JY29" s="632"/>
      <c r="JZ29" s="632"/>
      <c r="KA29" s="632"/>
      <c r="KB29" s="632"/>
      <c r="KC29" s="632"/>
      <c r="KD29" s="632"/>
      <c r="KE29" s="632"/>
      <c r="KF29" s="632"/>
      <c r="KG29" s="632"/>
      <c r="KH29" s="632"/>
      <c r="KI29" s="632"/>
      <c r="KJ29" s="632"/>
      <c r="KK29" s="632"/>
      <c r="KL29" s="632"/>
      <c r="KM29" s="632"/>
      <c r="KN29" s="632"/>
      <c r="KO29" s="632"/>
      <c r="KP29" s="632"/>
      <c r="KQ29" s="632"/>
      <c r="KR29" s="632"/>
      <c r="KS29" s="632"/>
      <c r="KT29" s="632"/>
      <c r="KU29" s="632"/>
      <c r="KV29" s="632"/>
      <c r="KW29" s="632"/>
      <c r="KX29" s="632"/>
      <c r="KY29" s="632"/>
      <c r="KZ29" s="632"/>
      <c r="LA29" s="632"/>
      <c r="LB29" s="632"/>
      <c r="LC29" s="632"/>
      <c r="LD29" s="632"/>
      <c r="LE29" s="632"/>
      <c r="LF29" s="632"/>
      <c r="LG29" s="632"/>
      <c r="LH29" s="632"/>
      <c r="LI29" s="632"/>
      <c r="LJ29" s="632"/>
      <c r="LK29" s="632"/>
      <c r="LL29" s="632"/>
      <c r="LM29" s="632"/>
      <c r="LN29" s="632"/>
      <c r="LO29" s="632"/>
      <c r="LP29" s="632"/>
      <c r="LQ29" s="632"/>
      <c r="LR29" s="632"/>
      <c r="LS29" s="632"/>
      <c r="LT29" s="632"/>
      <c r="LU29" s="632"/>
      <c r="LV29" s="632"/>
      <c r="LW29" s="632"/>
      <c r="LX29" s="632"/>
      <c r="LY29" s="632"/>
      <c r="LZ29" s="632"/>
      <c r="MA29" s="632"/>
      <c r="MB29" s="632"/>
      <c r="MC29" s="632"/>
      <c r="MD29" s="632"/>
      <c r="ME29" s="632"/>
      <c r="MF29" s="632"/>
      <c r="MG29" s="632"/>
      <c r="MH29" s="632"/>
      <c r="MI29" s="632"/>
      <c r="MJ29" s="632"/>
      <c r="MK29" s="632"/>
      <c r="ML29" s="632"/>
      <c r="MM29" s="632"/>
      <c r="MN29" s="632"/>
      <c r="MO29" s="632"/>
      <c r="MP29" s="632"/>
      <c r="MQ29" s="632"/>
      <c r="MR29" s="632"/>
      <c r="MS29" s="632"/>
      <c r="MT29" s="632"/>
      <c r="MU29" s="632"/>
      <c r="MV29" s="632"/>
      <c r="MW29" s="632"/>
      <c r="MX29" s="632"/>
      <c r="MY29" s="632"/>
      <c r="MZ29" s="632"/>
      <c r="NA29" s="632"/>
      <c r="NB29" s="632"/>
      <c r="NC29" s="632"/>
      <c r="ND29" s="632"/>
      <c r="NE29" s="632"/>
      <c r="NF29" s="632"/>
      <c r="NG29" s="632"/>
      <c r="NH29" s="632"/>
      <c r="NI29" s="632"/>
      <c r="NJ29" s="632"/>
      <c r="NK29" s="632"/>
      <c r="NL29" s="632"/>
      <c r="NM29" s="632"/>
      <c r="NN29" s="632"/>
      <c r="NO29" s="632"/>
      <c r="NP29" s="632"/>
      <c r="NQ29" s="632"/>
      <c r="NR29" s="632"/>
      <c r="NS29" s="632"/>
      <c r="NT29" s="632"/>
      <c r="NU29" s="632"/>
      <c r="NV29" s="632"/>
      <c r="NW29" s="632"/>
      <c r="NX29" s="632"/>
      <c r="NY29" s="632"/>
      <c r="NZ29" s="632"/>
      <c r="OA29" s="632"/>
      <c r="OB29" s="632"/>
      <c r="OC29" s="632"/>
      <c r="OD29" s="632"/>
      <c r="OE29" s="632"/>
      <c r="OF29" s="632"/>
      <c r="OG29" s="632"/>
      <c r="OH29" s="632"/>
      <c r="OI29" s="632"/>
      <c r="OJ29" s="632"/>
      <c r="OK29" s="632"/>
      <c r="OL29" s="632"/>
      <c r="OM29" s="632"/>
      <c r="ON29" s="632"/>
      <c r="OO29" s="632"/>
      <c r="OP29" s="632"/>
      <c r="OQ29" s="632"/>
      <c r="OR29" s="632"/>
      <c r="OS29" s="632"/>
      <c r="OT29" s="632"/>
      <c r="OU29" s="632"/>
      <c r="OV29" s="632"/>
      <c r="OW29" s="632"/>
      <c r="OX29" s="632"/>
      <c r="OY29" s="632"/>
      <c r="OZ29" s="632"/>
      <c r="PA29" s="632"/>
      <c r="PB29" s="632"/>
      <c r="PC29" s="632"/>
      <c r="PD29" s="632"/>
      <c r="PE29" s="632"/>
      <c r="PF29" s="632"/>
      <c r="PG29" s="632"/>
      <c r="PH29" s="632"/>
      <c r="PI29" s="632"/>
      <c r="PJ29" s="632"/>
      <c r="PK29" s="632"/>
      <c r="PL29" s="632"/>
      <c r="PM29" s="632"/>
      <c r="PN29" s="632"/>
      <c r="PO29" s="632"/>
      <c r="PP29" s="632"/>
      <c r="PQ29" s="632"/>
      <c r="PR29" s="632"/>
      <c r="PS29" s="632"/>
      <c r="PT29" s="632"/>
      <c r="PU29" s="632"/>
      <c r="PV29" s="632"/>
      <c r="PW29" s="632"/>
      <c r="PX29" s="632"/>
      <c r="PY29" s="632"/>
      <c r="PZ29" s="632"/>
      <c r="QA29" s="632"/>
      <c r="QB29" s="632"/>
      <c r="QC29" s="632"/>
      <c r="QD29" s="632"/>
      <c r="QE29" s="632"/>
      <c r="QF29" s="632"/>
      <c r="QG29" s="632"/>
      <c r="QH29" s="632"/>
      <c r="QI29" s="632"/>
      <c r="QJ29" s="632"/>
      <c r="QK29" s="632"/>
      <c r="QL29" s="632"/>
      <c r="QM29" s="632"/>
      <c r="QN29" s="632"/>
      <c r="QO29" s="632"/>
      <c r="QP29" s="632"/>
      <c r="QQ29" s="632"/>
      <c r="QR29" s="632"/>
      <c r="QS29" s="632"/>
      <c r="QT29" s="632"/>
      <c r="QU29" s="632"/>
      <c r="QV29" s="632"/>
      <c r="QW29" s="632"/>
      <c r="QX29" s="632"/>
      <c r="QY29" s="632"/>
      <c r="QZ29" s="632"/>
      <c r="RA29" s="632"/>
      <c r="RB29" s="632"/>
      <c r="RC29" s="632"/>
      <c r="RD29" s="632"/>
      <c r="RE29" s="632"/>
      <c r="RF29" s="632"/>
      <c r="RG29" s="632"/>
      <c r="RH29" s="632"/>
      <c r="RI29" s="632"/>
      <c r="RJ29" s="632"/>
      <c r="RK29" s="632"/>
      <c r="RL29" s="632"/>
      <c r="RM29" s="632"/>
      <c r="RN29" s="632"/>
      <c r="RO29" s="632"/>
      <c r="RP29" s="632"/>
      <c r="RQ29" s="632"/>
      <c r="RR29" s="632"/>
      <c r="RS29" s="632"/>
      <c r="RT29" s="632"/>
      <c r="RU29" s="632"/>
      <c r="RV29" s="632"/>
      <c r="RW29" s="632"/>
      <c r="RX29" s="632"/>
      <c r="RY29" s="632"/>
      <c r="RZ29" s="632"/>
      <c r="SA29" s="632"/>
      <c r="SB29" s="632"/>
      <c r="SC29" s="632"/>
      <c r="SD29" s="632"/>
      <c r="SE29" s="632"/>
      <c r="SF29" s="632"/>
      <c r="SG29" s="632"/>
      <c r="SH29" s="632"/>
      <c r="SI29" s="632"/>
      <c r="SJ29" s="632"/>
      <c r="SK29" s="632"/>
      <c r="SL29" s="632"/>
      <c r="SM29" s="632"/>
      <c r="SN29" s="632"/>
      <c r="SO29" s="632"/>
      <c r="SP29" s="632"/>
      <c r="SQ29" s="632"/>
      <c r="SR29" s="632"/>
      <c r="SS29" s="632"/>
    </row>
    <row r="30" spans="1:513" s="639" customFormat="1" ht="14.5" hidden="1" x14ac:dyDescent="0.35">
      <c r="A30" s="633"/>
      <c r="B30" s="634" t="s">
        <v>875</v>
      </c>
      <c r="C30" s="635"/>
      <c r="D30" s="635"/>
      <c r="E30" s="635"/>
      <c r="F30" s="635"/>
      <c r="G30" s="635"/>
      <c r="H30" s="635"/>
      <c r="I30" s="635"/>
      <c r="J30" s="635"/>
      <c r="K30" s="635"/>
      <c r="L30" s="636"/>
      <c r="M30" s="636"/>
      <c r="N30" s="636"/>
      <c r="O30" s="636"/>
      <c r="P30" s="636"/>
      <c r="Q30" s="636"/>
      <c r="R30" s="636"/>
      <c r="S30" s="636"/>
      <c r="T30" s="636"/>
      <c r="U30" s="636">
        <f t="shared" ref="U30:BL30" si="189">IF(U11&lt;0,"Cash -ve",IF(U11/U26&gt;0,U11/U26,"N/A"))</f>
        <v>18.741064042115237</v>
      </c>
      <c r="V30" s="637">
        <f t="shared" si="189"/>
        <v>10.819138801886345</v>
      </c>
      <c r="W30" s="637">
        <f t="shared" si="189"/>
        <v>12.284743389385509</v>
      </c>
      <c r="X30" s="637">
        <f t="shared" si="189"/>
        <v>8.2445342509743504</v>
      </c>
      <c r="Y30" s="637">
        <f t="shared" si="189"/>
        <v>7.4887439024096594</v>
      </c>
      <c r="Z30" s="637">
        <f t="shared" si="189"/>
        <v>7.9789459750219036</v>
      </c>
      <c r="AA30" s="637">
        <f t="shared" si="189"/>
        <v>4.4338499761367212</v>
      </c>
      <c r="AB30" s="637">
        <f t="shared" si="189"/>
        <v>4.4452615013302657</v>
      </c>
      <c r="AC30" s="637">
        <f t="shared" si="189"/>
        <v>2.9756312023796792</v>
      </c>
      <c r="AD30" s="637">
        <f>IF(AD11&lt;0,"Cash -ve",IF(AD11/AD26&gt;0,AD11/AD26,"N/A"))</f>
        <v>4.8556705699528795</v>
      </c>
      <c r="AE30" s="637">
        <f t="shared" si="189"/>
        <v>8.9413106938850824</v>
      </c>
      <c r="AF30" s="637">
        <f t="shared" si="189"/>
        <v>8.7297884149669702</v>
      </c>
      <c r="AG30" s="637">
        <f t="shared" si="189"/>
        <v>8.6966796851264263</v>
      </c>
      <c r="AH30" s="637">
        <f t="shared" si="189"/>
        <v>15.558968254465489</v>
      </c>
      <c r="AI30" s="637">
        <f t="shared" si="189"/>
        <v>7.9174006773453831</v>
      </c>
      <c r="AJ30" s="637">
        <f t="shared" si="189"/>
        <v>7.1471302307585365</v>
      </c>
      <c r="AK30" s="637">
        <f t="shared" si="189"/>
        <v>7.3711300447261152</v>
      </c>
      <c r="AL30" s="637">
        <f t="shared" si="189"/>
        <v>9.0959042500453577</v>
      </c>
      <c r="AM30" s="637">
        <f t="shared" si="189"/>
        <v>6.5912409783011352</v>
      </c>
      <c r="AN30" s="637">
        <f t="shared" si="189"/>
        <v>67.560059598209222</v>
      </c>
      <c r="AO30" s="637">
        <f t="shared" si="189"/>
        <v>39.740364400518608</v>
      </c>
      <c r="AP30" s="637">
        <f t="shared" si="189"/>
        <v>29.33593367099083</v>
      </c>
      <c r="AQ30" s="637">
        <f t="shared" si="189"/>
        <v>31.659057853981228</v>
      </c>
      <c r="AR30" s="637">
        <f t="shared" si="189"/>
        <v>27.347605339763369</v>
      </c>
      <c r="AS30" s="637">
        <f t="shared" si="189"/>
        <v>23.82079204275162</v>
      </c>
      <c r="AT30" s="637">
        <f t="shared" si="189"/>
        <v>21.426056146082011</v>
      </c>
      <c r="AU30" s="637">
        <f t="shared" si="189"/>
        <v>19.392548482303845</v>
      </c>
      <c r="AV30" s="637">
        <f t="shared" si="189"/>
        <v>16.374371422429682</v>
      </c>
      <c r="AW30" s="637">
        <f t="shared" si="189"/>
        <v>26.631218105807442</v>
      </c>
      <c r="AX30" s="637">
        <f t="shared" si="189"/>
        <v>19.757253913391928</v>
      </c>
      <c r="AY30" s="637">
        <f t="shared" si="189"/>
        <v>19.451561451819938</v>
      </c>
      <c r="AZ30" s="637">
        <f t="shared" si="189"/>
        <v>16.77219039214571</v>
      </c>
      <c r="BA30" s="637">
        <f t="shared" si="189"/>
        <v>14.940694494050398</v>
      </c>
      <c r="BB30" s="637">
        <f t="shared" si="189"/>
        <v>14.740942638933815</v>
      </c>
      <c r="BC30" s="637">
        <f t="shared" si="189"/>
        <v>13.516267583835869</v>
      </c>
      <c r="BD30" s="637">
        <f t="shared" si="189"/>
        <v>11.515981790358667</v>
      </c>
      <c r="BE30" s="637">
        <f t="shared" si="189"/>
        <v>10.994369526717088</v>
      </c>
      <c r="BF30" s="637">
        <f t="shared" si="189"/>
        <v>11.469634721228065</v>
      </c>
      <c r="BG30" s="637">
        <f t="shared" si="189"/>
        <v>11.61946979885195</v>
      </c>
      <c r="BH30" s="637">
        <f t="shared" si="189"/>
        <v>19.278775310389435</v>
      </c>
      <c r="BI30" s="637">
        <f t="shared" si="189"/>
        <v>12.946441114496801</v>
      </c>
      <c r="BJ30" s="637">
        <f t="shared" si="189"/>
        <v>13.506053556014034</v>
      </c>
      <c r="BK30" s="637">
        <f t="shared" si="189"/>
        <v>11.813427107085746</v>
      </c>
      <c r="BL30" s="637">
        <f t="shared" si="189"/>
        <v>11.432321268447971</v>
      </c>
      <c r="BM30" s="637">
        <f t="shared" ref="BM30:BW30" si="190">IF(BM11&lt;0,"Cash -ve",IF(BM11/BM26&gt;0,BM11/BM26,"N/A"))</f>
        <v>16.548942774901604</v>
      </c>
      <c r="BN30" s="637">
        <f t="shared" si="190"/>
        <v>13.128347740073544</v>
      </c>
      <c r="BO30" s="637">
        <f t="shared" si="190"/>
        <v>10.895340714888084</v>
      </c>
      <c r="BP30" s="637">
        <f t="shared" si="190"/>
        <v>9.7989495326281837</v>
      </c>
      <c r="BQ30" s="637">
        <f t="shared" si="190"/>
        <v>11.757982020152264</v>
      </c>
      <c r="BR30" s="637">
        <f t="shared" si="190"/>
        <v>9.9467162522472563</v>
      </c>
      <c r="BS30" s="637">
        <f t="shared" si="190"/>
        <v>12.770876297806154</v>
      </c>
      <c r="BT30" s="637">
        <f t="shared" si="190"/>
        <v>10.719788395077972</v>
      </c>
      <c r="BU30" s="637">
        <f t="shared" si="190"/>
        <v>11.848252880661505</v>
      </c>
      <c r="BV30" s="637">
        <f t="shared" si="190"/>
        <v>10.007499711296642</v>
      </c>
      <c r="BW30" s="637">
        <f t="shared" si="190"/>
        <v>10.238040832240443</v>
      </c>
      <c r="BX30" s="637">
        <f>IF(BX11&lt;0,"Cash -ve",IF(BX11/BX26&gt;0,BX11/BX26,"N/A"))</f>
        <v>9.207821829911321</v>
      </c>
      <c r="BY30" s="637">
        <f>IF(BY11&lt;0,"Cash -ve",IF(BY11/BY26&gt;0,BY11/BY26,"N/A"))</f>
        <v>9.0047365714693406</v>
      </c>
      <c r="BZ30" s="637">
        <f t="shared" ref="BZ30:CJ30" si="191">IF(BZ11&lt;0,"Cash -ve",IF(BZ11/BZ26&gt;0,BZ11/BZ26,"N/A"))</f>
        <v>6.5896824484929555</v>
      </c>
      <c r="CA30" s="637">
        <f t="shared" si="191"/>
        <v>5.6726196819070527</v>
      </c>
      <c r="CB30" s="637">
        <f t="shared" si="191"/>
        <v>7.4037183013074914</v>
      </c>
      <c r="CC30" s="637">
        <f t="shared" si="191"/>
        <v>5.2942016147077862</v>
      </c>
      <c r="CD30" s="637">
        <f t="shared" si="191"/>
        <v>5.321407640585452</v>
      </c>
      <c r="CE30" s="637">
        <f t="shared" si="191"/>
        <v>7.4246755887212368</v>
      </c>
      <c r="CF30" s="637">
        <f t="shared" si="191"/>
        <v>8.4834835024857469</v>
      </c>
      <c r="CG30" s="637">
        <f t="shared" si="191"/>
        <v>7.2156945860270936</v>
      </c>
      <c r="CH30" s="637">
        <f t="shared" si="191"/>
        <v>6.7407434125079675</v>
      </c>
      <c r="CI30" s="637">
        <f t="shared" si="191"/>
        <v>5.302780606484597</v>
      </c>
      <c r="CJ30" s="637">
        <f t="shared" si="191"/>
        <v>12.404981023802069</v>
      </c>
      <c r="CK30" s="637">
        <f t="shared" ref="CK30:CL30" si="192">IF(CK11&lt;0,"Cash -ve",IF(CK11/CK26&gt;0,CK11/CK26,"N/A"))</f>
        <v>8.430898535103875</v>
      </c>
      <c r="CL30" s="637">
        <f t="shared" si="192"/>
        <v>7.9488505081433329</v>
      </c>
      <c r="CM30" s="637">
        <f t="shared" ref="CM30:CN30" si="193">IF(CM11&lt;0,"Cash -ve",IF(CM11/CM26&gt;0,CM11/CM26,"N/A"))</f>
        <v>7.8080712596520119</v>
      </c>
      <c r="CN30" s="637">
        <f t="shared" si="193"/>
        <v>6.0765009890986201</v>
      </c>
      <c r="CO30" s="637">
        <f t="shared" ref="CO30:CP30" si="194">IF(CO11&lt;0,"Cash -ve",IF(CO11/CO26&gt;0,CO11/CO26,"N/A"))</f>
        <v>7.0688298237611908</v>
      </c>
      <c r="CP30" s="637">
        <f t="shared" si="194"/>
        <v>8.9646904475852178</v>
      </c>
      <c r="CQ30" s="637">
        <f t="shared" ref="CQ30:CV30" si="195">IF(CQ11&lt;0,"Cash -ve",IF(CQ11/CQ26&gt;0,CQ11/CQ26,"N/A"))</f>
        <v>7.7705319229622907</v>
      </c>
      <c r="CR30" s="637">
        <f t="shared" si="195"/>
        <v>10.541074513625889</v>
      </c>
      <c r="CS30" s="637">
        <f t="shared" si="195"/>
        <v>7.6317929283418602</v>
      </c>
      <c r="CT30" s="637">
        <f t="shared" si="195"/>
        <v>7.5054504299417655</v>
      </c>
      <c r="CU30" s="637">
        <f t="shared" si="195"/>
        <v>4.9028038878518689</v>
      </c>
      <c r="CV30" s="637">
        <f t="shared" si="195"/>
        <v>9.4137823307636932</v>
      </c>
      <c r="CW30" s="637">
        <f t="shared" ref="CW30:CX30" si="196">IF(CW11&lt;0,"Cash -ve",IF(CW11/CW26&gt;0,CW11/CW26,"N/A"))</f>
        <v>11.871260303195974</v>
      </c>
      <c r="CX30" s="637">
        <f t="shared" si="196"/>
        <v>16.242825763193679</v>
      </c>
      <c r="CY30" s="637">
        <f t="shared" ref="CY30:DB30" si="197">IF(CY11&lt;0,"Cash -ve",IF(CY11/CY26&gt;0,CY11/CY26,"N/A"))</f>
        <v>8.9427205567008468</v>
      </c>
      <c r="CZ30" s="637">
        <f t="shared" si="197"/>
        <v>8.8728055040004516</v>
      </c>
      <c r="DA30" s="637">
        <f t="shared" si="197"/>
        <v>8.614116293948042</v>
      </c>
      <c r="DB30" s="637">
        <f t="shared" si="197"/>
        <v>10.286568274044491</v>
      </c>
      <c r="DC30" s="631"/>
      <c r="DD30" s="631"/>
      <c r="DE30" s="631"/>
      <c r="DF30" s="631"/>
      <c r="DG30" s="631"/>
      <c r="DH30" s="631"/>
      <c r="DI30" s="631"/>
      <c r="DJ30" s="631"/>
      <c r="DK30" s="631"/>
      <c r="DL30" s="631"/>
      <c r="DM30" s="631"/>
      <c r="DN30" s="631"/>
      <c r="DO30" s="638"/>
      <c r="DP30" s="638"/>
      <c r="DQ30" s="638"/>
      <c r="DR30" s="638"/>
      <c r="DS30" s="638"/>
      <c r="DT30" s="638"/>
      <c r="DU30" s="638"/>
      <c r="DV30" s="638"/>
      <c r="DW30" s="638"/>
      <c r="DX30" s="638"/>
      <c r="DY30" s="638"/>
      <c r="DZ30" s="638"/>
      <c r="EA30" s="638"/>
      <c r="EB30" s="638"/>
      <c r="EC30" s="638"/>
      <c r="ED30" s="638"/>
      <c r="EE30" s="638"/>
      <c r="EF30" s="638"/>
      <c r="EG30" s="638"/>
      <c r="EH30" s="638"/>
      <c r="EI30" s="638"/>
      <c r="EJ30" s="638"/>
      <c r="EK30" s="638"/>
      <c r="EL30" s="638"/>
      <c r="EM30" s="638"/>
      <c r="EN30" s="638"/>
      <c r="EO30" s="638"/>
      <c r="EP30" s="638"/>
      <c r="EQ30" s="638"/>
      <c r="ER30" s="638"/>
      <c r="ES30" s="638"/>
      <c r="ET30" s="638"/>
      <c r="EU30" s="638"/>
      <c r="EV30" s="638"/>
      <c r="EW30" s="638"/>
      <c r="EX30" s="638"/>
      <c r="EY30" s="638"/>
      <c r="EZ30" s="638"/>
      <c r="FA30" s="638"/>
      <c r="FB30" s="638"/>
      <c r="FC30" s="638"/>
      <c r="FD30" s="638"/>
      <c r="FE30" s="638"/>
      <c r="FF30" s="638"/>
      <c r="FG30" s="638"/>
      <c r="FH30" s="638"/>
      <c r="FI30" s="638"/>
      <c r="FJ30" s="638"/>
      <c r="FK30" s="638"/>
      <c r="FL30" s="638"/>
      <c r="FM30" s="638"/>
      <c r="FN30" s="638"/>
      <c r="FO30" s="638"/>
      <c r="FP30" s="638"/>
      <c r="FQ30" s="638"/>
      <c r="FR30" s="638"/>
      <c r="FS30" s="638"/>
      <c r="FT30" s="638"/>
      <c r="FU30" s="638"/>
      <c r="FV30" s="638"/>
      <c r="FW30" s="638"/>
      <c r="FX30" s="638"/>
      <c r="FY30" s="638"/>
      <c r="FZ30" s="638"/>
      <c r="GA30" s="638"/>
      <c r="GB30" s="638"/>
      <c r="GC30" s="638"/>
      <c r="GD30" s="638"/>
      <c r="GE30" s="638"/>
      <c r="GF30" s="638"/>
      <c r="GG30" s="638"/>
      <c r="GH30" s="638"/>
      <c r="GI30" s="638"/>
      <c r="GJ30" s="638"/>
      <c r="GK30" s="638"/>
      <c r="GL30" s="638"/>
      <c r="GM30" s="638"/>
      <c r="GN30" s="638"/>
      <c r="GO30" s="638"/>
      <c r="GP30" s="638"/>
      <c r="GQ30" s="638"/>
      <c r="GR30" s="638"/>
      <c r="GS30" s="638"/>
      <c r="GT30" s="638"/>
      <c r="GU30" s="638"/>
      <c r="GV30" s="638"/>
      <c r="GW30" s="638"/>
      <c r="GX30" s="638"/>
      <c r="GY30" s="638"/>
      <c r="GZ30" s="638"/>
      <c r="HA30" s="638"/>
      <c r="HB30" s="638"/>
      <c r="HC30" s="638"/>
      <c r="HD30" s="638"/>
      <c r="HE30" s="638"/>
      <c r="HF30" s="638"/>
      <c r="HG30" s="638"/>
      <c r="HH30" s="638"/>
      <c r="HI30" s="638"/>
      <c r="HJ30" s="638"/>
      <c r="HK30" s="638"/>
      <c r="HL30" s="638"/>
      <c r="HM30" s="638"/>
      <c r="HN30" s="638"/>
      <c r="HO30" s="638"/>
      <c r="HP30" s="638"/>
      <c r="HQ30" s="638"/>
      <c r="HR30" s="638"/>
      <c r="HS30" s="638"/>
      <c r="HT30" s="638"/>
      <c r="HU30" s="638"/>
      <c r="HV30" s="638"/>
      <c r="HW30" s="638"/>
      <c r="HX30" s="638"/>
      <c r="HY30" s="638"/>
      <c r="HZ30" s="638"/>
      <c r="IA30" s="638"/>
      <c r="IB30" s="638"/>
      <c r="IC30" s="638"/>
      <c r="ID30" s="638"/>
      <c r="IE30" s="638"/>
      <c r="IF30" s="638"/>
      <c r="IG30" s="638"/>
      <c r="IH30" s="638"/>
      <c r="II30" s="638"/>
      <c r="IJ30" s="638"/>
      <c r="IK30" s="638"/>
      <c r="IL30" s="638"/>
      <c r="IM30" s="638"/>
      <c r="IN30" s="638"/>
      <c r="IO30" s="638"/>
      <c r="IP30" s="638"/>
      <c r="IQ30" s="638"/>
      <c r="IR30" s="638"/>
      <c r="IS30" s="638"/>
      <c r="IT30" s="638"/>
      <c r="IU30" s="638"/>
      <c r="IV30" s="638"/>
      <c r="IW30" s="638"/>
      <c r="IX30" s="638"/>
      <c r="IY30" s="638"/>
      <c r="IZ30" s="638"/>
      <c r="JA30" s="638"/>
      <c r="JB30" s="638"/>
      <c r="JC30" s="638"/>
      <c r="JD30" s="638"/>
      <c r="JE30" s="638"/>
      <c r="JF30" s="638"/>
      <c r="JG30" s="638"/>
      <c r="JH30" s="638"/>
      <c r="JI30" s="638"/>
      <c r="JJ30" s="638"/>
      <c r="JK30" s="638"/>
      <c r="JL30" s="638"/>
      <c r="JM30" s="638"/>
      <c r="JN30" s="638"/>
      <c r="JO30" s="638"/>
      <c r="JP30" s="638"/>
      <c r="JQ30" s="638"/>
      <c r="JR30" s="638"/>
      <c r="JS30" s="638"/>
      <c r="JT30" s="638"/>
      <c r="JU30" s="638"/>
      <c r="JV30" s="638"/>
      <c r="JW30" s="638"/>
      <c r="JX30" s="638"/>
      <c r="JY30" s="638"/>
      <c r="JZ30" s="638"/>
      <c r="KA30" s="638"/>
      <c r="KB30" s="638"/>
      <c r="KC30" s="638"/>
      <c r="KD30" s="638"/>
      <c r="KE30" s="638"/>
      <c r="KF30" s="638"/>
      <c r="KG30" s="638"/>
      <c r="KH30" s="638"/>
      <c r="KI30" s="638"/>
      <c r="KJ30" s="638"/>
      <c r="KK30" s="638"/>
      <c r="KL30" s="638"/>
      <c r="KM30" s="638"/>
      <c r="KN30" s="638"/>
      <c r="KO30" s="638"/>
      <c r="KP30" s="638"/>
      <c r="KQ30" s="638"/>
      <c r="KR30" s="638"/>
      <c r="KS30" s="638"/>
      <c r="KT30" s="638"/>
      <c r="KU30" s="638"/>
      <c r="KV30" s="638"/>
      <c r="KW30" s="638"/>
      <c r="KX30" s="638"/>
      <c r="KY30" s="638"/>
      <c r="KZ30" s="638"/>
      <c r="LA30" s="638"/>
      <c r="LB30" s="638"/>
      <c r="LC30" s="638"/>
      <c r="LD30" s="638"/>
      <c r="LE30" s="638"/>
      <c r="LF30" s="638"/>
      <c r="LG30" s="638"/>
      <c r="LH30" s="638"/>
      <c r="LI30" s="638"/>
      <c r="LJ30" s="638"/>
      <c r="LK30" s="638"/>
      <c r="LL30" s="638"/>
      <c r="LM30" s="638"/>
      <c r="LN30" s="638"/>
      <c r="LO30" s="638"/>
      <c r="LP30" s="638"/>
      <c r="LQ30" s="638"/>
      <c r="LR30" s="638"/>
      <c r="LS30" s="638"/>
      <c r="LT30" s="638"/>
      <c r="LU30" s="638"/>
      <c r="LV30" s="638"/>
      <c r="LW30" s="638"/>
      <c r="LX30" s="638"/>
      <c r="LY30" s="638"/>
      <c r="LZ30" s="638"/>
      <c r="MA30" s="638"/>
      <c r="MB30" s="638"/>
      <c r="MC30" s="638"/>
      <c r="MD30" s="638"/>
      <c r="ME30" s="638"/>
      <c r="MF30" s="638"/>
      <c r="MG30" s="638"/>
      <c r="MH30" s="638"/>
      <c r="MI30" s="638"/>
      <c r="MJ30" s="638"/>
      <c r="MK30" s="638"/>
      <c r="ML30" s="638"/>
      <c r="MM30" s="638"/>
      <c r="MN30" s="638"/>
      <c r="MO30" s="638"/>
      <c r="MP30" s="638"/>
      <c r="MQ30" s="638"/>
      <c r="MR30" s="638"/>
      <c r="MS30" s="638"/>
      <c r="MT30" s="638"/>
      <c r="MU30" s="638"/>
      <c r="MV30" s="638"/>
      <c r="MW30" s="638"/>
      <c r="MX30" s="638"/>
      <c r="MY30" s="638"/>
      <c r="MZ30" s="638"/>
      <c r="NA30" s="638"/>
      <c r="NB30" s="638"/>
      <c r="NC30" s="638"/>
      <c r="ND30" s="638"/>
      <c r="NE30" s="638"/>
      <c r="NF30" s="638"/>
      <c r="NG30" s="638"/>
      <c r="NH30" s="638"/>
      <c r="NI30" s="638"/>
      <c r="NJ30" s="638"/>
      <c r="NK30" s="638"/>
      <c r="NL30" s="638"/>
      <c r="NM30" s="638"/>
      <c r="NN30" s="638"/>
      <c r="NO30" s="638"/>
      <c r="NP30" s="638"/>
      <c r="NQ30" s="638"/>
      <c r="NR30" s="638"/>
      <c r="NS30" s="638"/>
      <c r="NT30" s="638"/>
      <c r="NU30" s="638"/>
      <c r="NV30" s="638"/>
      <c r="NW30" s="638"/>
      <c r="NX30" s="638"/>
      <c r="NY30" s="638"/>
      <c r="NZ30" s="638"/>
      <c r="OA30" s="638"/>
      <c r="OB30" s="638"/>
      <c r="OC30" s="638"/>
      <c r="OD30" s="638"/>
      <c r="OE30" s="638"/>
      <c r="OF30" s="638"/>
      <c r="OG30" s="638"/>
      <c r="OH30" s="638"/>
      <c r="OI30" s="638"/>
      <c r="OJ30" s="638"/>
      <c r="OK30" s="638"/>
      <c r="OL30" s="638"/>
      <c r="OM30" s="638"/>
      <c r="ON30" s="638"/>
      <c r="OO30" s="638"/>
      <c r="OP30" s="638"/>
      <c r="OQ30" s="638"/>
      <c r="OR30" s="638"/>
      <c r="OS30" s="638"/>
      <c r="OT30" s="638"/>
      <c r="OU30" s="638"/>
      <c r="OV30" s="638"/>
      <c r="OW30" s="638"/>
      <c r="OX30" s="638"/>
      <c r="OY30" s="638"/>
      <c r="OZ30" s="638"/>
      <c r="PA30" s="638"/>
      <c r="PB30" s="638"/>
      <c r="PC30" s="638"/>
      <c r="PD30" s="638"/>
      <c r="PE30" s="638"/>
      <c r="PF30" s="638"/>
      <c r="PG30" s="638"/>
      <c r="PH30" s="638"/>
      <c r="PI30" s="638"/>
      <c r="PJ30" s="638"/>
      <c r="PK30" s="638"/>
      <c r="PL30" s="638"/>
      <c r="PM30" s="638"/>
      <c r="PN30" s="638"/>
      <c r="PO30" s="638"/>
      <c r="PP30" s="638"/>
      <c r="PQ30" s="638"/>
      <c r="PR30" s="638"/>
      <c r="PS30" s="638"/>
      <c r="PT30" s="638"/>
      <c r="PU30" s="638"/>
      <c r="PV30" s="638"/>
      <c r="PW30" s="638"/>
      <c r="PX30" s="638"/>
      <c r="PY30" s="638"/>
      <c r="PZ30" s="638"/>
      <c r="QA30" s="638"/>
      <c r="QB30" s="638"/>
      <c r="QC30" s="638"/>
      <c r="QD30" s="638"/>
      <c r="QE30" s="638"/>
      <c r="QF30" s="638"/>
      <c r="QG30" s="638"/>
      <c r="QH30" s="638"/>
      <c r="QI30" s="638"/>
      <c r="QJ30" s="638"/>
      <c r="QK30" s="638"/>
      <c r="QL30" s="638"/>
      <c r="QM30" s="638"/>
      <c r="QN30" s="638"/>
      <c r="QO30" s="638"/>
      <c r="QP30" s="638"/>
      <c r="QQ30" s="638"/>
      <c r="QR30" s="638"/>
      <c r="QS30" s="638"/>
      <c r="QT30" s="638"/>
      <c r="QU30" s="638"/>
      <c r="QV30" s="638"/>
      <c r="QW30" s="638"/>
      <c r="QX30" s="638"/>
      <c r="QY30" s="638"/>
      <c r="QZ30" s="638"/>
      <c r="RA30" s="638"/>
      <c r="RB30" s="638"/>
      <c r="RC30" s="638"/>
      <c r="RD30" s="638"/>
      <c r="RE30" s="638"/>
      <c r="RF30" s="638"/>
      <c r="RG30" s="638"/>
      <c r="RH30" s="638"/>
      <c r="RI30" s="638"/>
      <c r="RJ30" s="638"/>
      <c r="RK30" s="638"/>
      <c r="RL30" s="638"/>
      <c r="RM30" s="638"/>
      <c r="RN30" s="638"/>
      <c r="RO30" s="638"/>
      <c r="RP30" s="638"/>
      <c r="RQ30" s="638"/>
      <c r="RR30" s="638"/>
      <c r="RS30" s="638"/>
      <c r="RT30" s="638"/>
      <c r="RU30" s="638"/>
      <c r="RV30" s="638"/>
      <c r="RW30" s="638"/>
      <c r="RX30" s="638"/>
      <c r="RY30" s="638"/>
      <c r="RZ30" s="638"/>
      <c r="SA30" s="638"/>
      <c r="SB30" s="638"/>
      <c r="SC30" s="638"/>
      <c r="SD30" s="638"/>
      <c r="SE30" s="638"/>
      <c r="SF30" s="638"/>
      <c r="SG30" s="638"/>
      <c r="SH30" s="638"/>
      <c r="SI30" s="638"/>
      <c r="SJ30" s="638"/>
      <c r="SK30" s="638"/>
      <c r="SL30" s="638"/>
      <c r="SM30" s="638"/>
      <c r="SN30" s="638"/>
      <c r="SO30" s="638"/>
      <c r="SP30" s="638"/>
      <c r="SQ30" s="638"/>
      <c r="SR30" s="638"/>
      <c r="SS30" s="638"/>
    </row>
    <row r="31" spans="1:513" s="633" customFormat="1" ht="14.5" x14ac:dyDescent="0.35">
      <c r="B31" s="634" t="s">
        <v>876</v>
      </c>
      <c r="C31" s="634"/>
      <c r="D31" s="634"/>
      <c r="E31" s="634"/>
      <c r="F31" s="634"/>
      <c r="G31" s="634"/>
      <c r="H31" s="634"/>
      <c r="I31" s="634"/>
      <c r="J31" s="634"/>
      <c r="K31" s="634"/>
      <c r="L31" s="640"/>
      <c r="M31" s="640"/>
      <c r="N31" s="640"/>
      <c r="O31" s="640"/>
      <c r="P31" s="640"/>
      <c r="Q31" s="640"/>
      <c r="R31" s="640"/>
      <c r="S31" s="640"/>
      <c r="T31" s="640"/>
      <c r="U31" s="640">
        <f>IF(U16&lt;0,"Cash -ve",IF(U16/U27&gt;0,U16/U27,"N/A"))</f>
        <v>50.272613802994954</v>
      </c>
      <c r="V31" s="637">
        <f>IF(V16&lt;0,"Cash -ve",IF(V16/V27&gt;0,V16/V27,"N/A"))</f>
        <v>18.976856395398233</v>
      </c>
      <c r="W31" s="637">
        <f>IF(W16&lt;0,"Cash -ve",IF(W16/W27&gt;0,W16/W27,"N/A"))</f>
        <v>15.795532657737754</v>
      </c>
      <c r="X31" s="637">
        <f t="shared" ref="X31:BK31" si="198">IF(X16&lt;0,"Cash -ve",IF(X16/X27&gt;0,X16/X27,"N/A"))</f>
        <v>14.284170198261373</v>
      </c>
      <c r="Y31" s="637">
        <f>IF(Y16&lt;0,"Cash -ve",IF(Y16/Y27&gt;0,Y16/Y27,"N/A"))</f>
        <v>10.666874440780086</v>
      </c>
      <c r="Z31" s="637">
        <f>IF(Z16&lt;0,"Cash -ve",IF(Z16/Z27&gt;0,Z16/Z27,"N/A"))</f>
        <v>11.421070876730894</v>
      </c>
      <c r="AA31" s="637">
        <f>IF(AA16&lt;0,"Cash -ve",IF(AA16/AA27&gt;0,AA16/AA27,"N/A"))</f>
        <v>6.6707083949659713</v>
      </c>
      <c r="AB31" s="637">
        <f t="shared" si="198"/>
        <v>10.417163727877371</v>
      </c>
      <c r="AC31" s="637">
        <f t="shared" si="198"/>
        <v>8.4123502541399429</v>
      </c>
      <c r="AD31" s="637">
        <f t="shared" si="198"/>
        <v>16.093536174314028</v>
      </c>
      <c r="AE31" s="637">
        <f t="shared" si="198"/>
        <v>11.096163599910327</v>
      </c>
      <c r="AF31" s="637">
        <f>IF(AF16&lt;0,"Cash -ve",IF(AF16/AF27&gt;0,AF16/AF27,"N/A"))</f>
        <v>9.2553057775106069</v>
      </c>
      <c r="AG31" s="637">
        <f>IF(AG16&lt;0,"Cash -ve",IF(AG16/AG27&gt;0,AG16/AG27,"N/A"))</f>
        <v>17.713819263426526</v>
      </c>
      <c r="AH31" s="637">
        <f t="shared" si="198"/>
        <v>26.606078678598863</v>
      </c>
      <c r="AI31" s="637">
        <f>IF(AI16&lt;0,"Cash -ve",IF(AI16/AI27&gt;0,AI16/AI27,"N/A"))</f>
        <v>11.373646541845197</v>
      </c>
      <c r="AJ31" s="637">
        <f t="shared" si="198"/>
        <v>7.7911794687511486</v>
      </c>
      <c r="AK31" s="637">
        <f>IF(AK16&lt;0,"Cash -ve",IF(AK16/AK27&gt;0,AK16/AK27,"N/A"))</f>
        <v>13.063505779308207</v>
      </c>
      <c r="AL31" s="637">
        <f t="shared" si="198"/>
        <v>20.033237529248268</v>
      </c>
      <c r="AM31" s="637">
        <f t="shared" si="198"/>
        <v>14.053408079321033</v>
      </c>
      <c r="AN31" s="637">
        <f>IF(AN16&lt;0,"Cash -ve",IF(AN16/AN27&gt;0,AN16/AN27,"N/A"))</f>
        <v>55.856780127417792</v>
      </c>
      <c r="AO31" s="637">
        <f t="shared" si="198"/>
        <v>36.788721547925626</v>
      </c>
      <c r="AP31" s="637">
        <f t="shared" si="198"/>
        <v>28.057607523535861</v>
      </c>
      <c r="AQ31" s="637">
        <f t="shared" si="198"/>
        <v>27.799826685473469</v>
      </c>
      <c r="AR31" s="637">
        <f t="shared" si="198"/>
        <v>20.2705890130024</v>
      </c>
      <c r="AS31" s="637">
        <f t="shared" si="198"/>
        <v>18.460697346174801</v>
      </c>
      <c r="AT31" s="637">
        <f t="shared" si="198"/>
        <v>17.924174709036595</v>
      </c>
      <c r="AU31" s="637">
        <f t="shared" si="198"/>
        <v>19.510653615485673</v>
      </c>
      <c r="AV31" s="637">
        <f t="shared" si="198"/>
        <v>18.476772237515725</v>
      </c>
      <c r="AW31" s="637">
        <f>IF(AW16&lt;0,"Cash -ve",IF(AW16/AW27&gt;0,AW16/AW27,"N/A"))</f>
        <v>30.692568346180916</v>
      </c>
      <c r="AX31" s="637">
        <f t="shared" si="198"/>
        <v>24.523899915706306</v>
      </c>
      <c r="AY31" s="637">
        <f t="shared" si="198"/>
        <v>25.855899733159688</v>
      </c>
      <c r="AZ31" s="637">
        <f>IF(AZ16&lt;0,"Cash -ve",IF(AZ16/AZ27&gt;0,AZ16/AZ27,"N/A"))</f>
        <v>20.575070641029743</v>
      </c>
      <c r="BA31" s="637">
        <f t="shared" si="198"/>
        <v>16.299866450157754</v>
      </c>
      <c r="BB31" s="637">
        <f t="shared" si="198"/>
        <v>16.59042825638052</v>
      </c>
      <c r="BC31" s="637">
        <f t="shared" si="198"/>
        <v>13.200295076312422</v>
      </c>
      <c r="BD31" s="637">
        <f t="shared" si="198"/>
        <v>12.354766193324483</v>
      </c>
      <c r="BE31" s="637">
        <f t="shared" si="198"/>
        <v>11.508232437650529</v>
      </c>
      <c r="BF31" s="637">
        <f t="shared" si="198"/>
        <v>14.606084253896761</v>
      </c>
      <c r="BG31" s="637">
        <f t="shared" si="198"/>
        <v>17.991084031899167</v>
      </c>
      <c r="BH31" s="637">
        <f t="shared" si="198"/>
        <v>23.01196257534308</v>
      </c>
      <c r="BI31" s="637">
        <f t="shared" si="198"/>
        <v>14.321006671981129</v>
      </c>
      <c r="BJ31" s="637">
        <f t="shared" si="198"/>
        <v>16.026719133619025</v>
      </c>
      <c r="BK31" s="637">
        <f t="shared" si="198"/>
        <v>13.523403328019445</v>
      </c>
      <c r="BL31" s="637">
        <f>IF(BL16&lt;0,"Cash -ve",IF(BL16/BL27&gt;0,BL16/BL27,"N/A"))</f>
        <v>13.249572513420874</v>
      </c>
      <c r="BM31" s="637">
        <f t="shared" ref="BM31:BV31" si="199">IF(BM16&lt;0,"Cash -ve",IF(BM16/BM27&gt;0,BM16/BM27,"N/A"))</f>
        <v>20.430323368843897</v>
      </c>
      <c r="BN31" s="637">
        <f t="shared" si="199"/>
        <v>11.578429785768893</v>
      </c>
      <c r="BO31" s="637">
        <f>IF(BO16&lt;0,"Cash -ve",IF(BO16/BO27&gt;0,BO16/BO27,"N/A"))</f>
        <v>12.475819889640848</v>
      </c>
      <c r="BP31" s="637">
        <f t="shared" si="199"/>
        <v>9.6986595258887736</v>
      </c>
      <c r="BQ31" s="637">
        <f t="shared" si="199"/>
        <v>15.014615627430882</v>
      </c>
      <c r="BR31" s="637">
        <f t="shared" si="199"/>
        <v>11.567488878848607</v>
      </c>
      <c r="BS31" s="637">
        <f>IF(BS16&lt;0,"Cash -ve",IF(BS16/BS27&gt;0,BS16/BS27,"N/A"))</f>
        <v>12.016416829640097</v>
      </c>
      <c r="BT31" s="637">
        <f t="shared" si="199"/>
        <v>15.151239785283316</v>
      </c>
      <c r="BU31" s="637">
        <f t="shared" si="199"/>
        <v>15.979574724784545</v>
      </c>
      <c r="BV31" s="637">
        <f t="shared" si="199"/>
        <v>15.765796082966313</v>
      </c>
      <c r="BW31" s="637">
        <f>IF(BW16&lt;0,"Cash -ve",IF(BW16/BW27&gt;0,BW16/BW27,"N/A"))</f>
        <v>13.838534039894729</v>
      </c>
      <c r="BX31" s="637">
        <f>IF(BX16&lt;0,"Cash -ve",IF(BX16/BX27&gt;0,BX16/BX27,"N/A"))</f>
        <v>14.648778324498112</v>
      </c>
      <c r="BY31" s="637">
        <f>IF(BY16&lt;0,"Cash -ve",IF(BY16/BY27&gt;0,BY16/BY27,"N/A"))</f>
        <v>13.664001755922296</v>
      </c>
      <c r="BZ31" s="637">
        <f t="shared" ref="BZ31:CJ31" si="200">IF(BZ16&lt;0,"Cash -ve",IF(BZ16/BZ27&gt;0,BZ16/BZ27,"N/A"))</f>
        <v>8.7201886396966177</v>
      </c>
      <c r="CA31" s="637">
        <f t="shared" si="200"/>
        <v>7.8419363798770831</v>
      </c>
      <c r="CB31" s="637">
        <f t="shared" si="200"/>
        <v>10.542152228680472</v>
      </c>
      <c r="CC31" s="637">
        <f t="shared" si="200"/>
        <v>8.8094898594377167</v>
      </c>
      <c r="CD31" s="637">
        <f>IF(CD16&lt;0,"Cash -ve",IF(CD16/CD27&gt;0,CD16/CD27,"N/A"))</f>
        <v>7.2105786493398343</v>
      </c>
      <c r="CE31" s="637">
        <f>IF(CE16&lt;0,"Cash -ve",IF(CE16/CE27&gt;0,CE16/CE27,"N/A"))</f>
        <v>10.988199167484531</v>
      </c>
      <c r="CF31" s="637">
        <f t="shared" si="200"/>
        <v>12.90870647559996</v>
      </c>
      <c r="CG31" s="637">
        <f>IF(CG16&lt;0,"Cash -ve",IF(CG16/CG27&gt;0,CG16/CG27,"N/A"))</f>
        <v>13.579943888218862</v>
      </c>
      <c r="CH31" s="637">
        <f t="shared" si="200"/>
        <v>10.051639180944003</v>
      </c>
      <c r="CI31" s="637">
        <f t="shared" si="200"/>
        <v>8.8276529643733301</v>
      </c>
      <c r="CJ31" s="637">
        <f t="shared" si="200"/>
        <v>21.406563634593496</v>
      </c>
      <c r="CK31" s="637">
        <f>IF(CK16&lt;0,"Cash -ve",IF(CK16/CK27&gt;0,CK16/CK27,"N/A"))</f>
        <v>9.8164206345074465</v>
      </c>
      <c r="CL31" s="637">
        <f t="shared" ref="CL31:CN31" si="201">IF(CL16&lt;0,"Cash -ve",IF(CL16/CL27&gt;0,CL16/CL27,"N/A"))</f>
        <v>13.682797972528766</v>
      </c>
      <c r="CM31" s="637">
        <f t="shared" si="201"/>
        <v>13.326366516433376</v>
      </c>
      <c r="CN31" s="637">
        <f t="shared" si="201"/>
        <v>12.416402924135957</v>
      </c>
      <c r="CO31" s="637">
        <f t="shared" ref="CO31:CP31" si="202">IF(CO16&lt;0,"Cash -ve",IF(CO16/CO27&gt;0,CO16/CO27,"N/A"))</f>
        <v>17.668698639473146</v>
      </c>
      <c r="CP31" s="637">
        <f t="shared" si="202"/>
        <v>16.341184705119396</v>
      </c>
      <c r="CQ31" s="637">
        <f t="shared" ref="CQ31:CU31" si="203">IF(CQ16&lt;0,"Cash -ve",IF(CQ16/CQ27&gt;0,CQ16/CQ27,"N/A"))</f>
        <v>17.727167194131088</v>
      </c>
      <c r="CR31" s="637">
        <f t="shared" si="203"/>
        <v>21.085994954233126</v>
      </c>
      <c r="CS31" s="637">
        <f t="shared" si="203"/>
        <v>14.397906069638582</v>
      </c>
      <c r="CT31" s="637">
        <f t="shared" si="203"/>
        <v>15.392669816758835</v>
      </c>
      <c r="CU31" s="637">
        <f t="shared" si="203"/>
        <v>6.9148881497710111</v>
      </c>
      <c r="CV31" s="637">
        <f>IF(CV16&lt;0,"Cash -ve",IF(CV16/CV27&gt;0,CV16/CV27,"N/A"))</f>
        <v>10.380584783308308</v>
      </c>
      <c r="CW31" s="637">
        <f t="shared" ref="CW31" si="204">IF(CW16&lt;0,"Cash -ve",IF(CW16/CW27&gt;0,CW16/CW27,"N/A"))</f>
        <v>17.299370383147341</v>
      </c>
      <c r="CX31" s="637">
        <f>IF(CX16&lt;0,"Cash -ve",IF(CX16/CX27&gt;0,CX16/CX27,"N/A"))</f>
        <v>19.646011522400908</v>
      </c>
      <c r="CY31" s="637">
        <f t="shared" ref="CY31:DB31" si="205">IF(CY16&lt;0,"Cash -ve",IF(CY16/CY27&gt;0,CY16/CY27,"N/A"))</f>
        <v>14.667743868388799</v>
      </c>
      <c r="CZ31" s="637">
        <f t="shared" si="205"/>
        <v>14.253881178347324</v>
      </c>
      <c r="DA31" s="637">
        <f t="shared" si="205"/>
        <v>26.623891808477872</v>
      </c>
      <c r="DB31" s="637">
        <f t="shared" si="205"/>
        <v>17.33359793047789</v>
      </c>
      <c r="DC31" s="631"/>
      <c r="DD31" s="631"/>
      <c r="DE31" s="631"/>
      <c r="DF31" s="631"/>
      <c r="DG31" s="631"/>
      <c r="DH31" s="631"/>
      <c r="DI31" s="631"/>
      <c r="DJ31" s="631"/>
      <c r="DK31" s="631"/>
      <c r="DL31" s="631"/>
      <c r="DM31" s="631"/>
      <c r="DN31" s="631"/>
    </row>
    <row r="32" spans="1:513" s="641" customFormat="1" ht="14.5" hidden="1" x14ac:dyDescent="0.35">
      <c r="B32" s="641" t="s">
        <v>877</v>
      </c>
      <c r="L32" s="642"/>
      <c r="M32" s="642"/>
      <c r="N32" s="642"/>
      <c r="O32" s="642"/>
      <c r="P32" s="642"/>
      <c r="Q32" s="642" t="str">
        <f t="shared" ref="Q32:BL32" si="206">IF(Q30="Cash -ve","Fail",IF(Q30&gt;Q29,"Pass","Fail"))</f>
        <v>Fail</v>
      </c>
      <c r="R32" s="642" t="str">
        <f t="shared" si="206"/>
        <v>Fail</v>
      </c>
      <c r="S32" s="642" t="str">
        <f t="shared" si="206"/>
        <v>Fail</v>
      </c>
      <c r="T32" s="642"/>
      <c r="U32" s="642" t="str">
        <f t="shared" si="206"/>
        <v>Pass</v>
      </c>
      <c r="V32" s="642" t="str">
        <f t="shared" si="206"/>
        <v>Pass</v>
      </c>
      <c r="W32" s="642" t="str">
        <f t="shared" si="206"/>
        <v>Pass</v>
      </c>
      <c r="X32" s="642" t="str">
        <f t="shared" si="206"/>
        <v>Pass</v>
      </c>
      <c r="Y32" s="642" t="str">
        <f t="shared" si="206"/>
        <v>Pass</v>
      </c>
      <c r="Z32" s="642" t="str">
        <f t="shared" si="206"/>
        <v>Pass</v>
      </c>
      <c r="AA32" s="642" t="str">
        <f t="shared" si="206"/>
        <v>Fail</v>
      </c>
      <c r="AB32" s="642" t="str">
        <f t="shared" si="206"/>
        <v>Fail</v>
      </c>
      <c r="AC32" s="642" t="str">
        <f t="shared" si="206"/>
        <v>Fail</v>
      </c>
      <c r="AD32" s="642" t="str">
        <f>IF(AD30="Cash -ve","Fail",IF(AD30&gt;AD29,"Pass","Fail"))</f>
        <v>Fail</v>
      </c>
      <c r="AE32" s="642" t="str">
        <f t="shared" si="206"/>
        <v>Pass</v>
      </c>
      <c r="AF32" s="642" t="str">
        <f t="shared" si="206"/>
        <v>Pass</v>
      </c>
      <c r="AG32" s="642" t="str">
        <f t="shared" si="206"/>
        <v>Pass</v>
      </c>
      <c r="AH32" s="642" t="str">
        <f t="shared" si="206"/>
        <v>Pass</v>
      </c>
      <c r="AI32" s="642" t="str">
        <f t="shared" si="206"/>
        <v>Pass</v>
      </c>
      <c r="AJ32" s="642" t="str">
        <f t="shared" si="206"/>
        <v>Pass</v>
      </c>
      <c r="AK32" s="642" t="str">
        <f t="shared" si="206"/>
        <v>Pass</v>
      </c>
      <c r="AL32" s="642" t="str">
        <f t="shared" si="206"/>
        <v>Pass</v>
      </c>
      <c r="AM32" s="642" t="str">
        <f t="shared" si="206"/>
        <v>Pass</v>
      </c>
      <c r="AN32" s="642" t="str">
        <f t="shared" si="206"/>
        <v>Pass</v>
      </c>
      <c r="AO32" s="642" t="str">
        <f t="shared" si="206"/>
        <v>Pass</v>
      </c>
      <c r="AP32" s="642" t="str">
        <f t="shared" si="206"/>
        <v>Pass</v>
      </c>
      <c r="AQ32" s="642" t="str">
        <f t="shared" si="206"/>
        <v>Pass</v>
      </c>
      <c r="AR32" s="642" t="str">
        <f t="shared" si="206"/>
        <v>Pass</v>
      </c>
      <c r="AS32" s="642" t="str">
        <f t="shared" si="206"/>
        <v>Pass</v>
      </c>
      <c r="AT32" s="642" t="str">
        <f t="shared" si="206"/>
        <v>Pass</v>
      </c>
      <c r="AU32" s="642" t="str">
        <f t="shared" si="206"/>
        <v>Pass</v>
      </c>
      <c r="AV32" s="642" t="str">
        <f t="shared" si="206"/>
        <v>Pass</v>
      </c>
      <c r="AW32" s="642" t="str">
        <f t="shared" si="206"/>
        <v>Pass</v>
      </c>
      <c r="AX32" s="642" t="str">
        <f t="shared" si="206"/>
        <v>Pass</v>
      </c>
      <c r="AY32" s="642" t="str">
        <f t="shared" si="206"/>
        <v>Pass</v>
      </c>
      <c r="AZ32" s="642" t="str">
        <f t="shared" si="206"/>
        <v>Pass</v>
      </c>
      <c r="BA32" s="642" t="str">
        <f t="shared" si="206"/>
        <v>Pass</v>
      </c>
      <c r="BB32" s="642" t="str">
        <f t="shared" si="206"/>
        <v>Pass</v>
      </c>
      <c r="BC32" s="642" t="str">
        <f t="shared" si="206"/>
        <v>Pass</v>
      </c>
      <c r="BD32" s="642" t="str">
        <f t="shared" si="206"/>
        <v>Pass</v>
      </c>
      <c r="BE32" s="642" t="str">
        <f t="shared" si="206"/>
        <v>Pass</v>
      </c>
      <c r="BF32" s="642" t="str">
        <f t="shared" si="206"/>
        <v>Pass</v>
      </c>
      <c r="BG32" s="642" t="str">
        <f t="shared" si="206"/>
        <v>Pass</v>
      </c>
      <c r="BH32" s="642" t="str">
        <f t="shared" si="206"/>
        <v>Pass</v>
      </c>
      <c r="BI32" s="642" t="str">
        <f t="shared" si="206"/>
        <v>Pass</v>
      </c>
      <c r="BJ32" s="642" t="str">
        <f t="shared" si="206"/>
        <v>Pass</v>
      </c>
      <c r="BK32" s="642" t="str">
        <f t="shared" si="206"/>
        <v>Pass</v>
      </c>
      <c r="BL32" s="642" t="str">
        <f t="shared" si="206"/>
        <v>Pass</v>
      </c>
      <c r="BM32" s="642" t="str">
        <f t="shared" ref="BM32:BX32" si="207">IF(BM30="Cash -ve","Fail",IF(BM30&gt;BM29,"Pass","Fail"))</f>
        <v>Pass</v>
      </c>
      <c r="BN32" s="642" t="str">
        <f t="shared" si="207"/>
        <v>Pass</v>
      </c>
      <c r="BO32" s="642" t="str">
        <f t="shared" si="207"/>
        <v>Pass</v>
      </c>
      <c r="BP32" s="642" t="str">
        <f t="shared" si="207"/>
        <v>Pass</v>
      </c>
      <c r="BQ32" s="642" t="str">
        <f t="shared" si="207"/>
        <v>Pass</v>
      </c>
      <c r="BR32" s="642" t="str">
        <f t="shared" si="207"/>
        <v>Pass</v>
      </c>
      <c r="BS32" s="642" t="str">
        <f t="shared" si="207"/>
        <v>Pass</v>
      </c>
      <c r="BT32" s="642" t="str">
        <f t="shared" si="207"/>
        <v>Pass</v>
      </c>
      <c r="BU32" s="642" t="str">
        <f>IF(BU30="Cash -ve","Fail",IF(BU30&gt;BU29,"Pass","Fail"))</f>
        <v>Pass</v>
      </c>
      <c r="BV32" s="642" t="str">
        <f t="shared" si="207"/>
        <v>Pass</v>
      </c>
      <c r="BW32" s="642" t="str">
        <f t="shared" si="207"/>
        <v>Pass</v>
      </c>
      <c r="BX32" s="642" t="str">
        <f t="shared" si="207"/>
        <v>Pass</v>
      </c>
      <c r="BY32" s="642" t="str">
        <f t="shared" ref="BY32:CJ32" si="208">IF(BY30="Cash -ve","Fail",IF(BY30&gt;BY29,"Pass","Fail"))</f>
        <v>Pass</v>
      </c>
      <c r="BZ32" s="642" t="str">
        <f t="shared" si="208"/>
        <v>Pass</v>
      </c>
      <c r="CA32" s="642" t="str">
        <f t="shared" si="208"/>
        <v>Fail</v>
      </c>
      <c r="CB32" s="642" t="str">
        <f t="shared" si="208"/>
        <v>Pass</v>
      </c>
      <c r="CC32" s="642" t="str">
        <f t="shared" si="208"/>
        <v>Fail</v>
      </c>
      <c r="CD32" s="642" t="str">
        <f t="shared" si="208"/>
        <v>Fail</v>
      </c>
      <c r="CE32" s="642" t="str">
        <f t="shared" si="208"/>
        <v>Pass</v>
      </c>
      <c r="CF32" s="642" t="str">
        <f t="shared" si="208"/>
        <v>Pass</v>
      </c>
      <c r="CG32" s="642" t="str">
        <f t="shared" si="208"/>
        <v>Pass</v>
      </c>
      <c r="CH32" s="642" t="str">
        <f t="shared" si="208"/>
        <v>Pass</v>
      </c>
      <c r="CI32" s="642" t="str">
        <f t="shared" si="208"/>
        <v>Fail</v>
      </c>
      <c r="CJ32" s="642" t="str">
        <f t="shared" si="208"/>
        <v>Pass</v>
      </c>
      <c r="CK32" s="642" t="str">
        <f t="shared" ref="CK32:CL32" si="209">IF(CK30="Cash -ve","Fail",IF(CK30&gt;CK29,"Pass","Fail"))</f>
        <v>Pass</v>
      </c>
      <c r="CL32" s="642" t="str">
        <f t="shared" si="209"/>
        <v>Pass</v>
      </c>
      <c r="CM32" s="642" t="str">
        <f t="shared" ref="CM32:CN32" si="210">IF(CM30="Cash -ve","Fail",IF(CM30&gt;CM29,"Pass","Fail"))</f>
        <v>Pass</v>
      </c>
      <c r="CN32" s="642" t="str">
        <f t="shared" si="210"/>
        <v>Pass</v>
      </c>
      <c r="CO32" s="642" t="str">
        <f t="shared" ref="CO32:CP32" si="211">IF(CO30="Cash -ve","Fail",IF(CO30&gt;CO29,"Pass","Fail"))</f>
        <v>Pass</v>
      </c>
      <c r="CP32" s="642" t="str">
        <f t="shared" si="211"/>
        <v>Pass</v>
      </c>
      <c r="CQ32" s="642" t="str">
        <f t="shared" ref="CQ32:CV32" si="212">IF(CQ30="Cash -ve","Fail",IF(CQ30&gt;CQ29,"Pass","Fail"))</f>
        <v>Pass</v>
      </c>
      <c r="CR32" s="642" t="str">
        <f t="shared" si="212"/>
        <v>Pass</v>
      </c>
      <c r="CS32" s="642" t="str">
        <f t="shared" si="212"/>
        <v>Pass</v>
      </c>
      <c r="CT32" s="642" t="str">
        <f t="shared" si="212"/>
        <v>Pass</v>
      </c>
      <c r="CU32" s="642" t="str">
        <f t="shared" si="212"/>
        <v>Fail</v>
      </c>
      <c r="CV32" s="642" t="str">
        <f t="shared" si="212"/>
        <v>Pass</v>
      </c>
      <c r="CW32" s="642" t="str">
        <f t="shared" ref="CW32:CX32" si="213">IF(CW30="Cash -ve","Fail",IF(CW30&gt;CW29,"Pass","Fail"))</f>
        <v>Pass</v>
      </c>
      <c r="CX32" s="642" t="str">
        <f t="shared" si="213"/>
        <v>Pass</v>
      </c>
      <c r="CY32" s="642" t="str">
        <f t="shared" ref="CY32:DB32" si="214">IF(CY30="Cash -ve","Fail",IF(CY30&gt;CY29,"Pass","Fail"))</f>
        <v>Pass</v>
      </c>
      <c r="CZ32" s="642" t="str">
        <f t="shared" si="214"/>
        <v>Pass</v>
      </c>
      <c r="DA32" s="642" t="str">
        <f t="shared" si="214"/>
        <v>Pass</v>
      </c>
      <c r="DB32" s="642" t="str">
        <f t="shared" si="214"/>
        <v>Pass</v>
      </c>
      <c r="DC32" s="631"/>
      <c r="DD32" s="631"/>
      <c r="DE32" s="631"/>
      <c r="DF32" s="631"/>
      <c r="DG32" s="631"/>
      <c r="DH32" s="631"/>
      <c r="DI32" s="631"/>
      <c r="DJ32" s="631"/>
      <c r="DK32" s="631"/>
      <c r="DL32" s="631"/>
      <c r="DM32" s="631"/>
      <c r="DN32" s="631"/>
      <c r="DO32" s="643"/>
      <c r="DP32" s="643"/>
      <c r="DQ32" s="643"/>
      <c r="DR32" s="643"/>
      <c r="DS32" s="643"/>
      <c r="DT32" s="643"/>
      <c r="DU32" s="643"/>
      <c r="DV32" s="643"/>
      <c r="DW32" s="643"/>
      <c r="DX32" s="643"/>
      <c r="DY32" s="643"/>
      <c r="DZ32" s="643"/>
      <c r="EA32" s="643"/>
      <c r="EB32" s="643"/>
      <c r="EC32" s="643"/>
      <c r="ED32" s="643"/>
      <c r="EE32" s="643"/>
      <c r="EF32" s="643"/>
      <c r="EG32" s="643"/>
      <c r="EH32" s="643"/>
      <c r="EI32" s="643"/>
      <c r="EJ32" s="643"/>
      <c r="EK32" s="643"/>
      <c r="EL32" s="643"/>
      <c r="EM32" s="643"/>
      <c r="EN32" s="643"/>
      <c r="EO32" s="643"/>
      <c r="EP32" s="643"/>
      <c r="EQ32" s="643"/>
      <c r="ER32" s="643"/>
      <c r="ES32" s="643"/>
      <c r="ET32" s="643"/>
      <c r="EU32" s="643"/>
      <c r="EV32" s="643"/>
      <c r="EW32" s="643"/>
      <c r="EX32" s="643"/>
      <c r="EY32" s="643"/>
      <c r="EZ32" s="643"/>
      <c r="FA32" s="643"/>
      <c r="FB32" s="643"/>
      <c r="FC32" s="643"/>
      <c r="FD32" s="643"/>
      <c r="FE32" s="643"/>
      <c r="FF32" s="643"/>
      <c r="FG32" s="643"/>
      <c r="FH32" s="643"/>
      <c r="FI32" s="643"/>
      <c r="FJ32" s="643"/>
      <c r="FK32" s="643"/>
      <c r="FL32" s="643"/>
      <c r="FM32" s="643"/>
      <c r="FN32" s="643"/>
      <c r="FO32" s="643"/>
      <c r="FP32" s="643"/>
      <c r="FQ32" s="643"/>
      <c r="FR32" s="643"/>
      <c r="FS32" s="643"/>
      <c r="FT32" s="643"/>
      <c r="FU32" s="643"/>
      <c r="FV32" s="643"/>
      <c r="FW32" s="643"/>
      <c r="FX32" s="643"/>
      <c r="FY32" s="643"/>
      <c r="FZ32" s="643"/>
      <c r="GA32" s="643"/>
      <c r="GB32" s="643"/>
      <c r="GC32" s="643"/>
      <c r="GD32" s="643"/>
      <c r="GE32" s="643"/>
      <c r="GF32" s="643"/>
      <c r="GG32" s="643"/>
      <c r="GH32" s="643"/>
      <c r="GI32" s="643"/>
      <c r="GJ32" s="643"/>
      <c r="GK32" s="643"/>
      <c r="GL32" s="643"/>
      <c r="GM32" s="643"/>
      <c r="GN32" s="643"/>
      <c r="GO32" s="643"/>
      <c r="GP32" s="643"/>
      <c r="GQ32" s="643"/>
      <c r="GR32" s="643"/>
      <c r="GS32" s="643"/>
      <c r="GT32" s="643"/>
      <c r="GU32" s="643"/>
      <c r="GV32" s="643"/>
      <c r="GW32" s="643"/>
      <c r="GX32" s="643"/>
      <c r="GY32" s="643"/>
      <c r="GZ32" s="643"/>
      <c r="HA32" s="643"/>
      <c r="HB32" s="643"/>
      <c r="HC32" s="643"/>
      <c r="HD32" s="643"/>
      <c r="HE32" s="643"/>
      <c r="HF32" s="643"/>
      <c r="HG32" s="643"/>
      <c r="HH32" s="643"/>
      <c r="HI32" s="643"/>
      <c r="HJ32" s="643"/>
      <c r="HK32" s="643"/>
      <c r="HL32" s="643"/>
      <c r="HM32" s="643"/>
      <c r="HN32" s="643"/>
      <c r="HO32" s="643"/>
      <c r="HP32" s="643"/>
      <c r="HQ32" s="643"/>
      <c r="HR32" s="643"/>
      <c r="HS32" s="643"/>
      <c r="HT32" s="643"/>
      <c r="HU32" s="643"/>
      <c r="HV32" s="643"/>
      <c r="HW32" s="643"/>
      <c r="HX32" s="643"/>
      <c r="HY32" s="643"/>
      <c r="HZ32" s="643"/>
      <c r="IA32" s="643"/>
      <c r="IB32" s="643"/>
      <c r="IC32" s="643"/>
      <c r="ID32" s="643"/>
      <c r="IE32" s="643"/>
      <c r="IF32" s="643"/>
      <c r="IG32" s="643"/>
      <c r="IH32" s="643"/>
      <c r="II32" s="643"/>
      <c r="IJ32" s="643"/>
      <c r="IK32" s="643"/>
      <c r="IL32" s="643"/>
      <c r="IM32" s="643"/>
      <c r="IN32" s="643"/>
      <c r="IO32" s="643"/>
      <c r="IP32" s="643"/>
      <c r="IQ32" s="643"/>
      <c r="IR32" s="643"/>
      <c r="IS32" s="643"/>
      <c r="IT32" s="643"/>
      <c r="IU32" s="643"/>
      <c r="IV32" s="643"/>
      <c r="IW32" s="643"/>
      <c r="IX32" s="643"/>
      <c r="IY32" s="643"/>
      <c r="IZ32" s="643"/>
      <c r="JA32" s="643"/>
      <c r="JB32" s="643"/>
      <c r="JC32" s="643"/>
      <c r="JD32" s="643"/>
      <c r="JE32" s="643"/>
      <c r="JF32" s="643"/>
      <c r="JG32" s="643"/>
      <c r="JH32" s="643"/>
      <c r="JI32" s="643"/>
      <c r="JJ32" s="643"/>
      <c r="JK32" s="643"/>
      <c r="JL32" s="643"/>
      <c r="JM32" s="643"/>
      <c r="JN32" s="643"/>
      <c r="JO32" s="643"/>
      <c r="JP32" s="643"/>
      <c r="JQ32" s="643"/>
      <c r="JR32" s="643"/>
      <c r="JS32" s="643"/>
      <c r="JT32" s="643"/>
      <c r="JU32" s="643"/>
      <c r="JV32" s="643"/>
      <c r="JW32" s="643"/>
      <c r="JX32" s="643"/>
      <c r="JY32" s="643"/>
      <c r="JZ32" s="643"/>
      <c r="KA32" s="643"/>
      <c r="KB32" s="643"/>
      <c r="KC32" s="643"/>
      <c r="KD32" s="643"/>
      <c r="KE32" s="643"/>
      <c r="KF32" s="643"/>
      <c r="KG32" s="643"/>
      <c r="KH32" s="643"/>
      <c r="KI32" s="643"/>
      <c r="KJ32" s="643"/>
      <c r="KK32" s="643"/>
      <c r="KL32" s="643"/>
      <c r="KM32" s="643"/>
      <c r="KN32" s="643"/>
      <c r="KO32" s="643"/>
      <c r="KP32" s="643"/>
      <c r="KQ32" s="643"/>
      <c r="KR32" s="643"/>
      <c r="KS32" s="643"/>
      <c r="KT32" s="643"/>
      <c r="KU32" s="643"/>
      <c r="KV32" s="643"/>
      <c r="KW32" s="643"/>
      <c r="KX32" s="643"/>
      <c r="KY32" s="643"/>
      <c r="KZ32" s="643"/>
      <c r="LA32" s="643"/>
      <c r="LB32" s="643"/>
      <c r="LC32" s="643"/>
      <c r="LD32" s="643"/>
      <c r="LE32" s="643"/>
      <c r="LF32" s="643"/>
      <c r="LG32" s="643"/>
      <c r="LH32" s="643"/>
      <c r="LI32" s="643"/>
      <c r="LJ32" s="643"/>
      <c r="LK32" s="643"/>
      <c r="LL32" s="643"/>
      <c r="LM32" s="643"/>
      <c r="LN32" s="643"/>
      <c r="LO32" s="643"/>
      <c r="LP32" s="643"/>
      <c r="LQ32" s="643"/>
      <c r="LR32" s="643"/>
      <c r="LS32" s="643"/>
      <c r="LT32" s="643"/>
      <c r="LU32" s="643"/>
      <c r="LV32" s="643"/>
      <c r="LW32" s="643"/>
      <c r="LX32" s="643"/>
      <c r="LY32" s="643"/>
      <c r="LZ32" s="643"/>
      <c r="MA32" s="643"/>
      <c r="MB32" s="643"/>
      <c r="MC32" s="643"/>
      <c r="MD32" s="643"/>
      <c r="ME32" s="643"/>
      <c r="MF32" s="643"/>
      <c r="MG32" s="643"/>
      <c r="MH32" s="643"/>
      <c r="MI32" s="643"/>
      <c r="MJ32" s="643"/>
      <c r="MK32" s="643"/>
      <c r="ML32" s="643"/>
      <c r="MM32" s="643"/>
      <c r="MN32" s="643"/>
      <c r="MO32" s="643"/>
      <c r="MP32" s="643"/>
      <c r="MQ32" s="643"/>
      <c r="MR32" s="643"/>
      <c r="MS32" s="643"/>
      <c r="MT32" s="643"/>
      <c r="MU32" s="643"/>
      <c r="MV32" s="643"/>
      <c r="MW32" s="643"/>
      <c r="MX32" s="643"/>
      <c r="MY32" s="643"/>
      <c r="MZ32" s="643"/>
      <c r="NA32" s="643"/>
      <c r="NB32" s="643"/>
      <c r="NC32" s="643"/>
      <c r="ND32" s="643"/>
      <c r="NE32" s="643"/>
      <c r="NF32" s="643"/>
      <c r="NG32" s="643"/>
      <c r="NH32" s="643"/>
      <c r="NI32" s="643"/>
      <c r="NJ32" s="643"/>
      <c r="NK32" s="643"/>
      <c r="NL32" s="643"/>
      <c r="NM32" s="643"/>
      <c r="NN32" s="643"/>
      <c r="NO32" s="643"/>
      <c r="NP32" s="643"/>
      <c r="NQ32" s="643"/>
      <c r="NR32" s="643"/>
      <c r="NS32" s="643"/>
      <c r="NT32" s="643"/>
      <c r="NU32" s="643"/>
      <c r="NV32" s="643"/>
      <c r="NW32" s="643"/>
      <c r="NX32" s="643"/>
      <c r="NY32" s="643"/>
      <c r="NZ32" s="643"/>
      <c r="OA32" s="643"/>
      <c r="OB32" s="643"/>
      <c r="OC32" s="643"/>
      <c r="OD32" s="643"/>
      <c r="OE32" s="643"/>
      <c r="OF32" s="643"/>
      <c r="OG32" s="643"/>
      <c r="OH32" s="643"/>
      <c r="OI32" s="643"/>
      <c r="OJ32" s="643"/>
      <c r="OK32" s="643"/>
      <c r="OL32" s="643"/>
      <c r="OM32" s="643"/>
      <c r="ON32" s="643"/>
      <c r="OO32" s="643"/>
      <c r="OP32" s="643"/>
      <c r="OQ32" s="643"/>
      <c r="OR32" s="643"/>
      <c r="OS32" s="643"/>
      <c r="OT32" s="643"/>
      <c r="OU32" s="643"/>
      <c r="OV32" s="643"/>
      <c r="OW32" s="643"/>
      <c r="OX32" s="643"/>
      <c r="OY32" s="643"/>
      <c r="OZ32" s="643"/>
      <c r="PA32" s="643"/>
      <c r="PB32" s="643"/>
      <c r="PC32" s="643"/>
      <c r="PD32" s="643"/>
      <c r="PE32" s="643"/>
      <c r="PF32" s="643"/>
      <c r="PG32" s="643"/>
      <c r="PH32" s="643"/>
      <c r="PI32" s="643"/>
      <c r="PJ32" s="643"/>
      <c r="PK32" s="643"/>
      <c r="PL32" s="643"/>
      <c r="PM32" s="643"/>
      <c r="PN32" s="643"/>
      <c r="PO32" s="643"/>
      <c r="PP32" s="643"/>
      <c r="PQ32" s="643"/>
      <c r="PR32" s="643"/>
      <c r="PS32" s="643"/>
      <c r="PT32" s="643"/>
      <c r="PU32" s="643"/>
      <c r="PV32" s="643"/>
      <c r="PW32" s="643"/>
      <c r="PX32" s="643"/>
      <c r="PY32" s="643"/>
      <c r="PZ32" s="643"/>
      <c r="QA32" s="643"/>
      <c r="QB32" s="643"/>
      <c r="QC32" s="643"/>
      <c r="QD32" s="643"/>
      <c r="QE32" s="643"/>
      <c r="QF32" s="643"/>
      <c r="QG32" s="643"/>
      <c r="QH32" s="643"/>
      <c r="QI32" s="643"/>
      <c r="QJ32" s="643"/>
      <c r="QK32" s="643"/>
      <c r="QL32" s="643"/>
      <c r="QM32" s="643"/>
      <c r="QN32" s="643"/>
      <c r="QO32" s="643"/>
      <c r="QP32" s="643"/>
      <c r="QQ32" s="643"/>
      <c r="QR32" s="643"/>
      <c r="QS32" s="643"/>
      <c r="QT32" s="643"/>
      <c r="QU32" s="643"/>
      <c r="QV32" s="643"/>
      <c r="QW32" s="643"/>
      <c r="QX32" s="643"/>
      <c r="QY32" s="643"/>
      <c r="QZ32" s="643"/>
      <c r="RA32" s="643"/>
      <c r="RB32" s="643"/>
      <c r="RC32" s="643"/>
      <c r="RD32" s="643"/>
      <c r="RE32" s="643"/>
      <c r="RF32" s="643"/>
      <c r="RG32" s="643"/>
      <c r="RH32" s="643"/>
      <c r="RI32" s="643"/>
      <c r="RJ32" s="643"/>
      <c r="RK32" s="643"/>
      <c r="RL32" s="643"/>
      <c r="RM32" s="643"/>
      <c r="RN32" s="643"/>
      <c r="RO32" s="643"/>
      <c r="RP32" s="643"/>
      <c r="RQ32" s="643"/>
      <c r="RR32" s="643"/>
      <c r="RS32" s="643"/>
      <c r="RT32" s="643"/>
      <c r="RU32" s="643"/>
      <c r="RV32" s="643"/>
      <c r="RW32" s="643"/>
      <c r="RX32" s="643"/>
      <c r="RY32" s="643"/>
      <c r="RZ32" s="643"/>
      <c r="SA32" s="643"/>
      <c r="SB32" s="643"/>
      <c r="SC32" s="643"/>
      <c r="SD32" s="643"/>
      <c r="SE32" s="643"/>
      <c r="SF32" s="643"/>
      <c r="SG32" s="643"/>
      <c r="SH32" s="643"/>
      <c r="SI32" s="643"/>
      <c r="SJ32" s="643"/>
      <c r="SK32" s="643"/>
      <c r="SL32" s="643"/>
      <c r="SM32" s="643"/>
      <c r="SN32" s="643"/>
      <c r="SO32" s="643"/>
      <c r="SP32" s="643"/>
      <c r="SQ32" s="643"/>
      <c r="SR32" s="643"/>
      <c r="SS32" s="643"/>
    </row>
    <row r="33" spans="2:590" s="641" customFormat="1" ht="14.5" x14ac:dyDescent="0.35">
      <c r="B33" s="641" t="s">
        <v>878</v>
      </c>
      <c r="L33" s="642"/>
      <c r="M33" s="642"/>
      <c r="N33" s="642"/>
      <c r="O33" s="642"/>
      <c r="P33" s="642"/>
      <c r="Q33" s="642"/>
      <c r="R33" s="642"/>
      <c r="S33" s="642"/>
      <c r="T33" s="644"/>
      <c r="U33" s="642" t="str">
        <f>IF(U31="Cash -ve","Fail",IF(U31&gt;U29,"Pass","Fail"))</f>
        <v>Pass</v>
      </c>
      <c r="V33" s="642" t="str">
        <f>IF(V31="Cash -ve","Fail",IF(V31&gt;V29,"Pass","Fail"))</f>
        <v>Pass</v>
      </c>
      <c r="W33" s="642" t="str">
        <f t="shared" ref="W33:BL33" si="215">IF(W31="Cash -ve","Fail",IF(W31&gt;W29,"Pass","Fail"))</f>
        <v>Pass</v>
      </c>
      <c r="X33" s="642" t="str">
        <f t="shared" si="215"/>
        <v>Pass</v>
      </c>
      <c r="Y33" s="642" t="str">
        <f t="shared" si="215"/>
        <v>Pass</v>
      </c>
      <c r="Z33" s="642" t="str">
        <f t="shared" si="215"/>
        <v>Pass</v>
      </c>
      <c r="AA33" s="642" t="str">
        <f t="shared" si="215"/>
        <v>Pass</v>
      </c>
      <c r="AB33" s="645" t="str">
        <f t="shared" si="215"/>
        <v>Pass</v>
      </c>
      <c r="AC33" s="645" t="str">
        <f t="shared" si="215"/>
        <v>Pass</v>
      </c>
      <c r="AD33" s="645" t="str">
        <f t="shared" si="215"/>
        <v>Pass</v>
      </c>
      <c r="AE33" s="645" t="str">
        <f t="shared" si="215"/>
        <v>Pass</v>
      </c>
      <c r="AF33" s="645" t="str">
        <f t="shared" si="215"/>
        <v>Pass</v>
      </c>
      <c r="AG33" s="645" t="str">
        <f t="shared" si="215"/>
        <v>Pass</v>
      </c>
      <c r="AH33" s="645" t="str">
        <f t="shared" si="215"/>
        <v>Pass</v>
      </c>
      <c r="AI33" s="645" t="str">
        <f t="shared" si="215"/>
        <v>Pass</v>
      </c>
      <c r="AJ33" s="645" t="str">
        <f t="shared" si="215"/>
        <v>Pass</v>
      </c>
      <c r="AK33" s="645" t="str">
        <f t="shared" si="215"/>
        <v>Pass</v>
      </c>
      <c r="AL33" s="645" t="str">
        <f t="shared" si="215"/>
        <v>Pass</v>
      </c>
      <c r="AM33" s="645" t="str">
        <f t="shared" si="215"/>
        <v>Pass</v>
      </c>
      <c r="AN33" s="645" t="str">
        <f t="shared" si="215"/>
        <v>Pass</v>
      </c>
      <c r="AO33" s="645" t="str">
        <f t="shared" si="215"/>
        <v>Pass</v>
      </c>
      <c r="AP33" s="645" t="str">
        <f t="shared" si="215"/>
        <v>Pass</v>
      </c>
      <c r="AQ33" s="645" t="str">
        <f t="shared" si="215"/>
        <v>Pass</v>
      </c>
      <c r="AR33" s="645" t="str">
        <f t="shared" si="215"/>
        <v>Pass</v>
      </c>
      <c r="AS33" s="645" t="str">
        <f t="shared" si="215"/>
        <v>Pass</v>
      </c>
      <c r="AT33" s="645" t="str">
        <f t="shared" si="215"/>
        <v>Pass</v>
      </c>
      <c r="AU33" s="645" t="str">
        <f t="shared" si="215"/>
        <v>Pass</v>
      </c>
      <c r="AV33" s="645" t="str">
        <f t="shared" si="215"/>
        <v>Pass</v>
      </c>
      <c r="AW33" s="645" t="str">
        <f t="shared" si="215"/>
        <v>Pass</v>
      </c>
      <c r="AX33" s="645" t="str">
        <f t="shared" si="215"/>
        <v>Pass</v>
      </c>
      <c r="AY33" s="645" t="str">
        <f t="shared" si="215"/>
        <v>Pass</v>
      </c>
      <c r="AZ33" s="645" t="str">
        <f t="shared" si="215"/>
        <v>Pass</v>
      </c>
      <c r="BA33" s="645" t="str">
        <f>IF(BA31="Cash -ve","Fail",IF(BA31&gt;BA29,"Pass","Fail"))</f>
        <v>Pass</v>
      </c>
      <c r="BB33" s="645" t="str">
        <f t="shared" si="215"/>
        <v>Pass</v>
      </c>
      <c r="BC33" s="645" t="str">
        <f t="shared" si="215"/>
        <v>Pass</v>
      </c>
      <c r="BD33" s="645" t="str">
        <f t="shared" si="215"/>
        <v>Pass</v>
      </c>
      <c r="BE33" s="645" t="str">
        <f t="shared" si="215"/>
        <v>Pass</v>
      </c>
      <c r="BF33" s="645" t="str">
        <f t="shared" si="215"/>
        <v>Pass</v>
      </c>
      <c r="BG33" s="645" t="str">
        <f t="shared" si="215"/>
        <v>Pass</v>
      </c>
      <c r="BH33" s="645" t="str">
        <f t="shared" si="215"/>
        <v>Pass</v>
      </c>
      <c r="BI33" s="645" t="str">
        <f t="shared" si="215"/>
        <v>Pass</v>
      </c>
      <c r="BJ33" s="645" t="str">
        <f t="shared" si="215"/>
        <v>Pass</v>
      </c>
      <c r="BK33" s="645" t="str">
        <f t="shared" si="215"/>
        <v>Pass</v>
      </c>
      <c r="BL33" s="645" t="str">
        <f t="shared" si="215"/>
        <v>Pass</v>
      </c>
      <c r="BM33" s="645" t="str">
        <f t="shared" ref="BM33:BX33" si="216">IF(BM31="Cash -ve","Fail",IF(BM31&gt;BM29,"Pass","Fail"))</f>
        <v>Pass</v>
      </c>
      <c r="BN33" s="645" t="str">
        <f t="shared" si="216"/>
        <v>Pass</v>
      </c>
      <c r="BO33" s="645" t="str">
        <f t="shared" si="216"/>
        <v>Pass</v>
      </c>
      <c r="BP33" s="645" t="str">
        <f t="shared" si="216"/>
        <v>Pass</v>
      </c>
      <c r="BQ33" s="645" t="str">
        <f t="shared" si="216"/>
        <v>Pass</v>
      </c>
      <c r="BR33" s="645" t="str">
        <f t="shared" si="216"/>
        <v>Pass</v>
      </c>
      <c r="BS33" s="645" t="str">
        <f>IF(BS31="Cash -ve","Fail",IF(BS31&gt;BS29,"Pass","Fail"))</f>
        <v>Pass</v>
      </c>
      <c r="BT33" s="645" t="str">
        <f t="shared" si="216"/>
        <v>Pass</v>
      </c>
      <c r="BU33" s="645" t="str">
        <f>IF(BU31="Cash -ve","Fail",IF(BU31&gt;BU29,"Pass","Fail"))</f>
        <v>Pass</v>
      </c>
      <c r="BV33" s="645" t="str">
        <f t="shared" si="216"/>
        <v>Pass</v>
      </c>
      <c r="BW33" s="645" t="str">
        <f t="shared" si="216"/>
        <v>Pass</v>
      </c>
      <c r="BX33" s="645" t="str">
        <f t="shared" si="216"/>
        <v>Pass</v>
      </c>
      <c r="BY33" s="645" t="str">
        <f t="shared" ref="BY33:CJ33" si="217">IF(BY31="Cash -ve","Fail",IF(BY31&gt;BY29,"Pass","Fail"))</f>
        <v>Pass</v>
      </c>
      <c r="BZ33" s="645" t="str">
        <f t="shared" si="217"/>
        <v>Pass</v>
      </c>
      <c r="CA33" s="645" t="str">
        <f t="shared" ref="CA33:CF33" si="218">IF(CA31="Cash -ve","Fail",IF(CA31&gt;CA29,"Pass","Fail"))</f>
        <v>Pass</v>
      </c>
      <c r="CB33" s="645" t="str">
        <f t="shared" si="218"/>
        <v>Pass</v>
      </c>
      <c r="CC33" s="645" t="str">
        <f t="shared" si="218"/>
        <v>Pass</v>
      </c>
      <c r="CD33" s="645" t="str">
        <f t="shared" si="218"/>
        <v>Pass</v>
      </c>
      <c r="CE33" s="645" t="str">
        <f t="shared" si="218"/>
        <v>Pass</v>
      </c>
      <c r="CF33" s="645" t="str">
        <f t="shared" si="218"/>
        <v>Pass</v>
      </c>
      <c r="CG33" s="645" t="str">
        <f t="shared" si="217"/>
        <v>Pass</v>
      </c>
      <c r="CH33" s="645" t="str">
        <f t="shared" si="217"/>
        <v>Pass</v>
      </c>
      <c r="CI33" s="645" t="str">
        <f t="shared" si="217"/>
        <v>Pass</v>
      </c>
      <c r="CJ33" s="645" t="str">
        <f t="shared" si="217"/>
        <v>Pass</v>
      </c>
      <c r="CK33" s="645" t="str">
        <f t="shared" ref="CK33:CL33" si="219">IF(CK31="Cash -ve","Fail",IF(CK31&gt;CK29,"Pass","Fail"))</f>
        <v>Pass</v>
      </c>
      <c r="CL33" s="645" t="str">
        <f t="shared" si="219"/>
        <v>Pass</v>
      </c>
      <c r="CM33" s="645" t="str">
        <f t="shared" ref="CM33:CN33" si="220">IF(CM31="Cash -ve","Fail",IF(CM31&gt;CM29,"Pass","Fail"))</f>
        <v>Pass</v>
      </c>
      <c r="CN33" s="645" t="str">
        <f t="shared" si="220"/>
        <v>Pass</v>
      </c>
      <c r="CO33" s="645" t="str">
        <f t="shared" ref="CO33:CP33" si="221">IF(CO31="Cash -ve","Fail",IF(CO31&gt;CO29,"Pass","Fail"))</f>
        <v>Pass</v>
      </c>
      <c r="CP33" s="645" t="str">
        <f t="shared" si="221"/>
        <v>Pass</v>
      </c>
      <c r="CQ33" s="645" t="str">
        <f t="shared" ref="CQ33:CV33" si="222">IF(CQ31="Cash -ve","Fail",IF(CQ31&gt;CQ29,"Pass","Fail"))</f>
        <v>Pass</v>
      </c>
      <c r="CR33" s="645" t="str">
        <f t="shared" si="222"/>
        <v>Pass</v>
      </c>
      <c r="CS33" s="645" t="str">
        <f t="shared" si="222"/>
        <v>Pass</v>
      </c>
      <c r="CT33" s="645" t="str">
        <f t="shared" si="222"/>
        <v>Pass</v>
      </c>
      <c r="CU33" s="645" t="str">
        <f t="shared" si="222"/>
        <v>Pass</v>
      </c>
      <c r="CV33" s="645" t="str">
        <f t="shared" si="222"/>
        <v>Pass</v>
      </c>
      <c r="CW33" s="645" t="str">
        <f t="shared" ref="CW33:CX33" si="223">IF(CW31="Cash -ve","Fail",IF(CW31&gt;CW29,"Pass","Fail"))</f>
        <v>Pass</v>
      </c>
      <c r="CX33" s="645" t="str">
        <f t="shared" si="223"/>
        <v>Pass</v>
      </c>
      <c r="CY33" s="645" t="str">
        <f t="shared" ref="CY33:DB33" si="224">IF(CY31="Cash -ve","Fail",IF(CY31&gt;CY29,"Pass","Fail"))</f>
        <v>Pass</v>
      </c>
      <c r="CZ33" s="645" t="str">
        <f t="shared" si="224"/>
        <v>Pass</v>
      </c>
      <c r="DA33" s="645" t="str">
        <f t="shared" si="224"/>
        <v>Pass</v>
      </c>
      <c r="DB33" s="645" t="str">
        <f t="shared" si="224"/>
        <v>Pass</v>
      </c>
      <c r="DC33" s="631"/>
      <c r="DD33" s="631"/>
      <c r="DE33" s="631"/>
      <c r="DF33" s="631"/>
      <c r="DG33" s="631"/>
      <c r="DH33" s="631"/>
      <c r="DI33" s="631"/>
      <c r="DJ33" s="631"/>
      <c r="DK33" s="631"/>
      <c r="DL33" s="631"/>
      <c r="DM33" s="631"/>
      <c r="DN33" s="631"/>
    </row>
    <row r="34" spans="2:590" s="135" customFormat="1" ht="14.5" x14ac:dyDescent="0.35">
      <c r="N34" s="134"/>
      <c r="O34" s="134"/>
      <c r="P34" s="139"/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8"/>
      <c r="AH34" s="138"/>
      <c r="AI34" s="138"/>
      <c r="AJ34" s="138"/>
      <c r="AK34" s="138"/>
      <c r="AL34" s="138"/>
      <c r="AM34" s="138"/>
      <c r="AN34" s="138"/>
      <c r="AO34" s="138"/>
      <c r="AP34" s="138"/>
      <c r="AQ34" s="138"/>
      <c r="AR34" s="138"/>
      <c r="AS34" s="138"/>
      <c r="AT34" s="138"/>
      <c r="AU34" s="138"/>
      <c r="AV34" s="138"/>
      <c r="AW34" s="138"/>
      <c r="AX34" s="138"/>
      <c r="AY34" s="138"/>
      <c r="AZ34" s="138"/>
      <c r="BA34" s="138"/>
      <c r="BB34" s="138"/>
      <c r="BC34" s="138"/>
      <c r="BD34" s="138"/>
      <c r="BE34" s="138"/>
      <c r="BF34" s="138"/>
      <c r="BG34" s="138"/>
      <c r="BH34" s="138"/>
      <c r="BI34" s="138"/>
      <c r="BJ34" s="138"/>
      <c r="BK34" s="138"/>
      <c r="BL34" s="138"/>
      <c r="BM34" s="138"/>
      <c r="BN34" s="138"/>
      <c r="BO34" s="138"/>
    </row>
    <row r="35" spans="2:590" s="135" customFormat="1" ht="14.5" x14ac:dyDescent="0.35">
      <c r="N35" s="134"/>
      <c r="O35" s="134"/>
      <c r="P35" s="134"/>
      <c r="Q35" s="134"/>
      <c r="R35" s="134"/>
      <c r="S35" s="134"/>
      <c r="T35" s="134"/>
      <c r="U35" s="134"/>
      <c r="V35" s="134"/>
      <c r="W35" s="134"/>
      <c r="X35" s="134"/>
      <c r="Y35" s="134"/>
      <c r="Z35" s="134"/>
      <c r="AA35" s="134"/>
      <c r="AB35" s="134"/>
      <c r="AC35" s="134"/>
      <c r="AD35" s="134"/>
      <c r="AE35" s="134"/>
      <c r="AF35" s="134"/>
    </row>
    <row r="36" spans="2:590" s="135" customFormat="1" ht="14.5" x14ac:dyDescent="0.35">
      <c r="N36" s="134"/>
      <c r="O36" s="134"/>
      <c r="P36" s="134"/>
      <c r="Q36" s="134"/>
      <c r="R36" s="134"/>
      <c r="S36" s="134"/>
      <c r="T36" s="134"/>
      <c r="U36" s="134"/>
      <c r="V36" s="185"/>
      <c r="W36" s="134"/>
      <c r="X36" s="134"/>
      <c r="Y36" s="134"/>
      <c r="Z36" s="134"/>
      <c r="AA36" s="134"/>
      <c r="AB36" s="134"/>
      <c r="AC36" s="134"/>
      <c r="AD36" s="134"/>
      <c r="AE36" s="134"/>
      <c r="AF36" s="134"/>
    </row>
    <row r="37" spans="2:590" s="210" customFormat="1" ht="14.5" x14ac:dyDescent="0.35">
      <c r="B37" s="212" t="s">
        <v>879</v>
      </c>
      <c r="N37" s="211"/>
      <c r="O37" s="211"/>
      <c r="P37" s="211"/>
      <c r="Q37" s="211"/>
      <c r="R37" s="211"/>
      <c r="S37" s="211"/>
      <c r="T37" s="211"/>
      <c r="U37" s="211"/>
      <c r="V37" s="211"/>
      <c r="W37" s="211"/>
      <c r="X37" s="211"/>
      <c r="Y37" s="211"/>
      <c r="Z37" s="211"/>
      <c r="AA37" s="211"/>
      <c r="AB37" s="211"/>
      <c r="AC37" s="211"/>
      <c r="AD37" s="211"/>
      <c r="AE37" s="211"/>
      <c r="AF37" s="211"/>
    </row>
    <row r="38" spans="2:590" s="208" customFormat="1" ht="14.5" x14ac:dyDescent="0.35">
      <c r="D38" s="209">
        <f t="shared" ref="D38:AI38" si="225">D5</f>
        <v>43100</v>
      </c>
      <c r="E38" s="209">
        <f t="shared" si="225"/>
        <v>43131</v>
      </c>
      <c r="F38" s="209">
        <f t="shared" si="225"/>
        <v>43159</v>
      </c>
      <c r="G38" s="209">
        <f t="shared" si="225"/>
        <v>43190</v>
      </c>
      <c r="H38" s="209">
        <f t="shared" si="225"/>
        <v>43220</v>
      </c>
      <c r="I38" s="209">
        <f t="shared" si="225"/>
        <v>43251</v>
      </c>
      <c r="J38" s="209">
        <f t="shared" si="225"/>
        <v>43281</v>
      </c>
      <c r="K38" s="209">
        <f t="shared" si="225"/>
        <v>43312</v>
      </c>
      <c r="L38" s="209">
        <f t="shared" si="225"/>
        <v>43343</v>
      </c>
      <c r="M38" s="209">
        <f t="shared" si="225"/>
        <v>43373</v>
      </c>
      <c r="N38" s="188">
        <f t="shared" si="225"/>
        <v>43404</v>
      </c>
      <c r="O38" s="188">
        <f t="shared" si="225"/>
        <v>43434</v>
      </c>
      <c r="P38" s="188">
        <f t="shared" si="225"/>
        <v>43465</v>
      </c>
      <c r="Q38" s="188">
        <f t="shared" si="225"/>
        <v>43496</v>
      </c>
      <c r="R38" s="188">
        <f t="shared" si="225"/>
        <v>43524</v>
      </c>
      <c r="S38" s="188">
        <f t="shared" si="225"/>
        <v>43555</v>
      </c>
      <c r="T38" s="188">
        <f t="shared" si="225"/>
        <v>43585</v>
      </c>
      <c r="U38" s="188">
        <f t="shared" si="225"/>
        <v>43616</v>
      </c>
      <c r="V38" s="188">
        <f t="shared" si="225"/>
        <v>43646</v>
      </c>
      <c r="W38" s="188">
        <f t="shared" si="225"/>
        <v>43677</v>
      </c>
      <c r="X38" s="188">
        <f t="shared" si="225"/>
        <v>43708</v>
      </c>
      <c r="Y38" s="188">
        <f t="shared" si="225"/>
        <v>43738</v>
      </c>
      <c r="Z38" s="188">
        <f t="shared" si="225"/>
        <v>43769</v>
      </c>
      <c r="AA38" s="188">
        <f t="shared" si="225"/>
        <v>43799</v>
      </c>
      <c r="AB38" s="188">
        <f t="shared" si="225"/>
        <v>43830</v>
      </c>
      <c r="AC38" s="188">
        <f t="shared" si="225"/>
        <v>43861</v>
      </c>
      <c r="AD38" s="188">
        <f t="shared" si="225"/>
        <v>43890</v>
      </c>
      <c r="AE38" s="188">
        <f t="shared" si="225"/>
        <v>43921</v>
      </c>
      <c r="AF38" s="188">
        <f t="shared" si="225"/>
        <v>43951</v>
      </c>
      <c r="AG38" s="188">
        <f t="shared" si="225"/>
        <v>43982</v>
      </c>
      <c r="AH38" s="188">
        <f t="shared" si="225"/>
        <v>44012</v>
      </c>
      <c r="AI38" s="188">
        <f t="shared" si="225"/>
        <v>44043</v>
      </c>
      <c r="AJ38" s="188">
        <f t="shared" ref="AJ38:CW38" si="226">AJ5</f>
        <v>44074</v>
      </c>
      <c r="AK38" s="188">
        <f t="shared" si="226"/>
        <v>44104</v>
      </c>
      <c r="AL38" s="188">
        <f t="shared" si="226"/>
        <v>44135</v>
      </c>
      <c r="AM38" s="188">
        <f t="shared" si="226"/>
        <v>44165</v>
      </c>
      <c r="AN38" s="188">
        <f t="shared" si="226"/>
        <v>44196</v>
      </c>
      <c r="AO38" s="188">
        <f t="shared" si="226"/>
        <v>44227</v>
      </c>
      <c r="AP38" s="188">
        <f t="shared" si="226"/>
        <v>44255</v>
      </c>
      <c r="AQ38" s="188">
        <f t="shared" si="226"/>
        <v>44286</v>
      </c>
      <c r="AR38" s="188">
        <f t="shared" si="226"/>
        <v>44316</v>
      </c>
      <c r="AS38" s="188">
        <f t="shared" si="226"/>
        <v>44347</v>
      </c>
      <c r="AT38" s="188">
        <f t="shared" si="226"/>
        <v>44377</v>
      </c>
      <c r="AU38" s="188">
        <f t="shared" si="226"/>
        <v>44408</v>
      </c>
      <c r="AV38" s="188">
        <f t="shared" si="226"/>
        <v>44439</v>
      </c>
      <c r="AW38" s="188">
        <f t="shared" si="226"/>
        <v>44469</v>
      </c>
      <c r="AX38" s="188">
        <f t="shared" si="226"/>
        <v>44500</v>
      </c>
      <c r="AY38" s="188">
        <f t="shared" si="226"/>
        <v>44530</v>
      </c>
      <c r="AZ38" s="188">
        <f t="shared" si="226"/>
        <v>44561</v>
      </c>
      <c r="BA38" s="188">
        <f t="shared" si="226"/>
        <v>44592</v>
      </c>
      <c r="BB38" s="188">
        <f t="shared" si="226"/>
        <v>44620</v>
      </c>
      <c r="BC38" s="188">
        <f t="shared" si="226"/>
        <v>44651</v>
      </c>
      <c r="BD38" s="188">
        <f t="shared" si="226"/>
        <v>44681</v>
      </c>
      <c r="BE38" s="188">
        <f t="shared" si="226"/>
        <v>44712</v>
      </c>
      <c r="BF38" s="188">
        <f t="shared" si="226"/>
        <v>44742</v>
      </c>
      <c r="BG38" s="188">
        <f t="shared" si="226"/>
        <v>44773</v>
      </c>
      <c r="BH38" s="188">
        <f t="shared" si="226"/>
        <v>44804</v>
      </c>
      <c r="BI38" s="188">
        <f t="shared" si="226"/>
        <v>44834</v>
      </c>
      <c r="BJ38" s="188">
        <f t="shared" si="226"/>
        <v>44865</v>
      </c>
      <c r="BK38" s="188">
        <f t="shared" si="226"/>
        <v>44895</v>
      </c>
      <c r="BL38" s="188">
        <f t="shared" si="226"/>
        <v>44926</v>
      </c>
      <c r="BM38" s="188">
        <f t="shared" si="226"/>
        <v>44957</v>
      </c>
      <c r="BN38" s="188">
        <f t="shared" si="226"/>
        <v>44985</v>
      </c>
      <c r="BO38" s="188">
        <f t="shared" si="226"/>
        <v>45016</v>
      </c>
      <c r="BP38" s="188">
        <f t="shared" si="226"/>
        <v>45046</v>
      </c>
      <c r="BQ38" s="188">
        <f t="shared" si="226"/>
        <v>45077</v>
      </c>
      <c r="BR38" s="188">
        <f t="shared" si="226"/>
        <v>45107</v>
      </c>
      <c r="BS38" s="188">
        <f t="shared" si="226"/>
        <v>45138</v>
      </c>
      <c r="BT38" s="188">
        <f t="shared" si="226"/>
        <v>45169</v>
      </c>
      <c r="BU38" s="188">
        <f t="shared" si="226"/>
        <v>45199</v>
      </c>
      <c r="BV38" s="188">
        <f t="shared" si="226"/>
        <v>45230</v>
      </c>
      <c r="BW38" s="188">
        <f t="shared" si="226"/>
        <v>45260</v>
      </c>
      <c r="BX38" s="188">
        <f t="shared" si="226"/>
        <v>45291</v>
      </c>
      <c r="BY38" s="188">
        <f t="shared" si="226"/>
        <v>45322</v>
      </c>
      <c r="BZ38" s="188">
        <f t="shared" si="226"/>
        <v>45351</v>
      </c>
      <c r="CA38" s="188">
        <f t="shared" si="226"/>
        <v>45382</v>
      </c>
      <c r="CB38" s="188">
        <f t="shared" si="226"/>
        <v>45412</v>
      </c>
      <c r="CC38" s="188">
        <f t="shared" si="226"/>
        <v>45443</v>
      </c>
      <c r="CD38" s="188">
        <f t="shared" si="226"/>
        <v>45473</v>
      </c>
      <c r="CE38" s="188">
        <f t="shared" si="226"/>
        <v>45504</v>
      </c>
      <c r="CF38" s="188">
        <f t="shared" si="226"/>
        <v>45535</v>
      </c>
      <c r="CG38" s="188">
        <f t="shared" si="226"/>
        <v>45565</v>
      </c>
      <c r="CH38" s="188">
        <f t="shared" si="226"/>
        <v>45596</v>
      </c>
      <c r="CI38" s="188">
        <f t="shared" si="226"/>
        <v>45626</v>
      </c>
      <c r="CJ38" s="188">
        <f t="shared" si="226"/>
        <v>45657</v>
      </c>
      <c r="CK38" s="188">
        <f t="shared" si="226"/>
        <v>45688</v>
      </c>
      <c r="CL38" s="188">
        <f t="shared" si="226"/>
        <v>45716</v>
      </c>
      <c r="CM38" s="188">
        <f t="shared" si="226"/>
        <v>45747</v>
      </c>
      <c r="CN38" s="188">
        <f t="shared" si="226"/>
        <v>45777</v>
      </c>
      <c r="CO38" s="188">
        <f t="shared" si="226"/>
        <v>45808</v>
      </c>
      <c r="CP38" s="188">
        <f t="shared" si="226"/>
        <v>45838</v>
      </c>
      <c r="CQ38" s="188">
        <f t="shared" si="226"/>
        <v>45869</v>
      </c>
      <c r="CR38" s="188">
        <f t="shared" si="226"/>
        <v>45900</v>
      </c>
      <c r="CS38" s="188">
        <f t="shared" si="226"/>
        <v>45930</v>
      </c>
      <c r="CT38" s="188">
        <f t="shared" si="226"/>
        <v>45961</v>
      </c>
      <c r="CU38" s="188">
        <f t="shared" si="226"/>
        <v>45991</v>
      </c>
      <c r="CV38" s="188">
        <f t="shared" ref="CV38:DB38" si="227">CV5</f>
        <v>46022</v>
      </c>
      <c r="CW38" s="188">
        <f t="shared" si="226"/>
        <v>46053</v>
      </c>
      <c r="CX38" s="188">
        <f t="shared" si="227"/>
        <v>46081</v>
      </c>
      <c r="CY38" s="188">
        <f t="shared" si="227"/>
        <v>46112</v>
      </c>
      <c r="CZ38" s="188">
        <f t="shared" si="227"/>
        <v>46142</v>
      </c>
      <c r="DA38" s="188">
        <f t="shared" si="227"/>
        <v>46173</v>
      </c>
      <c r="DB38" s="188">
        <f t="shared" si="227"/>
        <v>46203</v>
      </c>
      <c r="DC38" s="212"/>
      <c r="DD38" s="212"/>
      <c r="DE38" s="212"/>
      <c r="DF38" s="212"/>
      <c r="DG38" s="212"/>
      <c r="DH38" s="212"/>
      <c r="DI38" s="212"/>
      <c r="DJ38" s="212"/>
      <c r="DK38" s="212"/>
      <c r="DL38" s="212"/>
      <c r="DM38" s="212"/>
      <c r="DN38" s="212"/>
      <c r="DO38" s="212"/>
      <c r="DP38" s="212"/>
      <c r="DQ38" s="212"/>
      <c r="DR38" s="212"/>
      <c r="DS38" s="212"/>
      <c r="DT38" s="212"/>
      <c r="DU38" s="212"/>
      <c r="DV38" s="212"/>
      <c r="DW38" s="212"/>
      <c r="DX38" s="212"/>
      <c r="DY38" s="212"/>
      <c r="DZ38" s="212"/>
      <c r="EA38" s="212"/>
      <c r="EB38" s="212"/>
      <c r="EC38" s="212"/>
      <c r="ED38" s="212"/>
      <c r="EE38" s="212"/>
      <c r="EF38" s="212"/>
      <c r="EG38" s="212"/>
      <c r="EH38" s="212"/>
      <c r="EI38" s="212"/>
      <c r="EJ38" s="212"/>
      <c r="EK38" s="212"/>
      <c r="EL38" s="212"/>
      <c r="EM38" s="212"/>
      <c r="EN38" s="212"/>
      <c r="EO38" s="212"/>
      <c r="EP38" s="212"/>
      <c r="EQ38" s="212"/>
      <c r="ER38" s="212"/>
      <c r="ES38" s="212"/>
      <c r="ET38" s="212"/>
      <c r="EU38" s="212"/>
      <c r="EV38" s="212"/>
      <c r="EW38" s="212"/>
      <c r="EX38" s="212"/>
      <c r="EY38" s="212"/>
      <c r="EZ38" s="212"/>
      <c r="FA38" s="212"/>
      <c r="FB38" s="212"/>
      <c r="FC38" s="212"/>
      <c r="FD38" s="212"/>
      <c r="FE38" s="212"/>
      <c r="FF38" s="212"/>
      <c r="FG38" s="212"/>
      <c r="FH38" s="212"/>
      <c r="FI38" s="212"/>
      <c r="FJ38" s="212"/>
      <c r="FK38" s="212"/>
      <c r="FL38" s="212"/>
      <c r="FM38" s="212"/>
      <c r="FN38" s="212"/>
      <c r="FO38" s="212"/>
      <c r="FP38" s="212"/>
      <c r="FQ38" s="212"/>
      <c r="FR38" s="212"/>
      <c r="FS38" s="212"/>
      <c r="FT38" s="212"/>
      <c r="FU38" s="212"/>
      <c r="FV38" s="212"/>
      <c r="FW38" s="212"/>
      <c r="FX38" s="212"/>
      <c r="FY38" s="212"/>
      <c r="FZ38" s="212"/>
      <c r="GA38" s="212"/>
      <c r="GB38" s="212"/>
      <c r="GC38" s="212"/>
      <c r="GD38" s="212"/>
      <c r="GE38" s="212"/>
      <c r="GF38" s="212"/>
      <c r="GG38" s="212"/>
      <c r="GH38" s="212"/>
      <c r="GI38" s="212"/>
      <c r="GJ38" s="212"/>
      <c r="GK38" s="212"/>
      <c r="GL38" s="212"/>
      <c r="GM38" s="212"/>
      <c r="GN38" s="212"/>
      <c r="GO38" s="212"/>
      <c r="GP38" s="212"/>
      <c r="GQ38" s="212"/>
      <c r="GR38" s="212"/>
      <c r="GS38" s="212"/>
      <c r="GT38" s="212"/>
      <c r="GU38" s="212"/>
      <c r="GV38" s="212"/>
      <c r="GW38" s="212"/>
      <c r="GX38" s="212"/>
      <c r="GY38" s="212"/>
      <c r="GZ38" s="212"/>
      <c r="HA38" s="212"/>
      <c r="HB38" s="212"/>
      <c r="HC38" s="212"/>
      <c r="HD38" s="212"/>
      <c r="HE38" s="212"/>
      <c r="HF38" s="212"/>
      <c r="HG38" s="212"/>
      <c r="HH38" s="212"/>
      <c r="HI38" s="212"/>
      <c r="HJ38" s="212"/>
      <c r="HK38" s="212"/>
      <c r="HL38" s="212"/>
      <c r="HM38" s="212"/>
      <c r="HN38" s="212"/>
      <c r="HO38" s="212"/>
      <c r="HP38" s="212"/>
      <c r="HQ38" s="212"/>
      <c r="HR38" s="212"/>
      <c r="HS38" s="212"/>
      <c r="HT38" s="212"/>
      <c r="HU38" s="212"/>
      <c r="HV38" s="212"/>
      <c r="HW38" s="212"/>
      <c r="HX38" s="212"/>
      <c r="HY38" s="212"/>
      <c r="HZ38" s="212"/>
      <c r="IA38" s="212"/>
      <c r="IB38" s="212"/>
      <c r="IC38" s="212"/>
      <c r="ID38" s="212"/>
      <c r="IE38" s="212"/>
      <c r="IF38" s="212"/>
      <c r="IG38" s="212"/>
      <c r="IH38" s="212"/>
      <c r="II38" s="212"/>
      <c r="IJ38" s="212"/>
      <c r="IK38" s="212"/>
      <c r="IL38" s="212"/>
      <c r="IM38" s="212"/>
      <c r="IN38" s="212"/>
      <c r="IO38" s="212"/>
      <c r="IP38" s="212"/>
      <c r="IQ38" s="212"/>
      <c r="IR38" s="212"/>
      <c r="IS38" s="212"/>
      <c r="IT38" s="212"/>
      <c r="IU38" s="212"/>
      <c r="IV38" s="212"/>
      <c r="IW38" s="212"/>
      <c r="IX38" s="212"/>
      <c r="IY38" s="212"/>
      <c r="IZ38" s="212"/>
      <c r="JA38" s="212"/>
      <c r="JB38" s="212"/>
      <c r="JC38" s="212"/>
      <c r="JD38" s="212"/>
      <c r="JE38" s="212"/>
      <c r="JF38" s="212"/>
      <c r="JG38" s="212"/>
      <c r="JH38" s="212"/>
      <c r="JI38" s="212"/>
      <c r="JJ38" s="212"/>
      <c r="JK38" s="212"/>
      <c r="JL38" s="212"/>
      <c r="JM38" s="212"/>
      <c r="JN38" s="212"/>
      <c r="JO38" s="212"/>
      <c r="JP38" s="212"/>
      <c r="JQ38" s="212"/>
      <c r="JR38" s="212"/>
      <c r="JS38" s="212"/>
      <c r="JT38" s="212"/>
      <c r="JU38" s="212"/>
      <c r="JV38" s="212"/>
      <c r="JW38" s="212"/>
      <c r="JX38" s="212"/>
      <c r="JY38" s="212"/>
      <c r="JZ38" s="212"/>
      <c r="KA38" s="212"/>
      <c r="KB38" s="212"/>
      <c r="KC38" s="212"/>
      <c r="KD38" s="212"/>
      <c r="KE38" s="212"/>
      <c r="KF38" s="212"/>
      <c r="KG38" s="212"/>
      <c r="KH38" s="212"/>
      <c r="KI38" s="212"/>
      <c r="KJ38" s="212"/>
      <c r="KK38" s="212"/>
      <c r="KL38" s="212"/>
      <c r="KM38" s="212"/>
      <c r="KN38" s="212"/>
      <c r="KO38" s="212"/>
      <c r="KP38" s="212"/>
      <c r="KQ38" s="212"/>
      <c r="KR38" s="212"/>
      <c r="KS38" s="212"/>
      <c r="KT38" s="212"/>
      <c r="KU38" s="212"/>
      <c r="KV38" s="212"/>
      <c r="KW38" s="212"/>
      <c r="KX38" s="212"/>
      <c r="KY38" s="212"/>
      <c r="KZ38" s="212"/>
      <c r="LA38" s="212"/>
      <c r="LB38" s="212"/>
      <c r="LC38" s="212"/>
      <c r="LD38" s="212"/>
      <c r="LE38" s="212"/>
      <c r="LF38" s="212"/>
      <c r="LG38" s="212"/>
      <c r="LH38" s="212"/>
      <c r="LI38" s="212"/>
      <c r="LJ38" s="212"/>
      <c r="LK38" s="212"/>
      <c r="LL38" s="212"/>
      <c r="LM38" s="212"/>
      <c r="LN38" s="212"/>
      <c r="LO38" s="212"/>
      <c r="LP38" s="212"/>
      <c r="LQ38" s="212"/>
      <c r="LR38" s="212"/>
      <c r="LS38" s="212"/>
      <c r="LT38" s="212"/>
      <c r="LU38" s="212"/>
      <c r="LV38" s="212"/>
      <c r="LW38" s="212"/>
      <c r="LX38" s="212"/>
      <c r="LY38" s="212"/>
      <c r="LZ38" s="212"/>
      <c r="MA38" s="212"/>
      <c r="MB38" s="212"/>
      <c r="MC38" s="212"/>
      <c r="MD38" s="212"/>
      <c r="ME38" s="212"/>
      <c r="MF38" s="212"/>
      <c r="MG38" s="212"/>
      <c r="MH38" s="212"/>
      <c r="MI38" s="212"/>
      <c r="MJ38" s="212"/>
      <c r="MK38" s="212"/>
      <c r="ML38" s="212"/>
      <c r="MM38" s="212"/>
      <c r="MN38" s="212"/>
      <c r="MO38" s="212"/>
      <c r="MP38" s="212"/>
      <c r="MQ38" s="212"/>
      <c r="MR38" s="212"/>
      <c r="MS38" s="212"/>
      <c r="MT38" s="212"/>
      <c r="MU38" s="212"/>
      <c r="MV38" s="212"/>
      <c r="MW38" s="212"/>
      <c r="MX38" s="212"/>
      <c r="MY38" s="212"/>
      <c r="MZ38" s="212"/>
      <c r="NA38" s="212"/>
      <c r="NB38" s="212"/>
      <c r="NC38" s="212"/>
      <c r="ND38" s="212"/>
      <c r="NE38" s="212"/>
      <c r="NF38" s="212"/>
      <c r="NG38" s="212"/>
      <c r="NH38" s="212"/>
      <c r="NI38" s="212"/>
      <c r="NJ38" s="212"/>
      <c r="NK38" s="212"/>
      <c r="NL38" s="212"/>
      <c r="NM38" s="212"/>
      <c r="NN38" s="212"/>
      <c r="NO38" s="212"/>
      <c r="NP38" s="212"/>
      <c r="NQ38" s="212"/>
      <c r="NR38" s="212"/>
      <c r="NS38" s="212"/>
      <c r="NT38" s="212"/>
      <c r="NU38" s="212"/>
      <c r="NV38" s="212"/>
      <c r="NW38" s="212"/>
      <c r="NX38" s="212"/>
      <c r="NY38" s="212"/>
      <c r="NZ38" s="212"/>
      <c r="OA38" s="212"/>
      <c r="OB38" s="212"/>
      <c r="OC38" s="212"/>
      <c r="OD38" s="212"/>
      <c r="OE38" s="212"/>
      <c r="OF38" s="212"/>
      <c r="OG38" s="212"/>
      <c r="OH38" s="212"/>
      <c r="OI38" s="212"/>
      <c r="OJ38" s="212"/>
      <c r="OK38" s="212"/>
      <c r="OL38" s="212"/>
      <c r="OM38" s="212"/>
      <c r="ON38" s="212"/>
      <c r="OO38" s="212"/>
      <c r="OP38" s="212"/>
      <c r="OQ38" s="212"/>
      <c r="OR38" s="212"/>
      <c r="OS38" s="212"/>
      <c r="OT38" s="212"/>
      <c r="OU38" s="212"/>
      <c r="OV38" s="212"/>
      <c r="OW38" s="212"/>
      <c r="OX38" s="212"/>
      <c r="OY38" s="212"/>
      <c r="OZ38" s="212"/>
      <c r="PA38" s="212"/>
      <c r="PB38" s="212"/>
      <c r="PC38" s="212"/>
      <c r="PD38" s="212"/>
      <c r="PE38" s="212"/>
      <c r="PF38" s="212"/>
      <c r="PG38" s="212"/>
      <c r="PH38" s="212"/>
      <c r="PI38" s="212"/>
      <c r="PJ38" s="212"/>
      <c r="PK38" s="212"/>
      <c r="PL38" s="212"/>
      <c r="PM38" s="212"/>
      <c r="PN38" s="212"/>
      <c r="PO38" s="212"/>
      <c r="PP38" s="212"/>
      <c r="PQ38" s="212"/>
      <c r="PR38" s="212"/>
      <c r="PS38" s="212"/>
      <c r="PT38" s="212"/>
      <c r="PU38" s="212"/>
      <c r="PV38" s="212"/>
      <c r="PW38" s="212"/>
      <c r="PX38" s="212"/>
      <c r="PY38" s="212"/>
      <c r="PZ38" s="212"/>
      <c r="QA38" s="212"/>
      <c r="QB38" s="212"/>
      <c r="QC38" s="212"/>
      <c r="QD38" s="212"/>
      <c r="QE38" s="212"/>
      <c r="QF38" s="212"/>
      <c r="QG38" s="212"/>
      <c r="QH38" s="212"/>
      <c r="QI38" s="212"/>
      <c r="QJ38" s="212"/>
      <c r="QK38" s="212"/>
      <c r="QL38" s="212"/>
      <c r="QM38" s="212"/>
      <c r="QN38" s="212"/>
      <c r="QO38" s="212"/>
      <c r="QP38" s="212"/>
      <c r="QQ38" s="212"/>
      <c r="QR38" s="212"/>
      <c r="QS38" s="212"/>
      <c r="QT38" s="212"/>
      <c r="QU38" s="212"/>
      <c r="QV38" s="212"/>
      <c r="QW38" s="212"/>
      <c r="QX38" s="212"/>
      <c r="QY38" s="212"/>
      <c r="QZ38" s="212"/>
      <c r="RA38" s="212"/>
      <c r="RB38" s="212"/>
      <c r="RC38" s="212"/>
      <c r="RD38" s="212"/>
      <c r="RE38" s="212"/>
      <c r="RF38" s="212"/>
      <c r="RG38" s="212"/>
      <c r="RH38" s="212"/>
      <c r="RI38" s="212"/>
      <c r="RJ38" s="212"/>
      <c r="RK38" s="212"/>
      <c r="RL38" s="212"/>
      <c r="RM38" s="212"/>
      <c r="RN38" s="212"/>
      <c r="RO38" s="212"/>
      <c r="RP38" s="212"/>
      <c r="RQ38" s="212"/>
      <c r="RR38" s="212"/>
      <c r="RS38" s="212"/>
      <c r="RT38" s="212"/>
      <c r="RU38" s="212"/>
      <c r="RV38" s="212"/>
      <c r="RW38" s="212"/>
      <c r="RX38" s="212"/>
      <c r="RY38" s="212"/>
      <c r="RZ38" s="212"/>
      <c r="SA38" s="212"/>
      <c r="SB38" s="212"/>
      <c r="SC38" s="212"/>
      <c r="SD38" s="212"/>
      <c r="SE38" s="212"/>
      <c r="SF38" s="212"/>
      <c r="SG38" s="212"/>
      <c r="SH38" s="212"/>
      <c r="SI38" s="212"/>
      <c r="SJ38" s="212"/>
      <c r="SK38" s="212"/>
      <c r="SL38" s="212"/>
      <c r="SM38" s="212"/>
      <c r="SN38" s="212"/>
      <c r="SO38" s="212"/>
      <c r="SP38" s="212"/>
      <c r="SQ38" s="212"/>
      <c r="SR38" s="212"/>
      <c r="SS38" s="212"/>
      <c r="ST38" s="212"/>
      <c r="SU38" s="212"/>
      <c r="SV38" s="212"/>
      <c r="SW38" s="212"/>
      <c r="SX38" s="212"/>
      <c r="SY38" s="212"/>
      <c r="SZ38" s="212"/>
      <c r="TA38" s="212"/>
      <c r="TB38" s="212"/>
      <c r="TC38" s="212"/>
      <c r="TD38" s="212"/>
      <c r="TE38" s="212"/>
      <c r="TF38" s="212"/>
      <c r="TG38" s="212"/>
      <c r="TH38" s="212"/>
      <c r="TI38" s="212"/>
      <c r="TJ38" s="212"/>
      <c r="TK38" s="212"/>
      <c r="TL38" s="212"/>
      <c r="TM38" s="212"/>
      <c r="TN38" s="212"/>
      <c r="TO38" s="212"/>
      <c r="TP38" s="212"/>
      <c r="TQ38" s="212"/>
      <c r="TR38" s="212"/>
      <c r="TS38" s="212"/>
      <c r="TT38" s="212"/>
      <c r="TU38" s="212"/>
      <c r="TV38" s="212"/>
      <c r="TW38" s="212"/>
      <c r="TX38" s="212"/>
      <c r="TY38" s="212"/>
      <c r="TZ38" s="212"/>
      <c r="UA38" s="212"/>
      <c r="UB38" s="212"/>
      <c r="UC38" s="212"/>
      <c r="UD38" s="212"/>
      <c r="UE38" s="212"/>
      <c r="UF38" s="212"/>
      <c r="UG38" s="212"/>
      <c r="UH38" s="212"/>
      <c r="UI38" s="212"/>
      <c r="UJ38" s="212"/>
      <c r="UK38" s="212"/>
      <c r="UL38" s="212"/>
      <c r="UM38" s="212"/>
      <c r="UN38" s="212"/>
      <c r="UO38" s="212"/>
      <c r="UP38" s="212"/>
      <c r="UQ38" s="212"/>
      <c r="UR38" s="212"/>
      <c r="US38" s="212"/>
      <c r="UT38" s="212"/>
      <c r="UU38" s="212"/>
      <c r="UV38" s="212"/>
      <c r="UW38" s="212"/>
      <c r="UX38" s="212"/>
      <c r="UY38" s="212"/>
      <c r="UZ38" s="212"/>
      <c r="VA38" s="212"/>
      <c r="VB38" s="212"/>
      <c r="VC38" s="212"/>
      <c r="VD38" s="212"/>
      <c r="VE38" s="212"/>
      <c r="VF38" s="212"/>
      <c r="VG38" s="212"/>
      <c r="VH38" s="212"/>
      <c r="VI38" s="212"/>
      <c r="VJ38" s="212"/>
      <c r="VK38" s="212"/>
      <c r="VL38" s="212"/>
      <c r="VM38" s="212"/>
      <c r="VN38" s="212"/>
      <c r="VO38" s="212"/>
      <c r="VP38" s="212"/>
      <c r="VQ38" s="212"/>
      <c r="VR38" s="212"/>
    </row>
    <row r="39" spans="2:590" s="169" customFormat="1" ht="14.5" x14ac:dyDescent="0.35">
      <c r="D39" s="170"/>
      <c r="E39" s="170"/>
      <c r="F39" s="170"/>
      <c r="G39" s="170"/>
      <c r="H39" s="170"/>
      <c r="I39" s="170"/>
      <c r="J39" s="170"/>
      <c r="K39" s="170"/>
      <c r="L39" s="170"/>
      <c r="M39" s="170"/>
      <c r="N39" s="134"/>
      <c r="O39" s="134"/>
      <c r="P39" s="134"/>
      <c r="Q39" s="134"/>
      <c r="R39" s="134"/>
      <c r="S39" s="134"/>
      <c r="T39" s="134"/>
      <c r="U39" s="134"/>
      <c r="V39" s="134"/>
      <c r="W39" s="134"/>
      <c r="X39" s="134"/>
      <c r="Y39" s="134"/>
      <c r="Z39" s="134"/>
      <c r="AA39" s="134"/>
      <c r="AB39" s="134"/>
      <c r="AC39" s="134"/>
      <c r="AD39" s="134"/>
      <c r="AE39" s="134"/>
      <c r="AF39" s="134"/>
      <c r="AG39" s="170"/>
      <c r="AH39" s="134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  <c r="AU39" s="170"/>
      <c r="AV39" s="170"/>
      <c r="AW39" s="170"/>
      <c r="AX39" s="170"/>
      <c r="AY39" s="170"/>
      <c r="AZ39" s="170"/>
      <c r="BA39" s="170"/>
      <c r="BB39" s="170"/>
      <c r="BC39" s="170"/>
      <c r="BD39" s="170"/>
      <c r="BE39" s="170"/>
      <c r="BF39" s="170"/>
      <c r="BG39" s="170"/>
      <c r="BH39" s="170"/>
      <c r="BI39" s="170"/>
      <c r="DO39" s="171"/>
      <c r="DP39" s="171"/>
      <c r="DQ39" s="171"/>
      <c r="DR39" s="171"/>
      <c r="DS39" s="171"/>
      <c r="DT39" s="171"/>
      <c r="DU39" s="171"/>
      <c r="DV39" s="171"/>
      <c r="DW39" s="171"/>
      <c r="DX39" s="171"/>
      <c r="DY39" s="171"/>
      <c r="DZ39" s="171"/>
      <c r="EA39" s="171"/>
      <c r="EB39" s="171"/>
      <c r="EC39" s="171"/>
      <c r="ED39" s="171"/>
      <c r="EE39" s="171"/>
      <c r="EF39" s="171"/>
      <c r="EG39" s="171"/>
      <c r="EH39" s="171"/>
      <c r="EI39" s="171"/>
      <c r="EJ39" s="171"/>
      <c r="EK39" s="171"/>
      <c r="EL39" s="171"/>
      <c r="EM39" s="171"/>
      <c r="EN39" s="171"/>
      <c r="EO39" s="171"/>
      <c r="EP39" s="171"/>
      <c r="EQ39" s="171"/>
      <c r="ER39" s="171"/>
      <c r="ES39" s="171"/>
      <c r="ET39" s="171"/>
      <c r="EU39" s="171"/>
      <c r="EV39" s="171"/>
      <c r="EW39" s="171"/>
      <c r="EX39" s="171"/>
      <c r="EY39" s="171"/>
      <c r="EZ39" s="171"/>
      <c r="FA39" s="171"/>
      <c r="FB39" s="171"/>
      <c r="FC39" s="171"/>
      <c r="FD39" s="171"/>
      <c r="FE39" s="171"/>
      <c r="FF39" s="171"/>
      <c r="FG39" s="171"/>
      <c r="FH39" s="171"/>
      <c r="FI39" s="171"/>
      <c r="FJ39" s="171"/>
      <c r="FK39" s="171"/>
      <c r="FL39" s="171"/>
      <c r="FM39" s="171"/>
      <c r="FN39" s="171"/>
      <c r="FO39" s="171"/>
      <c r="FP39" s="171"/>
      <c r="FQ39" s="171"/>
      <c r="FR39" s="171"/>
      <c r="FS39" s="171"/>
      <c r="FT39" s="171"/>
      <c r="FU39" s="171"/>
      <c r="FV39" s="171"/>
      <c r="FW39" s="171"/>
      <c r="FX39" s="171"/>
      <c r="FY39" s="171"/>
      <c r="FZ39" s="171"/>
      <c r="GA39" s="171"/>
      <c r="GB39" s="171"/>
      <c r="GC39" s="171"/>
      <c r="GD39" s="171"/>
      <c r="GE39" s="171"/>
      <c r="GF39" s="171"/>
      <c r="GG39" s="171"/>
      <c r="GH39" s="171"/>
      <c r="GI39" s="171"/>
      <c r="GJ39" s="171"/>
      <c r="GK39" s="171"/>
      <c r="GL39" s="171"/>
      <c r="GM39" s="171"/>
      <c r="GN39" s="171"/>
      <c r="GO39" s="171"/>
      <c r="GP39" s="171"/>
      <c r="GQ39" s="171"/>
      <c r="GR39" s="171"/>
      <c r="GS39" s="171"/>
      <c r="GT39" s="171"/>
      <c r="GU39" s="171"/>
      <c r="GV39" s="171"/>
      <c r="GW39" s="171"/>
      <c r="GX39" s="171"/>
      <c r="GY39" s="171"/>
      <c r="GZ39" s="171"/>
      <c r="HA39" s="171"/>
      <c r="HB39" s="171"/>
      <c r="HC39" s="171"/>
      <c r="HD39" s="171"/>
      <c r="HE39" s="171"/>
      <c r="HF39" s="171"/>
      <c r="HG39" s="171"/>
      <c r="HH39" s="171"/>
      <c r="HI39" s="171"/>
      <c r="HJ39" s="171"/>
      <c r="HK39" s="171"/>
      <c r="HL39" s="171"/>
      <c r="HM39" s="171"/>
      <c r="HN39" s="171"/>
      <c r="HO39" s="171"/>
      <c r="HP39" s="171"/>
      <c r="HQ39" s="171"/>
      <c r="HR39" s="171"/>
      <c r="HS39" s="171"/>
      <c r="HT39" s="171"/>
      <c r="HU39" s="171"/>
      <c r="HV39" s="171"/>
      <c r="HW39" s="171"/>
      <c r="HX39" s="171"/>
      <c r="HY39" s="171"/>
      <c r="HZ39" s="171"/>
      <c r="IA39" s="171"/>
      <c r="IB39" s="171"/>
      <c r="IC39" s="171"/>
      <c r="ID39" s="171"/>
      <c r="IE39" s="171"/>
      <c r="IF39" s="171"/>
      <c r="IG39" s="171"/>
      <c r="IH39" s="171"/>
      <c r="II39" s="171"/>
      <c r="IJ39" s="171"/>
      <c r="IK39" s="171"/>
      <c r="IL39" s="171"/>
      <c r="IM39" s="171"/>
      <c r="IN39" s="171"/>
      <c r="IO39" s="171"/>
      <c r="IP39" s="171"/>
      <c r="IQ39" s="171"/>
      <c r="IR39" s="171"/>
      <c r="IS39" s="171"/>
      <c r="IT39" s="171"/>
      <c r="IU39" s="171"/>
      <c r="IV39" s="171"/>
      <c r="IW39" s="171"/>
      <c r="IX39" s="171"/>
      <c r="IY39" s="171"/>
      <c r="IZ39" s="171"/>
      <c r="JA39" s="171"/>
      <c r="JB39" s="171"/>
      <c r="JC39" s="171"/>
      <c r="JD39" s="171"/>
      <c r="JE39" s="171"/>
      <c r="JF39" s="171"/>
      <c r="JG39" s="171"/>
      <c r="JH39" s="171"/>
      <c r="JI39" s="171"/>
      <c r="JJ39" s="171"/>
      <c r="JK39" s="171"/>
      <c r="JL39" s="171"/>
      <c r="JM39" s="171"/>
      <c r="JN39" s="171"/>
      <c r="JO39" s="171"/>
      <c r="JP39" s="171"/>
      <c r="JQ39" s="171"/>
      <c r="JR39" s="171"/>
      <c r="JS39" s="171"/>
      <c r="JT39" s="171"/>
      <c r="JU39" s="171"/>
      <c r="JV39" s="171"/>
      <c r="JW39" s="171"/>
      <c r="JX39" s="171"/>
      <c r="JY39" s="171"/>
      <c r="JZ39" s="171"/>
      <c r="KA39" s="171"/>
      <c r="KB39" s="171"/>
      <c r="KC39" s="171"/>
      <c r="KD39" s="171"/>
      <c r="KE39" s="171"/>
      <c r="KF39" s="171"/>
      <c r="KG39" s="171"/>
      <c r="KH39" s="171"/>
      <c r="KI39" s="171"/>
      <c r="KJ39" s="171"/>
      <c r="KK39" s="171"/>
      <c r="KL39" s="171"/>
      <c r="KM39" s="171"/>
      <c r="KN39" s="171"/>
      <c r="KO39" s="171"/>
      <c r="KP39" s="171"/>
      <c r="KQ39" s="171"/>
      <c r="KR39" s="171"/>
      <c r="KS39" s="171"/>
      <c r="KT39" s="171"/>
      <c r="KU39" s="171"/>
      <c r="KV39" s="171"/>
      <c r="KW39" s="171"/>
      <c r="KX39" s="171"/>
      <c r="KY39" s="171"/>
      <c r="KZ39" s="171"/>
      <c r="LA39" s="171"/>
      <c r="LB39" s="171"/>
      <c r="LC39" s="171"/>
      <c r="LD39" s="171"/>
      <c r="LE39" s="171"/>
      <c r="LF39" s="171"/>
      <c r="LG39" s="171"/>
      <c r="LH39" s="171"/>
      <c r="LI39" s="171"/>
      <c r="LJ39" s="171"/>
      <c r="LK39" s="171"/>
      <c r="LL39" s="171"/>
      <c r="LM39" s="171"/>
      <c r="LN39" s="171"/>
      <c r="LO39" s="171"/>
      <c r="LP39" s="171"/>
      <c r="LQ39" s="171"/>
      <c r="LR39" s="171"/>
      <c r="LS39" s="171"/>
      <c r="LT39" s="171"/>
      <c r="LU39" s="171"/>
      <c r="LV39" s="171"/>
      <c r="LW39" s="171"/>
      <c r="LX39" s="171"/>
      <c r="LY39" s="171"/>
      <c r="LZ39" s="171"/>
      <c r="MA39" s="171"/>
      <c r="MB39" s="171"/>
      <c r="MC39" s="171"/>
      <c r="MD39" s="171"/>
      <c r="ME39" s="171"/>
      <c r="MF39" s="171"/>
      <c r="MG39" s="171"/>
      <c r="MH39" s="171"/>
      <c r="MI39" s="171"/>
      <c r="MJ39" s="171"/>
      <c r="MK39" s="171"/>
      <c r="ML39" s="171"/>
      <c r="MM39" s="171"/>
      <c r="MN39" s="171"/>
      <c r="MO39" s="171"/>
      <c r="MP39" s="171"/>
      <c r="MQ39" s="171"/>
      <c r="MR39" s="171"/>
      <c r="MS39" s="171"/>
      <c r="MT39" s="171"/>
      <c r="MU39" s="171"/>
      <c r="MV39" s="171"/>
      <c r="MW39" s="171"/>
      <c r="MX39" s="171"/>
      <c r="MY39" s="171"/>
      <c r="MZ39" s="171"/>
      <c r="NA39" s="171"/>
      <c r="NB39" s="171"/>
      <c r="NC39" s="171"/>
      <c r="ND39" s="171"/>
      <c r="NE39" s="171"/>
      <c r="NF39" s="171"/>
      <c r="NG39" s="171"/>
      <c r="NH39" s="171"/>
      <c r="NI39" s="171"/>
      <c r="NJ39" s="171"/>
      <c r="NK39" s="171"/>
      <c r="NL39" s="171"/>
      <c r="NM39" s="171"/>
      <c r="NN39" s="171"/>
      <c r="NO39" s="171"/>
      <c r="NP39" s="171"/>
      <c r="NQ39" s="171"/>
      <c r="NR39" s="171"/>
      <c r="NS39" s="171"/>
      <c r="NT39" s="171"/>
      <c r="NU39" s="171"/>
      <c r="NV39" s="171"/>
      <c r="NW39" s="171"/>
      <c r="NX39" s="171"/>
      <c r="NY39" s="171"/>
      <c r="NZ39" s="171"/>
      <c r="OA39" s="171"/>
      <c r="OB39" s="171"/>
      <c r="OC39" s="171"/>
      <c r="OD39" s="171"/>
      <c r="OE39" s="171"/>
      <c r="OF39" s="171"/>
      <c r="OG39" s="171"/>
      <c r="OH39" s="171"/>
      <c r="OI39" s="171"/>
      <c r="OJ39" s="171"/>
      <c r="OK39" s="171"/>
      <c r="OL39" s="171"/>
      <c r="OM39" s="171"/>
      <c r="ON39" s="171"/>
      <c r="OO39" s="171"/>
      <c r="OP39" s="171"/>
      <c r="OQ39" s="171"/>
      <c r="OR39" s="171"/>
      <c r="OS39" s="171"/>
      <c r="OT39" s="171"/>
      <c r="OU39" s="171"/>
      <c r="OV39" s="171"/>
      <c r="OW39" s="171"/>
      <c r="OX39" s="171"/>
      <c r="OY39" s="171"/>
      <c r="OZ39" s="171"/>
      <c r="PA39" s="171"/>
      <c r="PB39" s="171"/>
      <c r="PC39" s="171"/>
      <c r="PD39" s="171"/>
      <c r="PE39" s="171"/>
      <c r="PF39" s="171"/>
      <c r="PG39" s="171"/>
      <c r="PH39" s="171"/>
      <c r="PI39" s="171"/>
      <c r="PJ39" s="171"/>
      <c r="PK39" s="171"/>
      <c r="PL39" s="171"/>
      <c r="PM39" s="171"/>
      <c r="PN39" s="171"/>
      <c r="PO39" s="171"/>
      <c r="PP39" s="171"/>
      <c r="PQ39" s="171"/>
      <c r="PR39" s="171"/>
      <c r="PS39" s="171"/>
      <c r="PT39" s="171"/>
      <c r="PU39" s="171"/>
      <c r="PV39" s="171"/>
      <c r="PW39" s="171"/>
      <c r="PX39" s="171"/>
      <c r="PY39" s="171"/>
      <c r="PZ39" s="171"/>
      <c r="QA39" s="171"/>
      <c r="QB39" s="171"/>
      <c r="QC39" s="171"/>
      <c r="QD39" s="171"/>
      <c r="QE39" s="171"/>
      <c r="QF39" s="171"/>
      <c r="QG39" s="171"/>
      <c r="QH39" s="171"/>
      <c r="QI39" s="171"/>
      <c r="QJ39" s="171"/>
      <c r="QK39" s="171"/>
      <c r="QL39" s="171"/>
      <c r="QM39" s="171"/>
      <c r="QN39" s="171"/>
      <c r="QO39" s="171"/>
      <c r="QP39" s="171"/>
      <c r="QQ39" s="171"/>
      <c r="QR39" s="171"/>
      <c r="QS39" s="171"/>
      <c r="QT39" s="171"/>
      <c r="QU39" s="171"/>
      <c r="QV39" s="171"/>
      <c r="QW39" s="171"/>
      <c r="QX39" s="171"/>
      <c r="QY39" s="171"/>
      <c r="QZ39" s="171"/>
      <c r="RA39" s="171"/>
      <c r="RB39" s="171"/>
      <c r="RC39" s="171"/>
      <c r="RD39" s="171"/>
      <c r="RE39" s="171"/>
      <c r="RF39" s="171"/>
      <c r="RG39" s="171"/>
      <c r="RH39" s="171"/>
      <c r="RI39" s="171"/>
      <c r="RJ39" s="171"/>
      <c r="RK39" s="171"/>
      <c r="RL39" s="171"/>
      <c r="RM39" s="171"/>
      <c r="RN39" s="171"/>
      <c r="RO39" s="171"/>
      <c r="RP39" s="171"/>
      <c r="RQ39" s="171"/>
      <c r="RR39" s="171"/>
      <c r="RS39" s="171"/>
      <c r="RT39" s="171"/>
      <c r="RU39" s="171"/>
      <c r="RV39" s="171"/>
      <c r="RW39" s="171"/>
      <c r="RX39" s="171"/>
      <c r="RY39" s="171"/>
      <c r="RZ39" s="171"/>
      <c r="SA39" s="171"/>
      <c r="SB39" s="171"/>
      <c r="SC39" s="171"/>
      <c r="SD39" s="171"/>
      <c r="SE39" s="171"/>
      <c r="SF39" s="171"/>
      <c r="SG39" s="171"/>
      <c r="SH39" s="171"/>
      <c r="SI39" s="171"/>
      <c r="SJ39" s="171"/>
      <c r="SK39" s="171"/>
      <c r="SL39" s="171"/>
      <c r="SM39" s="171"/>
      <c r="SN39" s="171"/>
      <c r="SO39" s="171"/>
      <c r="SP39" s="171"/>
      <c r="SQ39" s="171"/>
      <c r="SR39" s="171"/>
      <c r="SS39" s="171"/>
    </row>
    <row r="40" spans="2:590" s="169" customFormat="1" ht="14.5" x14ac:dyDescent="0.35">
      <c r="D40" s="170"/>
      <c r="E40" s="170"/>
      <c r="F40" s="170"/>
      <c r="G40" s="170"/>
      <c r="H40" s="170"/>
      <c r="I40" s="170"/>
      <c r="J40" s="170"/>
      <c r="K40" s="170"/>
      <c r="L40" s="170"/>
      <c r="M40" s="170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/>
      <c r="AA40" s="134"/>
      <c r="AB40" s="134"/>
      <c r="AC40" s="134"/>
      <c r="AD40" s="134"/>
      <c r="AE40" s="134"/>
      <c r="AF40" s="134"/>
      <c r="AG40" s="170"/>
      <c r="AH40" s="134"/>
      <c r="AI40" s="170"/>
      <c r="AJ40" s="170"/>
      <c r="AK40" s="170"/>
      <c r="AL40" s="170"/>
      <c r="AM40" s="170"/>
      <c r="AN40" s="170"/>
      <c r="AO40" s="170"/>
      <c r="AP40" s="170"/>
      <c r="AQ40" s="170"/>
      <c r="AR40" s="170"/>
      <c r="AS40" s="170"/>
      <c r="AT40" s="170"/>
      <c r="AU40" s="170"/>
      <c r="AV40" s="170"/>
      <c r="AW40" s="170"/>
      <c r="AX40" s="170"/>
      <c r="AY40" s="170"/>
      <c r="AZ40" s="170"/>
      <c r="BA40" s="170"/>
      <c r="BB40" s="170"/>
      <c r="BC40" s="170"/>
      <c r="BD40" s="170"/>
      <c r="BE40" s="170"/>
      <c r="BF40" s="170"/>
      <c r="BG40" s="170"/>
      <c r="BH40" s="170"/>
      <c r="BI40" s="170"/>
      <c r="DO40" s="171"/>
      <c r="DP40" s="171"/>
      <c r="DQ40" s="171"/>
      <c r="DR40" s="171"/>
      <c r="DS40" s="171"/>
      <c r="DT40" s="171"/>
      <c r="DU40" s="171"/>
      <c r="DV40" s="171"/>
      <c r="DW40" s="171"/>
      <c r="DX40" s="171"/>
      <c r="DY40" s="171"/>
      <c r="DZ40" s="171"/>
      <c r="EA40" s="171"/>
      <c r="EB40" s="171"/>
      <c r="EC40" s="171"/>
      <c r="ED40" s="171"/>
      <c r="EE40" s="171"/>
      <c r="EF40" s="171"/>
      <c r="EG40" s="171"/>
      <c r="EH40" s="171"/>
      <c r="EI40" s="171"/>
      <c r="EJ40" s="171"/>
      <c r="EK40" s="171"/>
      <c r="EL40" s="171"/>
      <c r="EM40" s="171"/>
      <c r="EN40" s="171"/>
      <c r="EO40" s="171"/>
      <c r="EP40" s="171"/>
      <c r="EQ40" s="171"/>
      <c r="ER40" s="171"/>
      <c r="ES40" s="171"/>
      <c r="ET40" s="171"/>
      <c r="EU40" s="171"/>
      <c r="EV40" s="171"/>
      <c r="EW40" s="171"/>
      <c r="EX40" s="171"/>
      <c r="EY40" s="171"/>
      <c r="EZ40" s="171"/>
      <c r="FA40" s="171"/>
      <c r="FB40" s="171"/>
      <c r="FC40" s="171"/>
      <c r="FD40" s="171"/>
      <c r="FE40" s="171"/>
      <c r="FF40" s="171"/>
      <c r="FG40" s="171"/>
      <c r="FH40" s="171"/>
      <c r="FI40" s="171"/>
      <c r="FJ40" s="171"/>
      <c r="FK40" s="171"/>
      <c r="FL40" s="171"/>
      <c r="FM40" s="171"/>
      <c r="FN40" s="171"/>
      <c r="FO40" s="171"/>
      <c r="FP40" s="171"/>
      <c r="FQ40" s="171"/>
      <c r="FR40" s="171"/>
      <c r="FS40" s="171"/>
      <c r="FT40" s="171"/>
      <c r="FU40" s="171"/>
      <c r="FV40" s="171"/>
      <c r="FW40" s="171"/>
      <c r="FX40" s="171"/>
      <c r="FY40" s="171"/>
      <c r="FZ40" s="171"/>
      <c r="GA40" s="171"/>
      <c r="GB40" s="171"/>
      <c r="GC40" s="171"/>
      <c r="GD40" s="171"/>
      <c r="GE40" s="171"/>
      <c r="GF40" s="171"/>
      <c r="GG40" s="171"/>
      <c r="GH40" s="171"/>
      <c r="GI40" s="171"/>
      <c r="GJ40" s="171"/>
      <c r="GK40" s="171"/>
      <c r="GL40" s="171"/>
      <c r="GM40" s="171"/>
      <c r="GN40" s="171"/>
      <c r="GO40" s="171"/>
      <c r="GP40" s="171"/>
      <c r="GQ40" s="171"/>
      <c r="GR40" s="171"/>
      <c r="GS40" s="171"/>
      <c r="GT40" s="171"/>
      <c r="GU40" s="171"/>
      <c r="GV40" s="171"/>
      <c r="GW40" s="171"/>
      <c r="GX40" s="171"/>
      <c r="GY40" s="171"/>
      <c r="GZ40" s="171"/>
      <c r="HA40" s="171"/>
      <c r="HB40" s="171"/>
      <c r="HC40" s="171"/>
      <c r="HD40" s="171"/>
      <c r="HE40" s="171"/>
      <c r="HF40" s="171"/>
      <c r="HG40" s="171"/>
      <c r="HH40" s="171"/>
      <c r="HI40" s="171"/>
      <c r="HJ40" s="171"/>
      <c r="HK40" s="171"/>
      <c r="HL40" s="171"/>
      <c r="HM40" s="171"/>
      <c r="HN40" s="171"/>
      <c r="HO40" s="171"/>
      <c r="HP40" s="171"/>
      <c r="HQ40" s="171"/>
      <c r="HR40" s="171"/>
      <c r="HS40" s="171"/>
      <c r="HT40" s="171"/>
      <c r="HU40" s="171"/>
      <c r="HV40" s="171"/>
      <c r="HW40" s="171"/>
      <c r="HX40" s="171"/>
      <c r="HY40" s="171"/>
      <c r="HZ40" s="171"/>
      <c r="IA40" s="171"/>
      <c r="IB40" s="171"/>
      <c r="IC40" s="171"/>
      <c r="ID40" s="171"/>
      <c r="IE40" s="171"/>
      <c r="IF40" s="171"/>
      <c r="IG40" s="171"/>
      <c r="IH40" s="171"/>
      <c r="II40" s="171"/>
      <c r="IJ40" s="171"/>
      <c r="IK40" s="171"/>
      <c r="IL40" s="171"/>
      <c r="IM40" s="171"/>
      <c r="IN40" s="171"/>
      <c r="IO40" s="171"/>
      <c r="IP40" s="171"/>
      <c r="IQ40" s="171"/>
      <c r="IR40" s="171"/>
      <c r="IS40" s="171"/>
      <c r="IT40" s="171"/>
      <c r="IU40" s="171"/>
      <c r="IV40" s="171"/>
      <c r="IW40" s="171"/>
      <c r="IX40" s="171"/>
      <c r="IY40" s="171"/>
      <c r="IZ40" s="171"/>
      <c r="JA40" s="171"/>
      <c r="JB40" s="171"/>
      <c r="JC40" s="171"/>
      <c r="JD40" s="171"/>
      <c r="JE40" s="171"/>
      <c r="JF40" s="171"/>
      <c r="JG40" s="171"/>
      <c r="JH40" s="171"/>
      <c r="JI40" s="171"/>
      <c r="JJ40" s="171"/>
      <c r="JK40" s="171"/>
      <c r="JL40" s="171"/>
      <c r="JM40" s="171"/>
      <c r="JN40" s="171"/>
      <c r="JO40" s="171"/>
      <c r="JP40" s="171"/>
      <c r="JQ40" s="171"/>
      <c r="JR40" s="171"/>
      <c r="JS40" s="171"/>
      <c r="JT40" s="171"/>
      <c r="JU40" s="171"/>
      <c r="JV40" s="171"/>
      <c r="JW40" s="171"/>
      <c r="JX40" s="171"/>
      <c r="JY40" s="171"/>
      <c r="JZ40" s="171"/>
      <c r="KA40" s="171"/>
      <c r="KB40" s="171"/>
      <c r="KC40" s="171"/>
      <c r="KD40" s="171"/>
      <c r="KE40" s="171"/>
      <c r="KF40" s="171"/>
      <c r="KG40" s="171"/>
      <c r="KH40" s="171"/>
      <c r="KI40" s="171"/>
      <c r="KJ40" s="171"/>
      <c r="KK40" s="171"/>
      <c r="KL40" s="171"/>
      <c r="KM40" s="171"/>
      <c r="KN40" s="171"/>
      <c r="KO40" s="171"/>
      <c r="KP40" s="171"/>
      <c r="KQ40" s="171"/>
      <c r="KR40" s="171"/>
      <c r="KS40" s="171"/>
      <c r="KT40" s="171"/>
      <c r="KU40" s="171"/>
      <c r="KV40" s="171"/>
      <c r="KW40" s="171"/>
      <c r="KX40" s="171"/>
      <c r="KY40" s="171"/>
      <c r="KZ40" s="171"/>
      <c r="LA40" s="171"/>
      <c r="LB40" s="171"/>
      <c r="LC40" s="171"/>
      <c r="LD40" s="171"/>
      <c r="LE40" s="171"/>
      <c r="LF40" s="171"/>
      <c r="LG40" s="171"/>
      <c r="LH40" s="171"/>
      <c r="LI40" s="171"/>
      <c r="LJ40" s="171"/>
      <c r="LK40" s="171"/>
      <c r="LL40" s="171"/>
      <c r="LM40" s="171"/>
      <c r="LN40" s="171"/>
      <c r="LO40" s="171"/>
      <c r="LP40" s="171"/>
      <c r="LQ40" s="171"/>
      <c r="LR40" s="171"/>
      <c r="LS40" s="171"/>
      <c r="LT40" s="171"/>
      <c r="LU40" s="171"/>
      <c r="LV40" s="171"/>
      <c r="LW40" s="171"/>
      <c r="LX40" s="171"/>
      <c r="LY40" s="171"/>
      <c r="LZ40" s="171"/>
      <c r="MA40" s="171"/>
      <c r="MB40" s="171"/>
      <c r="MC40" s="171"/>
      <c r="MD40" s="171"/>
      <c r="ME40" s="171"/>
      <c r="MF40" s="171"/>
      <c r="MG40" s="171"/>
      <c r="MH40" s="171"/>
      <c r="MI40" s="171"/>
      <c r="MJ40" s="171"/>
      <c r="MK40" s="171"/>
      <c r="ML40" s="171"/>
      <c r="MM40" s="171"/>
      <c r="MN40" s="171"/>
      <c r="MO40" s="171"/>
      <c r="MP40" s="171"/>
      <c r="MQ40" s="171"/>
      <c r="MR40" s="171"/>
      <c r="MS40" s="171"/>
      <c r="MT40" s="171"/>
      <c r="MU40" s="171"/>
      <c r="MV40" s="171"/>
      <c r="MW40" s="171"/>
      <c r="MX40" s="171"/>
      <c r="MY40" s="171"/>
      <c r="MZ40" s="171"/>
      <c r="NA40" s="171"/>
      <c r="NB40" s="171"/>
      <c r="NC40" s="171"/>
      <c r="ND40" s="171"/>
      <c r="NE40" s="171"/>
      <c r="NF40" s="171"/>
      <c r="NG40" s="171"/>
      <c r="NH40" s="171"/>
      <c r="NI40" s="171"/>
      <c r="NJ40" s="171"/>
      <c r="NK40" s="171"/>
      <c r="NL40" s="171"/>
      <c r="NM40" s="171"/>
      <c r="NN40" s="171"/>
      <c r="NO40" s="171"/>
      <c r="NP40" s="171"/>
      <c r="NQ40" s="171"/>
      <c r="NR40" s="171"/>
      <c r="NS40" s="171"/>
      <c r="NT40" s="171"/>
      <c r="NU40" s="171"/>
      <c r="NV40" s="171"/>
      <c r="NW40" s="171"/>
      <c r="NX40" s="171"/>
      <c r="NY40" s="171"/>
      <c r="NZ40" s="171"/>
      <c r="OA40" s="171"/>
      <c r="OB40" s="171"/>
      <c r="OC40" s="171"/>
      <c r="OD40" s="171"/>
      <c r="OE40" s="171"/>
      <c r="OF40" s="171"/>
      <c r="OG40" s="171"/>
      <c r="OH40" s="171"/>
      <c r="OI40" s="171"/>
      <c r="OJ40" s="171"/>
      <c r="OK40" s="171"/>
      <c r="OL40" s="171"/>
      <c r="OM40" s="171"/>
      <c r="ON40" s="171"/>
      <c r="OO40" s="171"/>
      <c r="OP40" s="171"/>
      <c r="OQ40" s="171"/>
      <c r="OR40" s="171"/>
      <c r="OS40" s="171"/>
      <c r="OT40" s="171"/>
      <c r="OU40" s="171"/>
      <c r="OV40" s="171"/>
      <c r="OW40" s="171"/>
      <c r="OX40" s="171"/>
      <c r="OY40" s="171"/>
      <c r="OZ40" s="171"/>
      <c r="PA40" s="171"/>
      <c r="PB40" s="171"/>
      <c r="PC40" s="171"/>
      <c r="PD40" s="171"/>
      <c r="PE40" s="171"/>
      <c r="PF40" s="171"/>
      <c r="PG40" s="171"/>
      <c r="PH40" s="171"/>
      <c r="PI40" s="171"/>
      <c r="PJ40" s="171"/>
      <c r="PK40" s="171"/>
      <c r="PL40" s="171"/>
      <c r="PM40" s="171"/>
      <c r="PN40" s="171"/>
      <c r="PO40" s="171"/>
      <c r="PP40" s="171"/>
      <c r="PQ40" s="171"/>
      <c r="PR40" s="171"/>
      <c r="PS40" s="171"/>
      <c r="PT40" s="171"/>
      <c r="PU40" s="171"/>
      <c r="PV40" s="171"/>
      <c r="PW40" s="171"/>
      <c r="PX40" s="171"/>
      <c r="PY40" s="171"/>
      <c r="PZ40" s="171"/>
      <c r="QA40" s="171"/>
      <c r="QB40" s="171"/>
      <c r="QC40" s="171"/>
      <c r="QD40" s="171"/>
      <c r="QE40" s="171"/>
      <c r="QF40" s="171"/>
      <c r="QG40" s="171"/>
      <c r="QH40" s="171"/>
      <c r="QI40" s="171"/>
      <c r="QJ40" s="171"/>
      <c r="QK40" s="171"/>
      <c r="QL40" s="171"/>
      <c r="QM40" s="171"/>
      <c r="QN40" s="171"/>
      <c r="QO40" s="171"/>
      <c r="QP40" s="171"/>
      <c r="QQ40" s="171"/>
      <c r="QR40" s="171"/>
      <c r="QS40" s="171"/>
      <c r="QT40" s="171"/>
      <c r="QU40" s="171"/>
      <c r="QV40" s="171"/>
      <c r="QW40" s="171"/>
      <c r="QX40" s="171"/>
      <c r="QY40" s="171"/>
      <c r="QZ40" s="171"/>
      <c r="RA40" s="171"/>
      <c r="RB40" s="171"/>
      <c r="RC40" s="171"/>
      <c r="RD40" s="171"/>
      <c r="RE40" s="171"/>
      <c r="RF40" s="171"/>
      <c r="RG40" s="171"/>
      <c r="RH40" s="171"/>
      <c r="RI40" s="171"/>
      <c r="RJ40" s="171"/>
      <c r="RK40" s="171"/>
      <c r="RL40" s="171"/>
      <c r="RM40" s="171"/>
      <c r="RN40" s="171"/>
      <c r="RO40" s="171"/>
      <c r="RP40" s="171"/>
      <c r="RQ40" s="171"/>
      <c r="RR40" s="171"/>
      <c r="RS40" s="171"/>
      <c r="RT40" s="171"/>
      <c r="RU40" s="171"/>
      <c r="RV40" s="171"/>
      <c r="RW40" s="171"/>
      <c r="RX40" s="171"/>
      <c r="RY40" s="171"/>
      <c r="RZ40" s="171"/>
      <c r="SA40" s="171"/>
      <c r="SB40" s="171"/>
      <c r="SC40" s="171"/>
      <c r="SD40" s="171"/>
      <c r="SE40" s="171"/>
      <c r="SF40" s="171"/>
      <c r="SG40" s="171"/>
      <c r="SH40" s="171"/>
      <c r="SI40" s="171"/>
      <c r="SJ40" s="171"/>
      <c r="SK40" s="171"/>
      <c r="SL40" s="171"/>
      <c r="SM40" s="171"/>
      <c r="SN40" s="171"/>
      <c r="SO40" s="171"/>
      <c r="SP40" s="171"/>
      <c r="SQ40" s="171"/>
      <c r="SR40" s="171"/>
      <c r="SS40" s="171"/>
    </row>
    <row r="41" spans="2:590" s="169" customFormat="1" ht="14.5" x14ac:dyDescent="0.35">
      <c r="B41" s="169" t="s">
        <v>87</v>
      </c>
      <c r="D41" s="172"/>
      <c r="E41" s="172">
        <v>678590</v>
      </c>
      <c r="F41" s="172">
        <v>689828</v>
      </c>
      <c r="G41" s="172">
        <v>711309</v>
      </c>
      <c r="H41" s="172">
        <v>799474</v>
      </c>
      <c r="I41" s="172">
        <v>704652</v>
      </c>
      <c r="J41" s="172">
        <v>712230</v>
      </c>
      <c r="K41" s="172">
        <v>932608</v>
      </c>
      <c r="L41" s="172">
        <v>790244</v>
      </c>
      <c r="M41" s="172">
        <v>816074</v>
      </c>
      <c r="N41" s="173">
        <v>930901</v>
      </c>
      <c r="O41" s="173">
        <v>851311</v>
      </c>
      <c r="P41" s="173">
        <v>1100946.4318584804</v>
      </c>
      <c r="Q41" s="173">
        <v>886457.77999999991</v>
      </c>
      <c r="R41" s="173">
        <v>921707.77999999991</v>
      </c>
      <c r="S41" s="173">
        <v>956957.77999999991</v>
      </c>
      <c r="T41" s="173">
        <v>948624.44666666666</v>
      </c>
      <c r="U41" s="173">
        <v>984874.44666666666</v>
      </c>
      <c r="V41" s="173">
        <v>1021124.4466666667</v>
      </c>
      <c r="W41" s="173">
        <v>1029457.78</v>
      </c>
      <c r="X41" s="173">
        <v>1066957.78</v>
      </c>
      <c r="Y41" s="173">
        <v>1104457.78</v>
      </c>
      <c r="Z41" s="173">
        <v>1104457.78</v>
      </c>
      <c r="AA41" s="173">
        <v>1143207.78</v>
      </c>
      <c r="AB41" s="173">
        <v>1181957.78</v>
      </c>
      <c r="AC41" s="173">
        <v>1181957.78</v>
      </c>
      <c r="AD41" s="173">
        <v>1223207.78</v>
      </c>
      <c r="AE41" s="173">
        <v>1264457.78</v>
      </c>
      <c r="AF41" s="173">
        <v>1264457.78</v>
      </c>
      <c r="AG41" s="173">
        <v>1305707.78</v>
      </c>
      <c r="AH41" s="173"/>
      <c r="AI41" s="173"/>
      <c r="AJ41" s="173"/>
      <c r="AK41" s="173"/>
      <c r="AL41" s="173"/>
      <c r="AM41" s="173"/>
      <c r="AN41" s="173"/>
      <c r="AO41" s="173"/>
      <c r="AP41" s="173"/>
      <c r="AQ41" s="173"/>
      <c r="AR41" s="173"/>
      <c r="AS41" s="173"/>
      <c r="AT41" s="173"/>
      <c r="AU41" s="173"/>
      <c r="AV41" s="173"/>
      <c r="AW41" s="173"/>
      <c r="AX41" s="173"/>
      <c r="AY41" s="173"/>
      <c r="AZ41" s="173"/>
      <c r="BA41" s="173"/>
      <c r="BB41" s="173"/>
      <c r="BC41" s="173"/>
      <c r="BD41" s="173"/>
      <c r="BE41" s="173"/>
      <c r="BF41" s="173"/>
      <c r="BG41" s="173"/>
      <c r="BH41" s="173"/>
      <c r="BI41" s="173"/>
      <c r="BJ41" s="173"/>
      <c r="BK41" s="173"/>
      <c r="BL41" s="173"/>
      <c r="BM41" s="172"/>
      <c r="BN41" s="172"/>
      <c r="BO41" s="173"/>
      <c r="DO41" s="171"/>
      <c r="DP41" s="171"/>
      <c r="DQ41" s="171"/>
      <c r="DR41" s="171"/>
      <c r="DS41" s="171"/>
      <c r="DT41" s="171"/>
      <c r="DU41" s="171"/>
      <c r="DV41" s="171"/>
      <c r="DW41" s="171"/>
      <c r="DX41" s="171"/>
      <c r="DY41" s="171"/>
      <c r="DZ41" s="171"/>
      <c r="EA41" s="171"/>
      <c r="EB41" s="171"/>
      <c r="EC41" s="171"/>
      <c r="ED41" s="171"/>
      <c r="EE41" s="171"/>
      <c r="EF41" s="171"/>
      <c r="EG41" s="171"/>
      <c r="EH41" s="171"/>
      <c r="EI41" s="171"/>
      <c r="EJ41" s="171"/>
      <c r="EK41" s="171"/>
      <c r="EL41" s="171"/>
      <c r="EM41" s="171"/>
      <c r="EN41" s="171"/>
      <c r="EO41" s="171"/>
      <c r="EP41" s="171"/>
      <c r="EQ41" s="171"/>
      <c r="ER41" s="171"/>
      <c r="ES41" s="171"/>
      <c r="ET41" s="171"/>
      <c r="EU41" s="171"/>
      <c r="EV41" s="171"/>
      <c r="EW41" s="171"/>
      <c r="EX41" s="171"/>
      <c r="EY41" s="171"/>
      <c r="EZ41" s="171"/>
      <c r="FA41" s="171"/>
      <c r="FB41" s="171"/>
      <c r="FC41" s="171"/>
      <c r="FD41" s="171"/>
      <c r="FE41" s="171"/>
      <c r="FF41" s="171"/>
      <c r="FG41" s="171"/>
      <c r="FH41" s="171"/>
      <c r="FI41" s="171"/>
      <c r="FJ41" s="171"/>
      <c r="FK41" s="171"/>
      <c r="FL41" s="171"/>
      <c r="FM41" s="171"/>
      <c r="FN41" s="171"/>
      <c r="FO41" s="171"/>
      <c r="FP41" s="171"/>
      <c r="FQ41" s="171"/>
      <c r="FR41" s="171"/>
      <c r="FS41" s="171"/>
      <c r="FT41" s="171"/>
      <c r="FU41" s="171"/>
      <c r="FV41" s="171"/>
      <c r="FW41" s="171"/>
      <c r="FX41" s="171"/>
      <c r="FY41" s="171"/>
      <c r="FZ41" s="171"/>
      <c r="GA41" s="171"/>
      <c r="GB41" s="171"/>
      <c r="GC41" s="171"/>
      <c r="GD41" s="171"/>
      <c r="GE41" s="171"/>
      <c r="GF41" s="171"/>
      <c r="GG41" s="171"/>
      <c r="GH41" s="171"/>
      <c r="GI41" s="171"/>
      <c r="GJ41" s="171"/>
      <c r="GK41" s="171"/>
      <c r="GL41" s="171"/>
      <c r="GM41" s="171"/>
      <c r="GN41" s="171"/>
      <c r="GO41" s="171"/>
      <c r="GP41" s="171"/>
      <c r="GQ41" s="171"/>
      <c r="GR41" s="171"/>
      <c r="GS41" s="171"/>
      <c r="GT41" s="171"/>
      <c r="GU41" s="171"/>
      <c r="GV41" s="171"/>
      <c r="GW41" s="171"/>
      <c r="GX41" s="171"/>
      <c r="GY41" s="171"/>
      <c r="GZ41" s="171"/>
      <c r="HA41" s="171"/>
      <c r="HB41" s="171"/>
      <c r="HC41" s="171"/>
      <c r="HD41" s="171"/>
      <c r="HE41" s="171"/>
      <c r="HF41" s="171"/>
      <c r="HG41" s="171"/>
      <c r="HH41" s="171"/>
      <c r="HI41" s="171"/>
      <c r="HJ41" s="171"/>
      <c r="HK41" s="171"/>
      <c r="HL41" s="171"/>
      <c r="HM41" s="171"/>
      <c r="HN41" s="171"/>
      <c r="HO41" s="171"/>
      <c r="HP41" s="171"/>
      <c r="HQ41" s="171"/>
      <c r="HR41" s="171"/>
      <c r="HS41" s="171"/>
      <c r="HT41" s="171"/>
      <c r="HU41" s="171"/>
      <c r="HV41" s="171"/>
      <c r="HW41" s="171"/>
      <c r="HX41" s="171"/>
      <c r="HY41" s="171"/>
      <c r="HZ41" s="171"/>
      <c r="IA41" s="171"/>
      <c r="IB41" s="171"/>
      <c r="IC41" s="171"/>
      <c r="ID41" s="171"/>
      <c r="IE41" s="171"/>
      <c r="IF41" s="171"/>
      <c r="IG41" s="171"/>
      <c r="IH41" s="171"/>
      <c r="II41" s="171"/>
      <c r="IJ41" s="171"/>
      <c r="IK41" s="171"/>
      <c r="IL41" s="171"/>
      <c r="IM41" s="171"/>
      <c r="IN41" s="171"/>
      <c r="IO41" s="171"/>
      <c r="IP41" s="171"/>
      <c r="IQ41" s="171"/>
      <c r="IR41" s="171"/>
      <c r="IS41" s="171"/>
      <c r="IT41" s="171"/>
      <c r="IU41" s="171"/>
      <c r="IV41" s="171"/>
      <c r="IW41" s="171"/>
      <c r="IX41" s="171"/>
      <c r="IY41" s="171"/>
      <c r="IZ41" s="171"/>
      <c r="JA41" s="171"/>
      <c r="JB41" s="171"/>
      <c r="JC41" s="171"/>
      <c r="JD41" s="171"/>
      <c r="JE41" s="171"/>
      <c r="JF41" s="171"/>
      <c r="JG41" s="171"/>
      <c r="JH41" s="171"/>
      <c r="JI41" s="171"/>
      <c r="JJ41" s="171"/>
      <c r="JK41" s="171"/>
      <c r="JL41" s="171"/>
      <c r="JM41" s="171"/>
      <c r="JN41" s="171"/>
      <c r="JO41" s="171"/>
      <c r="JP41" s="171"/>
      <c r="JQ41" s="171"/>
      <c r="JR41" s="171"/>
      <c r="JS41" s="171"/>
      <c r="JT41" s="171"/>
      <c r="JU41" s="171"/>
      <c r="JV41" s="171"/>
      <c r="JW41" s="171"/>
      <c r="JX41" s="171"/>
      <c r="JY41" s="171"/>
      <c r="JZ41" s="171"/>
      <c r="KA41" s="171"/>
      <c r="KB41" s="171"/>
      <c r="KC41" s="171"/>
      <c r="KD41" s="171"/>
      <c r="KE41" s="171"/>
      <c r="KF41" s="171"/>
      <c r="KG41" s="171"/>
      <c r="KH41" s="171"/>
      <c r="KI41" s="171"/>
      <c r="KJ41" s="171"/>
      <c r="KK41" s="171"/>
      <c r="KL41" s="171"/>
      <c r="KM41" s="171"/>
      <c r="KN41" s="171"/>
      <c r="KO41" s="171"/>
      <c r="KP41" s="171"/>
      <c r="KQ41" s="171"/>
      <c r="KR41" s="171"/>
      <c r="KS41" s="171"/>
      <c r="KT41" s="171"/>
      <c r="KU41" s="171"/>
      <c r="KV41" s="171"/>
      <c r="KW41" s="171"/>
      <c r="KX41" s="171"/>
      <c r="KY41" s="171"/>
      <c r="KZ41" s="171"/>
      <c r="LA41" s="171"/>
      <c r="LB41" s="171"/>
      <c r="LC41" s="171"/>
      <c r="LD41" s="171"/>
      <c r="LE41" s="171"/>
      <c r="LF41" s="171"/>
      <c r="LG41" s="171"/>
      <c r="LH41" s="171"/>
      <c r="LI41" s="171"/>
      <c r="LJ41" s="171"/>
      <c r="LK41" s="171"/>
      <c r="LL41" s="171"/>
      <c r="LM41" s="171"/>
      <c r="LN41" s="171"/>
      <c r="LO41" s="171"/>
      <c r="LP41" s="171"/>
      <c r="LQ41" s="171"/>
      <c r="LR41" s="171"/>
      <c r="LS41" s="171"/>
      <c r="LT41" s="171"/>
      <c r="LU41" s="171"/>
      <c r="LV41" s="171"/>
      <c r="LW41" s="171"/>
      <c r="LX41" s="171"/>
      <c r="LY41" s="171"/>
      <c r="LZ41" s="171"/>
      <c r="MA41" s="171"/>
      <c r="MB41" s="171"/>
      <c r="MC41" s="171"/>
      <c r="MD41" s="171"/>
      <c r="ME41" s="171"/>
      <c r="MF41" s="171"/>
      <c r="MG41" s="171"/>
      <c r="MH41" s="171"/>
      <c r="MI41" s="171"/>
      <c r="MJ41" s="171"/>
      <c r="MK41" s="171"/>
      <c r="ML41" s="171"/>
      <c r="MM41" s="171"/>
      <c r="MN41" s="171"/>
      <c r="MO41" s="171"/>
      <c r="MP41" s="171"/>
      <c r="MQ41" s="171"/>
      <c r="MR41" s="171"/>
      <c r="MS41" s="171"/>
      <c r="MT41" s="171"/>
      <c r="MU41" s="171"/>
      <c r="MV41" s="171"/>
      <c r="MW41" s="171"/>
      <c r="MX41" s="171"/>
      <c r="MY41" s="171"/>
      <c r="MZ41" s="171"/>
      <c r="NA41" s="171"/>
      <c r="NB41" s="171"/>
      <c r="NC41" s="171"/>
      <c r="ND41" s="171"/>
      <c r="NE41" s="171"/>
      <c r="NF41" s="171"/>
      <c r="NG41" s="171"/>
      <c r="NH41" s="171"/>
      <c r="NI41" s="171"/>
      <c r="NJ41" s="171"/>
      <c r="NK41" s="171"/>
      <c r="NL41" s="171"/>
      <c r="NM41" s="171"/>
      <c r="NN41" s="171"/>
      <c r="NO41" s="171"/>
      <c r="NP41" s="171"/>
      <c r="NQ41" s="171"/>
      <c r="NR41" s="171"/>
      <c r="NS41" s="171"/>
      <c r="NT41" s="171"/>
      <c r="NU41" s="171"/>
      <c r="NV41" s="171"/>
      <c r="NW41" s="171"/>
      <c r="NX41" s="171"/>
      <c r="NY41" s="171"/>
      <c r="NZ41" s="171"/>
      <c r="OA41" s="171"/>
      <c r="OB41" s="171"/>
      <c r="OC41" s="171"/>
      <c r="OD41" s="171"/>
      <c r="OE41" s="171"/>
      <c r="OF41" s="171"/>
      <c r="OG41" s="171"/>
      <c r="OH41" s="171"/>
      <c r="OI41" s="171"/>
      <c r="OJ41" s="171"/>
      <c r="OK41" s="171"/>
      <c r="OL41" s="171"/>
      <c r="OM41" s="171"/>
      <c r="ON41" s="171"/>
      <c r="OO41" s="171"/>
      <c r="OP41" s="171"/>
      <c r="OQ41" s="171"/>
      <c r="OR41" s="171"/>
      <c r="OS41" s="171"/>
      <c r="OT41" s="171"/>
      <c r="OU41" s="171"/>
      <c r="OV41" s="171"/>
      <c r="OW41" s="171"/>
      <c r="OX41" s="171"/>
      <c r="OY41" s="171"/>
      <c r="OZ41" s="171"/>
      <c r="PA41" s="171"/>
      <c r="PB41" s="171"/>
      <c r="PC41" s="171"/>
      <c r="PD41" s="171"/>
      <c r="PE41" s="171"/>
      <c r="PF41" s="171"/>
      <c r="PG41" s="171"/>
      <c r="PH41" s="171"/>
      <c r="PI41" s="171"/>
      <c r="PJ41" s="171"/>
      <c r="PK41" s="171"/>
      <c r="PL41" s="171"/>
      <c r="PM41" s="171"/>
      <c r="PN41" s="171"/>
      <c r="PO41" s="171"/>
      <c r="PP41" s="171"/>
      <c r="PQ41" s="171"/>
      <c r="PR41" s="171"/>
      <c r="PS41" s="171"/>
      <c r="PT41" s="171"/>
      <c r="PU41" s="171"/>
      <c r="PV41" s="171"/>
      <c r="PW41" s="171"/>
      <c r="PX41" s="171"/>
      <c r="PY41" s="171"/>
      <c r="PZ41" s="171"/>
      <c r="QA41" s="171"/>
      <c r="QB41" s="171"/>
      <c r="QC41" s="171"/>
      <c r="QD41" s="171"/>
      <c r="QE41" s="171"/>
      <c r="QF41" s="171"/>
      <c r="QG41" s="171"/>
      <c r="QH41" s="171"/>
      <c r="QI41" s="171"/>
      <c r="QJ41" s="171"/>
      <c r="QK41" s="171"/>
      <c r="QL41" s="171"/>
      <c r="QM41" s="171"/>
      <c r="QN41" s="171"/>
      <c r="QO41" s="171"/>
      <c r="QP41" s="171"/>
      <c r="QQ41" s="171"/>
      <c r="QR41" s="171"/>
      <c r="QS41" s="171"/>
      <c r="QT41" s="171"/>
      <c r="QU41" s="171"/>
      <c r="QV41" s="171"/>
      <c r="QW41" s="171"/>
      <c r="QX41" s="171"/>
      <c r="QY41" s="171"/>
      <c r="QZ41" s="171"/>
      <c r="RA41" s="171"/>
      <c r="RB41" s="171"/>
      <c r="RC41" s="171"/>
      <c r="RD41" s="171"/>
      <c r="RE41" s="171"/>
      <c r="RF41" s="171"/>
      <c r="RG41" s="171"/>
      <c r="RH41" s="171"/>
      <c r="RI41" s="171"/>
      <c r="RJ41" s="171"/>
      <c r="RK41" s="171"/>
      <c r="RL41" s="171"/>
      <c r="RM41" s="171"/>
      <c r="RN41" s="171"/>
      <c r="RO41" s="171"/>
      <c r="RP41" s="171"/>
      <c r="RQ41" s="171"/>
      <c r="RR41" s="171"/>
      <c r="RS41" s="171"/>
      <c r="RT41" s="171"/>
      <c r="RU41" s="171"/>
      <c r="RV41" s="171"/>
      <c r="RW41" s="171"/>
      <c r="RX41" s="171"/>
      <c r="RY41" s="171"/>
      <c r="RZ41" s="171"/>
      <c r="SA41" s="171"/>
      <c r="SB41" s="171"/>
      <c r="SC41" s="171"/>
      <c r="SD41" s="171"/>
      <c r="SE41" s="171"/>
      <c r="SF41" s="171"/>
      <c r="SG41" s="171"/>
      <c r="SH41" s="171"/>
      <c r="SI41" s="171"/>
      <c r="SJ41" s="171"/>
      <c r="SK41" s="171"/>
      <c r="SL41" s="171"/>
      <c r="SM41" s="171"/>
      <c r="SN41" s="171"/>
      <c r="SO41" s="171"/>
      <c r="SP41" s="171"/>
      <c r="SQ41" s="171"/>
      <c r="SR41" s="171"/>
      <c r="SS41" s="171"/>
    </row>
    <row r="42" spans="2:590" s="169" customFormat="1" ht="14.5" x14ac:dyDescent="0.35">
      <c r="D42" s="170"/>
      <c r="E42" s="170"/>
      <c r="F42" s="170"/>
      <c r="G42" s="170"/>
      <c r="H42" s="170"/>
      <c r="I42" s="170"/>
      <c r="J42" s="170"/>
      <c r="K42" s="170"/>
      <c r="L42" s="170"/>
      <c r="M42" s="170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/>
      <c r="AA42" s="134"/>
      <c r="AB42" s="134"/>
      <c r="AC42" s="134"/>
      <c r="AD42" s="134"/>
      <c r="AE42" s="134"/>
      <c r="AF42" s="134"/>
      <c r="AG42" s="170"/>
      <c r="AH42" s="134"/>
      <c r="AI42" s="170"/>
      <c r="AJ42" s="170"/>
      <c r="AK42" s="170"/>
      <c r="AL42" s="170"/>
      <c r="AM42" s="170"/>
      <c r="AN42" s="170"/>
      <c r="AO42" s="170"/>
      <c r="AP42" s="170"/>
      <c r="AQ42" s="170"/>
      <c r="AR42" s="170"/>
      <c r="AS42" s="170"/>
      <c r="AT42" s="170"/>
      <c r="AU42" s="170"/>
      <c r="AV42" s="170"/>
      <c r="AW42" s="170"/>
      <c r="AX42" s="170"/>
      <c r="AY42" s="170"/>
      <c r="AZ42" s="170"/>
      <c r="BA42" s="170"/>
      <c r="BB42" s="170"/>
      <c r="BC42" s="170"/>
      <c r="BD42" s="170"/>
      <c r="BE42" s="170"/>
      <c r="BF42" s="170"/>
      <c r="BG42" s="170"/>
      <c r="BH42" s="170"/>
      <c r="BI42" s="170"/>
      <c r="DO42" s="171"/>
      <c r="DP42" s="171"/>
      <c r="DQ42" s="171"/>
      <c r="DR42" s="171"/>
      <c r="DS42" s="171"/>
      <c r="DT42" s="171"/>
      <c r="DU42" s="171"/>
      <c r="DV42" s="171"/>
      <c r="DW42" s="171"/>
      <c r="DX42" s="171"/>
      <c r="DY42" s="171"/>
      <c r="DZ42" s="171"/>
      <c r="EA42" s="171"/>
      <c r="EB42" s="171"/>
      <c r="EC42" s="171"/>
      <c r="ED42" s="171"/>
      <c r="EE42" s="171"/>
      <c r="EF42" s="171"/>
      <c r="EG42" s="171"/>
      <c r="EH42" s="171"/>
      <c r="EI42" s="171"/>
      <c r="EJ42" s="171"/>
      <c r="EK42" s="171"/>
      <c r="EL42" s="171"/>
      <c r="EM42" s="171"/>
      <c r="EN42" s="171"/>
      <c r="EO42" s="171"/>
      <c r="EP42" s="171"/>
      <c r="EQ42" s="171"/>
      <c r="ER42" s="171"/>
      <c r="ES42" s="171"/>
      <c r="ET42" s="171"/>
      <c r="EU42" s="171"/>
      <c r="EV42" s="171"/>
      <c r="EW42" s="171"/>
      <c r="EX42" s="171"/>
      <c r="EY42" s="171"/>
      <c r="EZ42" s="171"/>
      <c r="FA42" s="171"/>
      <c r="FB42" s="171"/>
      <c r="FC42" s="171"/>
      <c r="FD42" s="171"/>
      <c r="FE42" s="171"/>
      <c r="FF42" s="171"/>
      <c r="FG42" s="171"/>
      <c r="FH42" s="171"/>
      <c r="FI42" s="171"/>
      <c r="FJ42" s="171"/>
      <c r="FK42" s="171"/>
      <c r="FL42" s="171"/>
      <c r="FM42" s="171"/>
      <c r="FN42" s="171"/>
      <c r="FO42" s="171"/>
      <c r="FP42" s="171"/>
      <c r="FQ42" s="171"/>
      <c r="FR42" s="171"/>
      <c r="FS42" s="171"/>
      <c r="FT42" s="171"/>
      <c r="FU42" s="171"/>
      <c r="FV42" s="171"/>
      <c r="FW42" s="171"/>
      <c r="FX42" s="171"/>
      <c r="FY42" s="171"/>
      <c r="FZ42" s="171"/>
      <c r="GA42" s="171"/>
      <c r="GB42" s="171"/>
      <c r="GC42" s="171"/>
      <c r="GD42" s="171"/>
      <c r="GE42" s="171"/>
      <c r="GF42" s="171"/>
      <c r="GG42" s="171"/>
      <c r="GH42" s="171"/>
      <c r="GI42" s="171"/>
      <c r="GJ42" s="171"/>
      <c r="GK42" s="171"/>
      <c r="GL42" s="171"/>
      <c r="GM42" s="171"/>
      <c r="GN42" s="171"/>
      <c r="GO42" s="171"/>
      <c r="GP42" s="171"/>
      <c r="GQ42" s="171"/>
      <c r="GR42" s="171"/>
      <c r="GS42" s="171"/>
      <c r="GT42" s="171"/>
      <c r="GU42" s="171"/>
      <c r="GV42" s="171"/>
      <c r="GW42" s="171"/>
      <c r="GX42" s="171"/>
      <c r="GY42" s="171"/>
      <c r="GZ42" s="171"/>
      <c r="HA42" s="171"/>
      <c r="HB42" s="171"/>
      <c r="HC42" s="171"/>
      <c r="HD42" s="171"/>
      <c r="HE42" s="171"/>
      <c r="HF42" s="171"/>
      <c r="HG42" s="171"/>
      <c r="HH42" s="171"/>
      <c r="HI42" s="171"/>
      <c r="HJ42" s="171"/>
      <c r="HK42" s="171"/>
      <c r="HL42" s="171"/>
      <c r="HM42" s="171"/>
      <c r="HN42" s="171"/>
      <c r="HO42" s="171"/>
      <c r="HP42" s="171"/>
      <c r="HQ42" s="171"/>
      <c r="HR42" s="171"/>
      <c r="HS42" s="171"/>
      <c r="HT42" s="171"/>
      <c r="HU42" s="171"/>
      <c r="HV42" s="171"/>
      <c r="HW42" s="171"/>
      <c r="HX42" s="171"/>
      <c r="HY42" s="171"/>
      <c r="HZ42" s="171"/>
      <c r="IA42" s="171"/>
      <c r="IB42" s="171"/>
      <c r="IC42" s="171"/>
      <c r="ID42" s="171"/>
      <c r="IE42" s="171"/>
      <c r="IF42" s="171"/>
      <c r="IG42" s="171"/>
      <c r="IH42" s="171"/>
      <c r="II42" s="171"/>
      <c r="IJ42" s="171"/>
      <c r="IK42" s="171"/>
      <c r="IL42" s="171"/>
      <c r="IM42" s="171"/>
      <c r="IN42" s="171"/>
      <c r="IO42" s="171"/>
      <c r="IP42" s="171"/>
      <c r="IQ42" s="171"/>
      <c r="IR42" s="171"/>
      <c r="IS42" s="171"/>
      <c r="IT42" s="171"/>
      <c r="IU42" s="171"/>
      <c r="IV42" s="171"/>
      <c r="IW42" s="171"/>
      <c r="IX42" s="171"/>
      <c r="IY42" s="171"/>
      <c r="IZ42" s="171"/>
      <c r="JA42" s="171"/>
      <c r="JB42" s="171"/>
      <c r="JC42" s="171"/>
      <c r="JD42" s="171"/>
      <c r="JE42" s="171"/>
      <c r="JF42" s="171"/>
      <c r="JG42" s="171"/>
      <c r="JH42" s="171"/>
      <c r="JI42" s="171"/>
      <c r="JJ42" s="171"/>
      <c r="JK42" s="171"/>
      <c r="JL42" s="171"/>
      <c r="JM42" s="171"/>
      <c r="JN42" s="171"/>
      <c r="JO42" s="171"/>
      <c r="JP42" s="171"/>
      <c r="JQ42" s="171"/>
      <c r="JR42" s="171"/>
      <c r="JS42" s="171"/>
      <c r="JT42" s="171"/>
      <c r="JU42" s="171"/>
      <c r="JV42" s="171"/>
      <c r="JW42" s="171"/>
      <c r="JX42" s="171"/>
      <c r="JY42" s="171"/>
      <c r="JZ42" s="171"/>
      <c r="KA42" s="171"/>
      <c r="KB42" s="171"/>
      <c r="KC42" s="171"/>
      <c r="KD42" s="171"/>
      <c r="KE42" s="171"/>
      <c r="KF42" s="171"/>
      <c r="KG42" s="171"/>
      <c r="KH42" s="171"/>
      <c r="KI42" s="171"/>
      <c r="KJ42" s="171"/>
      <c r="KK42" s="171"/>
      <c r="KL42" s="171"/>
      <c r="KM42" s="171"/>
      <c r="KN42" s="171"/>
      <c r="KO42" s="171"/>
      <c r="KP42" s="171"/>
      <c r="KQ42" s="171"/>
      <c r="KR42" s="171"/>
      <c r="KS42" s="171"/>
      <c r="KT42" s="171"/>
      <c r="KU42" s="171"/>
      <c r="KV42" s="171"/>
      <c r="KW42" s="171"/>
      <c r="KX42" s="171"/>
      <c r="KY42" s="171"/>
      <c r="KZ42" s="171"/>
      <c r="LA42" s="171"/>
      <c r="LB42" s="171"/>
      <c r="LC42" s="171"/>
      <c r="LD42" s="171"/>
      <c r="LE42" s="171"/>
      <c r="LF42" s="171"/>
      <c r="LG42" s="171"/>
      <c r="LH42" s="171"/>
      <c r="LI42" s="171"/>
      <c r="LJ42" s="171"/>
      <c r="LK42" s="171"/>
      <c r="LL42" s="171"/>
      <c r="LM42" s="171"/>
      <c r="LN42" s="171"/>
      <c r="LO42" s="171"/>
      <c r="LP42" s="171"/>
      <c r="LQ42" s="171"/>
      <c r="LR42" s="171"/>
      <c r="LS42" s="171"/>
      <c r="LT42" s="171"/>
      <c r="LU42" s="171"/>
      <c r="LV42" s="171"/>
      <c r="LW42" s="171"/>
      <c r="LX42" s="171"/>
      <c r="LY42" s="171"/>
      <c r="LZ42" s="171"/>
      <c r="MA42" s="171"/>
      <c r="MB42" s="171"/>
      <c r="MC42" s="171"/>
      <c r="MD42" s="171"/>
      <c r="ME42" s="171"/>
      <c r="MF42" s="171"/>
      <c r="MG42" s="171"/>
      <c r="MH42" s="171"/>
      <c r="MI42" s="171"/>
      <c r="MJ42" s="171"/>
      <c r="MK42" s="171"/>
      <c r="ML42" s="171"/>
      <c r="MM42" s="171"/>
      <c r="MN42" s="171"/>
      <c r="MO42" s="171"/>
      <c r="MP42" s="171"/>
      <c r="MQ42" s="171"/>
      <c r="MR42" s="171"/>
      <c r="MS42" s="171"/>
      <c r="MT42" s="171"/>
      <c r="MU42" s="171"/>
      <c r="MV42" s="171"/>
      <c r="MW42" s="171"/>
      <c r="MX42" s="171"/>
      <c r="MY42" s="171"/>
      <c r="MZ42" s="171"/>
      <c r="NA42" s="171"/>
      <c r="NB42" s="171"/>
      <c r="NC42" s="171"/>
      <c r="ND42" s="171"/>
      <c r="NE42" s="171"/>
      <c r="NF42" s="171"/>
      <c r="NG42" s="171"/>
      <c r="NH42" s="171"/>
      <c r="NI42" s="171"/>
      <c r="NJ42" s="171"/>
      <c r="NK42" s="171"/>
      <c r="NL42" s="171"/>
      <c r="NM42" s="171"/>
      <c r="NN42" s="171"/>
      <c r="NO42" s="171"/>
      <c r="NP42" s="171"/>
      <c r="NQ42" s="171"/>
      <c r="NR42" s="171"/>
      <c r="NS42" s="171"/>
      <c r="NT42" s="171"/>
      <c r="NU42" s="171"/>
      <c r="NV42" s="171"/>
      <c r="NW42" s="171"/>
      <c r="NX42" s="171"/>
      <c r="NY42" s="171"/>
      <c r="NZ42" s="171"/>
      <c r="OA42" s="171"/>
      <c r="OB42" s="171"/>
      <c r="OC42" s="171"/>
      <c r="OD42" s="171"/>
      <c r="OE42" s="171"/>
      <c r="OF42" s="171"/>
      <c r="OG42" s="171"/>
      <c r="OH42" s="171"/>
      <c r="OI42" s="171"/>
      <c r="OJ42" s="171"/>
      <c r="OK42" s="171"/>
      <c r="OL42" s="171"/>
      <c r="OM42" s="171"/>
      <c r="ON42" s="171"/>
      <c r="OO42" s="171"/>
      <c r="OP42" s="171"/>
      <c r="OQ42" s="171"/>
      <c r="OR42" s="171"/>
      <c r="OS42" s="171"/>
      <c r="OT42" s="171"/>
      <c r="OU42" s="171"/>
      <c r="OV42" s="171"/>
      <c r="OW42" s="171"/>
      <c r="OX42" s="171"/>
      <c r="OY42" s="171"/>
      <c r="OZ42" s="171"/>
      <c r="PA42" s="171"/>
      <c r="PB42" s="171"/>
      <c r="PC42" s="171"/>
      <c r="PD42" s="171"/>
      <c r="PE42" s="171"/>
      <c r="PF42" s="171"/>
      <c r="PG42" s="171"/>
      <c r="PH42" s="171"/>
      <c r="PI42" s="171"/>
      <c r="PJ42" s="171"/>
      <c r="PK42" s="171"/>
      <c r="PL42" s="171"/>
      <c r="PM42" s="171"/>
      <c r="PN42" s="171"/>
      <c r="PO42" s="171"/>
      <c r="PP42" s="171"/>
      <c r="PQ42" s="171"/>
      <c r="PR42" s="171"/>
      <c r="PS42" s="171"/>
      <c r="PT42" s="171"/>
      <c r="PU42" s="171"/>
      <c r="PV42" s="171"/>
      <c r="PW42" s="171"/>
      <c r="PX42" s="171"/>
      <c r="PY42" s="171"/>
      <c r="PZ42" s="171"/>
      <c r="QA42" s="171"/>
      <c r="QB42" s="171"/>
      <c r="QC42" s="171"/>
      <c r="QD42" s="171"/>
      <c r="QE42" s="171"/>
      <c r="QF42" s="171"/>
      <c r="QG42" s="171"/>
      <c r="QH42" s="171"/>
      <c r="QI42" s="171"/>
      <c r="QJ42" s="171"/>
      <c r="QK42" s="171"/>
      <c r="QL42" s="171"/>
      <c r="QM42" s="171"/>
      <c r="QN42" s="171"/>
      <c r="QO42" s="171"/>
      <c r="QP42" s="171"/>
      <c r="QQ42" s="171"/>
      <c r="QR42" s="171"/>
      <c r="QS42" s="171"/>
      <c r="QT42" s="171"/>
      <c r="QU42" s="171"/>
      <c r="QV42" s="171"/>
      <c r="QW42" s="171"/>
      <c r="QX42" s="171"/>
      <c r="QY42" s="171"/>
      <c r="QZ42" s="171"/>
      <c r="RA42" s="171"/>
      <c r="RB42" s="171"/>
      <c r="RC42" s="171"/>
      <c r="RD42" s="171"/>
      <c r="RE42" s="171"/>
      <c r="RF42" s="171"/>
      <c r="RG42" s="171"/>
      <c r="RH42" s="171"/>
      <c r="RI42" s="171"/>
      <c r="RJ42" s="171"/>
      <c r="RK42" s="171"/>
      <c r="RL42" s="171"/>
      <c r="RM42" s="171"/>
      <c r="RN42" s="171"/>
      <c r="RO42" s="171"/>
      <c r="RP42" s="171"/>
      <c r="RQ42" s="171"/>
      <c r="RR42" s="171"/>
      <c r="RS42" s="171"/>
      <c r="RT42" s="171"/>
      <c r="RU42" s="171"/>
      <c r="RV42" s="171"/>
      <c r="RW42" s="171"/>
      <c r="RX42" s="171"/>
      <c r="RY42" s="171"/>
      <c r="RZ42" s="171"/>
      <c r="SA42" s="171"/>
      <c r="SB42" s="171"/>
      <c r="SC42" s="171"/>
      <c r="SD42" s="171"/>
      <c r="SE42" s="171"/>
      <c r="SF42" s="171"/>
      <c r="SG42" s="171"/>
      <c r="SH42" s="171"/>
      <c r="SI42" s="171"/>
      <c r="SJ42" s="171"/>
      <c r="SK42" s="171"/>
      <c r="SL42" s="171"/>
      <c r="SM42" s="171"/>
      <c r="SN42" s="171"/>
      <c r="SO42" s="171"/>
      <c r="SP42" s="171"/>
      <c r="SQ42" s="171"/>
      <c r="SR42" s="171"/>
      <c r="SS42" s="171"/>
    </row>
    <row r="43" spans="2:590" s="169" customFormat="1" ht="14.5" x14ac:dyDescent="0.35">
      <c r="B43" s="169" t="s">
        <v>880</v>
      </c>
      <c r="D43" s="170"/>
      <c r="E43" s="170"/>
      <c r="F43" s="170"/>
      <c r="G43" s="170"/>
      <c r="H43" s="170"/>
      <c r="I43" s="170"/>
      <c r="J43" s="170"/>
      <c r="K43" s="170"/>
      <c r="L43" s="170"/>
      <c r="M43" s="170"/>
      <c r="N43" s="134"/>
      <c r="O43" s="134"/>
      <c r="P43" s="134"/>
      <c r="Q43" s="134"/>
      <c r="R43" s="134"/>
      <c r="S43" s="134" t="s">
        <v>881</v>
      </c>
      <c r="T43" s="134"/>
      <c r="U43" s="134"/>
      <c r="V43" s="134" t="s">
        <v>882</v>
      </c>
      <c r="W43" s="134"/>
      <c r="X43" s="134"/>
      <c r="Y43" s="134" t="s">
        <v>883</v>
      </c>
      <c r="Z43" s="134"/>
      <c r="AA43" s="134"/>
      <c r="AB43" s="134" t="s">
        <v>884</v>
      </c>
      <c r="AC43" s="134"/>
      <c r="AD43" s="134"/>
      <c r="AE43" s="134" t="s">
        <v>884</v>
      </c>
      <c r="AF43" s="134"/>
      <c r="AG43" s="134"/>
      <c r="AH43" s="134" t="s">
        <v>884</v>
      </c>
      <c r="AI43" s="134"/>
      <c r="AJ43" s="134"/>
      <c r="AK43" s="134" t="s">
        <v>884</v>
      </c>
      <c r="AL43" s="134"/>
      <c r="AM43" s="134"/>
      <c r="AN43" s="134" t="s">
        <v>884</v>
      </c>
      <c r="AO43" s="134"/>
      <c r="AP43" s="134"/>
      <c r="AQ43" s="134" t="s">
        <v>884</v>
      </c>
      <c r="AR43" s="134"/>
      <c r="AS43" s="134"/>
      <c r="AT43" s="134" t="s">
        <v>884</v>
      </c>
      <c r="AU43" s="134"/>
      <c r="AV43" s="134"/>
      <c r="AW43" s="134" t="s">
        <v>884</v>
      </c>
      <c r="AX43" s="134"/>
      <c r="AY43" s="134"/>
      <c r="AZ43" s="134" t="s">
        <v>884</v>
      </c>
      <c r="BA43" s="134"/>
      <c r="BB43" s="134"/>
      <c r="BC43" s="134" t="s">
        <v>884</v>
      </c>
      <c r="BD43" s="134"/>
      <c r="BE43" s="134"/>
      <c r="BF43" s="134" t="s">
        <v>881</v>
      </c>
      <c r="BG43" s="134"/>
      <c r="BH43" s="134"/>
      <c r="BI43" s="134" t="s">
        <v>882</v>
      </c>
      <c r="BJ43" s="134"/>
      <c r="BK43" s="134"/>
      <c r="BL43" s="134" t="s">
        <v>883</v>
      </c>
      <c r="BM43" s="170"/>
      <c r="BN43" s="170"/>
      <c r="BO43" s="134" t="s">
        <v>884</v>
      </c>
      <c r="BR43" s="134" t="s">
        <v>884</v>
      </c>
      <c r="BU43" s="134" t="s">
        <v>884</v>
      </c>
      <c r="BX43" s="134" t="s">
        <v>884</v>
      </c>
      <c r="CA43" s="134" t="s">
        <v>884</v>
      </c>
      <c r="CD43" s="134" t="s">
        <v>884</v>
      </c>
      <c r="CG43" s="134" t="s">
        <v>884</v>
      </c>
      <c r="CJ43" s="169" t="s">
        <v>884</v>
      </c>
      <c r="CM43" s="134" t="str">
        <f>CJ43</f>
        <v>L12M</v>
      </c>
      <c r="CP43" s="134" t="str">
        <f>CM43</f>
        <v>L12M</v>
      </c>
      <c r="CS43" s="134" t="str">
        <f>CP43</f>
        <v>L12M</v>
      </c>
      <c r="CV43" s="134" t="str">
        <f>CS43</f>
        <v>L12M</v>
      </c>
      <c r="CY43" s="134" t="str">
        <f>CV43</f>
        <v>L12M</v>
      </c>
      <c r="DB43" s="134" t="str">
        <f>CY43</f>
        <v>L12M</v>
      </c>
      <c r="DO43" s="171"/>
      <c r="DP43" s="171"/>
      <c r="DQ43" s="171"/>
      <c r="DR43" s="171"/>
      <c r="DS43" s="171"/>
      <c r="DT43" s="171"/>
      <c r="DU43" s="171"/>
      <c r="DV43" s="171"/>
      <c r="DW43" s="171"/>
      <c r="DX43" s="171"/>
      <c r="DY43" s="171"/>
      <c r="DZ43" s="171"/>
      <c r="EA43" s="171"/>
      <c r="EB43" s="171"/>
      <c r="EC43" s="171"/>
      <c r="ED43" s="171"/>
      <c r="EE43" s="171"/>
      <c r="EF43" s="171"/>
      <c r="EG43" s="171"/>
      <c r="EH43" s="171"/>
      <c r="EI43" s="171"/>
      <c r="EJ43" s="171"/>
      <c r="EK43" s="171"/>
      <c r="EL43" s="171"/>
      <c r="EM43" s="171"/>
      <c r="EN43" s="171"/>
      <c r="EO43" s="171"/>
      <c r="EP43" s="171"/>
      <c r="EQ43" s="171"/>
      <c r="ER43" s="171"/>
      <c r="ES43" s="171"/>
      <c r="ET43" s="171"/>
      <c r="EU43" s="171"/>
      <c r="EV43" s="171"/>
      <c r="EW43" s="171"/>
      <c r="EX43" s="171"/>
      <c r="EY43" s="171"/>
      <c r="EZ43" s="171"/>
      <c r="FA43" s="171"/>
      <c r="FB43" s="171"/>
      <c r="FC43" s="171"/>
      <c r="FD43" s="171"/>
      <c r="FE43" s="171"/>
      <c r="FF43" s="171"/>
      <c r="FG43" s="171"/>
      <c r="FH43" s="171"/>
      <c r="FI43" s="171"/>
      <c r="FJ43" s="171"/>
      <c r="FK43" s="171"/>
      <c r="FL43" s="171"/>
      <c r="FM43" s="171"/>
      <c r="FN43" s="171"/>
      <c r="FO43" s="171"/>
      <c r="FP43" s="171"/>
      <c r="FQ43" s="171"/>
      <c r="FR43" s="171"/>
      <c r="FS43" s="171"/>
      <c r="FT43" s="171"/>
      <c r="FU43" s="171"/>
      <c r="FV43" s="171"/>
      <c r="FW43" s="171"/>
      <c r="FX43" s="171"/>
      <c r="FY43" s="171"/>
      <c r="FZ43" s="171"/>
      <c r="GA43" s="171"/>
      <c r="GB43" s="171"/>
      <c r="GC43" s="171"/>
      <c r="GD43" s="171"/>
      <c r="GE43" s="171"/>
      <c r="GF43" s="171"/>
      <c r="GG43" s="171"/>
      <c r="GH43" s="171"/>
      <c r="GI43" s="171"/>
      <c r="GJ43" s="171"/>
      <c r="GK43" s="171"/>
      <c r="GL43" s="171"/>
      <c r="GM43" s="171"/>
      <c r="GN43" s="171"/>
      <c r="GO43" s="171"/>
      <c r="GP43" s="171"/>
      <c r="GQ43" s="171"/>
      <c r="GR43" s="171"/>
      <c r="GS43" s="171"/>
      <c r="GT43" s="171"/>
      <c r="GU43" s="171"/>
      <c r="GV43" s="171"/>
      <c r="GW43" s="171"/>
      <c r="GX43" s="171"/>
      <c r="GY43" s="171"/>
      <c r="GZ43" s="171"/>
      <c r="HA43" s="171"/>
      <c r="HB43" s="171"/>
      <c r="HC43" s="171"/>
      <c r="HD43" s="171"/>
      <c r="HE43" s="171"/>
      <c r="HF43" s="171"/>
      <c r="HG43" s="171"/>
      <c r="HH43" s="171"/>
      <c r="HI43" s="171"/>
      <c r="HJ43" s="171"/>
      <c r="HK43" s="171"/>
      <c r="HL43" s="171"/>
      <c r="HM43" s="171"/>
      <c r="HN43" s="171"/>
      <c r="HO43" s="171"/>
      <c r="HP43" s="171"/>
      <c r="HQ43" s="171"/>
      <c r="HR43" s="171"/>
      <c r="HS43" s="171"/>
      <c r="HT43" s="171"/>
      <c r="HU43" s="171"/>
      <c r="HV43" s="171"/>
      <c r="HW43" s="171"/>
      <c r="HX43" s="171"/>
      <c r="HY43" s="171"/>
      <c r="HZ43" s="171"/>
      <c r="IA43" s="171"/>
      <c r="IB43" s="171"/>
      <c r="IC43" s="171"/>
      <c r="ID43" s="171"/>
      <c r="IE43" s="171"/>
      <c r="IF43" s="171"/>
      <c r="IG43" s="171"/>
      <c r="IH43" s="171"/>
      <c r="II43" s="171"/>
      <c r="IJ43" s="171"/>
      <c r="IK43" s="171"/>
      <c r="IL43" s="171"/>
      <c r="IM43" s="171"/>
      <c r="IN43" s="171"/>
      <c r="IO43" s="171"/>
      <c r="IP43" s="171"/>
      <c r="IQ43" s="171"/>
      <c r="IR43" s="171"/>
      <c r="IS43" s="171"/>
      <c r="IT43" s="171"/>
      <c r="IU43" s="171"/>
      <c r="IV43" s="171"/>
      <c r="IW43" s="171"/>
      <c r="IX43" s="171"/>
      <c r="IY43" s="171"/>
      <c r="IZ43" s="171"/>
      <c r="JA43" s="171"/>
      <c r="JB43" s="171"/>
      <c r="JC43" s="171"/>
      <c r="JD43" s="171"/>
      <c r="JE43" s="171"/>
      <c r="JF43" s="171"/>
      <c r="JG43" s="171"/>
      <c r="JH43" s="171"/>
      <c r="JI43" s="171"/>
      <c r="JJ43" s="171"/>
      <c r="JK43" s="171"/>
      <c r="JL43" s="171"/>
      <c r="JM43" s="171"/>
      <c r="JN43" s="171"/>
      <c r="JO43" s="171"/>
      <c r="JP43" s="171"/>
      <c r="JQ43" s="171"/>
      <c r="JR43" s="171"/>
      <c r="JS43" s="171"/>
      <c r="JT43" s="171"/>
      <c r="JU43" s="171"/>
      <c r="JV43" s="171"/>
      <c r="JW43" s="171"/>
      <c r="JX43" s="171"/>
      <c r="JY43" s="171"/>
      <c r="JZ43" s="171"/>
      <c r="KA43" s="171"/>
      <c r="KB43" s="171"/>
      <c r="KC43" s="171"/>
      <c r="KD43" s="171"/>
      <c r="KE43" s="171"/>
      <c r="KF43" s="171"/>
      <c r="KG43" s="171"/>
      <c r="KH43" s="171"/>
      <c r="KI43" s="171"/>
      <c r="KJ43" s="171"/>
      <c r="KK43" s="171"/>
      <c r="KL43" s="171"/>
      <c r="KM43" s="171"/>
      <c r="KN43" s="171"/>
      <c r="KO43" s="171"/>
      <c r="KP43" s="171"/>
      <c r="KQ43" s="171"/>
      <c r="KR43" s="171"/>
      <c r="KS43" s="171"/>
      <c r="KT43" s="171"/>
      <c r="KU43" s="171"/>
      <c r="KV43" s="171"/>
      <c r="KW43" s="171"/>
      <c r="KX43" s="171"/>
      <c r="KY43" s="171"/>
      <c r="KZ43" s="171"/>
      <c r="LA43" s="171"/>
      <c r="LB43" s="171"/>
      <c r="LC43" s="171"/>
      <c r="LD43" s="171"/>
      <c r="LE43" s="171"/>
      <c r="LF43" s="171"/>
      <c r="LG43" s="171"/>
      <c r="LH43" s="171"/>
      <c r="LI43" s="171"/>
      <c r="LJ43" s="171"/>
      <c r="LK43" s="171"/>
      <c r="LL43" s="171"/>
      <c r="LM43" s="171"/>
      <c r="LN43" s="171"/>
      <c r="LO43" s="171"/>
      <c r="LP43" s="171"/>
      <c r="LQ43" s="171"/>
      <c r="LR43" s="171"/>
      <c r="LS43" s="171"/>
      <c r="LT43" s="171"/>
      <c r="LU43" s="171"/>
      <c r="LV43" s="171"/>
      <c r="LW43" s="171"/>
      <c r="LX43" s="171"/>
      <c r="LY43" s="171"/>
      <c r="LZ43" s="171"/>
      <c r="MA43" s="171"/>
      <c r="MB43" s="171"/>
      <c r="MC43" s="171"/>
      <c r="MD43" s="171"/>
      <c r="ME43" s="171"/>
      <c r="MF43" s="171"/>
      <c r="MG43" s="171"/>
      <c r="MH43" s="171"/>
      <c r="MI43" s="171"/>
      <c r="MJ43" s="171"/>
      <c r="MK43" s="171"/>
      <c r="ML43" s="171"/>
      <c r="MM43" s="171"/>
      <c r="MN43" s="171"/>
      <c r="MO43" s="171"/>
      <c r="MP43" s="171"/>
      <c r="MQ43" s="171"/>
      <c r="MR43" s="171"/>
      <c r="MS43" s="171"/>
      <c r="MT43" s="171"/>
      <c r="MU43" s="171"/>
      <c r="MV43" s="171"/>
      <c r="MW43" s="171"/>
      <c r="MX43" s="171"/>
      <c r="MY43" s="171"/>
      <c r="MZ43" s="171"/>
      <c r="NA43" s="171"/>
      <c r="NB43" s="171"/>
      <c r="NC43" s="171"/>
      <c r="ND43" s="171"/>
      <c r="NE43" s="171"/>
      <c r="NF43" s="171"/>
      <c r="NG43" s="171"/>
      <c r="NH43" s="171"/>
      <c r="NI43" s="171"/>
      <c r="NJ43" s="171"/>
      <c r="NK43" s="171"/>
      <c r="NL43" s="171"/>
      <c r="NM43" s="171"/>
      <c r="NN43" s="171"/>
      <c r="NO43" s="171"/>
      <c r="NP43" s="171"/>
      <c r="NQ43" s="171"/>
      <c r="NR43" s="171"/>
      <c r="NS43" s="171"/>
      <c r="NT43" s="171"/>
      <c r="NU43" s="171"/>
      <c r="NV43" s="171"/>
      <c r="NW43" s="171"/>
      <c r="NX43" s="171"/>
      <c r="NY43" s="171"/>
      <c r="NZ43" s="171"/>
      <c r="OA43" s="171"/>
      <c r="OB43" s="171"/>
      <c r="OC43" s="171"/>
      <c r="OD43" s="171"/>
      <c r="OE43" s="171"/>
      <c r="OF43" s="171"/>
      <c r="OG43" s="171"/>
      <c r="OH43" s="171"/>
      <c r="OI43" s="171"/>
      <c r="OJ43" s="171"/>
      <c r="OK43" s="171"/>
      <c r="OL43" s="171"/>
      <c r="OM43" s="171"/>
      <c r="ON43" s="171"/>
      <c r="OO43" s="171"/>
      <c r="OP43" s="171"/>
      <c r="OQ43" s="171"/>
      <c r="OR43" s="171"/>
      <c r="OS43" s="171"/>
      <c r="OT43" s="171"/>
      <c r="OU43" s="171"/>
      <c r="OV43" s="171"/>
      <c r="OW43" s="171"/>
      <c r="OX43" s="171"/>
      <c r="OY43" s="171"/>
      <c r="OZ43" s="171"/>
      <c r="PA43" s="171"/>
      <c r="PB43" s="171"/>
      <c r="PC43" s="171"/>
      <c r="PD43" s="171"/>
      <c r="PE43" s="171"/>
      <c r="PF43" s="171"/>
      <c r="PG43" s="171"/>
      <c r="PH43" s="171"/>
      <c r="PI43" s="171"/>
      <c r="PJ43" s="171"/>
      <c r="PK43" s="171"/>
      <c r="PL43" s="171"/>
      <c r="PM43" s="171"/>
      <c r="PN43" s="171"/>
      <c r="PO43" s="171"/>
      <c r="PP43" s="171"/>
      <c r="PQ43" s="171"/>
      <c r="PR43" s="171"/>
      <c r="PS43" s="171"/>
      <c r="PT43" s="171"/>
      <c r="PU43" s="171"/>
      <c r="PV43" s="171"/>
      <c r="PW43" s="171"/>
      <c r="PX43" s="171"/>
      <c r="PY43" s="171"/>
      <c r="PZ43" s="171"/>
      <c r="QA43" s="171"/>
      <c r="QB43" s="171"/>
      <c r="QC43" s="171"/>
      <c r="QD43" s="171"/>
      <c r="QE43" s="171"/>
      <c r="QF43" s="171"/>
      <c r="QG43" s="171"/>
      <c r="QH43" s="171"/>
      <c r="QI43" s="171"/>
      <c r="QJ43" s="171"/>
      <c r="QK43" s="171"/>
      <c r="QL43" s="171"/>
      <c r="QM43" s="171"/>
      <c r="QN43" s="171"/>
      <c r="QO43" s="171"/>
      <c r="QP43" s="171"/>
      <c r="QQ43" s="171"/>
      <c r="QR43" s="171"/>
      <c r="QS43" s="171"/>
      <c r="QT43" s="171"/>
      <c r="QU43" s="171"/>
      <c r="QV43" s="171"/>
      <c r="QW43" s="171"/>
      <c r="QX43" s="171"/>
      <c r="QY43" s="171"/>
      <c r="QZ43" s="171"/>
      <c r="RA43" s="171"/>
      <c r="RB43" s="171"/>
      <c r="RC43" s="171"/>
      <c r="RD43" s="171"/>
      <c r="RE43" s="171"/>
      <c r="RF43" s="171"/>
      <c r="RG43" s="171"/>
      <c r="RH43" s="171"/>
      <c r="RI43" s="171"/>
      <c r="RJ43" s="171"/>
      <c r="RK43" s="171"/>
      <c r="RL43" s="171"/>
      <c r="RM43" s="171"/>
      <c r="RN43" s="171"/>
      <c r="RO43" s="171"/>
      <c r="RP43" s="171"/>
      <c r="RQ43" s="171"/>
      <c r="RR43" s="171"/>
      <c r="RS43" s="171"/>
      <c r="RT43" s="171"/>
      <c r="RU43" s="171"/>
      <c r="RV43" s="171"/>
      <c r="RW43" s="171"/>
      <c r="RX43" s="171"/>
      <c r="RY43" s="171"/>
      <c r="RZ43" s="171"/>
      <c r="SA43" s="171"/>
      <c r="SB43" s="171"/>
      <c r="SC43" s="171"/>
      <c r="SD43" s="171"/>
      <c r="SE43" s="171"/>
      <c r="SF43" s="171"/>
      <c r="SG43" s="171"/>
      <c r="SH43" s="171"/>
      <c r="SI43" s="171"/>
      <c r="SJ43" s="171"/>
      <c r="SK43" s="171"/>
      <c r="SL43" s="171"/>
      <c r="SM43" s="171"/>
      <c r="SN43" s="171"/>
      <c r="SO43" s="171"/>
      <c r="SP43" s="171"/>
      <c r="SQ43" s="171"/>
      <c r="SR43" s="171"/>
      <c r="SS43" s="171"/>
    </row>
    <row r="44" spans="2:590" s="169" customFormat="1" ht="14.5" x14ac:dyDescent="0.35">
      <c r="B44" s="169" t="s">
        <v>885</v>
      </c>
      <c r="C44" s="174"/>
      <c r="D44" s="170"/>
      <c r="E44" s="175"/>
      <c r="F44" s="175"/>
      <c r="G44" s="175"/>
      <c r="H44" s="175"/>
      <c r="I44" s="175"/>
      <c r="J44" s="175"/>
      <c r="K44" s="175"/>
      <c r="L44" s="175"/>
      <c r="M44" s="172"/>
      <c r="N44" s="176"/>
      <c r="O44" s="176"/>
      <c r="P44" s="141"/>
      <c r="Q44" s="173"/>
      <c r="R44" s="173"/>
      <c r="S44" s="173">
        <f>SUM(Q41:S41)</f>
        <v>2765123.34</v>
      </c>
      <c r="T44" s="173"/>
      <c r="U44" s="173"/>
      <c r="V44" s="173">
        <f>SUM(Q41:V41)</f>
        <v>5719746.6799999997</v>
      </c>
      <c r="W44" s="173"/>
      <c r="X44" s="173"/>
      <c r="Y44" s="173">
        <f>SUM(Q41:Y41)</f>
        <v>8920620.0199999996</v>
      </c>
      <c r="Z44" s="173"/>
      <c r="AA44" s="173"/>
      <c r="AB44" s="173">
        <f>SUM(Q41:AB41)</f>
        <v>12350243.359999998</v>
      </c>
      <c r="AC44" s="173"/>
      <c r="AD44" s="173"/>
      <c r="AE44" s="173">
        <f>SUM(T41:AE41)</f>
        <v>13254743.359999998</v>
      </c>
      <c r="AF44" s="173"/>
      <c r="AG44" s="173"/>
      <c r="AH44" s="173"/>
      <c r="AI44" s="173"/>
      <c r="AJ44" s="173"/>
      <c r="AK44" s="173"/>
      <c r="AL44" s="173"/>
      <c r="AM44" s="173"/>
      <c r="AN44" s="173"/>
      <c r="AO44" s="173"/>
      <c r="AP44" s="173"/>
      <c r="AQ44" s="173"/>
      <c r="AR44" s="173"/>
      <c r="AS44" s="173"/>
      <c r="AT44" s="173"/>
      <c r="AU44" s="173"/>
      <c r="AV44" s="173"/>
      <c r="AW44" s="173"/>
      <c r="AX44" s="173"/>
      <c r="AY44" s="173"/>
      <c r="AZ44" s="173"/>
      <c r="BA44" s="173"/>
      <c r="BB44" s="173"/>
      <c r="BC44" s="173"/>
      <c r="BD44" s="173"/>
      <c r="BE44" s="173"/>
      <c r="BF44" s="173"/>
      <c r="BG44" s="173"/>
      <c r="BH44" s="173"/>
      <c r="BI44" s="173"/>
      <c r="BJ44" s="173"/>
      <c r="BK44" s="173"/>
      <c r="BL44" s="173"/>
      <c r="BM44" s="172"/>
      <c r="BN44" s="172"/>
      <c r="BO44" s="173"/>
      <c r="BR44" s="172"/>
      <c r="CN44"/>
      <c r="CO44"/>
      <c r="DO44" s="171"/>
      <c r="DP44" s="171"/>
      <c r="DQ44" s="171"/>
      <c r="DR44" s="171"/>
      <c r="DS44" s="171"/>
      <c r="DT44" s="171"/>
      <c r="DU44" s="171"/>
      <c r="DV44" s="171"/>
      <c r="DW44" s="171"/>
      <c r="DX44" s="171"/>
      <c r="DY44" s="171"/>
      <c r="DZ44" s="171"/>
      <c r="EA44" s="171"/>
      <c r="EB44" s="171"/>
      <c r="EC44" s="171"/>
      <c r="ED44" s="171"/>
      <c r="EE44" s="171"/>
      <c r="EF44" s="171"/>
      <c r="EG44" s="171"/>
      <c r="EH44" s="171"/>
      <c r="EI44" s="171"/>
      <c r="EJ44" s="171"/>
      <c r="EK44" s="171"/>
      <c r="EL44" s="171"/>
      <c r="EM44" s="171"/>
      <c r="EN44" s="171"/>
      <c r="EO44" s="171"/>
      <c r="EP44" s="171"/>
      <c r="EQ44" s="171"/>
      <c r="ER44" s="171"/>
      <c r="ES44" s="171"/>
      <c r="ET44" s="171"/>
      <c r="EU44" s="171"/>
      <c r="EV44" s="171"/>
      <c r="EW44" s="171"/>
      <c r="EX44" s="171"/>
      <c r="EY44" s="171"/>
      <c r="EZ44" s="171"/>
      <c r="FA44" s="171"/>
      <c r="FB44" s="171"/>
      <c r="FC44" s="171"/>
      <c r="FD44" s="171"/>
      <c r="FE44" s="171"/>
      <c r="FF44" s="171"/>
      <c r="FG44" s="171"/>
      <c r="FH44" s="171"/>
      <c r="FI44" s="171"/>
      <c r="FJ44" s="171"/>
      <c r="FK44" s="171"/>
      <c r="FL44" s="171"/>
      <c r="FM44" s="171"/>
      <c r="FN44" s="171"/>
      <c r="FO44" s="171"/>
      <c r="FP44" s="171"/>
      <c r="FQ44" s="171"/>
      <c r="FR44" s="171"/>
      <c r="FS44" s="171"/>
      <c r="FT44" s="171"/>
      <c r="FU44" s="171"/>
      <c r="FV44" s="171"/>
      <c r="FW44" s="171"/>
      <c r="FX44" s="171"/>
      <c r="FY44" s="171"/>
      <c r="FZ44" s="171"/>
      <c r="GA44" s="171"/>
      <c r="GB44" s="171"/>
      <c r="GC44" s="171"/>
      <c r="GD44" s="171"/>
      <c r="GE44" s="171"/>
      <c r="GF44" s="171"/>
      <c r="GG44" s="171"/>
      <c r="GH44" s="171"/>
      <c r="GI44" s="171"/>
      <c r="GJ44" s="171"/>
      <c r="GK44" s="171"/>
      <c r="GL44" s="171"/>
      <c r="GM44" s="171"/>
      <c r="GN44" s="171"/>
      <c r="GO44" s="171"/>
      <c r="GP44" s="171"/>
      <c r="GQ44" s="171"/>
      <c r="GR44" s="171"/>
      <c r="GS44" s="171"/>
      <c r="GT44" s="171"/>
      <c r="GU44" s="171"/>
      <c r="GV44" s="171"/>
      <c r="GW44" s="171"/>
      <c r="GX44" s="171"/>
      <c r="GY44" s="171"/>
      <c r="GZ44" s="171"/>
      <c r="HA44" s="171"/>
      <c r="HB44" s="171"/>
      <c r="HC44" s="171"/>
      <c r="HD44" s="171"/>
      <c r="HE44" s="171"/>
      <c r="HF44" s="171"/>
      <c r="HG44" s="171"/>
      <c r="HH44" s="171"/>
      <c r="HI44" s="171"/>
      <c r="HJ44" s="171"/>
      <c r="HK44" s="171"/>
      <c r="HL44" s="171"/>
      <c r="HM44" s="171"/>
      <c r="HN44" s="171"/>
      <c r="HO44" s="171"/>
      <c r="HP44" s="171"/>
      <c r="HQ44" s="171"/>
      <c r="HR44" s="171"/>
      <c r="HS44" s="171"/>
      <c r="HT44" s="171"/>
      <c r="HU44" s="171"/>
      <c r="HV44" s="171"/>
      <c r="HW44" s="171"/>
      <c r="HX44" s="171"/>
      <c r="HY44" s="171"/>
      <c r="HZ44" s="171"/>
      <c r="IA44" s="171"/>
      <c r="IB44" s="171"/>
      <c r="IC44" s="171"/>
      <c r="ID44" s="171"/>
      <c r="IE44" s="171"/>
      <c r="IF44" s="171"/>
      <c r="IG44" s="171"/>
      <c r="IH44" s="171"/>
      <c r="II44" s="171"/>
      <c r="IJ44" s="171"/>
      <c r="IK44" s="171"/>
      <c r="IL44" s="171"/>
      <c r="IM44" s="171"/>
      <c r="IN44" s="171"/>
      <c r="IO44" s="171"/>
      <c r="IP44" s="171"/>
      <c r="IQ44" s="171"/>
      <c r="IR44" s="171"/>
      <c r="IS44" s="171"/>
      <c r="IT44" s="171"/>
      <c r="IU44" s="171"/>
      <c r="IV44" s="171"/>
      <c r="IW44" s="171"/>
      <c r="IX44" s="171"/>
      <c r="IY44" s="171"/>
      <c r="IZ44" s="171"/>
      <c r="JA44" s="171"/>
      <c r="JB44" s="171"/>
      <c r="JC44" s="171"/>
      <c r="JD44" s="171"/>
      <c r="JE44" s="171"/>
      <c r="JF44" s="171"/>
      <c r="JG44" s="171"/>
      <c r="JH44" s="171"/>
      <c r="JI44" s="171"/>
      <c r="JJ44" s="171"/>
      <c r="JK44" s="171"/>
      <c r="JL44" s="171"/>
      <c r="JM44" s="171"/>
      <c r="JN44" s="171"/>
      <c r="JO44" s="171"/>
      <c r="JP44" s="171"/>
      <c r="JQ44" s="171"/>
      <c r="JR44" s="171"/>
      <c r="JS44" s="171"/>
      <c r="JT44" s="171"/>
      <c r="JU44" s="171"/>
      <c r="JV44" s="171"/>
      <c r="JW44" s="171"/>
      <c r="JX44" s="171"/>
      <c r="JY44" s="171"/>
      <c r="JZ44" s="171"/>
      <c r="KA44" s="171"/>
      <c r="KB44" s="171"/>
      <c r="KC44" s="171"/>
      <c r="KD44" s="171"/>
      <c r="KE44" s="171"/>
      <c r="KF44" s="171"/>
      <c r="KG44" s="171"/>
      <c r="KH44" s="171"/>
      <c r="KI44" s="171"/>
      <c r="KJ44" s="171"/>
      <c r="KK44" s="171"/>
      <c r="KL44" s="171"/>
      <c r="KM44" s="171"/>
      <c r="KN44" s="171"/>
      <c r="KO44" s="171"/>
      <c r="KP44" s="171"/>
      <c r="KQ44" s="171"/>
      <c r="KR44" s="171"/>
      <c r="KS44" s="171"/>
      <c r="KT44" s="171"/>
      <c r="KU44" s="171"/>
      <c r="KV44" s="171"/>
      <c r="KW44" s="171"/>
      <c r="KX44" s="171"/>
      <c r="KY44" s="171"/>
      <c r="KZ44" s="171"/>
      <c r="LA44" s="171"/>
      <c r="LB44" s="171"/>
      <c r="LC44" s="171"/>
      <c r="LD44" s="171"/>
      <c r="LE44" s="171"/>
      <c r="LF44" s="171"/>
      <c r="LG44" s="171"/>
      <c r="LH44" s="171"/>
      <c r="LI44" s="171"/>
      <c r="LJ44" s="171"/>
      <c r="LK44" s="171"/>
      <c r="LL44" s="171"/>
      <c r="LM44" s="171"/>
      <c r="LN44" s="171"/>
      <c r="LO44" s="171"/>
      <c r="LP44" s="171"/>
      <c r="LQ44" s="171"/>
      <c r="LR44" s="171"/>
      <c r="LS44" s="171"/>
      <c r="LT44" s="171"/>
      <c r="LU44" s="171"/>
      <c r="LV44" s="171"/>
      <c r="LW44" s="171"/>
      <c r="LX44" s="171"/>
      <c r="LY44" s="171"/>
      <c r="LZ44" s="171"/>
      <c r="MA44" s="171"/>
      <c r="MB44" s="171"/>
      <c r="MC44" s="171"/>
      <c r="MD44" s="171"/>
      <c r="ME44" s="171"/>
      <c r="MF44" s="171"/>
      <c r="MG44" s="171"/>
      <c r="MH44" s="171"/>
      <c r="MI44" s="171"/>
      <c r="MJ44" s="171"/>
      <c r="MK44" s="171"/>
      <c r="ML44" s="171"/>
      <c r="MM44" s="171"/>
      <c r="MN44" s="171"/>
      <c r="MO44" s="171"/>
      <c r="MP44" s="171"/>
      <c r="MQ44" s="171"/>
      <c r="MR44" s="171"/>
      <c r="MS44" s="171"/>
      <c r="MT44" s="171"/>
      <c r="MU44" s="171"/>
      <c r="MV44" s="171"/>
      <c r="MW44" s="171"/>
      <c r="MX44" s="171"/>
      <c r="MY44" s="171"/>
      <c r="MZ44" s="171"/>
      <c r="NA44" s="171"/>
      <c r="NB44" s="171"/>
      <c r="NC44" s="171"/>
      <c r="ND44" s="171"/>
      <c r="NE44" s="171"/>
      <c r="NF44" s="171"/>
      <c r="NG44" s="171"/>
      <c r="NH44" s="171"/>
      <c r="NI44" s="171"/>
      <c r="NJ44" s="171"/>
      <c r="NK44" s="171"/>
      <c r="NL44" s="171"/>
      <c r="NM44" s="171"/>
      <c r="NN44" s="171"/>
      <c r="NO44" s="171"/>
      <c r="NP44" s="171"/>
      <c r="NQ44" s="171"/>
      <c r="NR44" s="171"/>
      <c r="NS44" s="171"/>
      <c r="NT44" s="171"/>
      <c r="NU44" s="171"/>
      <c r="NV44" s="171"/>
      <c r="NW44" s="171"/>
      <c r="NX44" s="171"/>
      <c r="NY44" s="171"/>
      <c r="NZ44" s="171"/>
      <c r="OA44" s="171"/>
      <c r="OB44" s="171"/>
      <c r="OC44" s="171"/>
      <c r="OD44" s="171"/>
      <c r="OE44" s="171"/>
      <c r="OF44" s="171"/>
      <c r="OG44" s="171"/>
      <c r="OH44" s="171"/>
      <c r="OI44" s="171"/>
      <c r="OJ44" s="171"/>
      <c r="OK44" s="171"/>
      <c r="OL44" s="171"/>
      <c r="OM44" s="171"/>
      <c r="ON44" s="171"/>
      <c r="OO44" s="171"/>
      <c r="OP44" s="171"/>
      <c r="OQ44" s="171"/>
      <c r="OR44" s="171"/>
      <c r="OS44" s="171"/>
      <c r="OT44" s="171"/>
      <c r="OU44" s="171"/>
      <c r="OV44" s="171"/>
      <c r="OW44" s="171"/>
      <c r="OX44" s="171"/>
      <c r="OY44" s="171"/>
      <c r="OZ44" s="171"/>
      <c r="PA44" s="171"/>
      <c r="PB44" s="171"/>
      <c r="PC44" s="171"/>
      <c r="PD44" s="171"/>
      <c r="PE44" s="171"/>
      <c r="PF44" s="171"/>
      <c r="PG44" s="171"/>
      <c r="PH44" s="171"/>
      <c r="PI44" s="171"/>
      <c r="PJ44" s="171"/>
      <c r="PK44" s="171"/>
      <c r="PL44" s="171"/>
      <c r="PM44" s="171"/>
      <c r="PN44" s="171"/>
      <c r="PO44" s="171"/>
      <c r="PP44" s="171"/>
      <c r="PQ44" s="171"/>
      <c r="PR44" s="171"/>
      <c r="PS44" s="171"/>
      <c r="PT44" s="171"/>
      <c r="PU44" s="171"/>
      <c r="PV44" s="171"/>
      <c r="PW44" s="171"/>
      <c r="PX44" s="171"/>
      <c r="PY44" s="171"/>
      <c r="PZ44" s="171"/>
      <c r="QA44" s="171"/>
      <c r="QB44" s="171"/>
      <c r="QC44" s="171"/>
      <c r="QD44" s="171"/>
      <c r="QE44" s="171"/>
      <c r="QF44" s="171"/>
      <c r="QG44" s="171"/>
      <c r="QH44" s="171"/>
      <c r="QI44" s="171"/>
      <c r="QJ44" s="171"/>
      <c r="QK44" s="171"/>
      <c r="QL44" s="171"/>
      <c r="QM44" s="171"/>
      <c r="QN44" s="171"/>
      <c r="QO44" s="171"/>
      <c r="QP44" s="171"/>
      <c r="QQ44" s="171"/>
      <c r="QR44" s="171"/>
      <c r="QS44" s="171"/>
      <c r="QT44" s="171"/>
      <c r="QU44" s="171"/>
      <c r="QV44" s="171"/>
      <c r="QW44" s="171"/>
      <c r="QX44" s="171"/>
      <c r="QY44" s="171"/>
      <c r="QZ44" s="171"/>
      <c r="RA44" s="171"/>
      <c r="RB44" s="171"/>
      <c r="RC44" s="171"/>
      <c r="RD44" s="171"/>
      <c r="RE44" s="171"/>
      <c r="RF44" s="171"/>
      <c r="RG44" s="171"/>
      <c r="RH44" s="171"/>
      <c r="RI44" s="171"/>
      <c r="RJ44" s="171"/>
      <c r="RK44" s="171"/>
      <c r="RL44" s="171"/>
      <c r="RM44" s="171"/>
      <c r="RN44" s="171"/>
      <c r="RO44" s="171"/>
      <c r="RP44" s="171"/>
      <c r="RQ44" s="171"/>
      <c r="RR44" s="171"/>
      <c r="RS44" s="171"/>
      <c r="RT44" s="171"/>
      <c r="RU44" s="171"/>
      <c r="RV44" s="171"/>
      <c r="RW44" s="171"/>
      <c r="RX44" s="171"/>
      <c r="RY44" s="171"/>
      <c r="RZ44" s="171"/>
      <c r="SA44" s="171"/>
      <c r="SB44" s="171"/>
      <c r="SC44" s="171"/>
      <c r="SD44" s="171"/>
      <c r="SE44" s="171"/>
      <c r="SF44" s="171"/>
      <c r="SG44" s="171"/>
      <c r="SH44" s="171"/>
      <c r="SI44" s="171"/>
      <c r="SJ44" s="171"/>
      <c r="SK44" s="171"/>
      <c r="SL44" s="171"/>
      <c r="SM44" s="171"/>
      <c r="SN44" s="171"/>
      <c r="SO44" s="171"/>
      <c r="SP44" s="171"/>
      <c r="SQ44" s="171"/>
      <c r="SR44" s="171"/>
      <c r="SS44" s="171"/>
    </row>
    <row r="45" spans="2:590" s="169" customFormat="1" ht="14.5" x14ac:dyDescent="0.35">
      <c r="B45" s="169" t="s">
        <v>886</v>
      </c>
      <c r="C45" s="177">
        <v>0.75</v>
      </c>
      <c r="D45" s="175"/>
      <c r="E45" s="175"/>
      <c r="F45" s="175"/>
      <c r="G45" s="175"/>
      <c r="H45" s="175"/>
      <c r="I45" s="175"/>
      <c r="J45" s="175"/>
      <c r="K45" s="175"/>
      <c r="L45" s="175"/>
      <c r="M45" s="175"/>
      <c r="N45" s="176"/>
      <c r="O45" s="176"/>
      <c r="P45" s="176"/>
      <c r="Q45" s="176"/>
      <c r="R45" s="176"/>
      <c r="S45" s="181">
        <f>$C$45</f>
        <v>0.75</v>
      </c>
      <c r="T45" s="181"/>
      <c r="U45" s="176"/>
      <c r="V45" s="220">
        <f>$C$45</f>
        <v>0.75</v>
      </c>
      <c r="W45" s="176"/>
      <c r="X45" s="176"/>
      <c r="Y45" s="220">
        <f>$C$45</f>
        <v>0.75</v>
      </c>
      <c r="Z45" s="176"/>
      <c r="AA45" s="176"/>
      <c r="AB45" s="220">
        <f>$C$45</f>
        <v>0.75</v>
      </c>
      <c r="AC45" s="176"/>
      <c r="AD45" s="176"/>
      <c r="AE45" s="220">
        <f>$C$45</f>
        <v>0.75</v>
      </c>
      <c r="AF45" s="176"/>
      <c r="AG45" s="176"/>
      <c r="AH45" s="220"/>
      <c r="AI45" s="176"/>
      <c r="AJ45" s="176"/>
      <c r="AK45" s="220"/>
      <c r="AL45" s="176"/>
      <c r="AM45" s="176"/>
      <c r="AN45" s="220"/>
      <c r="AO45" s="176"/>
      <c r="AP45" s="176"/>
      <c r="AQ45" s="220"/>
      <c r="AR45" s="176"/>
      <c r="AS45" s="176"/>
      <c r="AT45" s="220"/>
      <c r="AU45" s="220"/>
      <c r="AV45" s="176"/>
      <c r="AW45" s="220"/>
      <c r="AX45" s="176"/>
      <c r="AY45" s="176"/>
      <c r="AZ45" s="220"/>
      <c r="BA45" s="176"/>
      <c r="BB45" s="176"/>
      <c r="BC45" s="220"/>
      <c r="BD45" s="176"/>
      <c r="BE45" s="176"/>
      <c r="BF45" s="220"/>
      <c r="BG45" s="176"/>
      <c r="BH45" s="176"/>
      <c r="BI45" s="220"/>
      <c r="BJ45" s="176"/>
      <c r="BK45" s="176"/>
      <c r="BL45" s="220"/>
      <c r="BM45" s="175"/>
      <c r="BN45" s="175"/>
      <c r="BO45" s="220"/>
      <c r="BR45" s="175"/>
      <c r="CN45"/>
      <c r="CO45"/>
      <c r="DO45" s="171"/>
      <c r="DP45" s="171"/>
      <c r="DQ45" s="171"/>
      <c r="DR45" s="171"/>
      <c r="DS45" s="171"/>
      <c r="DT45" s="171"/>
      <c r="DU45" s="171"/>
      <c r="DV45" s="171"/>
      <c r="DW45" s="171"/>
      <c r="DX45" s="171"/>
      <c r="DY45" s="171"/>
      <c r="DZ45" s="171"/>
      <c r="EA45" s="171"/>
      <c r="EB45" s="171"/>
      <c r="EC45" s="171"/>
      <c r="ED45" s="171"/>
      <c r="EE45" s="171"/>
      <c r="EF45" s="171"/>
      <c r="EG45" s="171"/>
      <c r="EH45" s="171"/>
      <c r="EI45" s="171"/>
      <c r="EJ45" s="171"/>
      <c r="EK45" s="171"/>
      <c r="EL45" s="171"/>
      <c r="EM45" s="171"/>
      <c r="EN45" s="171"/>
      <c r="EO45" s="171"/>
      <c r="EP45" s="171"/>
      <c r="EQ45" s="171"/>
      <c r="ER45" s="171"/>
      <c r="ES45" s="171"/>
      <c r="ET45" s="171"/>
      <c r="EU45" s="171"/>
      <c r="EV45" s="171"/>
      <c r="EW45" s="171"/>
      <c r="EX45" s="171"/>
      <c r="EY45" s="171"/>
      <c r="EZ45" s="171"/>
      <c r="FA45" s="171"/>
      <c r="FB45" s="171"/>
      <c r="FC45" s="171"/>
      <c r="FD45" s="171"/>
      <c r="FE45" s="171"/>
      <c r="FF45" s="171"/>
      <c r="FG45" s="171"/>
      <c r="FH45" s="171"/>
      <c r="FI45" s="171"/>
      <c r="FJ45" s="171"/>
      <c r="FK45" s="171"/>
      <c r="FL45" s="171"/>
      <c r="FM45" s="171"/>
      <c r="FN45" s="171"/>
      <c r="FO45" s="171"/>
      <c r="FP45" s="171"/>
      <c r="FQ45" s="171"/>
      <c r="FR45" s="171"/>
      <c r="FS45" s="171"/>
      <c r="FT45" s="171"/>
      <c r="FU45" s="171"/>
      <c r="FV45" s="171"/>
      <c r="FW45" s="171"/>
      <c r="FX45" s="171"/>
      <c r="FY45" s="171"/>
      <c r="FZ45" s="171"/>
      <c r="GA45" s="171"/>
      <c r="GB45" s="171"/>
      <c r="GC45" s="171"/>
      <c r="GD45" s="171"/>
      <c r="GE45" s="171"/>
      <c r="GF45" s="171"/>
      <c r="GG45" s="171"/>
      <c r="GH45" s="171"/>
      <c r="GI45" s="171"/>
      <c r="GJ45" s="171"/>
      <c r="GK45" s="171"/>
      <c r="GL45" s="171"/>
      <c r="GM45" s="171"/>
      <c r="GN45" s="171"/>
      <c r="GO45" s="171"/>
      <c r="GP45" s="171"/>
      <c r="GQ45" s="171"/>
      <c r="GR45" s="171"/>
      <c r="GS45" s="171"/>
      <c r="GT45" s="171"/>
      <c r="GU45" s="171"/>
      <c r="GV45" s="171"/>
      <c r="GW45" s="171"/>
      <c r="GX45" s="171"/>
      <c r="GY45" s="171"/>
      <c r="GZ45" s="171"/>
      <c r="HA45" s="171"/>
      <c r="HB45" s="171"/>
      <c r="HC45" s="171"/>
      <c r="HD45" s="171"/>
      <c r="HE45" s="171"/>
      <c r="HF45" s="171"/>
      <c r="HG45" s="171"/>
      <c r="HH45" s="171"/>
      <c r="HI45" s="171"/>
      <c r="HJ45" s="171"/>
      <c r="HK45" s="171"/>
      <c r="HL45" s="171"/>
      <c r="HM45" s="171"/>
      <c r="HN45" s="171"/>
      <c r="HO45" s="171"/>
      <c r="HP45" s="171"/>
      <c r="HQ45" s="171"/>
      <c r="HR45" s="171"/>
      <c r="HS45" s="171"/>
      <c r="HT45" s="171"/>
      <c r="HU45" s="171"/>
      <c r="HV45" s="171"/>
      <c r="HW45" s="171"/>
      <c r="HX45" s="171"/>
      <c r="HY45" s="171"/>
      <c r="HZ45" s="171"/>
      <c r="IA45" s="171"/>
      <c r="IB45" s="171"/>
      <c r="IC45" s="171"/>
      <c r="ID45" s="171"/>
      <c r="IE45" s="171"/>
      <c r="IF45" s="171"/>
      <c r="IG45" s="171"/>
      <c r="IH45" s="171"/>
      <c r="II45" s="171"/>
      <c r="IJ45" s="171"/>
      <c r="IK45" s="171"/>
      <c r="IL45" s="171"/>
      <c r="IM45" s="171"/>
      <c r="IN45" s="171"/>
      <c r="IO45" s="171"/>
      <c r="IP45" s="171"/>
      <c r="IQ45" s="171"/>
      <c r="IR45" s="171"/>
      <c r="IS45" s="171"/>
      <c r="IT45" s="171"/>
      <c r="IU45" s="171"/>
      <c r="IV45" s="171"/>
      <c r="IW45" s="171"/>
      <c r="IX45" s="171"/>
      <c r="IY45" s="171"/>
      <c r="IZ45" s="171"/>
      <c r="JA45" s="171"/>
      <c r="JB45" s="171"/>
      <c r="JC45" s="171"/>
      <c r="JD45" s="171"/>
      <c r="JE45" s="171"/>
      <c r="JF45" s="171"/>
      <c r="JG45" s="171"/>
      <c r="JH45" s="171"/>
      <c r="JI45" s="171"/>
      <c r="JJ45" s="171"/>
      <c r="JK45" s="171"/>
      <c r="JL45" s="171"/>
      <c r="JM45" s="171"/>
      <c r="JN45" s="171"/>
      <c r="JO45" s="171"/>
      <c r="JP45" s="171"/>
      <c r="JQ45" s="171"/>
      <c r="JR45" s="171"/>
      <c r="JS45" s="171"/>
      <c r="JT45" s="171"/>
      <c r="JU45" s="171"/>
      <c r="JV45" s="171"/>
      <c r="JW45" s="171"/>
      <c r="JX45" s="171"/>
      <c r="JY45" s="171"/>
      <c r="JZ45" s="171"/>
      <c r="KA45" s="171"/>
      <c r="KB45" s="171"/>
      <c r="KC45" s="171"/>
      <c r="KD45" s="171"/>
      <c r="KE45" s="171"/>
      <c r="KF45" s="171"/>
      <c r="KG45" s="171"/>
      <c r="KH45" s="171"/>
      <c r="KI45" s="171"/>
      <c r="KJ45" s="171"/>
      <c r="KK45" s="171"/>
      <c r="KL45" s="171"/>
      <c r="KM45" s="171"/>
      <c r="KN45" s="171"/>
      <c r="KO45" s="171"/>
      <c r="KP45" s="171"/>
      <c r="KQ45" s="171"/>
      <c r="KR45" s="171"/>
      <c r="KS45" s="171"/>
      <c r="KT45" s="171"/>
      <c r="KU45" s="171"/>
      <c r="KV45" s="171"/>
      <c r="KW45" s="171"/>
      <c r="KX45" s="171"/>
      <c r="KY45" s="171"/>
      <c r="KZ45" s="171"/>
      <c r="LA45" s="171"/>
      <c r="LB45" s="171"/>
      <c r="LC45" s="171"/>
      <c r="LD45" s="171"/>
      <c r="LE45" s="171"/>
      <c r="LF45" s="171"/>
      <c r="LG45" s="171"/>
      <c r="LH45" s="171"/>
      <c r="LI45" s="171"/>
      <c r="LJ45" s="171"/>
      <c r="LK45" s="171"/>
      <c r="LL45" s="171"/>
      <c r="LM45" s="171"/>
      <c r="LN45" s="171"/>
      <c r="LO45" s="171"/>
      <c r="LP45" s="171"/>
      <c r="LQ45" s="171"/>
      <c r="LR45" s="171"/>
      <c r="LS45" s="171"/>
      <c r="LT45" s="171"/>
      <c r="LU45" s="171"/>
      <c r="LV45" s="171"/>
      <c r="LW45" s="171"/>
      <c r="LX45" s="171"/>
      <c r="LY45" s="171"/>
      <c r="LZ45" s="171"/>
      <c r="MA45" s="171"/>
      <c r="MB45" s="171"/>
      <c r="MC45" s="171"/>
      <c r="MD45" s="171"/>
      <c r="ME45" s="171"/>
      <c r="MF45" s="171"/>
      <c r="MG45" s="171"/>
      <c r="MH45" s="171"/>
      <c r="MI45" s="171"/>
      <c r="MJ45" s="171"/>
      <c r="MK45" s="171"/>
      <c r="ML45" s="171"/>
      <c r="MM45" s="171"/>
      <c r="MN45" s="171"/>
      <c r="MO45" s="171"/>
      <c r="MP45" s="171"/>
      <c r="MQ45" s="171"/>
      <c r="MR45" s="171"/>
      <c r="MS45" s="171"/>
      <c r="MT45" s="171"/>
      <c r="MU45" s="171"/>
      <c r="MV45" s="171"/>
      <c r="MW45" s="171"/>
      <c r="MX45" s="171"/>
      <c r="MY45" s="171"/>
      <c r="MZ45" s="171"/>
      <c r="NA45" s="171"/>
      <c r="NB45" s="171"/>
      <c r="NC45" s="171"/>
      <c r="ND45" s="171"/>
      <c r="NE45" s="171"/>
      <c r="NF45" s="171"/>
      <c r="NG45" s="171"/>
      <c r="NH45" s="171"/>
      <c r="NI45" s="171"/>
      <c r="NJ45" s="171"/>
      <c r="NK45" s="171"/>
      <c r="NL45" s="171"/>
      <c r="NM45" s="171"/>
      <c r="NN45" s="171"/>
      <c r="NO45" s="171"/>
      <c r="NP45" s="171"/>
      <c r="NQ45" s="171"/>
      <c r="NR45" s="171"/>
      <c r="NS45" s="171"/>
      <c r="NT45" s="171"/>
      <c r="NU45" s="171"/>
      <c r="NV45" s="171"/>
      <c r="NW45" s="171"/>
      <c r="NX45" s="171"/>
      <c r="NY45" s="171"/>
      <c r="NZ45" s="171"/>
      <c r="OA45" s="171"/>
      <c r="OB45" s="171"/>
      <c r="OC45" s="171"/>
      <c r="OD45" s="171"/>
      <c r="OE45" s="171"/>
      <c r="OF45" s="171"/>
      <c r="OG45" s="171"/>
      <c r="OH45" s="171"/>
      <c r="OI45" s="171"/>
      <c r="OJ45" s="171"/>
      <c r="OK45" s="171"/>
      <c r="OL45" s="171"/>
      <c r="OM45" s="171"/>
      <c r="ON45" s="171"/>
      <c r="OO45" s="171"/>
      <c r="OP45" s="171"/>
      <c r="OQ45" s="171"/>
      <c r="OR45" s="171"/>
      <c r="OS45" s="171"/>
      <c r="OT45" s="171"/>
      <c r="OU45" s="171"/>
      <c r="OV45" s="171"/>
      <c r="OW45" s="171"/>
      <c r="OX45" s="171"/>
      <c r="OY45" s="171"/>
      <c r="OZ45" s="171"/>
      <c r="PA45" s="171"/>
      <c r="PB45" s="171"/>
      <c r="PC45" s="171"/>
      <c r="PD45" s="171"/>
      <c r="PE45" s="171"/>
      <c r="PF45" s="171"/>
      <c r="PG45" s="171"/>
      <c r="PH45" s="171"/>
      <c r="PI45" s="171"/>
      <c r="PJ45" s="171"/>
      <c r="PK45" s="171"/>
      <c r="PL45" s="171"/>
      <c r="PM45" s="171"/>
      <c r="PN45" s="171"/>
      <c r="PO45" s="171"/>
      <c r="PP45" s="171"/>
      <c r="PQ45" s="171"/>
      <c r="PR45" s="171"/>
      <c r="PS45" s="171"/>
      <c r="PT45" s="171"/>
      <c r="PU45" s="171"/>
      <c r="PV45" s="171"/>
      <c r="PW45" s="171"/>
      <c r="PX45" s="171"/>
      <c r="PY45" s="171"/>
      <c r="PZ45" s="171"/>
      <c r="QA45" s="171"/>
      <c r="QB45" s="171"/>
      <c r="QC45" s="171"/>
      <c r="QD45" s="171"/>
      <c r="QE45" s="171"/>
      <c r="QF45" s="171"/>
      <c r="QG45" s="171"/>
      <c r="QH45" s="171"/>
      <c r="QI45" s="171"/>
      <c r="QJ45" s="171"/>
      <c r="QK45" s="171"/>
      <c r="QL45" s="171"/>
      <c r="QM45" s="171"/>
      <c r="QN45" s="171"/>
      <c r="QO45" s="171"/>
      <c r="QP45" s="171"/>
      <c r="QQ45" s="171"/>
      <c r="QR45" s="171"/>
      <c r="QS45" s="171"/>
      <c r="QT45" s="171"/>
      <c r="QU45" s="171"/>
      <c r="QV45" s="171"/>
      <c r="QW45" s="171"/>
      <c r="QX45" s="171"/>
      <c r="QY45" s="171"/>
      <c r="QZ45" s="171"/>
      <c r="RA45" s="171"/>
      <c r="RB45" s="171"/>
      <c r="RC45" s="171"/>
      <c r="RD45" s="171"/>
      <c r="RE45" s="171"/>
      <c r="RF45" s="171"/>
      <c r="RG45" s="171"/>
      <c r="RH45" s="171"/>
      <c r="RI45" s="171"/>
      <c r="RJ45" s="171"/>
      <c r="RK45" s="171"/>
      <c r="RL45" s="171"/>
      <c r="RM45" s="171"/>
      <c r="RN45" s="171"/>
      <c r="RO45" s="171"/>
      <c r="RP45" s="171"/>
      <c r="RQ45" s="171"/>
      <c r="RR45" s="171"/>
      <c r="RS45" s="171"/>
      <c r="RT45" s="171"/>
      <c r="RU45" s="171"/>
      <c r="RV45" s="171"/>
      <c r="RW45" s="171"/>
      <c r="RX45" s="171"/>
      <c r="RY45" s="171"/>
      <c r="RZ45" s="171"/>
      <c r="SA45" s="171"/>
      <c r="SB45" s="171"/>
      <c r="SC45" s="171"/>
      <c r="SD45" s="171"/>
      <c r="SE45" s="171"/>
      <c r="SF45" s="171"/>
      <c r="SG45" s="171"/>
      <c r="SH45" s="171"/>
      <c r="SI45" s="171"/>
      <c r="SJ45" s="171"/>
      <c r="SK45" s="171"/>
      <c r="SL45" s="171"/>
      <c r="SM45" s="171"/>
      <c r="SN45" s="171"/>
      <c r="SO45" s="171"/>
      <c r="SP45" s="171"/>
      <c r="SQ45" s="171"/>
      <c r="SR45" s="171"/>
      <c r="SS45" s="171"/>
    </row>
    <row r="46" spans="2:590" s="169" customFormat="1" ht="14.5" x14ac:dyDescent="0.35">
      <c r="B46" s="169" t="s">
        <v>887</v>
      </c>
      <c r="C46" s="177"/>
      <c r="D46" s="170"/>
      <c r="E46" s="170"/>
      <c r="F46" s="170"/>
      <c r="G46" s="170"/>
      <c r="H46" s="170"/>
      <c r="I46" s="170"/>
      <c r="J46" s="170"/>
      <c r="K46" s="170"/>
      <c r="L46" s="170"/>
      <c r="M46" s="172"/>
      <c r="N46" s="134"/>
      <c r="O46" s="134"/>
      <c r="P46" s="141"/>
      <c r="Q46" s="173"/>
      <c r="R46" s="173"/>
      <c r="S46" s="173">
        <f>S44*S45</f>
        <v>2073842.5049999999</v>
      </c>
      <c r="T46" s="173"/>
      <c r="U46" s="173"/>
      <c r="V46" s="173">
        <f>V44*V45</f>
        <v>4289810.01</v>
      </c>
      <c r="W46" s="173">
        <f>W44*W45</f>
        <v>0</v>
      </c>
      <c r="X46" s="173">
        <f>X44*X45</f>
        <v>0</v>
      </c>
      <c r="Y46" s="173">
        <f>Y44*Y45</f>
        <v>6690465.0149999997</v>
      </c>
      <c r="Z46" s="173"/>
      <c r="AA46" s="173"/>
      <c r="AB46" s="173">
        <f>AB44*AB45</f>
        <v>9262682.5199999977</v>
      </c>
      <c r="AC46" s="173"/>
      <c r="AD46" s="173"/>
      <c r="AE46" s="173">
        <f>AE44*AE45</f>
        <v>9941057.5199999977</v>
      </c>
      <c r="AF46" s="173"/>
      <c r="AG46" s="173"/>
      <c r="AH46" s="173">
        <v>10348000</v>
      </c>
      <c r="AI46" s="173"/>
      <c r="AJ46" s="173"/>
      <c r="AK46" s="173">
        <v>10546000</v>
      </c>
      <c r="AL46" s="173"/>
      <c r="AM46" s="173"/>
      <c r="AN46" s="173">
        <v>10717000</v>
      </c>
      <c r="AO46" s="173"/>
      <c r="AP46" s="173"/>
      <c r="AQ46" s="173">
        <v>11246000</v>
      </c>
      <c r="AR46" s="173"/>
      <c r="AS46" s="173"/>
      <c r="AT46" s="173">
        <v>11976000</v>
      </c>
      <c r="AU46" s="173"/>
      <c r="AV46" s="173"/>
      <c r="AW46" s="173">
        <v>12880000</v>
      </c>
      <c r="AX46" s="173"/>
      <c r="AY46" s="173"/>
      <c r="AZ46" s="173">
        <v>13825000</v>
      </c>
      <c r="BA46" s="173"/>
      <c r="BB46" s="173"/>
      <c r="BC46" s="173">
        <v>14651000</v>
      </c>
      <c r="BD46" s="173"/>
      <c r="BE46" s="173"/>
      <c r="BF46" s="173">
        <v>3400000</v>
      </c>
      <c r="BG46" s="173"/>
      <c r="BH46" s="173"/>
      <c r="BI46" s="173">
        <v>8200000</v>
      </c>
      <c r="BJ46" s="173"/>
      <c r="BK46" s="173"/>
      <c r="BL46" s="173">
        <v>12600000</v>
      </c>
      <c r="BM46" s="172"/>
      <c r="BN46" s="172"/>
      <c r="BO46" s="173">
        <v>17300000</v>
      </c>
      <c r="BR46" s="173">
        <v>18100000</v>
      </c>
      <c r="BU46" s="173">
        <v>19100000</v>
      </c>
      <c r="BV46" s="173"/>
      <c r="BW46" s="173"/>
      <c r="BX46" s="173">
        <v>22000000</v>
      </c>
      <c r="BY46" s="173"/>
      <c r="BZ46" s="173"/>
      <c r="CA46" s="173">
        <v>22750000</v>
      </c>
      <c r="CB46" s="173"/>
      <c r="CC46" s="173"/>
      <c r="CD46" s="173">
        <v>23500000</v>
      </c>
      <c r="CE46" s="173"/>
      <c r="CF46" s="173"/>
      <c r="CG46" s="173">
        <v>24200000</v>
      </c>
      <c r="CH46" s="173"/>
      <c r="CI46" s="173"/>
      <c r="CJ46" s="173">
        <v>25300000</v>
      </c>
      <c r="CM46" s="173">
        <v>22000000</v>
      </c>
      <c r="CN46"/>
      <c r="CO46"/>
      <c r="CP46" s="173">
        <v>21700000</v>
      </c>
      <c r="CQ46" s="173"/>
      <c r="CR46" s="173"/>
      <c r="CS46" s="173">
        <v>21900000</v>
      </c>
      <c r="CT46" s="173"/>
      <c r="CU46" s="173"/>
      <c r="CV46" s="173">
        <v>22000000</v>
      </c>
      <c r="CY46" s="173">
        <v>22200000</v>
      </c>
      <c r="DB46" s="173">
        <v>23500000</v>
      </c>
      <c r="DO46" s="171"/>
      <c r="DP46" s="171"/>
      <c r="DQ46" s="171"/>
      <c r="DR46" s="171"/>
      <c r="DS46" s="171"/>
      <c r="DT46" s="171"/>
      <c r="DU46" s="171"/>
      <c r="DV46" s="171"/>
      <c r="DW46" s="171"/>
      <c r="DX46" s="171"/>
      <c r="DY46" s="171"/>
      <c r="DZ46" s="171"/>
      <c r="EA46" s="171"/>
      <c r="EB46" s="171"/>
      <c r="EC46" s="171"/>
      <c r="ED46" s="171"/>
      <c r="EE46" s="171"/>
      <c r="EF46" s="171"/>
      <c r="EG46" s="171"/>
      <c r="EH46" s="171"/>
      <c r="EI46" s="171"/>
      <c r="EJ46" s="171"/>
      <c r="EK46" s="171"/>
      <c r="EL46" s="171"/>
      <c r="EM46" s="171"/>
      <c r="EN46" s="171"/>
      <c r="EO46" s="171"/>
      <c r="EP46" s="171"/>
      <c r="EQ46" s="171"/>
      <c r="ER46" s="171"/>
      <c r="ES46" s="171"/>
      <c r="ET46" s="171"/>
      <c r="EU46" s="171"/>
      <c r="EV46" s="171"/>
      <c r="EW46" s="171"/>
      <c r="EX46" s="171"/>
      <c r="EY46" s="171"/>
      <c r="EZ46" s="171"/>
      <c r="FA46" s="171"/>
      <c r="FB46" s="171"/>
      <c r="FC46" s="171"/>
      <c r="FD46" s="171"/>
      <c r="FE46" s="171"/>
      <c r="FF46" s="171"/>
      <c r="FG46" s="171"/>
      <c r="FH46" s="171"/>
      <c r="FI46" s="171"/>
      <c r="FJ46" s="171"/>
      <c r="FK46" s="171"/>
      <c r="FL46" s="171"/>
      <c r="FM46" s="171"/>
      <c r="FN46" s="171"/>
      <c r="FO46" s="171"/>
      <c r="FP46" s="171"/>
      <c r="FQ46" s="171"/>
      <c r="FR46" s="171"/>
      <c r="FS46" s="171"/>
      <c r="FT46" s="171"/>
      <c r="FU46" s="171"/>
      <c r="FV46" s="171"/>
      <c r="FW46" s="171"/>
      <c r="FX46" s="171"/>
      <c r="FY46" s="171"/>
      <c r="FZ46" s="171"/>
      <c r="GA46" s="171"/>
      <c r="GB46" s="171"/>
      <c r="GC46" s="171"/>
      <c r="GD46" s="171"/>
      <c r="GE46" s="171"/>
      <c r="GF46" s="171"/>
      <c r="GG46" s="171"/>
      <c r="GH46" s="171"/>
      <c r="GI46" s="171"/>
      <c r="GJ46" s="171"/>
      <c r="GK46" s="171"/>
      <c r="GL46" s="171"/>
      <c r="GM46" s="171"/>
      <c r="GN46" s="171"/>
      <c r="GO46" s="171"/>
      <c r="GP46" s="171"/>
      <c r="GQ46" s="171"/>
      <c r="GR46" s="171"/>
      <c r="GS46" s="171"/>
      <c r="GT46" s="171"/>
      <c r="GU46" s="171"/>
      <c r="GV46" s="171"/>
      <c r="GW46" s="171"/>
      <c r="GX46" s="171"/>
      <c r="GY46" s="171"/>
      <c r="GZ46" s="171"/>
      <c r="HA46" s="171"/>
      <c r="HB46" s="171"/>
      <c r="HC46" s="171"/>
      <c r="HD46" s="171"/>
      <c r="HE46" s="171"/>
      <c r="HF46" s="171"/>
      <c r="HG46" s="171"/>
      <c r="HH46" s="171"/>
      <c r="HI46" s="171"/>
      <c r="HJ46" s="171"/>
      <c r="HK46" s="171"/>
      <c r="HL46" s="171"/>
      <c r="HM46" s="171"/>
      <c r="HN46" s="171"/>
      <c r="HO46" s="171"/>
      <c r="HP46" s="171"/>
      <c r="HQ46" s="171"/>
      <c r="HR46" s="171"/>
      <c r="HS46" s="171"/>
      <c r="HT46" s="171"/>
      <c r="HU46" s="171"/>
      <c r="HV46" s="171"/>
      <c r="HW46" s="171"/>
      <c r="HX46" s="171"/>
      <c r="HY46" s="171"/>
      <c r="HZ46" s="171"/>
      <c r="IA46" s="171"/>
      <c r="IB46" s="171"/>
      <c r="IC46" s="171"/>
      <c r="ID46" s="171"/>
      <c r="IE46" s="171"/>
      <c r="IF46" s="171"/>
      <c r="IG46" s="171"/>
      <c r="IH46" s="171"/>
      <c r="II46" s="171"/>
      <c r="IJ46" s="171"/>
      <c r="IK46" s="171"/>
      <c r="IL46" s="171"/>
      <c r="IM46" s="171"/>
      <c r="IN46" s="171"/>
      <c r="IO46" s="171"/>
      <c r="IP46" s="171"/>
      <c r="IQ46" s="171"/>
      <c r="IR46" s="171"/>
      <c r="IS46" s="171"/>
      <c r="IT46" s="171"/>
      <c r="IU46" s="171"/>
      <c r="IV46" s="171"/>
      <c r="IW46" s="171"/>
      <c r="IX46" s="171"/>
      <c r="IY46" s="171"/>
      <c r="IZ46" s="171"/>
      <c r="JA46" s="171"/>
      <c r="JB46" s="171"/>
      <c r="JC46" s="171"/>
      <c r="JD46" s="171"/>
      <c r="JE46" s="171"/>
      <c r="JF46" s="171"/>
      <c r="JG46" s="171"/>
      <c r="JH46" s="171"/>
      <c r="JI46" s="171"/>
      <c r="JJ46" s="171"/>
      <c r="JK46" s="171"/>
      <c r="JL46" s="171"/>
      <c r="JM46" s="171"/>
      <c r="JN46" s="171"/>
      <c r="JO46" s="171"/>
      <c r="JP46" s="171"/>
      <c r="JQ46" s="171"/>
      <c r="JR46" s="171"/>
      <c r="JS46" s="171"/>
      <c r="JT46" s="171"/>
      <c r="JU46" s="171"/>
      <c r="JV46" s="171"/>
      <c r="JW46" s="171"/>
      <c r="JX46" s="171"/>
      <c r="JY46" s="171"/>
      <c r="JZ46" s="171"/>
      <c r="KA46" s="171"/>
      <c r="KB46" s="171"/>
      <c r="KC46" s="171"/>
      <c r="KD46" s="171"/>
      <c r="KE46" s="171"/>
      <c r="KF46" s="171"/>
      <c r="KG46" s="171"/>
      <c r="KH46" s="171"/>
      <c r="KI46" s="171"/>
      <c r="KJ46" s="171"/>
      <c r="KK46" s="171"/>
      <c r="KL46" s="171"/>
      <c r="KM46" s="171"/>
      <c r="KN46" s="171"/>
      <c r="KO46" s="171"/>
      <c r="KP46" s="171"/>
      <c r="KQ46" s="171"/>
      <c r="KR46" s="171"/>
      <c r="KS46" s="171"/>
      <c r="KT46" s="171"/>
      <c r="KU46" s="171"/>
      <c r="KV46" s="171"/>
      <c r="KW46" s="171"/>
      <c r="KX46" s="171"/>
      <c r="KY46" s="171"/>
      <c r="KZ46" s="171"/>
      <c r="LA46" s="171"/>
      <c r="LB46" s="171"/>
      <c r="LC46" s="171"/>
      <c r="LD46" s="171"/>
      <c r="LE46" s="171"/>
      <c r="LF46" s="171"/>
      <c r="LG46" s="171"/>
      <c r="LH46" s="171"/>
      <c r="LI46" s="171"/>
      <c r="LJ46" s="171"/>
      <c r="LK46" s="171"/>
      <c r="LL46" s="171"/>
      <c r="LM46" s="171"/>
      <c r="LN46" s="171"/>
      <c r="LO46" s="171"/>
      <c r="LP46" s="171"/>
      <c r="LQ46" s="171"/>
      <c r="LR46" s="171"/>
      <c r="LS46" s="171"/>
      <c r="LT46" s="171"/>
      <c r="LU46" s="171"/>
      <c r="LV46" s="171"/>
      <c r="LW46" s="171"/>
      <c r="LX46" s="171"/>
      <c r="LY46" s="171"/>
      <c r="LZ46" s="171"/>
      <c r="MA46" s="171"/>
      <c r="MB46" s="171"/>
      <c r="MC46" s="171"/>
      <c r="MD46" s="171"/>
      <c r="ME46" s="171"/>
      <c r="MF46" s="171"/>
      <c r="MG46" s="171"/>
      <c r="MH46" s="171"/>
      <c r="MI46" s="171"/>
      <c r="MJ46" s="171"/>
      <c r="MK46" s="171"/>
      <c r="ML46" s="171"/>
      <c r="MM46" s="171"/>
      <c r="MN46" s="171"/>
      <c r="MO46" s="171"/>
      <c r="MP46" s="171"/>
      <c r="MQ46" s="171"/>
      <c r="MR46" s="171"/>
      <c r="MS46" s="171"/>
      <c r="MT46" s="171"/>
      <c r="MU46" s="171"/>
      <c r="MV46" s="171"/>
      <c r="MW46" s="171"/>
      <c r="MX46" s="171"/>
      <c r="MY46" s="171"/>
      <c r="MZ46" s="171"/>
      <c r="NA46" s="171"/>
      <c r="NB46" s="171"/>
      <c r="NC46" s="171"/>
      <c r="ND46" s="171"/>
      <c r="NE46" s="171"/>
      <c r="NF46" s="171"/>
      <c r="NG46" s="171"/>
      <c r="NH46" s="171"/>
      <c r="NI46" s="171"/>
      <c r="NJ46" s="171"/>
      <c r="NK46" s="171"/>
      <c r="NL46" s="171"/>
      <c r="NM46" s="171"/>
      <c r="NN46" s="171"/>
      <c r="NO46" s="171"/>
      <c r="NP46" s="171"/>
      <c r="NQ46" s="171"/>
      <c r="NR46" s="171"/>
      <c r="NS46" s="171"/>
      <c r="NT46" s="171"/>
      <c r="NU46" s="171"/>
      <c r="NV46" s="171"/>
      <c r="NW46" s="171"/>
      <c r="NX46" s="171"/>
      <c r="NY46" s="171"/>
      <c r="NZ46" s="171"/>
      <c r="OA46" s="171"/>
      <c r="OB46" s="171"/>
      <c r="OC46" s="171"/>
      <c r="OD46" s="171"/>
      <c r="OE46" s="171"/>
      <c r="OF46" s="171"/>
      <c r="OG46" s="171"/>
      <c r="OH46" s="171"/>
      <c r="OI46" s="171"/>
      <c r="OJ46" s="171"/>
      <c r="OK46" s="171"/>
      <c r="OL46" s="171"/>
      <c r="OM46" s="171"/>
      <c r="ON46" s="171"/>
      <c r="OO46" s="171"/>
      <c r="OP46" s="171"/>
      <c r="OQ46" s="171"/>
      <c r="OR46" s="171"/>
      <c r="OS46" s="171"/>
      <c r="OT46" s="171"/>
      <c r="OU46" s="171"/>
      <c r="OV46" s="171"/>
      <c r="OW46" s="171"/>
      <c r="OX46" s="171"/>
      <c r="OY46" s="171"/>
      <c r="OZ46" s="171"/>
      <c r="PA46" s="171"/>
      <c r="PB46" s="171"/>
      <c r="PC46" s="171"/>
      <c r="PD46" s="171"/>
      <c r="PE46" s="171"/>
      <c r="PF46" s="171"/>
      <c r="PG46" s="171"/>
      <c r="PH46" s="171"/>
      <c r="PI46" s="171"/>
      <c r="PJ46" s="171"/>
      <c r="PK46" s="171"/>
      <c r="PL46" s="171"/>
      <c r="PM46" s="171"/>
      <c r="PN46" s="171"/>
      <c r="PO46" s="171"/>
      <c r="PP46" s="171"/>
      <c r="PQ46" s="171"/>
      <c r="PR46" s="171"/>
      <c r="PS46" s="171"/>
      <c r="PT46" s="171"/>
      <c r="PU46" s="171"/>
      <c r="PV46" s="171"/>
      <c r="PW46" s="171"/>
      <c r="PX46" s="171"/>
      <c r="PY46" s="171"/>
      <c r="PZ46" s="171"/>
      <c r="QA46" s="171"/>
      <c r="QB46" s="171"/>
      <c r="QC46" s="171"/>
      <c r="QD46" s="171"/>
      <c r="QE46" s="171"/>
      <c r="QF46" s="171"/>
      <c r="QG46" s="171"/>
      <c r="QH46" s="171"/>
      <c r="QI46" s="171"/>
      <c r="QJ46" s="171"/>
      <c r="QK46" s="171"/>
      <c r="QL46" s="171"/>
      <c r="QM46" s="171"/>
      <c r="QN46" s="171"/>
      <c r="QO46" s="171"/>
      <c r="QP46" s="171"/>
      <c r="QQ46" s="171"/>
      <c r="QR46" s="171"/>
      <c r="QS46" s="171"/>
      <c r="QT46" s="171"/>
      <c r="QU46" s="171"/>
      <c r="QV46" s="171"/>
      <c r="QW46" s="171"/>
      <c r="QX46" s="171"/>
      <c r="QY46" s="171"/>
      <c r="QZ46" s="171"/>
      <c r="RA46" s="171"/>
      <c r="RB46" s="171"/>
      <c r="RC46" s="171"/>
      <c r="RD46" s="171"/>
      <c r="RE46" s="171"/>
      <c r="RF46" s="171"/>
      <c r="RG46" s="171"/>
      <c r="RH46" s="171"/>
      <c r="RI46" s="171"/>
      <c r="RJ46" s="171"/>
      <c r="RK46" s="171"/>
      <c r="RL46" s="171"/>
      <c r="RM46" s="171"/>
      <c r="RN46" s="171"/>
      <c r="RO46" s="171"/>
      <c r="RP46" s="171"/>
      <c r="RQ46" s="171"/>
      <c r="RR46" s="171"/>
      <c r="RS46" s="171"/>
      <c r="RT46" s="171"/>
      <c r="RU46" s="171"/>
      <c r="RV46" s="171"/>
      <c r="RW46" s="171"/>
      <c r="RX46" s="171"/>
      <c r="RY46" s="171"/>
      <c r="RZ46" s="171"/>
      <c r="SA46" s="171"/>
      <c r="SB46" s="171"/>
      <c r="SC46" s="171"/>
      <c r="SD46" s="171"/>
      <c r="SE46" s="171"/>
      <c r="SF46" s="171"/>
      <c r="SG46" s="171"/>
      <c r="SH46" s="171"/>
      <c r="SI46" s="171"/>
      <c r="SJ46" s="171"/>
      <c r="SK46" s="171"/>
      <c r="SL46" s="171"/>
      <c r="SM46" s="171"/>
      <c r="SN46" s="171"/>
      <c r="SO46" s="171"/>
      <c r="SP46" s="171"/>
      <c r="SQ46" s="171"/>
      <c r="SR46" s="171"/>
      <c r="SS46" s="171"/>
    </row>
    <row r="47" spans="2:590" s="135" customFormat="1" ht="14.5" x14ac:dyDescent="0.35">
      <c r="B47" s="169" t="s">
        <v>888</v>
      </c>
      <c r="C47" s="178"/>
      <c r="D47" s="178"/>
      <c r="E47" s="178"/>
      <c r="F47" s="178"/>
      <c r="G47" s="178"/>
      <c r="H47" s="178"/>
      <c r="I47" s="178"/>
      <c r="J47" s="178"/>
      <c r="K47" s="178"/>
      <c r="L47" s="178"/>
      <c r="M47" s="178"/>
      <c r="N47" s="179"/>
      <c r="O47" s="179"/>
      <c r="P47" s="179"/>
      <c r="Q47" s="179"/>
      <c r="R47" s="173"/>
      <c r="S47" s="173">
        <f>SUM('Financial statements'!CD25:CF25)</f>
        <v>2797183</v>
      </c>
      <c r="T47" s="173"/>
      <c r="U47" s="173"/>
      <c r="V47" s="173">
        <f>SUM('Financial statements'!CG25:CI25)+S47</f>
        <v>5755987</v>
      </c>
      <c r="W47" s="173"/>
      <c r="X47" s="173"/>
      <c r="Y47" s="173">
        <f>SUM('Financial statements'!CJ25:CL25)+V47</f>
        <v>9002972</v>
      </c>
      <c r="Z47" s="173"/>
      <c r="AA47" s="173"/>
      <c r="AB47" s="173">
        <f>SUM('Financial statements'!CM25:CO25)+Y47</f>
        <v>12497272</v>
      </c>
      <c r="AC47" s="173"/>
      <c r="AD47" s="173"/>
      <c r="AE47" s="173">
        <f>SUM('Financial statements'!CG25:CR25)</f>
        <v>13457258</v>
      </c>
      <c r="AF47" s="173"/>
      <c r="AG47" s="173"/>
      <c r="AH47" s="173">
        <f>SUM('Financial statements'!CJ25:CU25)</f>
        <v>14412616</v>
      </c>
      <c r="AI47" s="173"/>
      <c r="AJ47" s="173"/>
      <c r="AK47" s="173">
        <f>SUM('Financial statements'!CM25:CX25)</f>
        <v>14709697.51</v>
      </c>
      <c r="AL47" s="173"/>
      <c r="AM47" s="173"/>
      <c r="AN47" s="173">
        <f>SUM('Financial statements'!CP25:DA25)</f>
        <v>14813333.950000001</v>
      </c>
      <c r="AO47" s="173"/>
      <c r="AP47" s="173"/>
      <c r="AQ47" s="173">
        <f>SUM('Financial statements'!CS25:DD25)</f>
        <v>14676235.650000002</v>
      </c>
      <c r="AR47" s="173"/>
      <c r="AS47" s="173"/>
      <c r="AT47" s="173">
        <f>SUM('Financial statements'!CV25:DG25)</f>
        <v>14768718.130000003</v>
      </c>
      <c r="AU47" s="173"/>
      <c r="AV47" s="173"/>
      <c r="AW47" s="173">
        <f>SUM('Financial statements'!CY25:DJ25)</f>
        <v>15724037.5</v>
      </c>
      <c r="AX47" s="173"/>
      <c r="AY47" s="173"/>
      <c r="AZ47" s="173">
        <f>SUM('Financial statements'!DB25:DM25)</f>
        <v>16668427.720000001</v>
      </c>
      <c r="BA47" s="173"/>
      <c r="BB47" s="173"/>
      <c r="BC47" s="173">
        <f>SUM('Financial statements'!DE25:DP25)</f>
        <v>17704722.630000003</v>
      </c>
      <c r="BD47" s="173"/>
      <c r="BE47" s="173"/>
      <c r="BF47" s="173">
        <f>SUM('Financial statements'!DQ25:DS25)</f>
        <v>5294242.32</v>
      </c>
      <c r="BG47" s="173"/>
      <c r="BH47" s="173"/>
      <c r="BI47" s="173">
        <f>SUM('Financial statements'!DQ25:DV25)</f>
        <v>11079726.454639789</v>
      </c>
      <c r="BJ47" s="173"/>
      <c r="BK47" s="173"/>
      <c r="BL47" s="173">
        <f>SUM('Financial statements'!DQ25:DY25)</f>
        <v>17140495.993311055</v>
      </c>
      <c r="BM47" s="173"/>
      <c r="BN47" s="173"/>
      <c r="BO47" s="173">
        <f>SUM('Financial statements'!DQ25:EB25)</f>
        <v>22883621.613311056</v>
      </c>
      <c r="BP47" s="178"/>
      <c r="BQ47" s="178"/>
      <c r="BR47" s="173">
        <f>SUM('Financial statements'!DT25:EE25)</f>
        <v>23452566.693311054</v>
      </c>
      <c r="BS47" s="173"/>
      <c r="BT47" s="173"/>
      <c r="BU47" s="173">
        <f>SUM('Financial statements'!DW25:EH25)</f>
        <v>23697429.032188348</v>
      </c>
      <c r="BV47" s="173"/>
      <c r="BW47" s="173"/>
      <c r="BX47" s="173">
        <f>SUM('Financial statements'!DZ25:EK25)</f>
        <v>23972186.374690823</v>
      </c>
      <c r="BY47" s="173"/>
      <c r="BZ47" s="173"/>
      <c r="CA47" s="173">
        <f>SUM('Financial statements'!EC25:EN25)</f>
        <v>24557826.490539219</v>
      </c>
      <c r="CB47" s="173"/>
      <c r="CC47" s="173"/>
      <c r="CD47" s="173">
        <f>SUM('Financial statements'!EF25:EQ25)</f>
        <v>25029570.035304315</v>
      </c>
      <c r="CE47" s="173"/>
      <c r="CF47" s="173"/>
      <c r="CG47" s="173">
        <f>SUM('Financial statements'!EI25:ET25)</f>
        <v>25067999.874660332</v>
      </c>
      <c r="CH47" s="173"/>
      <c r="CI47" s="173"/>
      <c r="CJ47" s="173">
        <f>SUM('Financial statements'!EL25:EW25)</f>
        <v>24551108.448442321</v>
      </c>
      <c r="CK47" s="178"/>
      <c r="CL47" s="178"/>
      <c r="CM47" s="173">
        <f>SUM('Financial statements'!EO25:EZ25)</f>
        <v>24250770.498166595</v>
      </c>
      <c r="CN47"/>
      <c r="CO47"/>
      <c r="CP47" s="173">
        <f>SUM('Financial statements'!ER25:FC25)</f>
        <v>23959931.861872256</v>
      </c>
      <c r="CQ47" s="178"/>
      <c r="CR47" s="178"/>
      <c r="CS47" s="173">
        <f>SUM('Financial statements'!EU25:FF25)</f>
        <v>24736390.467821673</v>
      </c>
      <c r="CT47" s="178"/>
      <c r="CU47" s="178"/>
      <c r="CV47" s="173">
        <f>SUM('Financial statements'!EX25:FI25)</f>
        <v>25616576.816555519</v>
      </c>
      <c r="CW47" s="178"/>
      <c r="CX47" s="178"/>
      <c r="CY47" s="178"/>
      <c r="CZ47" s="178"/>
      <c r="DA47" s="178"/>
      <c r="DB47" s="178"/>
      <c r="DC47" s="178"/>
      <c r="DD47" s="178"/>
      <c r="DE47" s="178"/>
      <c r="DF47" s="178"/>
      <c r="DG47" s="178"/>
      <c r="DH47" s="178"/>
      <c r="DI47" s="178"/>
      <c r="DJ47" s="178"/>
      <c r="DK47" s="178"/>
      <c r="DL47" s="178"/>
      <c r="DM47" s="178"/>
      <c r="DN47" s="178"/>
      <c r="DO47" s="178"/>
      <c r="DP47" s="178"/>
      <c r="DQ47" s="178"/>
      <c r="DR47" s="178"/>
      <c r="DS47" s="178"/>
      <c r="DT47" s="178"/>
      <c r="DU47" s="178"/>
      <c r="DV47" s="178"/>
      <c r="DW47" s="178"/>
      <c r="DX47" s="178"/>
      <c r="DY47" s="178"/>
      <c r="DZ47" s="178"/>
      <c r="EA47" s="178"/>
      <c r="EB47" s="178"/>
      <c r="EC47" s="178"/>
      <c r="ED47" s="178"/>
      <c r="EE47" s="178"/>
      <c r="EF47" s="178"/>
      <c r="EG47" s="178"/>
      <c r="EH47" s="178"/>
      <c r="EI47" s="178"/>
      <c r="EJ47" s="178"/>
      <c r="EK47" s="178"/>
      <c r="EL47" s="178"/>
      <c r="EM47" s="178"/>
      <c r="EN47" s="178"/>
      <c r="EO47" s="178"/>
      <c r="EP47" s="178"/>
      <c r="EQ47" s="178"/>
      <c r="ER47" s="178"/>
      <c r="ES47" s="178"/>
      <c r="ET47" s="178"/>
      <c r="EU47" s="178"/>
      <c r="EV47" s="178"/>
      <c r="EW47" s="178"/>
      <c r="EX47" s="178"/>
      <c r="EY47" s="178"/>
      <c r="EZ47" s="178"/>
      <c r="FA47" s="178"/>
      <c r="FB47" s="178"/>
      <c r="FC47" s="178"/>
      <c r="FD47" s="178"/>
      <c r="FE47" s="178"/>
      <c r="FF47" s="178"/>
      <c r="FG47" s="178"/>
      <c r="FH47" s="178"/>
      <c r="FI47" s="178"/>
      <c r="FJ47" s="178"/>
      <c r="FK47" s="178"/>
      <c r="FL47" s="178"/>
      <c r="FM47" s="178"/>
      <c r="FN47" s="178"/>
      <c r="FO47" s="178"/>
      <c r="FP47" s="178"/>
      <c r="FQ47" s="178"/>
      <c r="FR47" s="178"/>
      <c r="FS47" s="178"/>
      <c r="FT47" s="178"/>
      <c r="FU47" s="178"/>
      <c r="FV47" s="178"/>
      <c r="FW47" s="178"/>
      <c r="FX47" s="178"/>
      <c r="FY47" s="178"/>
      <c r="FZ47" s="178"/>
      <c r="GA47" s="178"/>
      <c r="GB47" s="178"/>
      <c r="GC47" s="178"/>
      <c r="GD47" s="178"/>
      <c r="GE47" s="178"/>
      <c r="GF47" s="178"/>
      <c r="GG47" s="178"/>
      <c r="GH47" s="178"/>
      <c r="GI47" s="178"/>
      <c r="GJ47" s="178"/>
      <c r="GK47" s="178"/>
      <c r="GL47" s="178"/>
      <c r="GM47" s="178"/>
      <c r="GN47" s="178"/>
      <c r="GO47" s="178"/>
      <c r="GP47" s="178"/>
      <c r="GQ47" s="178"/>
      <c r="GR47" s="178"/>
      <c r="GS47" s="178"/>
      <c r="GT47" s="178"/>
      <c r="GU47" s="178"/>
      <c r="GV47" s="178"/>
      <c r="GW47" s="178"/>
      <c r="GX47" s="178"/>
      <c r="GY47" s="178"/>
      <c r="GZ47" s="178"/>
      <c r="HA47" s="178"/>
      <c r="HB47" s="178"/>
      <c r="HC47" s="178"/>
      <c r="HD47" s="178"/>
      <c r="HE47" s="178"/>
      <c r="HF47" s="178"/>
      <c r="HG47" s="178"/>
      <c r="HH47" s="178"/>
      <c r="HI47" s="178"/>
      <c r="HJ47" s="178"/>
      <c r="HK47" s="178"/>
      <c r="HL47" s="178"/>
      <c r="HM47" s="178"/>
      <c r="HN47" s="178"/>
      <c r="HO47" s="178"/>
      <c r="HP47" s="178"/>
      <c r="HQ47" s="178"/>
      <c r="HR47" s="178"/>
      <c r="HS47" s="178"/>
      <c r="HT47" s="178"/>
      <c r="HU47" s="178"/>
      <c r="HV47" s="178"/>
      <c r="HW47" s="178"/>
      <c r="HX47" s="178"/>
      <c r="HY47" s="178"/>
      <c r="HZ47" s="178"/>
      <c r="IA47" s="178"/>
      <c r="IB47" s="178"/>
      <c r="IC47" s="178"/>
      <c r="ID47" s="178"/>
      <c r="IE47" s="178"/>
      <c r="IF47" s="178"/>
      <c r="IG47" s="178"/>
      <c r="IH47" s="178"/>
      <c r="II47" s="178"/>
      <c r="IJ47" s="178"/>
      <c r="IK47" s="178"/>
      <c r="IL47" s="178"/>
      <c r="IM47" s="178"/>
      <c r="IN47" s="178"/>
      <c r="IO47" s="178"/>
      <c r="IP47" s="178"/>
      <c r="IQ47" s="178"/>
      <c r="IR47" s="178"/>
      <c r="IS47" s="178"/>
      <c r="IT47" s="178"/>
      <c r="IU47" s="178"/>
      <c r="IV47" s="178"/>
      <c r="IW47" s="178"/>
      <c r="IX47" s="178"/>
      <c r="IY47" s="178"/>
      <c r="IZ47" s="178"/>
      <c r="JA47" s="178"/>
      <c r="JB47" s="178"/>
      <c r="JC47" s="178"/>
      <c r="JD47" s="178"/>
      <c r="JE47" s="178"/>
      <c r="JF47" s="178"/>
      <c r="JG47" s="178"/>
      <c r="JH47" s="178"/>
      <c r="JI47" s="178"/>
      <c r="JJ47" s="178"/>
      <c r="JK47" s="178"/>
      <c r="JL47" s="178"/>
      <c r="JM47" s="178"/>
      <c r="JN47" s="178"/>
      <c r="JO47" s="178"/>
      <c r="JP47" s="178"/>
      <c r="JQ47" s="178"/>
      <c r="JR47" s="178"/>
      <c r="JS47" s="178"/>
      <c r="JT47" s="178"/>
      <c r="JU47" s="178"/>
      <c r="JV47" s="178"/>
      <c r="JW47" s="178"/>
      <c r="JX47" s="178"/>
      <c r="JY47" s="178"/>
      <c r="JZ47" s="178"/>
      <c r="KA47" s="178"/>
      <c r="KB47" s="178"/>
      <c r="KC47" s="178"/>
      <c r="KD47" s="178"/>
      <c r="KE47" s="178"/>
      <c r="KF47" s="178"/>
      <c r="KG47" s="178"/>
      <c r="KH47" s="178"/>
      <c r="KI47" s="178"/>
      <c r="KJ47" s="178"/>
      <c r="KK47" s="178"/>
      <c r="KL47" s="178"/>
      <c r="KM47" s="178"/>
      <c r="KN47" s="178"/>
      <c r="KO47" s="178"/>
      <c r="KP47" s="178"/>
      <c r="KQ47" s="178"/>
      <c r="KR47" s="178"/>
      <c r="KS47" s="178"/>
      <c r="KT47" s="178"/>
      <c r="KU47" s="178"/>
      <c r="KV47" s="178"/>
      <c r="KW47" s="178"/>
      <c r="KX47" s="178"/>
      <c r="KY47" s="178"/>
      <c r="KZ47" s="178"/>
      <c r="LA47" s="178"/>
      <c r="LB47" s="178"/>
      <c r="LC47" s="178"/>
      <c r="LD47" s="178"/>
      <c r="LE47" s="178"/>
      <c r="LF47" s="178"/>
      <c r="LG47" s="178"/>
      <c r="LH47" s="178"/>
      <c r="LI47" s="178"/>
      <c r="LJ47" s="178"/>
      <c r="LK47" s="178"/>
      <c r="LL47" s="178"/>
      <c r="LM47" s="178"/>
      <c r="LN47" s="178"/>
      <c r="LO47" s="178"/>
      <c r="LP47" s="178"/>
      <c r="LQ47" s="178"/>
      <c r="LR47" s="178"/>
      <c r="LS47" s="178"/>
      <c r="LT47" s="178"/>
      <c r="LU47" s="178"/>
      <c r="LV47" s="178"/>
      <c r="LW47" s="178"/>
      <c r="LX47" s="178"/>
      <c r="LY47" s="178"/>
      <c r="LZ47" s="178"/>
      <c r="MA47" s="178"/>
      <c r="MB47" s="178"/>
      <c r="MC47" s="178"/>
      <c r="MD47" s="178"/>
      <c r="ME47" s="178"/>
      <c r="MF47" s="178"/>
      <c r="MG47" s="178"/>
      <c r="MH47" s="178"/>
      <c r="MI47" s="178"/>
      <c r="MJ47" s="178"/>
      <c r="MK47" s="178"/>
      <c r="ML47" s="178"/>
      <c r="MM47" s="178"/>
      <c r="MN47" s="178"/>
      <c r="MO47" s="178"/>
      <c r="MP47" s="178"/>
      <c r="MQ47" s="178"/>
      <c r="MR47" s="178"/>
      <c r="MS47" s="178"/>
      <c r="MT47" s="178"/>
      <c r="MU47" s="178"/>
      <c r="MV47" s="178"/>
      <c r="MW47" s="178"/>
      <c r="MX47" s="178"/>
      <c r="MY47" s="178"/>
      <c r="MZ47" s="178"/>
      <c r="NA47" s="178"/>
      <c r="NB47" s="178"/>
      <c r="NC47" s="178"/>
      <c r="ND47" s="178"/>
      <c r="NE47" s="178"/>
      <c r="NF47" s="178"/>
      <c r="NG47" s="178"/>
      <c r="NH47" s="178"/>
      <c r="NI47" s="178"/>
      <c r="NJ47" s="178"/>
      <c r="NK47" s="178"/>
      <c r="NL47" s="178"/>
      <c r="NM47" s="178"/>
      <c r="NN47" s="178"/>
      <c r="NO47" s="178"/>
      <c r="NP47" s="178"/>
      <c r="NQ47" s="178"/>
      <c r="NR47" s="178"/>
      <c r="NS47" s="178"/>
      <c r="NT47" s="178"/>
      <c r="NU47" s="178"/>
      <c r="NV47" s="178"/>
      <c r="NW47" s="178"/>
      <c r="NX47" s="178"/>
      <c r="NY47" s="178"/>
      <c r="NZ47" s="178"/>
      <c r="OA47" s="178"/>
      <c r="OB47" s="178"/>
      <c r="OC47" s="178"/>
      <c r="OD47" s="178"/>
      <c r="OE47" s="178"/>
      <c r="OF47" s="178"/>
      <c r="OG47" s="178"/>
      <c r="OH47" s="178"/>
      <c r="OI47" s="178"/>
      <c r="OJ47" s="178"/>
      <c r="OK47" s="178"/>
      <c r="OL47" s="178"/>
      <c r="OM47" s="178"/>
      <c r="ON47" s="178"/>
      <c r="OO47" s="178"/>
      <c r="OP47" s="178"/>
      <c r="OQ47" s="178"/>
      <c r="OR47" s="178"/>
      <c r="OS47" s="178"/>
      <c r="OT47" s="178"/>
      <c r="OU47" s="178"/>
      <c r="OV47" s="178"/>
      <c r="OW47" s="178"/>
      <c r="OX47" s="178"/>
      <c r="OY47" s="178"/>
      <c r="OZ47" s="178"/>
      <c r="PA47" s="178"/>
      <c r="PB47" s="178"/>
      <c r="PC47" s="178"/>
      <c r="PD47" s="178"/>
      <c r="PE47" s="178"/>
      <c r="PF47" s="178"/>
      <c r="PG47" s="178"/>
      <c r="PH47" s="178"/>
      <c r="PI47" s="178"/>
      <c r="PJ47" s="178"/>
      <c r="PK47" s="178"/>
      <c r="PL47" s="178"/>
      <c r="PM47" s="178"/>
      <c r="PN47" s="178"/>
      <c r="PO47" s="178"/>
      <c r="PP47" s="178"/>
      <c r="PQ47" s="178"/>
      <c r="PR47" s="178"/>
      <c r="PS47" s="178"/>
      <c r="PT47" s="178"/>
      <c r="PU47" s="178"/>
      <c r="PV47" s="178"/>
      <c r="PW47" s="178"/>
      <c r="PX47" s="178"/>
      <c r="PY47" s="178"/>
      <c r="PZ47" s="178"/>
      <c r="QA47" s="178"/>
      <c r="QB47" s="178"/>
      <c r="QC47" s="178"/>
      <c r="QD47" s="178"/>
      <c r="QE47" s="178"/>
      <c r="QF47" s="178"/>
      <c r="QG47" s="178"/>
      <c r="QH47" s="178"/>
      <c r="QI47" s="178"/>
      <c r="QJ47" s="178"/>
      <c r="QK47" s="178"/>
      <c r="QL47" s="178"/>
      <c r="QM47" s="178"/>
      <c r="QN47" s="178"/>
      <c r="QO47" s="178"/>
      <c r="QP47" s="178"/>
      <c r="QQ47" s="178"/>
      <c r="QR47" s="178"/>
      <c r="QS47" s="178"/>
      <c r="QT47" s="178"/>
      <c r="QU47" s="178"/>
      <c r="QV47" s="178"/>
      <c r="QW47" s="178"/>
      <c r="QX47" s="178"/>
      <c r="QY47" s="178"/>
      <c r="QZ47" s="178"/>
      <c r="RA47" s="178"/>
      <c r="RB47" s="178"/>
      <c r="RC47" s="178"/>
      <c r="RD47" s="178"/>
      <c r="RE47" s="178"/>
      <c r="RF47" s="178"/>
      <c r="RG47" s="178"/>
      <c r="RH47" s="178"/>
      <c r="RI47" s="178"/>
      <c r="RJ47" s="178"/>
      <c r="RK47" s="178"/>
      <c r="RL47" s="178"/>
      <c r="RM47" s="178"/>
      <c r="RN47" s="178"/>
      <c r="RO47" s="178"/>
      <c r="RP47" s="178"/>
      <c r="RQ47" s="178"/>
      <c r="RR47" s="178"/>
      <c r="RS47" s="178"/>
      <c r="RT47" s="178"/>
      <c r="RU47" s="178"/>
      <c r="RV47" s="178"/>
      <c r="RW47" s="178"/>
      <c r="RX47" s="178"/>
      <c r="RY47" s="178"/>
      <c r="RZ47" s="178"/>
      <c r="SA47" s="178"/>
      <c r="SB47" s="178"/>
      <c r="SC47" s="178"/>
      <c r="SD47" s="178"/>
      <c r="SE47" s="178"/>
      <c r="SF47" s="178"/>
      <c r="SG47" s="178"/>
      <c r="SH47" s="178"/>
      <c r="SI47" s="178"/>
      <c r="SJ47" s="178"/>
      <c r="SK47" s="178"/>
      <c r="SL47" s="178"/>
      <c r="SM47" s="178"/>
      <c r="SN47" s="178"/>
      <c r="SO47" s="178"/>
      <c r="SP47" s="178"/>
      <c r="SQ47" s="178"/>
      <c r="SR47" s="178"/>
      <c r="SS47" s="178"/>
    </row>
    <row r="48" spans="2:590" s="135" customFormat="1" ht="14.5" x14ac:dyDescent="0.35">
      <c r="B48" s="135" t="s">
        <v>889</v>
      </c>
      <c r="N48" s="134"/>
      <c r="O48" s="134"/>
      <c r="P48" s="134"/>
      <c r="Q48" s="134"/>
      <c r="R48" s="134"/>
      <c r="S48" s="134"/>
      <c r="T48" s="134"/>
      <c r="U48" s="134"/>
      <c r="V48" s="134" t="str">
        <f>IF(V47&gt;V46,"Pass","Fail")</f>
        <v>Pass</v>
      </c>
      <c r="W48" s="134"/>
      <c r="X48" s="134"/>
      <c r="Y48" s="134" t="str">
        <f>IF(Y47&gt;Y46,"Pass","Fail")</f>
        <v>Pass</v>
      </c>
      <c r="Z48" s="134"/>
      <c r="AA48" s="134"/>
      <c r="AB48" s="134" t="str">
        <f>IF(AB47&gt;AB46,"Pass","Fail")</f>
        <v>Pass</v>
      </c>
      <c r="AC48" s="134"/>
      <c r="AD48" s="134"/>
      <c r="AE48" s="134" t="str">
        <f>IF(AE47&gt;AE46,"Pass","Fail")</f>
        <v>Pass</v>
      </c>
      <c r="AF48" s="134"/>
      <c r="AH48" s="134" t="str">
        <f>IF(AH47&gt;AH46,"Pass","Fail")</f>
        <v>Pass</v>
      </c>
      <c r="AK48" s="134" t="str">
        <f>IF(AK47&gt;AK46,"Pass","Fail")</f>
        <v>Pass</v>
      </c>
      <c r="AN48" s="134" t="str">
        <f>IF(AN47&gt;AN46,"Pass","Fail")</f>
        <v>Pass</v>
      </c>
      <c r="AQ48" s="134" t="str">
        <f>IF(AQ47&gt;AQ46,"Pass","Fail")</f>
        <v>Pass</v>
      </c>
      <c r="AR48" s="134"/>
      <c r="AS48" s="134"/>
      <c r="AT48" s="134" t="str">
        <f t="shared" ref="AT48:AW48" si="228">IF(AT47&gt;AT46,"Pass","Fail")</f>
        <v>Pass</v>
      </c>
      <c r="AU48" s="173"/>
      <c r="AV48" s="173"/>
      <c r="AW48" s="134" t="str">
        <f t="shared" si="228"/>
        <v>Pass</v>
      </c>
      <c r="AX48" s="173"/>
      <c r="AY48" s="173"/>
      <c r="AZ48" s="134" t="str">
        <f>IF(AZ47&gt;AZ46,"Pass","Fail")</f>
        <v>Pass</v>
      </c>
      <c r="BA48" s="173"/>
      <c r="BB48" s="173"/>
      <c r="BC48" s="134" t="str">
        <f t="shared" ref="BC48" si="229">IF(BC47&gt;BC46,"Pass","Fail")</f>
        <v>Pass</v>
      </c>
      <c r="BD48" s="173"/>
      <c r="BE48" s="173"/>
      <c r="BF48" s="134" t="str">
        <f>IF(BF47&gt;BF46,"Pass","Fail")</f>
        <v>Pass</v>
      </c>
      <c r="BI48" s="134" t="str">
        <f>IF(BI47&gt;BI46,"Pass","Fail")</f>
        <v>Pass</v>
      </c>
      <c r="BJ48" s="173"/>
      <c r="BK48" s="173"/>
      <c r="BL48" s="134" t="str">
        <f t="shared" ref="BL48:BO48" si="230">IF(BL47&gt;BL46,"Pass","Fail")</f>
        <v>Pass</v>
      </c>
      <c r="BM48" s="134"/>
      <c r="BN48" s="134"/>
      <c r="BO48" s="134" t="str">
        <f t="shared" si="230"/>
        <v>Pass</v>
      </c>
      <c r="BR48" s="134" t="str">
        <f t="shared" ref="BR48" si="231">IF(BR47&gt;BR46,"Pass","Fail")</f>
        <v>Pass</v>
      </c>
      <c r="BS48" s="134"/>
      <c r="BT48" s="134"/>
      <c r="BU48" s="134" t="str">
        <f>IF(BU47&gt;BU46,"Pass","Fail")</f>
        <v>Pass</v>
      </c>
      <c r="BV48" s="173"/>
      <c r="BW48" s="173"/>
      <c r="BX48" s="134" t="str">
        <f t="shared" ref="BX48" si="232">IF(BX47&gt;BX46,"Pass","Fail")</f>
        <v>Pass</v>
      </c>
      <c r="CA48" s="134" t="str">
        <f t="shared" ref="CA48" si="233">IF(CA47&gt;CA46,"Pass","Fail")</f>
        <v>Pass</v>
      </c>
      <c r="CD48" s="134" t="str">
        <f t="shared" ref="CD48" si="234">IF(CD47&gt;CD46,"Pass","Fail")</f>
        <v>Pass</v>
      </c>
      <c r="CG48" s="134" t="str">
        <f t="shared" ref="CG48" si="235">IF(CG47&gt;CG46,"Pass","Fail")</f>
        <v>Pass</v>
      </c>
      <c r="CJ48" s="134" t="str">
        <f t="shared" ref="CJ48" si="236">IF(CJ47&gt;CJ46,"Pass","Fail")</f>
        <v>Fail</v>
      </c>
      <c r="CM48" s="134" t="str">
        <f t="shared" ref="CM48:CP48" si="237">IF(CM47&gt;CM46,"Pass","Fail")</f>
        <v>Pass</v>
      </c>
      <c r="CN48"/>
      <c r="CO48"/>
      <c r="CP48" s="134" t="str">
        <f t="shared" si="237"/>
        <v>Pass</v>
      </c>
      <c r="CS48" s="134" t="str">
        <f t="shared" ref="CS48" si="238">IF(CS47&gt;CS46,"Pass","Fail")</f>
        <v>Pass</v>
      </c>
      <c r="CV48" s="134" t="str">
        <f t="shared" ref="CV48" si="239">IF(CV47&gt;CV46,"Pass","Fail")</f>
        <v>Pass</v>
      </c>
      <c r="DO48" s="136"/>
      <c r="DP48" s="136"/>
      <c r="DQ48" s="136"/>
      <c r="DR48" s="136"/>
      <c r="DS48" s="136"/>
      <c r="DT48" s="136"/>
      <c r="DU48" s="136"/>
      <c r="DV48" s="136"/>
      <c r="DW48" s="136"/>
      <c r="DX48" s="136"/>
      <c r="DY48" s="136"/>
      <c r="DZ48" s="136"/>
      <c r="EA48" s="136"/>
      <c r="EB48" s="136"/>
      <c r="EC48" s="136"/>
      <c r="ED48" s="136"/>
      <c r="EE48" s="136"/>
      <c r="EF48" s="136"/>
      <c r="EG48" s="136"/>
      <c r="EH48" s="136"/>
      <c r="EI48" s="136"/>
      <c r="EJ48" s="136"/>
      <c r="EK48" s="136"/>
      <c r="EL48" s="136"/>
      <c r="EM48" s="136"/>
      <c r="EN48" s="136"/>
      <c r="EO48" s="136"/>
      <c r="EP48" s="136"/>
      <c r="EQ48" s="136"/>
      <c r="ER48" s="136"/>
      <c r="ES48" s="136"/>
      <c r="ET48" s="136"/>
      <c r="EU48" s="136"/>
      <c r="EV48" s="136"/>
      <c r="EW48" s="136"/>
      <c r="EX48" s="136"/>
      <c r="EY48" s="136"/>
      <c r="EZ48" s="136"/>
      <c r="FA48" s="136"/>
      <c r="FB48" s="136"/>
      <c r="FC48" s="136"/>
      <c r="FD48" s="136"/>
      <c r="FE48" s="136"/>
      <c r="FF48" s="136"/>
      <c r="FG48" s="136"/>
      <c r="FH48" s="136"/>
      <c r="FI48" s="136"/>
      <c r="FJ48" s="136"/>
      <c r="FK48" s="136"/>
      <c r="FL48" s="136"/>
      <c r="FM48" s="136"/>
      <c r="FN48" s="136"/>
      <c r="FO48" s="136"/>
      <c r="FP48" s="136"/>
      <c r="FQ48" s="136"/>
      <c r="FR48" s="136"/>
      <c r="FS48" s="136"/>
      <c r="FT48" s="136"/>
      <c r="FU48" s="136"/>
      <c r="FV48" s="136"/>
      <c r="FW48" s="136"/>
      <c r="FX48" s="136"/>
      <c r="FY48" s="136"/>
      <c r="FZ48" s="136"/>
      <c r="GA48" s="136"/>
      <c r="GB48" s="136"/>
      <c r="GC48" s="136"/>
      <c r="GD48" s="136"/>
      <c r="GE48" s="136"/>
      <c r="GF48" s="136"/>
      <c r="GG48" s="136"/>
      <c r="GH48" s="136"/>
      <c r="GI48" s="136"/>
      <c r="GJ48" s="136"/>
      <c r="GK48" s="136"/>
      <c r="GL48" s="136"/>
      <c r="GM48" s="136"/>
      <c r="GN48" s="136"/>
      <c r="GO48" s="136"/>
      <c r="GP48" s="136"/>
      <c r="GQ48" s="136"/>
      <c r="GR48" s="136"/>
      <c r="GS48" s="136"/>
      <c r="GT48" s="136"/>
      <c r="GU48" s="136"/>
      <c r="GV48" s="136"/>
      <c r="GW48" s="136"/>
      <c r="GX48" s="136"/>
      <c r="GY48" s="136"/>
      <c r="GZ48" s="136"/>
      <c r="HA48" s="136"/>
      <c r="HB48" s="136"/>
      <c r="HC48" s="136"/>
      <c r="HD48" s="136"/>
      <c r="HE48" s="136"/>
      <c r="HF48" s="136"/>
      <c r="HG48" s="136"/>
      <c r="HH48" s="136"/>
      <c r="HI48" s="136"/>
      <c r="HJ48" s="136"/>
      <c r="HK48" s="136"/>
      <c r="HL48" s="136"/>
      <c r="HM48" s="136"/>
      <c r="HN48" s="136"/>
      <c r="HO48" s="136"/>
      <c r="HP48" s="136"/>
      <c r="HQ48" s="136"/>
      <c r="HR48" s="136"/>
      <c r="HS48" s="136"/>
      <c r="HT48" s="136"/>
      <c r="HU48" s="136"/>
      <c r="HV48" s="136"/>
      <c r="HW48" s="136"/>
      <c r="HX48" s="136"/>
      <c r="HY48" s="136"/>
      <c r="HZ48" s="136"/>
      <c r="IA48" s="136"/>
      <c r="IB48" s="136"/>
      <c r="IC48" s="136"/>
      <c r="ID48" s="136"/>
      <c r="IE48" s="136"/>
      <c r="IF48" s="136"/>
      <c r="IG48" s="136"/>
      <c r="IH48" s="136"/>
      <c r="II48" s="136"/>
      <c r="IJ48" s="136"/>
      <c r="IK48" s="136"/>
      <c r="IL48" s="136"/>
      <c r="IM48" s="136"/>
      <c r="IN48" s="136"/>
      <c r="IO48" s="136"/>
      <c r="IP48" s="136"/>
      <c r="IQ48" s="136"/>
      <c r="IR48" s="136"/>
      <c r="IS48" s="136"/>
      <c r="IT48" s="136"/>
      <c r="IU48" s="136"/>
      <c r="IV48" s="136"/>
      <c r="IW48" s="136"/>
      <c r="IX48" s="136"/>
      <c r="IY48" s="136"/>
      <c r="IZ48" s="136"/>
      <c r="JA48" s="136"/>
      <c r="JB48" s="136"/>
      <c r="JC48" s="136"/>
      <c r="JD48" s="136"/>
      <c r="JE48" s="136"/>
      <c r="JF48" s="136"/>
      <c r="JG48" s="136"/>
      <c r="JH48" s="136"/>
      <c r="JI48" s="136"/>
      <c r="JJ48" s="136"/>
      <c r="JK48" s="136"/>
      <c r="JL48" s="136"/>
      <c r="JM48" s="136"/>
      <c r="JN48" s="136"/>
      <c r="JO48" s="136"/>
      <c r="JP48" s="136"/>
      <c r="JQ48" s="136"/>
      <c r="JR48" s="136"/>
      <c r="JS48" s="136"/>
      <c r="JT48" s="136"/>
      <c r="JU48" s="136"/>
      <c r="JV48" s="136"/>
      <c r="JW48" s="136"/>
      <c r="JX48" s="136"/>
      <c r="JY48" s="136"/>
      <c r="JZ48" s="136"/>
      <c r="KA48" s="136"/>
      <c r="KB48" s="136"/>
      <c r="KC48" s="136"/>
      <c r="KD48" s="136"/>
      <c r="KE48" s="136"/>
      <c r="KF48" s="136"/>
      <c r="KG48" s="136"/>
      <c r="KH48" s="136"/>
      <c r="KI48" s="136"/>
      <c r="KJ48" s="136"/>
      <c r="KK48" s="136"/>
      <c r="KL48" s="136"/>
      <c r="KM48" s="136"/>
      <c r="KN48" s="136"/>
      <c r="KO48" s="136"/>
      <c r="KP48" s="136"/>
      <c r="KQ48" s="136"/>
      <c r="KR48" s="136"/>
      <c r="KS48" s="136"/>
      <c r="KT48" s="136"/>
      <c r="KU48" s="136"/>
      <c r="KV48" s="136"/>
      <c r="KW48" s="136"/>
      <c r="KX48" s="136"/>
      <c r="KY48" s="136"/>
      <c r="KZ48" s="136"/>
      <c r="LA48" s="136"/>
      <c r="LB48" s="136"/>
      <c r="LC48" s="136"/>
      <c r="LD48" s="136"/>
      <c r="LE48" s="136"/>
      <c r="LF48" s="136"/>
      <c r="LG48" s="136"/>
      <c r="LH48" s="136"/>
      <c r="LI48" s="136"/>
      <c r="LJ48" s="136"/>
      <c r="LK48" s="136"/>
      <c r="LL48" s="136"/>
      <c r="LM48" s="136"/>
      <c r="LN48" s="136"/>
      <c r="LO48" s="136"/>
      <c r="LP48" s="136"/>
      <c r="LQ48" s="136"/>
      <c r="LR48" s="136"/>
      <c r="LS48" s="136"/>
      <c r="LT48" s="136"/>
      <c r="LU48" s="136"/>
      <c r="LV48" s="136"/>
      <c r="LW48" s="136"/>
      <c r="LX48" s="136"/>
      <c r="LY48" s="136"/>
      <c r="LZ48" s="136"/>
      <c r="MA48" s="136"/>
      <c r="MB48" s="136"/>
      <c r="MC48" s="136"/>
      <c r="MD48" s="136"/>
      <c r="ME48" s="136"/>
      <c r="MF48" s="136"/>
      <c r="MG48" s="136"/>
      <c r="MH48" s="136"/>
      <c r="MI48" s="136"/>
      <c r="MJ48" s="136"/>
      <c r="MK48" s="136"/>
      <c r="ML48" s="136"/>
      <c r="MM48" s="136"/>
      <c r="MN48" s="136"/>
      <c r="MO48" s="136"/>
      <c r="MP48" s="136"/>
      <c r="MQ48" s="136"/>
      <c r="MR48" s="136"/>
      <c r="MS48" s="136"/>
      <c r="MT48" s="136"/>
      <c r="MU48" s="136"/>
      <c r="MV48" s="136"/>
      <c r="MW48" s="136"/>
      <c r="MX48" s="136"/>
      <c r="MY48" s="136"/>
      <c r="MZ48" s="136"/>
      <c r="NA48" s="136"/>
      <c r="NB48" s="136"/>
      <c r="NC48" s="136"/>
      <c r="ND48" s="136"/>
      <c r="NE48" s="136"/>
      <c r="NF48" s="136"/>
      <c r="NG48" s="136"/>
      <c r="NH48" s="136"/>
      <c r="NI48" s="136"/>
      <c r="NJ48" s="136"/>
      <c r="NK48" s="136"/>
      <c r="NL48" s="136"/>
      <c r="NM48" s="136"/>
      <c r="NN48" s="136"/>
      <c r="NO48" s="136"/>
      <c r="NP48" s="136"/>
      <c r="NQ48" s="136"/>
      <c r="NR48" s="136"/>
      <c r="NS48" s="136"/>
      <c r="NT48" s="136"/>
      <c r="NU48" s="136"/>
      <c r="NV48" s="136"/>
      <c r="NW48" s="136"/>
      <c r="NX48" s="136"/>
      <c r="NY48" s="136"/>
      <c r="NZ48" s="136"/>
      <c r="OA48" s="136"/>
      <c r="OB48" s="136"/>
      <c r="OC48" s="136"/>
      <c r="OD48" s="136"/>
      <c r="OE48" s="136"/>
      <c r="OF48" s="136"/>
      <c r="OG48" s="136"/>
      <c r="OH48" s="136"/>
      <c r="OI48" s="136"/>
      <c r="OJ48" s="136"/>
      <c r="OK48" s="136"/>
      <c r="OL48" s="136"/>
      <c r="OM48" s="136"/>
      <c r="ON48" s="136"/>
      <c r="OO48" s="136"/>
      <c r="OP48" s="136"/>
      <c r="OQ48" s="136"/>
      <c r="OR48" s="136"/>
      <c r="OS48" s="136"/>
      <c r="OT48" s="136"/>
      <c r="OU48" s="136"/>
      <c r="OV48" s="136"/>
      <c r="OW48" s="136"/>
      <c r="OX48" s="136"/>
      <c r="OY48" s="136"/>
      <c r="OZ48" s="136"/>
      <c r="PA48" s="136"/>
      <c r="PB48" s="136"/>
      <c r="PC48" s="136"/>
      <c r="PD48" s="136"/>
      <c r="PE48" s="136"/>
      <c r="PF48" s="136"/>
      <c r="PG48" s="136"/>
      <c r="PH48" s="136"/>
      <c r="PI48" s="136"/>
      <c r="PJ48" s="136"/>
      <c r="PK48" s="136"/>
      <c r="PL48" s="136"/>
      <c r="PM48" s="136"/>
      <c r="PN48" s="136"/>
      <c r="PO48" s="136"/>
      <c r="PP48" s="136"/>
      <c r="PQ48" s="136"/>
      <c r="PR48" s="136"/>
      <c r="PS48" s="136"/>
      <c r="PT48" s="136"/>
      <c r="PU48" s="136"/>
      <c r="PV48" s="136"/>
      <c r="PW48" s="136"/>
      <c r="PX48" s="136"/>
      <c r="PY48" s="136"/>
      <c r="PZ48" s="136"/>
      <c r="QA48" s="136"/>
      <c r="QB48" s="136"/>
      <c r="QC48" s="136"/>
      <c r="QD48" s="136"/>
      <c r="QE48" s="136"/>
      <c r="QF48" s="136"/>
      <c r="QG48" s="136"/>
      <c r="QH48" s="136"/>
      <c r="QI48" s="136"/>
      <c r="QJ48" s="136"/>
      <c r="QK48" s="136"/>
      <c r="QL48" s="136"/>
      <c r="QM48" s="136"/>
      <c r="QN48" s="136"/>
      <c r="QO48" s="136"/>
      <c r="QP48" s="136"/>
      <c r="QQ48" s="136"/>
      <c r="QR48" s="136"/>
      <c r="QS48" s="136"/>
      <c r="QT48" s="136"/>
      <c r="QU48" s="136"/>
      <c r="QV48" s="136"/>
      <c r="QW48" s="136"/>
      <c r="QX48" s="136"/>
      <c r="QY48" s="136"/>
      <c r="QZ48" s="136"/>
      <c r="RA48" s="136"/>
      <c r="RB48" s="136"/>
      <c r="RC48" s="136"/>
      <c r="RD48" s="136"/>
      <c r="RE48" s="136"/>
      <c r="RF48" s="136"/>
      <c r="RG48" s="136"/>
      <c r="RH48" s="136"/>
      <c r="RI48" s="136"/>
      <c r="RJ48" s="136"/>
      <c r="RK48" s="136"/>
      <c r="RL48" s="136"/>
      <c r="RM48" s="136"/>
      <c r="RN48" s="136"/>
      <c r="RO48" s="136"/>
      <c r="RP48" s="136"/>
      <c r="RQ48" s="136"/>
      <c r="RR48" s="136"/>
      <c r="RS48" s="136"/>
      <c r="RT48" s="136"/>
      <c r="RU48" s="136"/>
      <c r="RV48" s="136"/>
      <c r="RW48" s="136"/>
      <c r="RX48" s="136"/>
      <c r="RY48" s="136"/>
      <c r="RZ48" s="136"/>
      <c r="SA48" s="136"/>
      <c r="SB48" s="136"/>
      <c r="SC48" s="136"/>
      <c r="SD48" s="136"/>
      <c r="SE48" s="136"/>
      <c r="SF48" s="136"/>
      <c r="SG48" s="136"/>
      <c r="SH48" s="136"/>
      <c r="SI48" s="136"/>
      <c r="SJ48" s="136"/>
      <c r="SK48" s="136"/>
      <c r="SL48" s="136"/>
      <c r="SM48" s="136"/>
      <c r="SN48" s="136"/>
      <c r="SO48" s="136"/>
      <c r="SP48" s="136"/>
      <c r="SQ48" s="136"/>
      <c r="SR48" s="136"/>
      <c r="SS48" s="136"/>
    </row>
    <row r="49" spans="14:513" s="135" customFormat="1" ht="14.5" x14ac:dyDescent="0.35">
      <c r="N49" s="134"/>
      <c r="O49" s="134"/>
      <c r="P49" s="134"/>
      <c r="Q49" s="134"/>
      <c r="R49" s="134"/>
      <c r="S49" s="134"/>
      <c r="T49" s="134"/>
      <c r="U49" s="134"/>
      <c r="V49" s="134"/>
      <c r="W49" s="134"/>
      <c r="X49" s="134"/>
      <c r="Y49" s="134"/>
      <c r="Z49" s="134"/>
      <c r="AA49" s="134"/>
      <c r="AB49" s="134"/>
      <c r="AC49" s="134"/>
      <c r="AD49" s="134"/>
      <c r="AE49" s="134"/>
      <c r="AF49" s="134"/>
      <c r="AH49" s="134"/>
      <c r="AK49" s="134"/>
      <c r="AN49" s="134"/>
      <c r="AQ49" s="134"/>
      <c r="AR49" s="134"/>
      <c r="AS49" s="134"/>
      <c r="AT49" s="134"/>
      <c r="AU49" s="173"/>
      <c r="AV49" s="173"/>
      <c r="AW49" s="134"/>
      <c r="AX49" s="173"/>
      <c r="AY49" s="173"/>
      <c r="AZ49" s="134"/>
      <c r="BA49" s="173"/>
      <c r="BB49" s="173"/>
      <c r="BC49" s="134"/>
      <c r="BD49" s="173"/>
      <c r="BE49" s="173"/>
      <c r="BF49" s="134"/>
      <c r="BI49" s="134"/>
      <c r="BJ49" s="173"/>
      <c r="BK49" s="173"/>
      <c r="BL49" s="134"/>
      <c r="BM49" s="134"/>
      <c r="BN49" s="134"/>
      <c r="BO49" s="134"/>
      <c r="BR49" s="134"/>
      <c r="BS49" s="134"/>
      <c r="BT49" s="134"/>
      <c r="BU49" s="134"/>
      <c r="BV49" s="173"/>
      <c r="BW49" s="173"/>
      <c r="BX49" s="134"/>
      <c r="CA49" s="134"/>
      <c r="CJ49" s="135" t="s">
        <v>890</v>
      </c>
      <c r="CN49"/>
      <c r="CO49"/>
      <c r="DO49" s="136"/>
      <c r="DP49" s="136"/>
      <c r="DQ49" s="136"/>
      <c r="DR49" s="136"/>
      <c r="DS49" s="136"/>
      <c r="DT49" s="136"/>
      <c r="DU49" s="136"/>
      <c r="DV49" s="136"/>
      <c r="DW49" s="136"/>
      <c r="DX49" s="136"/>
      <c r="DY49" s="136"/>
      <c r="DZ49" s="136"/>
      <c r="EA49" s="136"/>
      <c r="EB49" s="136"/>
      <c r="EC49" s="136"/>
      <c r="ED49" s="136"/>
      <c r="EE49" s="136"/>
      <c r="EF49" s="136"/>
      <c r="EG49" s="136"/>
      <c r="EH49" s="136"/>
      <c r="EI49" s="136"/>
      <c r="EJ49" s="136"/>
      <c r="EK49" s="136"/>
      <c r="EL49" s="136"/>
      <c r="EM49" s="136"/>
      <c r="EN49" s="136"/>
      <c r="EO49" s="136"/>
      <c r="EP49" s="136"/>
      <c r="EQ49" s="136"/>
      <c r="ER49" s="136"/>
      <c r="ES49" s="136"/>
      <c r="ET49" s="136"/>
      <c r="EU49" s="136"/>
      <c r="EV49" s="136"/>
      <c r="EW49" s="136"/>
      <c r="EX49" s="136"/>
      <c r="EY49" s="136"/>
      <c r="EZ49" s="136"/>
      <c r="FA49" s="136"/>
      <c r="FB49" s="136"/>
      <c r="FC49" s="136"/>
      <c r="FD49" s="136"/>
      <c r="FE49" s="136"/>
      <c r="FF49" s="136"/>
      <c r="FG49" s="136"/>
      <c r="FH49" s="136"/>
      <c r="FI49" s="136"/>
      <c r="FJ49" s="136"/>
      <c r="FK49" s="136"/>
      <c r="FL49" s="136"/>
      <c r="FM49" s="136"/>
      <c r="FN49" s="136"/>
      <c r="FO49" s="136"/>
      <c r="FP49" s="136"/>
      <c r="FQ49" s="136"/>
      <c r="FR49" s="136"/>
      <c r="FS49" s="136"/>
      <c r="FT49" s="136"/>
      <c r="FU49" s="136"/>
      <c r="FV49" s="136"/>
      <c r="FW49" s="136"/>
      <c r="FX49" s="136"/>
      <c r="FY49" s="136"/>
      <c r="FZ49" s="136"/>
      <c r="GA49" s="136"/>
      <c r="GB49" s="136"/>
      <c r="GC49" s="136"/>
      <c r="GD49" s="136"/>
      <c r="GE49" s="136"/>
      <c r="GF49" s="136"/>
      <c r="GG49" s="136"/>
      <c r="GH49" s="136"/>
      <c r="GI49" s="136"/>
      <c r="GJ49" s="136"/>
      <c r="GK49" s="136"/>
      <c r="GL49" s="136"/>
      <c r="GM49" s="136"/>
      <c r="GN49" s="136"/>
      <c r="GO49" s="136"/>
      <c r="GP49" s="136"/>
      <c r="GQ49" s="136"/>
      <c r="GR49" s="136"/>
      <c r="GS49" s="136"/>
      <c r="GT49" s="136"/>
      <c r="GU49" s="136"/>
      <c r="GV49" s="136"/>
      <c r="GW49" s="136"/>
      <c r="GX49" s="136"/>
      <c r="GY49" s="136"/>
      <c r="GZ49" s="136"/>
      <c r="HA49" s="136"/>
      <c r="HB49" s="136"/>
      <c r="HC49" s="136"/>
      <c r="HD49" s="136"/>
      <c r="HE49" s="136"/>
      <c r="HF49" s="136"/>
      <c r="HG49" s="136"/>
      <c r="HH49" s="136"/>
      <c r="HI49" s="136"/>
      <c r="HJ49" s="136"/>
      <c r="HK49" s="136"/>
      <c r="HL49" s="136"/>
      <c r="HM49" s="136"/>
      <c r="HN49" s="136"/>
      <c r="HO49" s="136"/>
      <c r="HP49" s="136"/>
      <c r="HQ49" s="136"/>
      <c r="HR49" s="136"/>
      <c r="HS49" s="136"/>
      <c r="HT49" s="136"/>
      <c r="HU49" s="136"/>
      <c r="HV49" s="136"/>
      <c r="HW49" s="136"/>
      <c r="HX49" s="136"/>
      <c r="HY49" s="136"/>
      <c r="HZ49" s="136"/>
      <c r="IA49" s="136"/>
      <c r="IB49" s="136"/>
      <c r="IC49" s="136"/>
      <c r="ID49" s="136"/>
      <c r="IE49" s="136"/>
      <c r="IF49" s="136"/>
      <c r="IG49" s="136"/>
      <c r="IH49" s="136"/>
      <c r="II49" s="136"/>
      <c r="IJ49" s="136"/>
      <c r="IK49" s="136"/>
      <c r="IL49" s="136"/>
      <c r="IM49" s="136"/>
      <c r="IN49" s="136"/>
      <c r="IO49" s="136"/>
      <c r="IP49" s="136"/>
      <c r="IQ49" s="136"/>
      <c r="IR49" s="136"/>
      <c r="IS49" s="136"/>
      <c r="IT49" s="136"/>
      <c r="IU49" s="136"/>
      <c r="IV49" s="136"/>
      <c r="IW49" s="136"/>
      <c r="IX49" s="136"/>
      <c r="IY49" s="136"/>
      <c r="IZ49" s="136"/>
      <c r="JA49" s="136"/>
      <c r="JB49" s="136"/>
      <c r="JC49" s="136"/>
      <c r="JD49" s="136"/>
      <c r="JE49" s="136"/>
      <c r="JF49" s="136"/>
      <c r="JG49" s="136"/>
      <c r="JH49" s="136"/>
      <c r="JI49" s="136"/>
      <c r="JJ49" s="136"/>
      <c r="JK49" s="136"/>
      <c r="JL49" s="136"/>
      <c r="JM49" s="136"/>
      <c r="JN49" s="136"/>
      <c r="JO49" s="136"/>
      <c r="JP49" s="136"/>
      <c r="JQ49" s="136"/>
      <c r="JR49" s="136"/>
      <c r="JS49" s="136"/>
      <c r="JT49" s="136"/>
      <c r="JU49" s="136"/>
      <c r="JV49" s="136"/>
      <c r="JW49" s="136"/>
      <c r="JX49" s="136"/>
      <c r="JY49" s="136"/>
      <c r="JZ49" s="136"/>
      <c r="KA49" s="136"/>
      <c r="KB49" s="136"/>
      <c r="KC49" s="136"/>
      <c r="KD49" s="136"/>
      <c r="KE49" s="136"/>
      <c r="KF49" s="136"/>
      <c r="KG49" s="136"/>
      <c r="KH49" s="136"/>
      <c r="KI49" s="136"/>
      <c r="KJ49" s="136"/>
      <c r="KK49" s="136"/>
      <c r="KL49" s="136"/>
      <c r="KM49" s="136"/>
      <c r="KN49" s="136"/>
      <c r="KO49" s="136"/>
      <c r="KP49" s="136"/>
      <c r="KQ49" s="136"/>
      <c r="KR49" s="136"/>
      <c r="KS49" s="136"/>
      <c r="KT49" s="136"/>
      <c r="KU49" s="136"/>
      <c r="KV49" s="136"/>
      <c r="KW49" s="136"/>
      <c r="KX49" s="136"/>
      <c r="KY49" s="136"/>
      <c r="KZ49" s="136"/>
      <c r="LA49" s="136"/>
      <c r="LB49" s="136"/>
      <c r="LC49" s="136"/>
      <c r="LD49" s="136"/>
      <c r="LE49" s="136"/>
      <c r="LF49" s="136"/>
      <c r="LG49" s="136"/>
      <c r="LH49" s="136"/>
      <c r="LI49" s="136"/>
      <c r="LJ49" s="136"/>
      <c r="LK49" s="136"/>
      <c r="LL49" s="136"/>
      <c r="LM49" s="136"/>
      <c r="LN49" s="136"/>
      <c r="LO49" s="136"/>
      <c r="LP49" s="136"/>
      <c r="LQ49" s="136"/>
      <c r="LR49" s="136"/>
      <c r="LS49" s="136"/>
      <c r="LT49" s="136"/>
      <c r="LU49" s="136"/>
      <c r="LV49" s="136"/>
      <c r="LW49" s="136"/>
      <c r="LX49" s="136"/>
      <c r="LY49" s="136"/>
      <c r="LZ49" s="136"/>
      <c r="MA49" s="136"/>
      <c r="MB49" s="136"/>
      <c r="MC49" s="136"/>
      <c r="MD49" s="136"/>
      <c r="ME49" s="136"/>
      <c r="MF49" s="136"/>
      <c r="MG49" s="136"/>
      <c r="MH49" s="136"/>
      <c r="MI49" s="136"/>
      <c r="MJ49" s="136"/>
      <c r="MK49" s="136"/>
      <c r="ML49" s="136"/>
      <c r="MM49" s="136"/>
      <c r="MN49" s="136"/>
      <c r="MO49" s="136"/>
      <c r="MP49" s="136"/>
      <c r="MQ49" s="136"/>
      <c r="MR49" s="136"/>
      <c r="MS49" s="136"/>
      <c r="MT49" s="136"/>
      <c r="MU49" s="136"/>
      <c r="MV49" s="136"/>
      <c r="MW49" s="136"/>
      <c r="MX49" s="136"/>
      <c r="MY49" s="136"/>
      <c r="MZ49" s="136"/>
      <c r="NA49" s="136"/>
      <c r="NB49" s="136"/>
      <c r="NC49" s="136"/>
      <c r="ND49" s="136"/>
      <c r="NE49" s="136"/>
      <c r="NF49" s="136"/>
      <c r="NG49" s="136"/>
      <c r="NH49" s="136"/>
      <c r="NI49" s="136"/>
      <c r="NJ49" s="136"/>
      <c r="NK49" s="136"/>
      <c r="NL49" s="136"/>
      <c r="NM49" s="136"/>
      <c r="NN49" s="136"/>
      <c r="NO49" s="136"/>
      <c r="NP49" s="136"/>
      <c r="NQ49" s="136"/>
      <c r="NR49" s="136"/>
      <c r="NS49" s="136"/>
      <c r="NT49" s="136"/>
      <c r="NU49" s="136"/>
      <c r="NV49" s="136"/>
      <c r="NW49" s="136"/>
      <c r="NX49" s="136"/>
      <c r="NY49" s="136"/>
      <c r="NZ49" s="136"/>
      <c r="OA49" s="136"/>
      <c r="OB49" s="136"/>
      <c r="OC49" s="136"/>
      <c r="OD49" s="136"/>
      <c r="OE49" s="136"/>
      <c r="OF49" s="136"/>
      <c r="OG49" s="136"/>
      <c r="OH49" s="136"/>
      <c r="OI49" s="136"/>
      <c r="OJ49" s="136"/>
      <c r="OK49" s="136"/>
      <c r="OL49" s="136"/>
      <c r="OM49" s="136"/>
      <c r="ON49" s="136"/>
      <c r="OO49" s="136"/>
      <c r="OP49" s="136"/>
      <c r="OQ49" s="136"/>
      <c r="OR49" s="136"/>
      <c r="OS49" s="136"/>
      <c r="OT49" s="136"/>
      <c r="OU49" s="136"/>
      <c r="OV49" s="136"/>
      <c r="OW49" s="136"/>
      <c r="OX49" s="136"/>
      <c r="OY49" s="136"/>
      <c r="OZ49" s="136"/>
      <c r="PA49" s="136"/>
      <c r="PB49" s="136"/>
      <c r="PC49" s="136"/>
      <c r="PD49" s="136"/>
      <c r="PE49" s="136"/>
      <c r="PF49" s="136"/>
      <c r="PG49" s="136"/>
      <c r="PH49" s="136"/>
      <c r="PI49" s="136"/>
      <c r="PJ49" s="136"/>
      <c r="PK49" s="136"/>
      <c r="PL49" s="136"/>
      <c r="PM49" s="136"/>
      <c r="PN49" s="136"/>
      <c r="PO49" s="136"/>
      <c r="PP49" s="136"/>
      <c r="PQ49" s="136"/>
      <c r="PR49" s="136"/>
      <c r="PS49" s="136"/>
      <c r="PT49" s="136"/>
      <c r="PU49" s="136"/>
      <c r="PV49" s="136"/>
      <c r="PW49" s="136"/>
      <c r="PX49" s="136"/>
      <c r="PY49" s="136"/>
      <c r="PZ49" s="136"/>
      <c r="QA49" s="136"/>
      <c r="QB49" s="136"/>
      <c r="QC49" s="136"/>
      <c r="QD49" s="136"/>
      <c r="QE49" s="136"/>
      <c r="QF49" s="136"/>
      <c r="QG49" s="136"/>
      <c r="QH49" s="136"/>
      <c r="QI49" s="136"/>
      <c r="QJ49" s="136"/>
      <c r="QK49" s="136"/>
      <c r="QL49" s="136"/>
      <c r="QM49" s="136"/>
      <c r="QN49" s="136"/>
      <c r="QO49" s="136"/>
      <c r="QP49" s="136"/>
      <c r="QQ49" s="136"/>
      <c r="QR49" s="136"/>
      <c r="QS49" s="136"/>
      <c r="QT49" s="136"/>
      <c r="QU49" s="136"/>
      <c r="QV49" s="136"/>
      <c r="QW49" s="136"/>
      <c r="QX49" s="136"/>
      <c r="QY49" s="136"/>
      <c r="QZ49" s="136"/>
      <c r="RA49" s="136"/>
      <c r="RB49" s="136"/>
      <c r="RC49" s="136"/>
      <c r="RD49" s="136"/>
      <c r="RE49" s="136"/>
      <c r="RF49" s="136"/>
      <c r="RG49" s="136"/>
      <c r="RH49" s="136"/>
      <c r="RI49" s="136"/>
      <c r="RJ49" s="136"/>
      <c r="RK49" s="136"/>
      <c r="RL49" s="136"/>
      <c r="RM49" s="136"/>
      <c r="RN49" s="136"/>
      <c r="RO49" s="136"/>
      <c r="RP49" s="136"/>
      <c r="RQ49" s="136"/>
      <c r="RR49" s="136"/>
      <c r="RS49" s="136"/>
      <c r="RT49" s="136"/>
      <c r="RU49" s="136"/>
      <c r="RV49" s="136"/>
      <c r="RW49" s="136"/>
      <c r="RX49" s="136"/>
      <c r="RY49" s="136"/>
      <c r="RZ49" s="136"/>
      <c r="SA49" s="136"/>
      <c r="SB49" s="136"/>
      <c r="SC49" s="136"/>
      <c r="SD49" s="136"/>
      <c r="SE49" s="136"/>
      <c r="SF49" s="136"/>
      <c r="SG49" s="136"/>
      <c r="SH49" s="136"/>
      <c r="SI49" s="136"/>
      <c r="SJ49" s="136"/>
      <c r="SK49" s="136"/>
      <c r="SL49" s="136"/>
      <c r="SM49" s="136"/>
      <c r="SN49" s="136"/>
      <c r="SO49" s="136"/>
      <c r="SP49" s="136"/>
      <c r="SQ49" s="136"/>
      <c r="SR49" s="136"/>
      <c r="SS49" s="136"/>
    </row>
    <row r="50" spans="14:513" s="135" customFormat="1" ht="14.5" x14ac:dyDescent="0.35">
      <c r="N50" s="134"/>
      <c r="O50" s="134"/>
      <c r="P50" s="134"/>
      <c r="Q50" s="134"/>
      <c r="R50" s="134"/>
      <c r="S50" s="134"/>
      <c r="T50" s="134"/>
      <c r="U50" s="134"/>
      <c r="V50" s="134"/>
      <c r="W50" s="134"/>
      <c r="X50" s="134"/>
      <c r="Y50" s="134"/>
      <c r="Z50" s="134"/>
      <c r="AA50" s="134"/>
      <c r="AB50" s="134"/>
      <c r="AC50" s="134"/>
      <c r="AD50" s="134"/>
      <c r="AE50" s="134"/>
      <c r="AF50" s="134"/>
      <c r="BA50" s="173"/>
      <c r="BB50" s="173"/>
      <c r="BD50" s="173"/>
      <c r="BE50" s="173"/>
      <c r="BJ50" s="173"/>
      <c r="BK50" s="173"/>
      <c r="BV50" s="173"/>
      <c r="BW50" s="173"/>
      <c r="CA50" s="432"/>
      <c r="CD50" s="432"/>
      <c r="DO50" s="136"/>
      <c r="DP50" s="136"/>
      <c r="DQ50" s="136"/>
      <c r="DR50" s="136"/>
      <c r="DS50" s="136"/>
      <c r="DT50" s="136"/>
      <c r="DU50" s="136"/>
      <c r="DV50" s="136"/>
      <c r="DW50" s="136"/>
      <c r="DX50" s="136"/>
      <c r="DY50" s="136"/>
      <c r="DZ50" s="136"/>
      <c r="EA50" s="136"/>
      <c r="EB50" s="136"/>
      <c r="EC50" s="136"/>
      <c r="ED50" s="136"/>
      <c r="EE50" s="136"/>
      <c r="EF50" s="136"/>
      <c r="EG50" s="136"/>
      <c r="EH50" s="136"/>
      <c r="EI50" s="136"/>
      <c r="EJ50" s="136"/>
      <c r="EK50" s="136"/>
      <c r="EL50" s="136"/>
      <c r="EM50" s="136"/>
      <c r="EN50" s="136"/>
      <c r="EO50" s="136"/>
      <c r="EP50" s="136"/>
      <c r="EQ50" s="136"/>
      <c r="ER50" s="136"/>
      <c r="ES50" s="136"/>
      <c r="ET50" s="136"/>
      <c r="EU50" s="136"/>
      <c r="EV50" s="136"/>
      <c r="EW50" s="136"/>
      <c r="EX50" s="136"/>
      <c r="EY50" s="136"/>
      <c r="EZ50" s="136"/>
      <c r="FA50" s="136"/>
      <c r="FB50" s="136"/>
      <c r="FC50" s="136"/>
      <c r="FD50" s="136"/>
      <c r="FE50" s="136"/>
      <c r="FF50" s="136"/>
      <c r="FG50" s="136"/>
      <c r="FH50" s="136"/>
      <c r="FI50" s="136"/>
      <c r="FJ50" s="136"/>
      <c r="FK50" s="136"/>
      <c r="FL50" s="136"/>
      <c r="FM50" s="136"/>
      <c r="FN50" s="136"/>
      <c r="FO50" s="136"/>
      <c r="FP50" s="136"/>
      <c r="FQ50" s="136"/>
      <c r="FR50" s="136"/>
      <c r="FS50" s="136"/>
      <c r="FT50" s="136"/>
      <c r="FU50" s="136"/>
      <c r="FV50" s="136"/>
      <c r="FW50" s="136"/>
      <c r="FX50" s="136"/>
      <c r="FY50" s="136"/>
      <c r="FZ50" s="136"/>
      <c r="GA50" s="136"/>
      <c r="GB50" s="136"/>
      <c r="GC50" s="136"/>
      <c r="GD50" s="136"/>
      <c r="GE50" s="136"/>
      <c r="GF50" s="136"/>
      <c r="GG50" s="136"/>
      <c r="GH50" s="136"/>
      <c r="GI50" s="136"/>
      <c r="GJ50" s="136"/>
      <c r="GK50" s="136"/>
      <c r="GL50" s="136"/>
      <c r="GM50" s="136"/>
      <c r="GN50" s="136"/>
      <c r="GO50" s="136"/>
      <c r="GP50" s="136"/>
      <c r="GQ50" s="136"/>
      <c r="GR50" s="136"/>
      <c r="GS50" s="136"/>
      <c r="GT50" s="136"/>
      <c r="GU50" s="136"/>
      <c r="GV50" s="136"/>
      <c r="GW50" s="136"/>
      <c r="GX50" s="136"/>
      <c r="GY50" s="136"/>
      <c r="GZ50" s="136"/>
      <c r="HA50" s="136"/>
      <c r="HB50" s="136"/>
      <c r="HC50" s="136"/>
      <c r="HD50" s="136"/>
      <c r="HE50" s="136"/>
      <c r="HF50" s="136"/>
      <c r="HG50" s="136"/>
      <c r="HH50" s="136"/>
      <c r="HI50" s="136"/>
      <c r="HJ50" s="136"/>
      <c r="HK50" s="136"/>
      <c r="HL50" s="136"/>
      <c r="HM50" s="136"/>
      <c r="HN50" s="136"/>
      <c r="HO50" s="136"/>
      <c r="HP50" s="136"/>
      <c r="HQ50" s="136"/>
      <c r="HR50" s="136"/>
      <c r="HS50" s="136"/>
      <c r="HT50" s="136"/>
      <c r="HU50" s="136"/>
      <c r="HV50" s="136"/>
      <c r="HW50" s="136"/>
      <c r="HX50" s="136"/>
      <c r="HY50" s="136"/>
      <c r="HZ50" s="136"/>
      <c r="IA50" s="136"/>
      <c r="IB50" s="136"/>
      <c r="IC50" s="136"/>
      <c r="ID50" s="136"/>
      <c r="IE50" s="136"/>
      <c r="IF50" s="136"/>
      <c r="IG50" s="136"/>
      <c r="IH50" s="136"/>
      <c r="II50" s="136"/>
      <c r="IJ50" s="136"/>
      <c r="IK50" s="136"/>
      <c r="IL50" s="136"/>
      <c r="IM50" s="136"/>
      <c r="IN50" s="136"/>
      <c r="IO50" s="136"/>
      <c r="IP50" s="136"/>
      <c r="IQ50" s="136"/>
      <c r="IR50" s="136"/>
      <c r="IS50" s="136"/>
      <c r="IT50" s="136"/>
      <c r="IU50" s="136"/>
      <c r="IV50" s="136"/>
      <c r="IW50" s="136"/>
      <c r="IX50" s="136"/>
      <c r="IY50" s="136"/>
      <c r="IZ50" s="136"/>
      <c r="JA50" s="136"/>
      <c r="JB50" s="136"/>
      <c r="JC50" s="136"/>
      <c r="JD50" s="136"/>
      <c r="JE50" s="136"/>
      <c r="JF50" s="136"/>
      <c r="JG50" s="136"/>
      <c r="JH50" s="136"/>
      <c r="JI50" s="136"/>
      <c r="JJ50" s="136"/>
      <c r="JK50" s="136"/>
      <c r="JL50" s="136"/>
      <c r="JM50" s="136"/>
      <c r="JN50" s="136"/>
      <c r="JO50" s="136"/>
      <c r="JP50" s="136"/>
      <c r="JQ50" s="136"/>
      <c r="JR50" s="136"/>
      <c r="JS50" s="136"/>
      <c r="JT50" s="136"/>
      <c r="JU50" s="136"/>
      <c r="JV50" s="136"/>
      <c r="JW50" s="136"/>
      <c r="JX50" s="136"/>
      <c r="JY50" s="136"/>
      <c r="JZ50" s="136"/>
      <c r="KA50" s="136"/>
      <c r="KB50" s="136"/>
      <c r="KC50" s="136"/>
      <c r="KD50" s="136"/>
      <c r="KE50" s="136"/>
      <c r="KF50" s="136"/>
      <c r="KG50" s="136"/>
      <c r="KH50" s="136"/>
      <c r="KI50" s="136"/>
      <c r="KJ50" s="136"/>
      <c r="KK50" s="136"/>
      <c r="KL50" s="136"/>
      <c r="KM50" s="136"/>
      <c r="KN50" s="136"/>
      <c r="KO50" s="136"/>
      <c r="KP50" s="136"/>
      <c r="KQ50" s="136"/>
      <c r="KR50" s="136"/>
      <c r="KS50" s="136"/>
      <c r="KT50" s="136"/>
      <c r="KU50" s="136"/>
      <c r="KV50" s="136"/>
      <c r="KW50" s="136"/>
      <c r="KX50" s="136"/>
      <c r="KY50" s="136"/>
      <c r="KZ50" s="136"/>
      <c r="LA50" s="136"/>
      <c r="LB50" s="136"/>
      <c r="LC50" s="136"/>
      <c r="LD50" s="136"/>
      <c r="LE50" s="136"/>
      <c r="LF50" s="136"/>
      <c r="LG50" s="136"/>
      <c r="LH50" s="136"/>
      <c r="LI50" s="136"/>
      <c r="LJ50" s="136"/>
      <c r="LK50" s="136"/>
      <c r="LL50" s="136"/>
      <c r="LM50" s="136"/>
      <c r="LN50" s="136"/>
      <c r="LO50" s="136"/>
      <c r="LP50" s="136"/>
      <c r="LQ50" s="136"/>
      <c r="LR50" s="136"/>
      <c r="LS50" s="136"/>
      <c r="LT50" s="136"/>
      <c r="LU50" s="136"/>
      <c r="LV50" s="136"/>
      <c r="LW50" s="136"/>
      <c r="LX50" s="136"/>
      <c r="LY50" s="136"/>
      <c r="LZ50" s="136"/>
      <c r="MA50" s="136"/>
      <c r="MB50" s="136"/>
      <c r="MC50" s="136"/>
      <c r="MD50" s="136"/>
      <c r="ME50" s="136"/>
      <c r="MF50" s="136"/>
      <c r="MG50" s="136"/>
      <c r="MH50" s="136"/>
      <c r="MI50" s="136"/>
      <c r="MJ50" s="136"/>
      <c r="MK50" s="136"/>
      <c r="ML50" s="136"/>
      <c r="MM50" s="136"/>
      <c r="MN50" s="136"/>
      <c r="MO50" s="136"/>
      <c r="MP50" s="136"/>
      <c r="MQ50" s="136"/>
      <c r="MR50" s="136"/>
      <c r="MS50" s="136"/>
      <c r="MT50" s="136"/>
      <c r="MU50" s="136"/>
      <c r="MV50" s="136"/>
      <c r="MW50" s="136"/>
      <c r="MX50" s="136"/>
      <c r="MY50" s="136"/>
      <c r="MZ50" s="136"/>
      <c r="NA50" s="136"/>
      <c r="NB50" s="136"/>
      <c r="NC50" s="136"/>
      <c r="ND50" s="136"/>
      <c r="NE50" s="136"/>
      <c r="NF50" s="136"/>
      <c r="NG50" s="136"/>
      <c r="NH50" s="136"/>
      <c r="NI50" s="136"/>
      <c r="NJ50" s="136"/>
      <c r="NK50" s="136"/>
      <c r="NL50" s="136"/>
      <c r="NM50" s="136"/>
      <c r="NN50" s="136"/>
      <c r="NO50" s="136"/>
      <c r="NP50" s="136"/>
      <c r="NQ50" s="136"/>
      <c r="NR50" s="136"/>
      <c r="NS50" s="136"/>
      <c r="NT50" s="136"/>
      <c r="NU50" s="136"/>
      <c r="NV50" s="136"/>
      <c r="NW50" s="136"/>
      <c r="NX50" s="136"/>
      <c r="NY50" s="136"/>
      <c r="NZ50" s="136"/>
      <c r="OA50" s="136"/>
      <c r="OB50" s="136"/>
      <c r="OC50" s="136"/>
      <c r="OD50" s="136"/>
      <c r="OE50" s="136"/>
      <c r="OF50" s="136"/>
      <c r="OG50" s="136"/>
      <c r="OH50" s="136"/>
      <c r="OI50" s="136"/>
      <c r="OJ50" s="136"/>
      <c r="OK50" s="136"/>
      <c r="OL50" s="136"/>
      <c r="OM50" s="136"/>
      <c r="ON50" s="136"/>
      <c r="OO50" s="136"/>
      <c r="OP50" s="136"/>
      <c r="OQ50" s="136"/>
      <c r="OR50" s="136"/>
      <c r="OS50" s="136"/>
      <c r="OT50" s="136"/>
      <c r="OU50" s="136"/>
      <c r="OV50" s="136"/>
      <c r="OW50" s="136"/>
      <c r="OX50" s="136"/>
      <c r="OY50" s="136"/>
      <c r="OZ50" s="136"/>
      <c r="PA50" s="136"/>
      <c r="PB50" s="136"/>
      <c r="PC50" s="136"/>
      <c r="PD50" s="136"/>
      <c r="PE50" s="136"/>
      <c r="PF50" s="136"/>
      <c r="PG50" s="136"/>
      <c r="PH50" s="136"/>
      <c r="PI50" s="136"/>
      <c r="PJ50" s="136"/>
      <c r="PK50" s="136"/>
      <c r="PL50" s="136"/>
      <c r="PM50" s="136"/>
      <c r="PN50" s="136"/>
      <c r="PO50" s="136"/>
      <c r="PP50" s="136"/>
      <c r="PQ50" s="136"/>
      <c r="PR50" s="136"/>
      <c r="PS50" s="136"/>
      <c r="PT50" s="136"/>
      <c r="PU50" s="136"/>
      <c r="PV50" s="136"/>
      <c r="PW50" s="136"/>
      <c r="PX50" s="136"/>
      <c r="PY50" s="136"/>
      <c r="PZ50" s="136"/>
      <c r="QA50" s="136"/>
      <c r="QB50" s="136"/>
      <c r="QC50" s="136"/>
      <c r="QD50" s="136"/>
      <c r="QE50" s="136"/>
      <c r="QF50" s="136"/>
      <c r="QG50" s="136"/>
      <c r="QH50" s="136"/>
      <c r="QI50" s="136"/>
      <c r="QJ50" s="136"/>
      <c r="QK50" s="136"/>
      <c r="QL50" s="136"/>
      <c r="QM50" s="136"/>
      <c r="QN50" s="136"/>
      <c r="QO50" s="136"/>
      <c r="QP50" s="136"/>
      <c r="QQ50" s="136"/>
      <c r="QR50" s="136"/>
      <c r="QS50" s="136"/>
      <c r="QT50" s="136"/>
      <c r="QU50" s="136"/>
      <c r="QV50" s="136"/>
      <c r="QW50" s="136"/>
      <c r="QX50" s="136"/>
      <c r="QY50" s="136"/>
      <c r="QZ50" s="136"/>
      <c r="RA50" s="136"/>
      <c r="RB50" s="136"/>
      <c r="RC50" s="136"/>
      <c r="RD50" s="136"/>
      <c r="RE50" s="136"/>
      <c r="RF50" s="136"/>
      <c r="RG50" s="136"/>
      <c r="RH50" s="136"/>
      <c r="RI50" s="136"/>
      <c r="RJ50" s="136"/>
      <c r="RK50" s="136"/>
      <c r="RL50" s="136"/>
      <c r="RM50" s="136"/>
      <c r="RN50" s="136"/>
      <c r="RO50" s="136"/>
      <c r="RP50" s="136"/>
      <c r="RQ50" s="136"/>
      <c r="RR50" s="136"/>
      <c r="RS50" s="136"/>
      <c r="RT50" s="136"/>
      <c r="RU50" s="136"/>
      <c r="RV50" s="136"/>
      <c r="RW50" s="136"/>
      <c r="RX50" s="136"/>
      <c r="RY50" s="136"/>
      <c r="RZ50" s="136"/>
      <c r="SA50" s="136"/>
      <c r="SB50" s="136"/>
      <c r="SC50" s="136"/>
      <c r="SD50" s="136"/>
      <c r="SE50" s="136"/>
      <c r="SF50" s="136"/>
      <c r="SG50" s="136"/>
      <c r="SH50" s="136"/>
      <c r="SI50" s="136"/>
      <c r="SJ50" s="136"/>
      <c r="SK50" s="136"/>
      <c r="SL50" s="136"/>
      <c r="SM50" s="136"/>
      <c r="SN50" s="136"/>
      <c r="SO50" s="136"/>
      <c r="SP50" s="136"/>
      <c r="SQ50" s="136"/>
      <c r="SR50" s="136"/>
      <c r="SS50" s="136"/>
    </row>
    <row r="51" spans="14:513" s="135" customFormat="1" ht="14.5" x14ac:dyDescent="0.35">
      <c r="N51" s="134"/>
      <c r="O51" s="134"/>
      <c r="P51" s="134"/>
      <c r="Q51" s="134"/>
      <c r="R51" s="134"/>
      <c r="S51" s="134"/>
      <c r="T51" s="134"/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DO51" s="136"/>
      <c r="DP51" s="136"/>
      <c r="DQ51" s="136"/>
      <c r="DR51" s="136"/>
      <c r="DS51" s="136"/>
      <c r="DT51" s="136"/>
      <c r="DU51" s="136"/>
      <c r="DV51" s="136"/>
      <c r="DW51" s="136"/>
      <c r="DX51" s="136"/>
      <c r="DY51" s="136"/>
      <c r="DZ51" s="136"/>
      <c r="EA51" s="136"/>
      <c r="EB51" s="136"/>
      <c r="EC51" s="136"/>
      <c r="ED51" s="136"/>
      <c r="EE51" s="136"/>
      <c r="EF51" s="136"/>
      <c r="EG51" s="136"/>
      <c r="EH51" s="136"/>
      <c r="EI51" s="136"/>
      <c r="EJ51" s="136"/>
      <c r="EK51" s="136"/>
      <c r="EL51" s="136"/>
      <c r="EM51" s="136"/>
      <c r="EN51" s="136"/>
      <c r="EO51" s="136"/>
      <c r="EP51" s="136"/>
      <c r="EQ51" s="136"/>
      <c r="ER51" s="136"/>
      <c r="ES51" s="136"/>
      <c r="ET51" s="136"/>
      <c r="EU51" s="136"/>
      <c r="EV51" s="136"/>
      <c r="EW51" s="136"/>
      <c r="EX51" s="136"/>
      <c r="EY51" s="136"/>
      <c r="EZ51" s="136"/>
      <c r="FA51" s="136"/>
      <c r="FB51" s="136"/>
      <c r="FC51" s="136"/>
      <c r="FD51" s="136"/>
      <c r="FE51" s="136"/>
      <c r="FF51" s="136"/>
      <c r="FG51" s="136"/>
      <c r="FH51" s="136"/>
      <c r="FI51" s="136"/>
      <c r="FJ51" s="136"/>
      <c r="FK51" s="136"/>
      <c r="FL51" s="136"/>
      <c r="FM51" s="136"/>
      <c r="FN51" s="136"/>
      <c r="FO51" s="136"/>
      <c r="FP51" s="136"/>
      <c r="FQ51" s="136"/>
      <c r="FR51" s="136"/>
      <c r="FS51" s="136"/>
      <c r="FT51" s="136"/>
      <c r="FU51" s="136"/>
      <c r="FV51" s="136"/>
      <c r="FW51" s="136"/>
      <c r="FX51" s="136"/>
      <c r="FY51" s="136"/>
      <c r="FZ51" s="136"/>
      <c r="GA51" s="136"/>
      <c r="GB51" s="136"/>
      <c r="GC51" s="136"/>
      <c r="GD51" s="136"/>
      <c r="GE51" s="136"/>
      <c r="GF51" s="136"/>
      <c r="GG51" s="136"/>
      <c r="GH51" s="136"/>
      <c r="GI51" s="136"/>
      <c r="GJ51" s="136"/>
      <c r="GK51" s="136"/>
      <c r="GL51" s="136"/>
      <c r="GM51" s="136"/>
      <c r="GN51" s="136"/>
      <c r="GO51" s="136"/>
      <c r="GP51" s="136"/>
      <c r="GQ51" s="136"/>
      <c r="GR51" s="136"/>
      <c r="GS51" s="136"/>
      <c r="GT51" s="136"/>
      <c r="GU51" s="136"/>
      <c r="GV51" s="136"/>
      <c r="GW51" s="136"/>
      <c r="GX51" s="136"/>
      <c r="GY51" s="136"/>
      <c r="GZ51" s="136"/>
      <c r="HA51" s="136"/>
      <c r="HB51" s="136"/>
      <c r="HC51" s="136"/>
      <c r="HD51" s="136"/>
      <c r="HE51" s="136"/>
      <c r="HF51" s="136"/>
      <c r="HG51" s="136"/>
      <c r="HH51" s="136"/>
      <c r="HI51" s="136"/>
      <c r="HJ51" s="136"/>
      <c r="HK51" s="136"/>
      <c r="HL51" s="136"/>
      <c r="HM51" s="136"/>
      <c r="HN51" s="136"/>
      <c r="HO51" s="136"/>
      <c r="HP51" s="136"/>
      <c r="HQ51" s="136"/>
      <c r="HR51" s="136"/>
      <c r="HS51" s="136"/>
      <c r="HT51" s="136"/>
      <c r="HU51" s="136"/>
      <c r="HV51" s="136"/>
      <c r="HW51" s="136"/>
      <c r="HX51" s="136"/>
      <c r="HY51" s="136"/>
      <c r="HZ51" s="136"/>
      <c r="IA51" s="136"/>
      <c r="IB51" s="136"/>
      <c r="IC51" s="136"/>
      <c r="ID51" s="136"/>
      <c r="IE51" s="136"/>
      <c r="IF51" s="136"/>
      <c r="IG51" s="136"/>
      <c r="IH51" s="136"/>
      <c r="II51" s="136"/>
      <c r="IJ51" s="136"/>
      <c r="IK51" s="136"/>
      <c r="IL51" s="136"/>
      <c r="IM51" s="136"/>
      <c r="IN51" s="136"/>
      <c r="IO51" s="136"/>
      <c r="IP51" s="136"/>
      <c r="IQ51" s="136"/>
      <c r="IR51" s="136"/>
      <c r="IS51" s="136"/>
      <c r="IT51" s="136"/>
      <c r="IU51" s="136"/>
      <c r="IV51" s="136"/>
      <c r="IW51" s="136"/>
      <c r="IX51" s="136"/>
      <c r="IY51" s="136"/>
      <c r="IZ51" s="136"/>
      <c r="JA51" s="136"/>
      <c r="JB51" s="136"/>
      <c r="JC51" s="136"/>
      <c r="JD51" s="136"/>
      <c r="JE51" s="136"/>
      <c r="JF51" s="136"/>
      <c r="JG51" s="136"/>
      <c r="JH51" s="136"/>
      <c r="JI51" s="136"/>
      <c r="JJ51" s="136"/>
      <c r="JK51" s="136"/>
      <c r="JL51" s="136"/>
      <c r="JM51" s="136"/>
      <c r="JN51" s="136"/>
      <c r="JO51" s="136"/>
      <c r="JP51" s="136"/>
      <c r="JQ51" s="136"/>
      <c r="JR51" s="136"/>
      <c r="JS51" s="136"/>
      <c r="JT51" s="136"/>
      <c r="JU51" s="136"/>
      <c r="JV51" s="136"/>
      <c r="JW51" s="136"/>
      <c r="JX51" s="136"/>
      <c r="JY51" s="136"/>
      <c r="JZ51" s="136"/>
      <c r="KA51" s="136"/>
      <c r="KB51" s="136"/>
      <c r="KC51" s="136"/>
      <c r="KD51" s="136"/>
      <c r="KE51" s="136"/>
      <c r="KF51" s="136"/>
      <c r="KG51" s="136"/>
      <c r="KH51" s="136"/>
      <c r="KI51" s="136"/>
      <c r="KJ51" s="136"/>
      <c r="KK51" s="136"/>
      <c r="KL51" s="136"/>
      <c r="KM51" s="136"/>
      <c r="KN51" s="136"/>
      <c r="KO51" s="136"/>
      <c r="KP51" s="136"/>
      <c r="KQ51" s="136"/>
      <c r="KR51" s="136"/>
      <c r="KS51" s="136"/>
      <c r="KT51" s="136"/>
      <c r="KU51" s="136"/>
      <c r="KV51" s="136"/>
      <c r="KW51" s="136"/>
      <c r="KX51" s="136"/>
      <c r="KY51" s="136"/>
      <c r="KZ51" s="136"/>
      <c r="LA51" s="136"/>
      <c r="LB51" s="136"/>
      <c r="LC51" s="136"/>
      <c r="LD51" s="136"/>
      <c r="LE51" s="136"/>
      <c r="LF51" s="136"/>
      <c r="LG51" s="136"/>
      <c r="LH51" s="136"/>
      <c r="LI51" s="136"/>
      <c r="LJ51" s="136"/>
      <c r="LK51" s="136"/>
      <c r="LL51" s="136"/>
      <c r="LM51" s="136"/>
      <c r="LN51" s="136"/>
      <c r="LO51" s="136"/>
      <c r="LP51" s="136"/>
      <c r="LQ51" s="136"/>
      <c r="LR51" s="136"/>
      <c r="LS51" s="136"/>
      <c r="LT51" s="136"/>
      <c r="LU51" s="136"/>
      <c r="LV51" s="136"/>
      <c r="LW51" s="136"/>
      <c r="LX51" s="136"/>
      <c r="LY51" s="136"/>
      <c r="LZ51" s="136"/>
      <c r="MA51" s="136"/>
      <c r="MB51" s="136"/>
      <c r="MC51" s="136"/>
      <c r="MD51" s="136"/>
      <c r="ME51" s="136"/>
      <c r="MF51" s="136"/>
      <c r="MG51" s="136"/>
      <c r="MH51" s="136"/>
      <c r="MI51" s="136"/>
      <c r="MJ51" s="136"/>
      <c r="MK51" s="136"/>
      <c r="ML51" s="136"/>
      <c r="MM51" s="136"/>
      <c r="MN51" s="136"/>
      <c r="MO51" s="136"/>
      <c r="MP51" s="136"/>
      <c r="MQ51" s="136"/>
      <c r="MR51" s="136"/>
      <c r="MS51" s="136"/>
      <c r="MT51" s="136"/>
      <c r="MU51" s="136"/>
      <c r="MV51" s="136"/>
      <c r="MW51" s="136"/>
      <c r="MX51" s="136"/>
      <c r="MY51" s="136"/>
      <c r="MZ51" s="136"/>
      <c r="NA51" s="136"/>
      <c r="NB51" s="136"/>
      <c r="NC51" s="136"/>
      <c r="ND51" s="136"/>
      <c r="NE51" s="136"/>
      <c r="NF51" s="136"/>
      <c r="NG51" s="136"/>
      <c r="NH51" s="136"/>
      <c r="NI51" s="136"/>
      <c r="NJ51" s="136"/>
      <c r="NK51" s="136"/>
      <c r="NL51" s="136"/>
      <c r="NM51" s="136"/>
      <c r="NN51" s="136"/>
      <c r="NO51" s="136"/>
      <c r="NP51" s="136"/>
      <c r="NQ51" s="136"/>
      <c r="NR51" s="136"/>
      <c r="NS51" s="136"/>
      <c r="NT51" s="136"/>
      <c r="NU51" s="136"/>
      <c r="NV51" s="136"/>
      <c r="NW51" s="136"/>
      <c r="NX51" s="136"/>
      <c r="NY51" s="136"/>
      <c r="NZ51" s="136"/>
      <c r="OA51" s="136"/>
      <c r="OB51" s="136"/>
      <c r="OC51" s="136"/>
      <c r="OD51" s="136"/>
      <c r="OE51" s="136"/>
      <c r="OF51" s="136"/>
      <c r="OG51" s="136"/>
      <c r="OH51" s="136"/>
      <c r="OI51" s="136"/>
      <c r="OJ51" s="136"/>
      <c r="OK51" s="136"/>
      <c r="OL51" s="136"/>
      <c r="OM51" s="136"/>
      <c r="ON51" s="136"/>
      <c r="OO51" s="136"/>
      <c r="OP51" s="136"/>
      <c r="OQ51" s="136"/>
      <c r="OR51" s="136"/>
      <c r="OS51" s="136"/>
      <c r="OT51" s="136"/>
      <c r="OU51" s="136"/>
      <c r="OV51" s="136"/>
      <c r="OW51" s="136"/>
      <c r="OX51" s="136"/>
      <c r="OY51" s="136"/>
      <c r="OZ51" s="136"/>
      <c r="PA51" s="136"/>
      <c r="PB51" s="136"/>
      <c r="PC51" s="136"/>
      <c r="PD51" s="136"/>
      <c r="PE51" s="136"/>
      <c r="PF51" s="136"/>
      <c r="PG51" s="136"/>
      <c r="PH51" s="136"/>
      <c r="PI51" s="136"/>
      <c r="PJ51" s="136"/>
      <c r="PK51" s="136"/>
      <c r="PL51" s="136"/>
      <c r="PM51" s="136"/>
      <c r="PN51" s="136"/>
      <c r="PO51" s="136"/>
      <c r="PP51" s="136"/>
      <c r="PQ51" s="136"/>
      <c r="PR51" s="136"/>
      <c r="PS51" s="136"/>
      <c r="PT51" s="136"/>
      <c r="PU51" s="136"/>
      <c r="PV51" s="136"/>
      <c r="PW51" s="136"/>
      <c r="PX51" s="136"/>
      <c r="PY51" s="136"/>
      <c r="PZ51" s="136"/>
      <c r="QA51" s="136"/>
      <c r="QB51" s="136"/>
      <c r="QC51" s="136"/>
      <c r="QD51" s="136"/>
      <c r="QE51" s="136"/>
      <c r="QF51" s="136"/>
      <c r="QG51" s="136"/>
      <c r="QH51" s="136"/>
      <c r="QI51" s="136"/>
      <c r="QJ51" s="136"/>
      <c r="QK51" s="136"/>
      <c r="QL51" s="136"/>
      <c r="QM51" s="136"/>
      <c r="QN51" s="136"/>
      <c r="QO51" s="136"/>
      <c r="QP51" s="136"/>
      <c r="QQ51" s="136"/>
      <c r="QR51" s="136"/>
      <c r="QS51" s="136"/>
      <c r="QT51" s="136"/>
      <c r="QU51" s="136"/>
      <c r="QV51" s="136"/>
      <c r="QW51" s="136"/>
      <c r="QX51" s="136"/>
      <c r="QY51" s="136"/>
      <c r="QZ51" s="136"/>
      <c r="RA51" s="136"/>
      <c r="RB51" s="136"/>
      <c r="RC51" s="136"/>
      <c r="RD51" s="136"/>
      <c r="RE51" s="136"/>
      <c r="RF51" s="136"/>
      <c r="RG51" s="136"/>
      <c r="RH51" s="136"/>
      <c r="RI51" s="136"/>
      <c r="RJ51" s="136"/>
      <c r="RK51" s="136"/>
      <c r="RL51" s="136"/>
      <c r="RM51" s="136"/>
      <c r="RN51" s="136"/>
      <c r="RO51" s="136"/>
      <c r="RP51" s="136"/>
      <c r="RQ51" s="136"/>
      <c r="RR51" s="136"/>
      <c r="RS51" s="136"/>
      <c r="RT51" s="136"/>
      <c r="RU51" s="136"/>
      <c r="RV51" s="136"/>
      <c r="RW51" s="136"/>
      <c r="RX51" s="136"/>
      <c r="RY51" s="136"/>
      <c r="RZ51" s="136"/>
      <c r="SA51" s="136"/>
      <c r="SB51" s="136"/>
      <c r="SC51" s="136"/>
      <c r="SD51" s="136"/>
      <c r="SE51" s="136"/>
      <c r="SF51" s="136"/>
      <c r="SG51" s="136"/>
      <c r="SH51" s="136"/>
      <c r="SI51" s="136"/>
      <c r="SJ51" s="136"/>
      <c r="SK51" s="136"/>
      <c r="SL51" s="136"/>
      <c r="SM51" s="136"/>
      <c r="SN51" s="136"/>
      <c r="SO51" s="136"/>
      <c r="SP51" s="136"/>
      <c r="SQ51" s="136"/>
      <c r="SR51" s="136"/>
      <c r="SS51" s="136"/>
    </row>
    <row r="52" spans="14:513" s="135" customFormat="1" ht="14.5" x14ac:dyDescent="0.35">
      <c r="N52" s="134"/>
      <c r="O52" s="134"/>
      <c r="P52" s="134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4"/>
      <c r="AB52" s="134"/>
      <c r="AC52" s="134"/>
      <c r="AD52" s="134"/>
      <c r="AE52" s="134"/>
      <c r="AF52" s="134"/>
      <c r="CC52" s="432"/>
      <c r="CD52" s="432"/>
      <c r="CE52" s="432"/>
      <c r="CF52" s="432">
        <v>-354614.87766144937</v>
      </c>
      <c r="CG52" s="432">
        <v>-695427.37766144937</v>
      </c>
      <c r="CH52" s="432">
        <v>-378942.65880366601</v>
      </c>
      <c r="CI52" s="432">
        <v>-429116.86020281364</v>
      </c>
      <c r="CJ52" s="432">
        <f>1676704.26979719+500000</f>
        <v>2176704.2697971901</v>
      </c>
      <c r="CK52" s="432">
        <v>-679106.70244211564</v>
      </c>
      <c r="CL52" s="432">
        <v>-313818.05762654362</v>
      </c>
      <c r="CM52" s="432">
        <v>-1000227.6176265441</v>
      </c>
      <c r="CN52" s="432">
        <v>-332231.99536062405</v>
      </c>
      <c r="CO52" s="432">
        <v>-231693.83960040892</v>
      </c>
      <c r="CP52" s="432">
        <v>-390625.78694847028</v>
      </c>
      <c r="CQ52" s="432">
        <v>885765.70773945795</v>
      </c>
      <c r="CR52" s="727">
        <v>-509228.30708203954</v>
      </c>
      <c r="CS52" s="432">
        <v>-609794.91174941941</v>
      </c>
      <c r="CT52" s="432">
        <v>-88283.570302320877</v>
      </c>
      <c r="CU52" s="432">
        <v>-298930.80649122223</v>
      </c>
      <c r="CV52" s="432">
        <v>-471597.06651841279</v>
      </c>
      <c r="CW52" s="432">
        <v>-294638.91721978068</v>
      </c>
      <c r="CX52" s="432">
        <v>-322817.87226178433</v>
      </c>
      <c r="DO52" s="136"/>
      <c r="DP52" s="136"/>
      <c r="DQ52" s="136"/>
      <c r="DR52" s="136"/>
      <c r="DS52" s="136"/>
      <c r="DT52" s="136"/>
      <c r="DU52" s="136"/>
      <c r="DV52" s="136"/>
      <c r="DW52" s="136"/>
      <c r="DX52" s="136"/>
      <c r="DY52" s="136"/>
      <c r="DZ52" s="136"/>
      <c r="EA52" s="136"/>
      <c r="EB52" s="136"/>
      <c r="EC52" s="136"/>
      <c r="ED52" s="136"/>
      <c r="EE52" s="136"/>
      <c r="EF52" s="136"/>
      <c r="EG52" s="136"/>
      <c r="EH52" s="136"/>
      <c r="EI52" s="136"/>
      <c r="EJ52" s="136"/>
      <c r="EK52" s="136"/>
      <c r="EL52" s="136"/>
      <c r="EM52" s="136"/>
      <c r="EN52" s="136"/>
      <c r="EO52" s="136"/>
      <c r="EP52" s="136"/>
      <c r="EQ52" s="136"/>
      <c r="ER52" s="136"/>
      <c r="ES52" s="136"/>
      <c r="ET52" s="136"/>
      <c r="EU52" s="136"/>
      <c r="EV52" s="136"/>
      <c r="EW52" s="136"/>
      <c r="EX52" s="136"/>
      <c r="EY52" s="136"/>
      <c r="EZ52" s="136"/>
      <c r="FA52" s="136"/>
      <c r="FB52" s="136"/>
      <c r="FC52" s="136"/>
      <c r="FD52" s="136"/>
      <c r="FE52" s="136"/>
      <c r="FF52" s="136"/>
      <c r="FG52" s="136"/>
      <c r="FH52" s="136"/>
      <c r="FI52" s="136"/>
      <c r="FJ52" s="136"/>
      <c r="FK52" s="136"/>
      <c r="FL52" s="136"/>
      <c r="FM52" s="136"/>
      <c r="FN52" s="136"/>
      <c r="FO52" s="136"/>
      <c r="FP52" s="136"/>
      <c r="FQ52" s="136"/>
      <c r="FR52" s="136"/>
      <c r="FS52" s="136"/>
      <c r="FT52" s="136"/>
      <c r="FU52" s="136"/>
      <c r="FV52" s="136"/>
      <c r="FW52" s="136"/>
      <c r="FX52" s="136"/>
      <c r="FY52" s="136"/>
      <c r="FZ52" s="136"/>
      <c r="GA52" s="136"/>
      <c r="GB52" s="136"/>
      <c r="GC52" s="136"/>
      <c r="GD52" s="136"/>
      <c r="GE52" s="136"/>
      <c r="GF52" s="136"/>
      <c r="GG52" s="136"/>
      <c r="GH52" s="136"/>
      <c r="GI52" s="136"/>
      <c r="GJ52" s="136"/>
      <c r="GK52" s="136"/>
      <c r="GL52" s="136"/>
      <c r="GM52" s="136"/>
      <c r="GN52" s="136"/>
      <c r="GO52" s="136"/>
      <c r="GP52" s="136"/>
      <c r="GQ52" s="136"/>
      <c r="GR52" s="136"/>
      <c r="GS52" s="136"/>
      <c r="GT52" s="136"/>
      <c r="GU52" s="136"/>
      <c r="GV52" s="136"/>
      <c r="GW52" s="136"/>
      <c r="GX52" s="136"/>
      <c r="GY52" s="136"/>
      <c r="GZ52" s="136"/>
      <c r="HA52" s="136"/>
      <c r="HB52" s="136"/>
      <c r="HC52" s="136"/>
      <c r="HD52" s="136"/>
      <c r="HE52" s="136"/>
      <c r="HF52" s="136"/>
      <c r="HG52" s="136"/>
      <c r="HH52" s="136"/>
      <c r="HI52" s="136"/>
      <c r="HJ52" s="136"/>
      <c r="HK52" s="136"/>
      <c r="HL52" s="136"/>
      <c r="HM52" s="136"/>
      <c r="HN52" s="136"/>
      <c r="HO52" s="136"/>
      <c r="HP52" s="136"/>
      <c r="HQ52" s="136"/>
      <c r="HR52" s="136"/>
      <c r="HS52" s="136"/>
      <c r="HT52" s="136"/>
      <c r="HU52" s="136"/>
      <c r="HV52" s="136"/>
      <c r="HW52" s="136"/>
      <c r="HX52" s="136"/>
      <c r="HY52" s="136"/>
      <c r="HZ52" s="136"/>
      <c r="IA52" s="136"/>
      <c r="IB52" s="136"/>
      <c r="IC52" s="136"/>
      <c r="ID52" s="136"/>
      <c r="IE52" s="136"/>
      <c r="IF52" s="136"/>
      <c r="IG52" s="136"/>
      <c r="IH52" s="136"/>
      <c r="II52" s="136"/>
      <c r="IJ52" s="136"/>
      <c r="IK52" s="136"/>
      <c r="IL52" s="136"/>
      <c r="IM52" s="136"/>
      <c r="IN52" s="136"/>
      <c r="IO52" s="136"/>
      <c r="IP52" s="136"/>
      <c r="IQ52" s="136"/>
      <c r="IR52" s="136"/>
      <c r="IS52" s="136"/>
      <c r="IT52" s="136"/>
      <c r="IU52" s="136"/>
      <c r="IV52" s="136"/>
      <c r="IW52" s="136"/>
      <c r="IX52" s="136"/>
      <c r="IY52" s="136"/>
      <c r="IZ52" s="136"/>
      <c r="JA52" s="136"/>
      <c r="JB52" s="136"/>
      <c r="JC52" s="136"/>
      <c r="JD52" s="136"/>
      <c r="JE52" s="136"/>
      <c r="JF52" s="136"/>
      <c r="JG52" s="136"/>
      <c r="JH52" s="136"/>
      <c r="JI52" s="136"/>
      <c r="JJ52" s="136"/>
      <c r="JK52" s="136"/>
      <c r="JL52" s="136"/>
      <c r="JM52" s="136"/>
      <c r="JN52" s="136"/>
      <c r="JO52" s="136"/>
      <c r="JP52" s="136"/>
      <c r="JQ52" s="136"/>
      <c r="JR52" s="136"/>
      <c r="JS52" s="136"/>
      <c r="JT52" s="136"/>
      <c r="JU52" s="136"/>
      <c r="JV52" s="136"/>
      <c r="JW52" s="136"/>
      <c r="JX52" s="136"/>
      <c r="JY52" s="136"/>
      <c r="JZ52" s="136"/>
      <c r="KA52" s="136"/>
      <c r="KB52" s="136"/>
      <c r="KC52" s="136"/>
      <c r="KD52" s="136"/>
      <c r="KE52" s="136"/>
      <c r="KF52" s="136"/>
      <c r="KG52" s="136"/>
      <c r="KH52" s="136"/>
      <c r="KI52" s="136"/>
      <c r="KJ52" s="136"/>
      <c r="KK52" s="136"/>
      <c r="KL52" s="136"/>
      <c r="KM52" s="136"/>
      <c r="KN52" s="136"/>
      <c r="KO52" s="136"/>
      <c r="KP52" s="136"/>
      <c r="KQ52" s="136"/>
      <c r="KR52" s="136"/>
      <c r="KS52" s="136"/>
      <c r="KT52" s="136"/>
      <c r="KU52" s="136"/>
      <c r="KV52" s="136"/>
      <c r="KW52" s="136"/>
      <c r="KX52" s="136"/>
      <c r="KY52" s="136"/>
      <c r="KZ52" s="136"/>
      <c r="LA52" s="136"/>
      <c r="LB52" s="136"/>
      <c r="LC52" s="136"/>
      <c r="LD52" s="136"/>
      <c r="LE52" s="136"/>
      <c r="LF52" s="136"/>
      <c r="LG52" s="136"/>
      <c r="LH52" s="136"/>
      <c r="LI52" s="136"/>
      <c r="LJ52" s="136"/>
      <c r="LK52" s="136"/>
      <c r="LL52" s="136"/>
      <c r="LM52" s="136"/>
      <c r="LN52" s="136"/>
      <c r="LO52" s="136"/>
      <c r="LP52" s="136"/>
      <c r="LQ52" s="136"/>
      <c r="LR52" s="136"/>
      <c r="LS52" s="136"/>
      <c r="LT52" s="136"/>
      <c r="LU52" s="136"/>
      <c r="LV52" s="136"/>
      <c r="LW52" s="136"/>
      <c r="LX52" s="136"/>
      <c r="LY52" s="136"/>
      <c r="LZ52" s="136"/>
      <c r="MA52" s="136"/>
      <c r="MB52" s="136"/>
      <c r="MC52" s="136"/>
      <c r="MD52" s="136"/>
      <c r="ME52" s="136"/>
      <c r="MF52" s="136"/>
      <c r="MG52" s="136"/>
      <c r="MH52" s="136"/>
      <c r="MI52" s="136"/>
      <c r="MJ52" s="136"/>
      <c r="MK52" s="136"/>
      <c r="ML52" s="136"/>
      <c r="MM52" s="136"/>
      <c r="MN52" s="136"/>
      <c r="MO52" s="136"/>
      <c r="MP52" s="136"/>
      <c r="MQ52" s="136"/>
      <c r="MR52" s="136"/>
      <c r="MS52" s="136"/>
      <c r="MT52" s="136"/>
      <c r="MU52" s="136"/>
      <c r="MV52" s="136"/>
      <c r="MW52" s="136"/>
      <c r="MX52" s="136"/>
      <c r="MY52" s="136"/>
      <c r="MZ52" s="136"/>
      <c r="NA52" s="136"/>
      <c r="NB52" s="136"/>
      <c r="NC52" s="136"/>
      <c r="ND52" s="136"/>
      <c r="NE52" s="136"/>
      <c r="NF52" s="136"/>
      <c r="NG52" s="136"/>
      <c r="NH52" s="136"/>
      <c r="NI52" s="136"/>
      <c r="NJ52" s="136"/>
      <c r="NK52" s="136"/>
      <c r="NL52" s="136"/>
      <c r="NM52" s="136"/>
      <c r="NN52" s="136"/>
      <c r="NO52" s="136"/>
      <c r="NP52" s="136"/>
      <c r="NQ52" s="136"/>
      <c r="NR52" s="136"/>
      <c r="NS52" s="136"/>
      <c r="NT52" s="136"/>
      <c r="NU52" s="136"/>
      <c r="NV52" s="136"/>
      <c r="NW52" s="136"/>
      <c r="NX52" s="136"/>
      <c r="NY52" s="136"/>
      <c r="NZ52" s="136"/>
      <c r="OA52" s="136"/>
      <c r="OB52" s="136"/>
      <c r="OC52" s="136"/>
      <c r="OD52" s="136"/>
      <c r="OE52" s="136"/>
      <c r="OF52" s="136"/>
      <c r="OG52" s="136"/>
      <c r="OH52" s="136"/>
      <c r="OI52" s="136"/>
      <c r="OJ52" s="136"/>
      <c r="OK52" s="136"/>
      <c r="OL52" s="136"/>
      <c r="OM52" s="136"/>
      <c r="ON52" s="136"/>
      <c r="OO52" s="136"/>
      <c r="OP52" s="136"/>
      <c r="OQ52" s="136"/>
      <c r="OR52" s="136"/>
      <c r="OS52" s="136"/>
      <c r="OT52" s="136"/>
      <c r="OU52" s="136"/>
      <c r="OV52" s="136"/>
      <c r="OW52" s="136"/>
      <c r="OX52" s="136"/>
      <c r="OY52" s="136"/>
      <c r="OZ52" s="136"/>
      <c r="PA52" s="136"/>
      <c r="PB52" s="136"/>
      <c r="PC52" s="136"/>
      <c r="PD52" s="136"/>
      <c r="PE52" s="136"/>
      <c r="PF52" s="136"/>
      <c r="PG52" s="136"/>
      <c r="PH52" s="136"/>
      <c r="PI52" s="136"/>
      <c r="PJ52" s="136"/>
      <c r="PK52" s="136"/>
      <c r="PL52" s="136"/>
      <c r="PM52" s="136"/>
      <c r="PN52" s="136"/>
      <c r="PO52" s="136"/>
      <c r="PP52" s="136"/>
      <c r="PQ52" s="136"/>
      <c r="PR52" s="136"/>
      <c r="PS52" s="136"/>
      <c r="PT52" s="136"/>
      <c r="PU52" s="136"/>
      <c r="PV52" s="136"/>
      <c r="PW52" s="136"/>
      <c r="PX52" s="136"/>
      <c r="PY52" s="136"/>
      <c r="PZ52" s="136"/>
      <c r="QA52" s="136"/>
      <c r="QB52" s="136"/>
      <c r="QC52" s="136"/>
      <c r="QD52" s="136"/>
      <c r="QE52" s="136"/>
      <c r="QF52" s="136"/>
      <c r="QG52" s="136"/>
      <c r="QH52" s="136"/>
      <c r="QI52" s="136"/>
      <c r="QJ52" s="136"/>
      <c r="QK52" s="136"/>
      <c r="QL52" s="136"/>
      <c r="QM52" s="136"/>
      <c r="QN52" s="136"/>
      <c r="QO52" s="136"/>
      <c r="QP52" s="136"/>
      <c r="QQ52" s="136"/>
      <c r="QR52" s="136"/>
      <c r="QS52" s="136"/>
      <c r="QT52" s="136"/>
      <c r="QU52" s="136"/>
      <c r="QV52" s="136"/>
      <c r="QW52" s="136"/>
      <c r="QX52" s="136"/>
      <c r="QY52" s="136"/>
      <c r="QZ52" s="136"/>
      <c r="RA52" s="136"/>
      <c r="RB52" s="136"/>
      <c r="RC52" s="136"/>
      <c r="RD52" s="136"/>
      <c r="RE52" s="136"/>
      <c r="RF52" s="136"/>
      <c r="RG52" s="136"/>
      <c r="RH52" s="136"/>
      <c r="RI52" s="136"/>
      <c r="RJ52" s="136"/>
      <c r="RK52" s="136"/>
      <c r="RL52" s="136"/>
      <c r="RM52" s="136"/>
      <c r="RN52" s="136"/>
      <c r="RO52" s="136"/>
      <c r="RP52" s="136"/>
      <c r="RQ52" s="136"/>
      <c r="RR52" s="136"/>
      <c r="RS52" s="136"/>
      <c r="RT52" s="136"/>
      <c r="RU52" s="136"/>
      <c r="RV52" s="136"/>
      <c r="RW52" s="136"/>
      <c r="RX52" s="136"/>
      <c r="RY52" s="136"/>
      <c r="RZ52" s="136"/>
      <c r="SA52" s="136"/>
      <c r="SB52" s="136"/>
      <c r="SC52" s="136"/>
      <c r="SD52" s="136"/>
      <c r="SE52" s="136"/>
      <c r="SF52" s="136"/>
      <c r="SG52" s="136"/>
      <c r="SH52" s="136"/>
      <c r="SI52" s="136"/>
      <c r="SJ52" s="136"/>
      <c r="SK52" s="136"/>
      <c r="SL52" s="136"/>
      <c r="SM52" s="136"/>
      <c r="SN52" s="136"/>
      <c r="SO52" s="136"/>
      <c r="SP52" s="136"/>
      <c r="SQ52" s="136"/>
      <c r="SR52" s="136"/>
      <c r="SS52" s="136"/>
    </row>
    <row r="53" spans="14:513" s="135" customFormat="1" ht="17.25" customHeight="1" x14ac:dyDescent="0.35">
      <c r="N53" s="134"/>
      <c r="O53" s="134"/>
      <c r="P53" s="213" t="s">
        <v>891</v>
      </c>
      <c r="Q53" s="213" t="s">
        <v>892</v>
      </c>
      <c r="R53" s="213" t="s">
        <v>893</v>
      </c>
      <c r="S53" s="213" t="s">
        <v>894</v>
      </c>
      <c r="T53" s="213" t="s">
        <v>895</v>
      </c>
      <c r="U53" s="213" t="s">
        <v>896</v>
      </c>
      <c r="V53" s="134"/>
      <c r="W53" s="134"/>
      <c r="X53" s="134"/>
      <c r="Y53" s="134"/>
      <c r="Z53" s="134"/>
      <c r="AA53" s="134"/>
      <c r="AB53" s="134"/>
      <c r="AC53" s="134"/>
      <c r="AD53" s="134"/>
      <c r="AE53" s="134"/>
      <c r="AF53" s="134"/>
      <c r="BH53" s="430"/>
      <c r="CF53" s="432"/>
      <c r="CG53" s="432"/>
      <c r="CH53" s="432"/>
      <c r="CI53" s="432"/>
      <c r="CJ53" s="432"/>
      <c r="CK53" s="432"/>
      <c r="CL53" s="432"/>
      <c r="DO53" s="136"/>
      <c r="DP53" s="136"/>
      <c r="DQ53" s="136"/>
      <c r="DR53" s="136"/>
      <c r="DS53" s="136"/>
      <c r="DT53" s="136"/>
      <c r="DU53" s="136"/>
      <c r="DV53" s="136"/>
      <c r="DW53" s="136"/>
      <c r="DX53" s="136"/>
      <c r="DY53" s="136"/>
      <c r="DZ53" s="136"/>
      <c r="EA53" s="136"/>
      <c r="EB53" s="136"/>
      <c r="EC53" s="136"/>
      <c r="ED53" s="136"/>
      <c r="EE53" s="136"/>
      <c r="EF53" s="136"/>
      <c r="EG53" s="136"/>
      <c r="EH53" s="136"/>
      <c r="EI53" s="136"/>
      <c r="EJ53" s="136"/>
      <c r="EK53" s="136"/>
      <c r="EL53" s="136"/>
      <c r="EM53" s="136"/>
      <c r="EN53" s="136"/>
      <c r="EO53" s="136"/>
      <c r="EP53" s="136"/>
      <c r="EQ53" s="136"/>
      <c r="ER53" s="136"/>
      <c r="ES53" s="136"/>
      <c r="ET53" s="136"/>
      <c r="EU53" s="136"/>
      <c r="EV53" s="136"/>
      <c r="EW53" s="136"/>
      <c r="EX53" s="136"/>
      <c r="EY53" s="136"/>
      <c r="EZ53" s="136"/>
      <c r="FA53" s="136"/>
      <c r="FB53" s="136"/>
      <c r="FC53" s="136"/>
      <c r="FD53" s="136"/>
      <c r="FE53" s="136"/>
      <c r="FF53" s="136"/>
      <c r="FG53" s="136"/>
      <c r="FH53" s="136"/>
      <c r="FI53" s="136"/>
      <c r="FJ53" s="136"/>
      <c r="FK53" s="136"/>
      <c r="FL53" s="136"/>
      <c r="FM53" s="136"/>
      <c r="FN53" s="136"/>
      <c r="FO53" s="136"/>
      <c r="FP53" s="136"/>
      <c r="FQ53" s="136"/>
      <c r="FR53" s="136"/>
      <c r="FS53" s="136"/>
      <c r="FT53" s="136"/>
      <c r="FU53" s="136"/>
      <c r="FV53" s="136"/>
      <c r="FW53" s="136"/>
      <c r="FX53" s="136"/>
      <c r="FY53" s="136"/>
      <c r="FZ53" s="136"/>
      <c r="GA53" s="136"/>
      <c r="GB53" s="136"/>
      <c r="GC53" s="136"/>
      <c r="GD53" s="136"/>
      <c r="GE53" s="136"/>
      <c r="GF53" s="136"/>
      <c r="GG53" s="136"/>
      <c r="GH53" s="136"/>
      <c r="GI53" s="136"/>
      <c r="GJ53" s="136"/>
      <c r="GK53" s="136"/>
      <c r="GL53" s="136"/>
      <c r="GM53" s="136"/>
      <c r="GN53" s="136"/>
      <c r="GO53" s="136"/>
      <c r="GP53" s="136"/>
      <c r="GQ53" s="136"/>
      <c r="GR53" s="136"/>
      <c r="GS53" s="136"/>
      <c r="GT53" s="136"/>
      <c r="GU53" s="136"/>
      <c r="GV53" s="136"/>
      <c r="GW53" s="136"/>
      <c r="GX53" s="136"/>
      <c r="GY53" s="136"/>
      <c r="GZ53" s="136"/>
      <c r="HA53" s="136"/>
      <c r="HB53" s="136"/>
      <c r="HC53" s="136"/>
      <c r="HD53" s="136"/>
      <c r="HE53" s="136"/>
      <c r="HF53" s="136"/>
      <c r="HG53" s="136"/>
      <c r="HH53" s="136"/>
      <c r="HI53" s="136"/>
      <c r="HJ53" s="136"/>
      <c r="HK53" s="136"/>
      <c r="HL53" s="136"/>
      <c r="HM53" s="136"/>
      <c r="HN53" s="136"/>
      <c r="HO53" s="136"/>
      <c r="HP53" s="136"/>
      <c r="HQ53" s="136"/>
      <c r="HR53" s="136"/>
      <c r="HS53" s="136"/>
      <c r="HT53" s="136"/>
      <c r="HU53" s="136"/>
      <c r="HV53" s="136"/>
      <c r="HW53" s="136"/>
      <c r="HX53" s="136"/>
      <c r="HY53" s="136"/>
      <c r="HZ53" s="136"/>
      <c r="IA53" s="136"/>
      <c r="IB53" s="136"/>
      <c r="IC53" s="136"/>
      <c r="ID53" s="136"/>
      <c r="IE53" s="136"/>
      <c r="IF53" s="136"/>
      <c r="IG53" s="136"/>
      <c r="IH53" s="136"/>
      <c r="II53" s="136"/>
      <c r="IJ53" s="136"/>
      <c r="IK53" s="136"/>
      <c r="IL53" s="136"/>
      <c r="IM53" s="136"/>
      <c r="IN53" s="136"/>
      <c r="IO53" s="136"/>
      <c r="IP53" s="136"/>
      <c r="IQ53" s="136"/>
      <c r="IR53" s="136"/>
      <c r="IS53" s="136"/>
      <c r="IT53" s="136"/>
      <c r="IU53" s="136"/>
      <c r="IV53" s="136"/>
      <c r="IW53" s="136"/>
      <c r="IX53" s="136"/>
      <c r="IY53" s="136"/>
      <c r="IZ53" s="136"/>
      <c r="JA53" s="136"/>
      <c r="JB53" s="136"/>
      <c r="JC53" s="136"/>
      <c r="JD53" s="136"/>
      <c r="JE53" s="136"/>
      <c r="JF53" s="136"/>
      <c r="JG53" s="136"/>
      <c r="JH53" s="136"/>
      <c r="JI53" s="136"/>
      <c r="JJ53" s="136"/>
      <c r="JK53" s="136"/>
      <c r="JL53" s="136"/>
      <c r="JM53" s="136"/>
      <c r="JN53" s="136"/>
      <c r="JO53" s="136"/>
      <c r="JP53" s="136"/>
      <c r="JQ53" s="136"/>
      <c r="JR53" s="136"/>
      <c r="JS53" s="136"/>
      <c r="JT53" s="136"/>
      <c r="JU53" s="136"/>
      <c r="JV53" s="136"/>
      <c r="JW53" s="136"/>
      <c r="JX53" s="136"/>
      <c r="JY53" s="136"/>
      <c r="JZ53" s="136"/>
      <c r="KA53" s="136"/>
      <c r="KB53" s="136"/>
      <c r="KC53" s="136"/>
      <c r="KD53" s="136"/>
      <c r="KE53" s="136"/>
      <c r="KF53" s="136"/>
      <c r="KG53" s="136"/>
      <c r="KH53" s="136"/>
      <c r="KI53" s="136"/>
      <c r="KJ53" s="136"/>
      <c r="KK53" s="136"/>
      <c r="KL53" s="136"/>
      <c r="KM53" s="136"/>
      <c r="KN53" s="136"/>
      <c r="KO53" s="136"/>
      <c r="KP53" s="136"/>
      <c r="KQ53" s="136"/>
      <c r="KR53" s="136"/>
      <c r="KS53" s="136"/>
      <c r="KT53" s="136"/>
      <c r="KU53" s="136"/>
      <c r="KV53" s="136"/>
      <c r="KW53" s="136"/>
      <c r="KX53" s="136"/>
      <c r="KY53" s="136"/>
      <c r="KZ53" s="136"/>
      <c r="LA53" s="136"/>
      <c r="LB53" s="136"/>
      <c r="LC53" s="136"/>
      <c r="LD53" s="136"/>
      <c r="LE53" s="136"/>
      <c r="LF53" s="136"/>
      <c r="LG53" s="136"/>
      <c r="LH53" s="136"/>
      <c r="LI53" s="136"/>
      <c r="LJ53" s="136"/>
      <c r="LK53" s="136"/>
      <c r="LL53" s="136"/>
      <c r="LM53" s="136"/>
      <c r="LN53" s="136"/>
      <c r="LO53" s="136"/>
      <c r="LP53" s="136"/>
      <c r="LQ53" s="136"/>
      <c r="LR53" s="136"/>
      <c r="LS53" s="136"/>
      <c r="LT53" s="136"/>
      <c r="LU53" s="136"/>
      <c r="LV53" s="136"/>
      <c r="LW53" s="136"/>
      <c r="LX53" s="136"/>
      <c r="LY53" s="136"/>
      <c r="LZ53" s="136"/>
      <c r="MA53" s="136"/>
      <c r="MB53" s="136"/>
      <c r="MC53" s="136"/>
      <c r="MD53" s="136"/>
      <c r="ME53" s="136"/>
      <c r="MF53" s="136"/>
      <c r="MG53" s="136"/>
      <c r="MH53" s="136"/>
      <c r="MI53" s="136"/>
      <c r="MJ53" s="136"/>
      <c r="MK53" s="136"/>
      <c r="ML53" s="136"/>
      <c r="MM53" s="136"/>
      <c r="MN53" s="136"/>
      <c r="MO53" s="136"/>
      <c r="MP53" s="136"/>
      <c r="MQ53" s="136"/>
      <c r="MR53" s="136"/>
      <c r="MS53" s="136"/>
      <c r="MT53" s="136"/>
      <c r="MU53" s="136"/>
      <c r="MV53" s="136"/>
      <c r="MW53" s="136"/>
      <c r="MX53" s="136"/>
      <c r="MY53" s="136"/>
      <c r="MZ53" s="136"/>
      <c r="NA53" s="136"/>
      <c r="NB53" s="136"/>
      <c r="NC53" s="136"/>
      <c r="ND53" s="136"/>
      <c r="NE53" s="136"/>
      <c r="NF53" s="136"/>
      <c r="NG53" s="136"/>
      <c r="NH53" s="136"/>
      <c r="NI53" s="136"/>
      <c r="NJ53" s="136"/>
      <c r="NK53" s="136"/>
      <c r="NL53" s="136"/>
      <c r="NM53" s="136"/>
      <c r="NN53" s="136"/>
      <c r="NO53" s="136"/>
      <c r="NP53" s="136"/>
      <c r="NQ53" s="136"/>
      <c r="NR53" s="136"/>
      <c r="NS53" s="136"/>
      <c r="NT53" s="136"/>
      <c r="NU53" s="136"/>
      <c r="NV53" s="136"/>
      <c r="NW53" s="136"/>
      <c r="NX53" s="136"/>
      <c r="NY53" s="136"/>
      <c r="NZ53" s="136"/>
      <c r="OA53" s="136"/>
      <c r="OB53" s="136"/>
      <c r="OC53" s="136"/>
      <c r="OD53" s="136"/>
      <c r="OE53" s="136"/>
      <c r="OF53" s="136"/>
      <c r="OG53" s="136"/>
      <c r="OH53" s="136"/>
      <c r="OI53" s="136"/>
      <c r="OJ53" s="136"/>
      <c r="OK53" s="136"/>
      <c r="OL53" s="136"/>
      <c r="OM53" s="136"/>
      <c r="ON53" s="136"/>
      <c r="OO53" s="136"/>
      <c r="OP53" s="136"/>
      <c r="OQ53" s="136"/>
      <c r="OR53" s="136"/>
      <c r="OS53" s="136"/>
      <c r="OT53" s="136"/>
      <c r="OU53" s="136"/>
      <c r="OV53" s="136"/>
      <c r="OW53" s="136"/>
      <c r="OX53" s="136"/>
      <c r="OY53" s="136"/>
      <c r="OZ53" s="136"/>
      <c r="PA53" s="136"/>
      <c r="PB53" s="136"/>
      <c r="PC53" s="136"/>
      <c r="PD53" s="136"/>
      <c r="PE53" s="136"/>
      <c r="PF53" s="136"/>
      <c r="PG53" s="136"/>
      <c r="PH53" s="136"/>
      <c r="PI53" s="136"/>
      <c r="PJ53" s="136"/>
      <c r="PK53" s="136"/>
      <c r="PL53" s="136"/>
      <c r="PM53" s="136"/>
      <c r="PN53" s="136"/>
      <c r="PO53" s="136"/>
      <c r="PP53" s="136"/>
      <c r="PQ53" s="136"/>
      <c r="PR53" s="136"/>
      <c r="PS53" s="136"/>
      <c r="PT53" s="136"/>
      <c r="PU53" s="136"/>
      <c r="PV53" s="136"/>
      <c r="PW53" s="136"/>
      <c r="PX53" s="136"/>
      <c r="PY53" s="136"/>
      <c r="PZ53" s="136"/>
      <c r="QA53" s="136"/>
      <c r="QB53" s="136"/>
      <c r="QC53" s="136"/>
      <c r="QD53" s="136"/>
      <c r="QE53" s="136"/>
      <c r="QF53" s="136"/>
      <c r="QG53" s="136"/>
      <c r="QH53" s="136"/>
      <c r="QI53" s="136"/>
      <c r="QJ53" s="136"/>
      <c r="QK53" s="136"/>
      <c r="QL53" s="136"/>
      <c r="QM53" s="136"/>
      <c r="QN53" s="136"/>
      <c r="QO53" s="136"/>
      <c r="QP53" s="136"/>
      <c r="QQ53" s="136"/>
      <c r="QR53" s="136"/>
      <c r="QS53" s="136"/>
      <c r="QT53" s="136"/>
      <c r="QU53" s="136"/>
      <c r="QV53" s="136"/>
      <c r="QW53" s="136"/>
      <c r="QX53" s="136"/>
      <c r="QY53" s="136"/>
      <c r="QZ53" s="136"/>
      <c r="RA53" s="136"/>
      <c r="RB53" s="136"/>
      <c r="RC53" s="136"/>
      <c r="RD53" s="136"/>
      <c r="RE53" s="136"/>
      <c r="RF53" s="136"/>
      <c r="RG53" s="136"/>
      <c r="RH53" s="136"/>
      <c r="RI53" s="136"/>
      <c r="RJ53" s="136"/>
      <c r="RK53" s="136"/>
      <c r="RL53" s="136"/>
      <c r="RM53" s="136"/>
      <c r="RN53" s="136"/>
      <c r="RO53" s="136"/>
      <c r="RP53" s="136"/>
      <c r="RQ53" s="136"/>
      <c r="RR53" s="136"/>
      <c r="RS53" s="136"/>
      <c r="RT53" s="136"/>
      <c r="RU53" s="136"/>
      <c r="RV53" s="136"/>
      <c r="RW53" s="136"/>
      <c r="RX53" s="136"/>
      <c r="RY53" s="136"/>
      <c r="RZ53" s="136"/>
      <c r="SA53" s="136"/>
      <c r="SB53" s="136"/>
      <c r="SC53" s="136"/>
      <c r="SD53" s="136"/>
      <c r="SE53" s="136"/>
      <c r="SF53" s="136"/>
      <c r="SG53" s="136"/>
      <c r="SH53" s="136"/>
      <c r="SI53" s="136"/>
      <c r="SJ53" s="136"/>
      <c r="SK53" s="136"/>
      <c r="SL53" s="136"/>
      <c r="SM53" s="136"/>
      <c r="SN53" s="136"/>
      <c r="SO53" s="136"/>
      <c r="SP53" s="136"/>
      <c r="SQ53" s="136"/>
      <c r="SR53" s="136"/>
      <c r="SS53" s="136"/>
    </row>
    <row r="54" spans="14:513" s="135" customFormat="1" ht="14.5" x14ac:dyDescent="0.35">
      <c r="N54" s="134"/>
      <c r="O54" s="134"/>
      <c r="P54" s="180">
        <v>43190</v>
      </c>
      <c r="Q54" s="180"/>
      <c r="R54" s="180" t="s">
        <v>897</v>
      </c>
      <c r="S54" s="180" t="s">
        <v>897</v>
      </c>
      <c r="T54" s="180"/>
      <c r="U54" s="180"/>
      <c r="V54" s="181"/>
      <c r="W54" s="134"/>
      <c r="X54" s="134"/>
      <c r="Y54" s="134"/>
      <c r="Z54" s="134"/>
      <c r="AA54" s="134"/>
      <c r="AB54" s="134"/>
      <c r="AC54" s="134"/>
      <c r="AD54" s="134"/>
      <c r="AE54" s="134"/>
      <c r="AF54" s="134"/>
      <c r="BH54" s="428" t="s">
        <v>276</v>
      </c>
      <c r="CF54" s="432"/>
      <c r="CG54" s="432"/>
      <c r="CH54" s="432"/>
      <c r="CI54" s="432"/>
      <c r="CJ54" s="432"/>
      <c r="CK54" s="432"/>
      <c r="CL54" s="432"/>
      <c r="CM54" s="432"/>
      <c r="CN54" s="432"/>
    </row>
    <row r="55" spans="14:513" s="135" customFormat="1" ht="14.5" x14ac:dyDescent="0.35">
      <c r="N55" s="134"/>
      <c r="O55" s="134"/>
      <c r="P55" s="182">
        <f>P38</f>
        <v>43465</v>
      </c>
      <c r="Q55" s="183">
        <f t="shared" ref="Q55:Q69" si="240">INDEX($D$43:$BI$43,MATCH(P55,$D$38:$BI$38,0))</f>
        <v>0</v>
      </c>
      <c r="R55" s="183">
        <f>INDEX($D$44:$BL$44,MATCH(P55,$D$38:$BL$38,0))</f>
        <v>0</v>
      </c>
      <c r="S55" s="183">
        <f>INDEX($D$46:$BL$46,MATCH(P55,$D$38:$BL$38,0))</f>
        <v>0</v>
      </c>
      <c r="T55" s="183" t="e">
        <f>INDEX(#REF!,MATCH(P55,$D$38:$BL$38,0))</f>
        <v>#REF!</v>
      </c>
      <c r="U55" s="183" t="e">
        <f t="shared" ref="U55:U71" si="241">1-S55/R55</f>
        <v>#DIV/0!</v>
      </c>
      <c r="V55" s="184"/>
      <c r="W55" s="134"/>
      <c r="X55" s="134"/>
      <c r="Y55" s="134"/>
      <c r="Z55" s="134"/>
      <c r="AA55" s="134"/>
      <c r="AB55" s="134"/>
      <c r="AC55" s="134"/>
      <c r="AD55" s="134"/>
      <c r="AE55" s="134"/>
      <c r="AF55" s="134"/>
      <c r="BH55" s="429"/>
      <c r="CG55" s="432"/>
      <c r="CS55" s="432"/>
      <c r="CT55" s="432"/>
      <c r="CU55" s="432"/>
      <c r="CV55" s="432"/>
      <c r="CW55" s="432"/>
      <c r="CX55" s="432"/>
    </row>
    <row r="56" spans="14:513" s="135" customFormat="1" ht="14.5" x14ac:dyDescent="0.35">
      <c r="N56" s="134"/>
      <c r="O56" s="134"/>
      <c r="P56" s="182">
        <f t="shared" ref="P56:P71" si="242">EOMONTH(P55,3)</f>
        <v>43555</v>
      </c>
      <c r="Q56" s="183" t="str">
        <f t="shared" si="240"/>
        <v>L3M</v>
      </c>
      <c r="R56" s="214">
        <f t="shared" ref="R56:R70" si="243">INDEX($D$44:$BI$44,MATCH(P56,$D$38:$BI$38,0))</f>
        <v>2765123.34</v>
      </c>
      <c r="S56" s="214">
        <f t="shared" ref="S56:S70" si="244">INDEX($D$46:$BI$46,MATCH(P56,$D$38:$BI$38,0))</f>
        <v>2073842.5049999999</v>
      </c>
      <c r="T56" s="214" t="e">
        <f>INDEX(#REF!,MATCH(P56,$D$38:$BI$38,0))</f>
        <v>#REF!</v>
      </c>
      <c r="U56" s="217">
        <f t="shared" si="241"/>
        <v>0.25</v>
      </c>
      <c r="V56" s="134"/>
      <c r="W56" s="134"/>
      <c r="X56" s="134"/>
      <c r="Y56" s="134"/>
      <c r="Z56" s="134"/>
      <c r="AA56" s="134"/>
      <c r="AB56" s="134"/>
      <c r="AC56" s="134"/>
      <c r="AD56" s="134"/>
      <c r="AE56" s="134"/>
      <c r="AF56" s="134"/>
      <c r="CS56" s="432"/>
      <c r="CT56" s="432"/>
      <c r="CU56" s="432"/>
      <c r="CV56" s="432"/>
      <c r="CW56" s="432"/>
      <c r="CX56" s="432"/>
    </row>
    <row r="57" spans="14:513" s="135" customFormat="1" ht="14.5" x14ac:dyDescent="0.35">
      <c r="N57" s="134"/>
      <c r="O57" s="134"/>
      <c r="P57" s="182">
        <f t="shared" si="242"/>
        <v>43646</v>
      </c>
      <c r="Q57" s="183" t="str">
        <f t="shared" si="240"/>
        <v>L6M</v>
      </c>
      <c r="R57" s="214">
        <f t="shared" si="243"/>
        <v>5719746.6799999997</v>
      </c>
      <c r="S57" s="214">
        <f t="shared" si="244"/>
        <v>4289810.01</v>
      </c>
      <c r="T57" s="214" t="e">
        <f>INDEX(#REF!,MATCH(P57,$D$38:$BI$38,0))</f>
        <v>#REF!</v>
      </c>
      <c r="U57" s="217">
        <f t="shared" si="241"/>
        <v>0.25</v>
      </c>
      <c r="V57" s="134"/>
      <c r="W57" s="134"/>
      <c r="X57" s="134"/>
      <c r="Y57" s="134"/>
      <c r="Z57" s="134"/>
      <c r="AA57" s="134"/>
      <c r="AB57" s="134"/>
      <c r="AC57" s="134"/>
      <c r="AD57" s="134"/>
      <c r="AE57" s="134"/>
      <c r="AF57" s="134"/>
      <c r="CS57" s="432"/>
      <c r="CT57" s="432"/>
      <c r="CU57" s="432"/>
      <c r="CV57" s="432"/>
      <c r="CW57" s="432"/>
      <c r="CX57" s="432"/>
    </row>
    <row r="58" spans="14:513" s="135" customFormat="1" ht="14.5" x14ac:dyDescent="0.35">
      <c r="N58" s="134"/>
      <c r="O58" s="134"/>
      <c r="P58" s="182">
        <f t="shared" si="242"/>
        <v>43738</v>
      </c>
      <c r="Q58" s="183" t="str">
        <f t="shared" si="240"/>
        <v>L9M</v>
      </c>
      <c r="R58" s="214">
        <f t="shared" si="243"/>
        <v>8920620.0199999996</v>
      </c>
      <c r="S58" s="214">
        <f t="shared" si="244"/>
        <v>6690465.0149999997</v>
      </c>
      <c r="T58" s="214" t="e">
        <f>INDEX(#REF!,MATCH(P58,$D$38:$BI$38,0))</f>
        <v>#REF!</v>
      </c>
      <c r="U58" s="217">
        <f t="shared" si="241"/>
        <v>0.25</v>
      </c>
      <c r="V58" s="134"/>
      <c r="W58" s="134"/>
      <c r="X58" s="134"/>
      <c r="Y58" s="134"/>
      <c r="Z58" s="134"/>
      <c r="AA58" s="134"/>
      <c r="AB58" s="134"/>
      <c r="AC58" s="134"/>
      <c r="AD58" s="134"/>
      <c r="AE58" s="134"/>
      <c r="AF58" s="134"/>
    </row>
    <row r="59" spans="14:513" s="135" customFormat="1" ht="14.5" x14ac:dyDescent="0.35">
      <c r="N59" s="134"/>
      <c r="O59" s="134"/>
      <c r="P59" s="182">
        <f t="shared" si="242"/>
        <v>43830</v>
      </c>
      <c r="Q59" s="183" t="str">
        <f t="shared" si="240"/>
        <v>L12M</v>
      </c>
      <c r="R59" s="214">
        <f t="shared" si="243"/>
        <v>12350243.359999998</v>
      </c>
      <c r="S59" s="214">
        <f t="shared" si="244"/>
        <v>9262682.5199999977</v>
      </c>
      <c r="T59" s="214" t="e">
        <f>INDEX(#REF!,MATCH(P59,$D$38:$BI$38,0))</f>
        <v>#REF!</v>
      </c>
      <c r="U59" s="217">
        <f t="shared" si="241"/>
        <v>0.25</v>
      </c>
      <c r="V59" s="134"/>
      <c r="W59" s="134"/>
      <c r="X59" s="134"/>
      <c r="Y59" s="134"/>
      <c r="Z59" s="134"/>
      <c r="AA59" s="134"/>
      <c r="AB59" s="134"/>
      <c r="AC59" s="134"/>
      <c r="AD59" s="134"/>
      <c r="AE59" s="134"/>
      <c r="AF59" s="134"/>
      <c r="AS59" s="194">
        <v>-400633.72679953399</v>
      </c>
      <c r="AT59" s="194">
        <v>-729465.34357267653</v>
      </c>
      <c r="AU59" s="194">
        <v>-355735.14362433401</v>
      </c>
      <c r="AV59" s="194">
        <v>-355735.14362433372</v>
      </c>
      <c r="AW59" s="194">
        <v>-479386.34788860264</v>
      </c>
      <c r="AX59" s="194">
        <v>-492408.76623806334</v>
      </c>
      <c r="AY59" s="194">
        <v>-492408.76623806299</v>
      </c>
      <c r="AZ59" s="194">
        <v>-810879.55799346103</v>
      </c>
    </row>
    <row r="60" spans="14:513" s="135" customFormat="1" ht="14.5" x14ac:dyDescent="0.35">
      <c r="N60" s="134"/>
      <c r="O60" s="134"/>
      <c r="P60" s="182">
        <f t="shared" si="242"/>
        <v>43921</v>
      </c>
      <c r="Q60" s="183" t="str">
        <f t="shared" si="240"/>
        <v>L12M</v>
      </c>
      <c r="R60" s="214">
        <f t="shared" si="243"/>
        <v>13254743.359999998</v>
      </c>
      <c r="S60" s="214">
        <f t="shared" si="244"/>
        <v>9941057.5199999977</v>
      </c>
      <c r="T60" s="214" t="e">
        <f>INDEX(#REF!,MATCH(P60,$D$38:$BI$38,0))</f>
        <v>#REF!</v>
      </c>
      <c r="U60" s="217">
        <f t="shared" si="241"/>
        <v>0.25</v>
      </c>
      <c r="V60" s="184"/>
      <c r="W60" s="134"/>
      <c r="X60" s="134"/>
      <c r="Y60" s="134"/>
      <c r="Z60" s="134"/>
      <c r="AA60" s="134"/>
      <c r="AB60" s="134"/>
      <c r="AC60" s="134"/>
      <c r="AD60" s="134"/>
      <c r="AE60" s="134"/>
      <c r="AF60" s="134"/>
      <c r="CS60" s="727"/>
      <c r="CT60" s="727"/>
      <c r="CU60" s="727"/>
      <c r="CV60" s="727"/>
    </row>
    <row r="61" spans="14:513" s="135" customFormat="1" ht="14.5" x14ac:dyDescent="0.35">
      <c r="N61" s="134"/>
      <c r="O61" s="134"/>
      <c r="P61" s="182">
        <f t="shared" si="242"/>
        <v>44012</v>
      </c>
      <c r="Q61" s="183" t="str">
        <f t="shared" si="240"/>
        <v>L12M</v>
      </c>
      <c r="R61" s="214">
        <f t="shared" si="243"/>
        <v>0</v>
      </c>
      <c r="S61" s="214">
        <f t="shared" si="244"/>
        <v>10348000</v>
      </c>
      <c r="T61" s="214" t="e">
        <f>INDEX(#REF!,MATCH(P61,$D$38:$BI$38,0))</f>
        <v>#REF!</v>
      </c>
      <c r="U61" s="217" t="e">
        <f t="shared" si="241"/>
        <v>#DIV/0!</v>
      </c>
      <c r="V61" s="184"/>
      <c r="W61" s="134"/>
      <c r="X61" s="134"/>
      <c r="Y61" s="134"/>
      <c r="Z61" s="134"/>
      <c r="AA61" s="134"/>
      <c r="AB61" s="134"/>
      <c r="AC61" s="134"/>
      <c r="AD61" s="134"/>
      <c r="AE61" s="134"/>
      <c r="AF61" s="134"/>
    </row>
    <row r="62" spans="14:513" s="135" customFormat="1" ht="14.5" x14ac:dyDescent="0.35">
      <c r="N62" s="134"/>
      <c r="O62" s="134"/>
      <c r="P62" s="182">
        <f t="shared" si="242"/>
        <v>44104</v>
      </c>
      <c r="Q62" s="183" t="str">
        <f t="shared" si="240"/>
        <v>L12M</v>
      </c>
      <c r="R62" s="214">
        <f t="shared" si="243"/>
        <v>0</v>
      </c>
      <c r="S62" s="214">
        <f t="shared" si="244"/>
        <v>10546000</v>
      </c>
      <c r="T62" s="214" t="e">
        <f>INDEX(#REF!,MATCH(P62,$D$38:$BI$38,0))</f>
        <v>#REF!</v>
      </c>
      <c r="U62" s="217" t="e">
        <f t="shared" si="241"/>
        <v>#DIV/0!</v>
      </c>
      <c r="V62" s="134"/>
      <c r="W62" s="134"/>
      <c r="X62" s="134"/>
      <c r="Y62" s="134"/>
      <c r="Z62" s="134"/>
      <c r="AA62" s="134"/>
      <c r="AB62" s="134"/>
      <c r="AC62" s="134"/>
      <c r="AD62" s="134"/>
      <c r="AE62" s="134"/>
      <c r="AF62" s="134"/>
    </row>
    <row r="63" spans="14:513" s="135" customFormat="1" ht="14.5" x14ac:dyDescent="0.35">
      <c r="N63" s="134"/>
      <c r="O63" s="134"/>
      <c r="P63" s="182">
        <f t="shared" si="242"/>
        <v>44196</v>
      </c>
      <c r="Q63" s="183" t="str">
        <f t="shared" si="240"/>
        <v>L12M</v>
      </c>
      <c r="R63" s="214">
        <f t="shared" si="243"/>
        <v>0</v>
      </c>
      <c r="S63" s="214">
        <f t="shared" si="244"/>
        <v>10717000</v>
      </c>
      <c r="T63" s="214" t="e">
        <f>INDEX(#REF!,MATCH(P63,$D$38:$BI$38,0))</f>
        <v>#REF!</v>
      </c>
      <c r="U63" s="217" t="e">
        <f t="shared" si="241"/>
        <v>#DIV/0!</v>
      </c>
      <c r="V63" s="134"/>
      <c r="W63" s="134"/>
      <c r="X63" s="134"/>
      <c r="Y63" s="134"/>
      <c r="Z63" s="134"/>
      <c r="AA63" s="134"/>
      <c r="AB63" s="134"/>
      <c r="AC63" s="134"/>
      <c r="AD63" s="134"/>
      <c r="AE63" s="134"/>
      <c r="AF63" s="134"/>
    </row>
    <row r="64" spans="14:513" s="135" customFormat="1" ht="14.5" x14ac:dyDescent="0.35">
      <c r="N64" s="134"/>
      <c r="O64" s="134"/>
      <c r="P64" s="182">
        <f t="shared" si="242"/>
        <v>44286</v>
      </c>
      <c r="Q64" s="183" t="str">
        <f t="shared" si="240"/>
        <v>L12M</v>
      </c>
      <c r="R64" s="214">
        <f t="shared" si="243"/>
        <v>0</v>
      </c>
      <c r="S64" s="214">
        <f t="shared" si="244"/>
        <v>11246000</v>
      </c>
      <c r="T64" s="214" t="e">
        <f>INDEX(#REF!,MATCH(P64,$D$38:$BI$38,0))</f>
        <v>#REF!</v>
      </c>
      <c r="U64" s="217" t="e">
        <f t="shared" si="241"/>
        <v>#DIV/0!</v>
      </c>
      <c r="V64" s="181"/>
      <c r="W64" s="134"/>
      <c r="X64" s="134"/>
      <c r="Y64" s="134"/>
      <c r="Z64" s="134"/>
      <c r="AA64" s="134"/>
      <c r="AB64" s="134"/>
      <c r="AC64" s="134"/>
      <c r="AD64" s="134"/>
      <c r="AE64" s="134"/>
      <c r="AF64" s="134"/>
    </row>
    <row r="65" spans="14:513" s="135" customFormat="1" ht="14.5" x14ac:dyDescent="0.35">
      <c r="N65" s="134"/>
      <c r="O65" s="134"/>
      <c r="P65" s="182">
        <f t="shared" si="242"/>
        <v>44377</v>
      </c>
      <c r="Q65" s="183" t="str">
        <f t="shared" si="240"/>
        <v>L12M</v>
      </c>
      <c r="R65" s="214">
        <f t="shared" si="243"/>
        <v>0</v>
      </c>
      <c r="S65" s="214">
        <f t="shared" si="244"/>
        <v>11976000</v>
      </c>
      <c r="T65" s="214" t="e">
        <f>INDEX(#REF!,MATCH(P65,$D$38:$BI$38,0))</f>
        <v>#REF!</v>
      </c>
      <c r="U65" s="217" t="e">
        <f t="shared" si="241"/>
        <v>#DIV/0!</v>
      </c>
      <c r="V65" s="181"/>
      <c r="W65" s="134"/>
      <c r="X65" s="134"/>
      <c r="Y65" s="134"/>
      <c r="Z65" s="134"/>
      <c r="AA65" s="134"/>
      <c r="AB65" s="134"/>
      <c r="AC65" s="134"/>
      <c r="AD65" s="134"/>
      <c r="AE65" s="134"/>
      <c r="AF65" s="134"/>
    </row>
    <row r="66" spans="14:513" s="135" customFormat="1" ht="14.5" x14ac:dyDescent="0.35">
      <c r="N66" s="134"/>
      <c r="O66" s="134"/>
      <c r="P66" s="182">
        <f t="shared" si="242"/>
        <v>44469</v>
      </c>
      <c r="Q66" s="183" t="str">
        <f t="shared" si="240"/>
        <v>L12M</v>
      </c>
      <c r="R66" s="214">
        <f t="shared" si="243"/>
        <v>0</v>
      </c>
      <c r="S66" s="214">
        <f t="shared" si="244"/>
        <v>12880000</v>
      </c>
      <c r="T66" s="214" t="e">
        <f>INDEX(#REF!,MATCH(P66,$D$38:$BI$38,0))</f>
        <v>#REF!</v>
      </c>
      <c r="U66" s="217" t="e">
        <f t="shared" si="241"/>
        <v>#DIV/0!</v>
      </c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</row>
    <row r="67" spans="14:513" s="135" customFormat="1" ht="14.5" x14ac:dyDescent="0.35">
      <c r="N67" s="134"/>
      <c r="O67" s="134"/>
      <c r="P67" s="182">
        <f t="shared" si="242"/>
        <v>44561</v>
      </c>
      <c r="Q67" s="183" t="str">
        <f t="shared" si="240"/>
        <v>L12M</v>
      </c>
      <c r="R67" s="214">
        <f t="shared" si="243"/>
        <v>0</v>
      </c>
      <c r="S67" s="214">
        <f t="shared" si="244"/>
        <v>13825000</v>
      </c>
      <c r="T67" s="214" t="e">
        <f>INDEX(#REF!,MATCH(P67,$D$38:$BI$38,0))</f>
        <v>#REF!</v>
      </c>
      <c r="U67" s="217" t="e">
        <f t="shared" si="241"/>
        <v>#DIV/0!</v>
      </c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</row>
    <row r="68" spans="14:513" s="135" customFormat="1" ht="14.5" x14ac:dyDescent="0.35">
      <c r="N68" s="134"/>
      <c r="O68" s="134"/>
      <c r="P68" s="182">
        <f t="shared" si="242"/>
        <v>44651</v>
      </c>
      <c r="Q68" s="183" t="str">
        <f t="shared" si="240"/>
        <v>L12M</v>
      </c>
      <c r="R68" s="214">
        <f t="shared" si="243"/>
        <v>0</v>
      </c>
      <c r="S68" s="214">
        <f t="shared" si="244"/>
        <v>14651000</v>
      </c>
      <c r="T68" s="214" t="e">
        <f>INDEX(#REF!,MATCH(P68,$D$38:$BI$38,0))</f>
        <v>#REF!</v>
      </c>
      <c r="U68" s="217" t="e">
        <f t="shared" si="241"/>
        <v>#DIV/0!</v>
      </c>
      <c r="V68" s="134"/>
      <c r="W68" s="134"/>
      <c r="X68" s="134"/>
      <c r="Y68" s="134"/>
      <c r="Z68" s="134"/>
      <c r="AA68" s="134"/>
      <c r="AB68" s="134"/>
      <c r="AC68" s="134"/>
      <c r="AD68" s="134"/>
      <c r="AE68" s="134"/>
      <c r="AF68" s="134"/>
    </row>
    <row r="69" spans="14:513" s="135" customFormat="1" ht="14.5" x14ac:dyDescent="0.35">
      <c r="N69" s="134"/>
      <c r="O69" s="134"/>
      <c r="P69" s="182">
        <f t="shared" si="242"/>
        <v>44742</v>
      </c>
      <c r="Q69" s="183" t="str">
        <f t="shared" si="240"/>
        <v>L3M</v>
      </c>
      <c r="R69" s="214">
        <f t="shared" si="243"/>
        <v>0</v>
      </c>
      <c r="S69" s="214">
        <f t="shared" si="244"/>
        <v>3400000</v>
      </c>
      <c r="T69" s="214" t="e">
        <f>INDEX(#REF!,MATCH(P69,$D$38:$BI$38,0))</f>
        <v>#REF!</v>
      </c>
      <c r="U69" s="217" t="e">
        <f t="shared" si="241"/>
        <v>#DIV/0!</v>
      </c>
      <c r="V69" s="134"/>
      <c r="W69" s="134"/>
      <c r="X69" s="134"/>
      <c r="Y69" s="134"/>
      <c r="Z69" s="134"/>
      <c r="AA69" s="134"/>
      <c r="AB69" s="134"/>
      <c r="AC69" s="134"/>
      <c r="AD69" s="134"/>
      <c r="AE69" s="134"/>
      <c r="AF69" s="134"/>
    </row>
    <row r="70" spans="14:513" s="135" customFormat="1" ht="14.5" x14ac:dyDescent="0.35">
      <c r="N70" s="134"/>
      <c r="O70" s="134"/>
      <c r="P70" s="182">
        <f t="shared" si="242"/>
        <v>44834</v>
      </c>
      <c r="Q70" s="183" t="str">
        <f>INDEX($D$43:$BL$43,MATCH(P70,$D$38:$BL$38,0))</f>
        <v>L6M</v>
      </c>
      <c r="R70" s="214">
        <f t="shared" si="243"/>
        <v>0</v>
      </c>
      <c r="S70" s="214">
        <f t="shared" si="244"/>
        <v>8200000</v>
      </c>
      <c r="T70" s="214" t="e">
        <f>INDEX(#REF!,MATCH(P70,$D$38:$BI$38,0))</f>
        <v>#REF!</v>
      </c>
      <c r="U70" s="217" t="e">
        <f t="shared" si="241"/>
        <v>#DIV/0!</v>
      </c>
      <c r="V70" s="134"/>
      <c r="W70" s="134"/>
      <c r="X70" s="134"/>
      <c r="Y70" s="134"/>
      <c r="Z70" s="134"/>
      <c r="AA70" s="134"/>
      <c r="AB70" s="134"/>
      <c r="AC70" s="134"/>
      <c r="AD70" s="134"/>
      <c r="AE70" s="134"/>
      <c r="AF70" s="134"/>
      <c r="DO70" s="136"/>
      <c r="DP70" s="136"/>
      <c r="DQ70" s="136"/>
      <c r="DR70" s="136"/>
      <c r="DS70" s="136"/>
      <c r="DT70" s="136"/>
      <c r="DU70" s="136"/>
      <c r="DV70" s="136"/>
      <c r="DW70" s="136"/>
      <c r="DX70" s="136"/>
      <c r="DY70" s="136"/>
      <c r="DZ70" s="136"/>
      <c r="EA70" s="136"/>
      <c r="EB70" s="136"/>
      <c r="EC70" s="136"/>
      <c r="ED70" s="136"/>
      <c r="EE70" s="136"/>
      <c r="EF70" s="136"/>
      <c r="EG70" s="136"/>
      <c r="EH70" s="136"/>
      <c r="EI70" s="136"/>
      <c r="EJ70" s="136"/>
      <c r="EK70" s="136"/>
      <c r="EL70" s="136"/>
      <c r="EM70" s="136"/>
      <c r="EN70" s="136"/>
      <c r="EO70" s="136"/>
      <c r="EP70" s="136"/>
      <c r="EQ70" s="136"/>
      <c r="ER70" s="136"/>
      <c r="ES70" s="136"/>
      <c r="ET70" s="136"/>
      <c r="EU70" s="136"/>
      <c r="EV70" s="136"/>
      <c r="EW70" s="136"/>
      <c r="EX70" s="136"/>
      <c r="EY70" s="136"/>
      <c r="EZ70" s="136"/>
      <c r="FA70" s="136"/>
      <c r="FB70" s="136"/>
      <c r="FC70" s="136"/>
      <c r="FD70" s="136"/>
      <c r="FE70" s="136"/>
      <c r="FF70" s="136"/>
      <c r="FG70" s="136"/>
      <c r="FH70" s="136"/>
      <c r="FI70" s="136"/>
      <c r="FJ70" s="136"/>
      <c r="FK70" s="136"/>
      <c r="FL70" s="136"/>
      <c r="FM70" s="136"/>
      <c r="FN70" s="136"/>
      <c r="FO70" s="136"/>
      <c r="FP70" s="136"/>
      <c r="FQ70" s="136"/>
      <c r="FR70" s="136"/>
      <c r="FS70" s="136"/>
      <c r="FT70" s="136"/>
      <c r="FU70" s="136"/>
      <c r="FV70" s="136"/>
      <c r="FW70" s="136"/>
      <c r="FX70" s="136"/>
      <c r="FY70" s="136"/>
      <c r="FZ70" s="136"/>
      <c r="GA70" s="136"/>
      <c r="GB70" s="136"/>
      <c r="GC70" s="136"/>
      <c r="GD70" s="136"/>
      <c r="GE70" s="136"/>
      <c r="GF70" s="136"/>
      <c r="GG70" s="136"/>
      <c r="GH70" s="136"/>
      <c r="GI70" s="136"/>
      <c r="GJ70" s="136"/>
      <c r="GK70" s="136"/>
      <c r="GL70" s="136"/>
      <c r="GM70" s="136"/>
      <c r="GN70" s="136"/>
      <c r="GO70" s="136"/>
      <c r="GP70" s="136"/>
      <c r="GQ70" s="136"/>
      <c r="GR70" s="136"/>
      <c r="GS70" s="136"/>
      <c r="GT70" s="136"/>
      <c r="GU70" s="136"/>
      <c r="GV70" s="136"/>
      <c r="GW70" s="136"/>
      <c r="GX70" s="136"/>
      <c r="GY70" s="136"/>
      <c r="GZ70" s="136"/>
      <c r="HA70" s="136"/>
      <c r="HB70" s="136"/>
      <c r="HC70" s="136"/>
      <c r="HD70" s="136"/>
      <c r="HE70" s="136"/>
      <c r="HF70" s="136"/>
      <c r="HG70" s="136"/>
      <c r="HH70" s="136"/>
      <c r="HI70" s="136"/>
      <c r="HJ70" s="136"/>
      <c r="HK70" s="136"/>
      <c r="HL70" s="136"/>
      <c r="HM70" s="136"/>
      <c r="HN70" s="136"/>
      <c r="HO70" s="136"/>
      <c r="HP70" s="136"/>
      <c r="HQ70" s="136"/>
      <c r="HR70" s="136"/>
      <c r="HS70" s="136"/>
      <c r="HT70" s="136"/>
      <c r="HU70" s="136"/>
      <c r="HV70" s="136"/>
      <c r="HW70" s="136"/>
      <c r="HX70" s="136"/>
      <c r="HY70" s="136"/>
      <c r="HZ70" s="136"/>
      <c r="IA70" s="136"/>
      <c r="IB70" s="136"/>
      <c r="IC70" s="136"/>
      <c r="ID70" s="136"/>
      <c r="IE70" s="136"/>
      <c r="IF70" s="136"/>
      <c r="IG70" s="136"/>
      <c r="IH70" s="136"/>
      <c r="II70" s="136"/>
      <c r="IJ70" s="136"/>
      <c r="IK70" s="136"/>
      <c r="IL70" s="136"/>
      <c r="IM70" s="136"/>
      <c r="IN70" s="136"/>
      <c r="IO70" s="136"/>
      <c r="IP70" s="136"/>
      <c r="IQ70" s="136"/>
      <c r="IR70" s="136"/>
      <c r="IS70" s="136"/>
      <c r="IT70" s="136"/>
      <c r="IU70" s="136"/>
      <c r="IV70" s="136"/>
      <c r="IW70" s="136"/>
      <c r="IX70" s="136"/>
      <c r="IY70" s="136"/>
      <c r="IZ70" s="136"/>
      <c r="JA70" s="136"/>
      <c r="JB70" s="136"/>
      <c r="JC70" s="136"/>
      <c r="JD70" s="136"/>
      <c r="JE70" s="136"/>
      <c r="JF70" s="136"/>
      <c r="JG70" s="136"/>
      <c r="JH70" s="136"/>
      <c r="JI70" s="136"/>
      <c r="JJ70" s="136"/>
      <c r="JK70" s="136"/>
      <c r="JL70" s="136"/>
      <c r="JM70" s="136"/>
      <c r="JN70" s="136"/>
      <c r="JO70" s="136"/>
      <c r="JP70" s="136"/>
      <c r="JQ70" s="136"/>
      <c r="JR70" s="136"/>
      <c r="JS70" s="136"/>
      <c r="JT70" s="136"/>
      <c r="JU70" s="136"/>
      <c r="JV70" s="136"/>
      <c r="JW70" s="136"/>
      <c r="JX70" s="136"/>
      <c r="JY70" s="136"/>
      <c r="JZ70" s="136"/>
      <c r="KA70" s="136"/>
      <c r="KB70" s="136"/>
      <c r="KC70" s="136"/>
      <c r="KD70" s="136"/>
      <c r="KE70" s="136"/>
      <c r="KF70" s="136"/>
      <c r="KG70" s="136"/>
      <c r="KH70" s="136"/>
      <c r="KI70" s="136"/>
      <c r="KJ70" s="136"/>
      <c r="KK70" s="136"/>
      <c r="KL70" s="136"/>
      <c r="KM70" s="136"/>
      <c r="KN70" s="136"/>
      <c r="KO70" s="136"/>
      <c r="KP70" s="136"/>
      <c r="KQ70" s="136"/>
      <c r="KR70" s="136"/>
      <c r="KS70" s="136"/>
      <c r="KT70" s="136"/>
      <c r="KU70" s="136"/>
      <c r="KV70" s="136"/>
      <c r="KW70" s="136"/>
      <c r="KX70" s="136"/>
      <c r="KY70" s="136"/>
      <c r="KZ70" s="136"/>
      <c r="LA70" s="136"/>
      <c r="LB70" s="136"/>
      <c r="LC70" s="136"/>
      <c r="LD70" s="136"/>
      <c r="LE70" s="136"/>
      <c r="LF70" s="136"/>
      <c r="LG70" s="136"/>
      <c r="LH70" s="136"/>
      <c r="LI70" s="136"/>
      <c r="LJ70" s="136"/>
      <c r="LK70" s="136"/>
      <c r="LL70" s="136"/>
      <c r="LM70" s="136"/>
      <c r="LN70" s="136"/>
      <c r="LO70" s="136"/>
      <c r="LP70" s="136"/>
      <c r="LQ70" s="136"/>
      <c r="LR70" s="136"/>
      <c r="LS70" s="136"/>
      <c r="LT70" s="136"/>
      <c r="LU70" s="136"/>
      <c r="LV70" s="136"/>
      <c r="LW70" s="136"/>
      <c r="LX70" s="136"/>
      <c r="LY70" s="136"/>
      <c r="LZ70" s="136"/>
      <c r="MA70" s="136"/>
      <c r="MB70" s="136"/>
      <c r="MC70" s="136"/>
      <c r="MD70" s="136"/>
      <c r="ME70" s="136"/>
      <c r="MF70" s="136"/>
      <c r="MG70" s="136"/>
      <c r="MH70" s="136"/>
      <c r="MI70" s="136"/>
      <c r="MJ70" s="136"/>
      <c r="MK70" s="136"/>
      <c r="ML70" s="136"/>
      <c r="MM70" s="136"/>
      <c r="MN70" s="136"/>
      <c r="MO70" s="136"/>
      <c r="MP70" s="136"/>
      <c r="MQ70" s="136"/>
      <c r="MR70" s="136"/>
      <c r="MS70" s="136"/>
      <c r="MT70" s="136"/>
      <c r="MU70" s="136"/>
      <c r="MV70" s="136"/>
      <c r="MW70" s="136"/>
      <c r="MX70" s="136"/>
      <c r="MY70" s="136"/>
      <c r="MZ70" s="136"/>
      <c r="NA70" s="136"/>
      <c r="NB70" s="136"/>
      <c r="NC70" s="136"/>
      <c r="ND70" s="136"/>
      <c r="NE70" s="136"/>
      <c r="NF70" s="136"/>
      <c r="NG70" s="136"/>
      <c r="NH70" s="136"/>
      <c r="NI70" s="136"/>
      <c r="NJ70" s="136"/>
      <c r="NK70" s="136"/>
      <c r="NL70" s="136"/>
      <c r="NM70" s="136"/>
      <c r="NN70" s="136"/>
      <c r="NO70" s="136"/>
      <c r="NP70" s="136"/>
      <c r="NQ70" s="136"/>
      <c r="NR70" s="136"/>
      <c r="NS70" s="136"/>
      <c r="NT70" s="136"/>
      <c r="NU70" s="136"/>
      <c r="NV70" s="136"/>
      <c r="NW70" s="136"/>
      <c r="NX70" s="136"/>
      <c r="NY70" s="136"/>
      <c r="NZ70" s="136"/>
      <c r="OA70" s="136"/>
      <c r="OB70" s="136"/>
      <c r="OC70" s="136"/>
      <c r="OD70" s="136"/>
      <c r="OE70" s="136"/>
      <c r="OF70" s="136"/>
      <c r="OG70" s="136"/>
      <c r="OH70" s="136"/>
      <c r="OI70" s="136"/>
      <c r="OJ70" s="136"/>
      <c r="OK70" s="136"/>
      <c r="OL70" s="136"/>
      <c r="OM70" s="136"/>
      <c r="ON70" s="136"/>
      <c r="OO70" s="136"/>
      <c r="OP70" s="136"/>
      <c r="OQ70" s="136"/>
      <c r="OR70" s="136"/>
      <c r="OS70" s="136"/>
      <c r="OT70" s="136"/>
      <c r="OU70" s="136"/>
      <c r="OV70" s="136"/>
      <c r="OW70" s="136"/>
      <c r="OX70" s="136"/>
      <c r="OY70" s="136"/>
      <c r="OZ70" s="136"/>
      <c r="PA70" s="136"/>
      <c r="PB70" s="136"/>
      <c r="PC70" s="136"/>
      <c r="PD70" s="136"/>
      <c r="PE70" s="136"/>
      <c r="PF70" s="136"/>
      <c r="PG70" s="136"/>
      <c r="PH70" s="136"/>
      <c r="PI70" s="136"/>
      <c r="PJ70" s="136"/>
      <c r="PK70" s="136"/>
      <c r="PL70" s="136"/>
      <c r="PM70" s="136"/>
      <c r="PN70" s="136"/>
      <c r="PO70" s="136"/>
      <c r="PP70" s="136"/>
      <c r="PQ70" s="136"/>
      <c r="PR70" s="136"/>
      <c r="PS70" s="136"/>
      <c r="PT70" s="136"/>
      <c r="PU70" s="136"/>
      <c r="PV70" s="136"/>
      <c r="PW70" s="136"/>
      <c r="PX70" s="136"/>
      <c r="PY70" s="136"/>
      <c r="PZ70" s="136"/>
      <c r="QA70" s="136"/>
      <c r="QB70" s="136"/>
      <c r="QC70" s="136"/>
      <c r="QD70" s="136"/>
      <c r="QE70" s="136"/>
      <c r="QF70" s="136"/>
      <c r="QG70" s="136"/>
      <c r="QH70" s="136"/>
      <c r="QI70" s="136"/>
      <c r="QJ70" s="136"/>
      <c r="QK70" s="136"/>
      <c r="QL70" s="136"/>
      <c r="QM70" s="136"/>
      <c r="QN70" s="136"/>
      <c r="QO70" s="136"/>
      <c r="QP70" s="136"/>
      <c r="QQ70" s="136"/>
      <c r="QR70" s="136"/>
      <c r="QS70" s="136"/>
      <c r="QT70" s="136"/>
      <c r="QU70" s="136"/>
      <c r="QV70" s="136"/>
      <c r="QW70" s="136"/>
      <c r="QX70" s="136"/>
      <c r="QY70" s="136"/>
      <c r="QZ70" s="136"/>
      <c r="RA70" s="136"/>
      <c r="RB70" s="136"/>
      <c r="RC70" s="136"/>
      <c r="RD70" s="136"/>
      <c r="RE70" s="136"/>
      <c r="RF70" s="136"/>
      <c r="RG70" s="136"/>
      <c r="RH70" s="136"/>
      <c r="RI70" s="136"/>
      <c r="RJ70" s="136"/>
      <c r="RK70" s="136"/>
      <c r="RL70" s="136"/>
      <c r="RM70" s="136"/>
      <c r="RN70" s="136"/>
      <c r="RO70" s="136"/>
      <c r="RP70" s="136"/>
      <c r="RQ70" s="136"/>
      <c r="RR70" s="136"/>
      <c r="RS70" s="136"/>
      <c r="RT70" s="136"/>
      <c r="RU70" s="136"/>
      <c r="RV70" s="136"/>
      <c r="RW70" s="136"/>
      <c r="RX70" s="136"/>
      <c r="RY70" s="136"/>
      <c r="RZ70" s="136"/>
      <c r="SA70" s="136"/>
      <c r="SB70" s="136"/>
      <c r="SC70" s="136"/>
      <c r="SD70" s="136"/>
      <c r="SE70" s="136"/>
      <c r="SF70" s="136"/>
      <c r="SG70" s="136"/>
      <c r="SH70" s="136"/>
      <c r="SI70" s="136"/>
      <c r="SJ70" s="136"/>
      <c r="SK70" s="136"/>
      <c r="SL70" s="136"/>
      <c r="SM70" s="136"/>
      <c r="SN70" s="136"/>
      <c r="SO70" s="136"/>
      <c r="SP70" s="136"/>
      <c r="SQ70" s="136"/>
      <c r="SR70" s="136"/>
      <c r="SS70" s="136"/>
    </row>
    <row r="71" spans="14:513" s="135" customFormat="1" ht="14.5" x14ac:dyDescent="0.35">
      <c r="N71" s="134"/>
      <c r="O71" s="134"/>
      <c r="P71" s="182">
        <f t="shared" si="242"/>
        <v>44926</v>
      </c>
      <c r="Q71" s="183" t="str">
        <f>INDEX($D$43:$BL$43,MATCH(P71,$D$38:$BL$38,0))</f>
        <v>L9M</v>
      </c>
      <c r="R71" s="214">
        <f>INDEX($D$44:$BL$44,MATCH(P71,$D$38:$BL$38,0))</f>
        <v>0</v>
      </c>
      <c r="S71" s="214">
        <f>INDEX($D$46:$BL$46,MATCH(P71,$D$38:$BL$38,0))</f>
        <v>12600000</v>
      </c>
      <c r="T71" s="214" t="e">
        <f>INDEX(#REF!,MATCH(P71,$D$38:$BL$38,0))</f>
        <v>#REF!</v>
      </c>
      <c r="U71" s="217" t="e">
        <f t="shared" si="241"/>
        <v>#DIV/0!</v>
      </c>
      <c r="V71" s="134"/>
      <c r="W71" s="134"/>
      <c r="X71" s="134"/>
      <c r="Y71" s="134"/>
      <c r="Z71" s="134"/>
      <c r="AA71" s="134"/>
      <c r="AB71" s="134"/>
      <c r="AC71" s="134"/>
      <c r="AD71" s="134"/>
      <c r="AE71" s="134"/>
      <c r="AF71" s="134"/>
      <c r="DO71" s="136"/>
      <c r="DP71" s="136"/>
      <c r="DQ71" s="136"/>
      <c r="DR71" s="136"/>
      <c r="DS71" s="136"/>
      <c r="DT71" s="136"/>
      <c r="DU71" s="136"/>
      <c r="DV71" s="136"/>
      <c r="DW71" s="136"/>
      <c r="DX71" s="136"/>
      <c r="DY71" s="136"/>
      <c r="DZ71" s="136"/>
      <c r="EA71" s="136"/>
      <c r="EB71" s="136"/>
      <c r="EC71" s="136"/>
      <c r="ED71" s="136"/>
      <c r="EE71" s="136"/>
      <c r="EF71" s="136"/>
      <c r="EG71" s="136"/>
      <c r="EH71" s="136"/>
      <c r="EI71" s="136"/>
      <c r="EJ71" s="136"/>
      <c r="EK71" s="136"/>
      <c r="EL71" s="136"/>
      <c r="EM71" s="136"/>
      <c r="EN71" s="136"/>
      <c r="EO71" s="136"/>
      <c r="EP71" s="136"/>
      <c r="EQ71" s="136"/>
      <c r="ER71" s="136"/>
      <c r="ES71" s="136"/>
      <c r="ET71" s="136"/>
      <c r="EU71" s="136"/>
      <c r="EV71" s="136"/>
      <c r="EW71" s="136"/>
      <c r="EX71" s="136"/>
      <c r="EY71" s="136"/>
      <c r="EZ71" s="136"/>
      <c r="FA71" s="136"/>
      <c r="FB71" s="136"/>
      <c r="FC71" s="136"/>
      <c r="FD71" s="136"/>
      <c r="FE71" s="136"/>
      <c r="FF71" s="136"/>
      <c r="FG71" s="136"/>
      <c r="FH71" s="136"/>
      <c r="FI71" s="136"/>
      <c r="FJ71" s="136"/>
      <c r="FK71" s="136"/>
      <c r="FL71" s="136"/>
      <c r="FM71" s="136"/>
      <c r="FN71" s="136"/>
      <c r="FO71" s="136"/>
      <c r="FP71" s="136"/>
      <c r="FQ71" s="136"/>
      <c r="FR71" s="136"/>
      <c r="FS71" s="136"/>
      <c r="FT71" s="136"/>
      <c r="FU71" s="136"/>
      <c r="FV71" s="136"/>
      <c r="FW71" s="136"/>
      <c r="FX71" s="136"/>
      <c r="FY71" s="136"/>
      <c r="FZ71" s="136"/>
      <c r="GA71" s="136"/>
      <c r="GB71" s="136"/>
      <c r="GC71" s="136"/>
      <c r="GD71" s="136"/>
      <c r="GE71" s="136"/>
      <c r="GF71" s="136"/>
      <c r="GG71" s="136"/>
      <c r="GH71" s="136"/>
      <c r="GI71" s="136"/>
      <c r="GJ71" s="136"/>
      <c r="GK71" s="136"/>
      <c r="GL71" s="136"/>
      <c r="GM71" s="136"/>
      <c r="GN71" s="136"/>
      <c r="GO71" s="136"/>
      <c r="GP71" s="136"/>
      <c r="GQ71" s="136"/>
      <c r="GR71" s="136"/>
      <c r="GS71" s="136"/>
      <c r="GT71" s="136"/>
      <c r="GU71" s="136"/>
      <c r="GV71" s="136"/>
      <c r="GW71" s="136"/>
      <c r="GX71" s="136"/>
      <c r="GY71" s="136"/>
      <c r="GZ71" s="136"/>
      <c r="HA71" s="136"/>
      <c r="HB71" s="136"/>
      <c r="HC71" s="136"/>
      <c r="HD71" s="136"/>
      <c r="HE71" s="136"/>
      <c r="HF71" s="136"/>
      <c r="HG71" s="136"/>
      <c r="HH71" s="136"/>
      <c r="HI71" s="136"/>
      <c r="HJ71" s="136"/>
      <c r="HK71" s="136"/>
      <c r="HL71" s="136"/>
      <c r="HM71" s="136"/>
      <c r="HN71" s="136"/>
      <c r="HO71" s="136"/>
      <c r="HP71" s="136"/>
      <c r="HQ71" s="136"/>
      <c r="HR71" s="136"/>
      <c r="HS71" s="136"/>
      <c r="HT71" s="136"/>
      <c r="HU71" s="136"/>
      <c r="HV71" s="136"/>
      <c r="HW71" s="136"/>
      <c r="HX71" s="136"/>
      <c r="HY71" s="136"/>
      <c r="HZ71" s="136"/>
      <c r="IA71" s="136"/>
      <c r="IB71" s="136"/>
      <c r="IC71" s="136"/>
      <c r="ID71" s="136"/>
      <c r="IE71" s="136"/>
      <c r="IF71" s="136"/>
      <c r="IG71" s="136"/>
      <c r="IH71" s="136"/>
      <c r="II71" s="136"/>
      <c r="IJ71" s="136"/>
      <c r="IK71" s="136"/>
      <c r="IL71" s="136"/>
      <c r="IM71" s="136"/>
      <c r="IN71" s="136"/>
      <c r="IO71" s="136"/>
      <c r="IP71" s="136"/>
      <c r="IQ71" s="136"/>
      <c r="IR71" s="136"/>
      <c r="IS71" s="136"/>
      <c r="IT71" s="136"/>
      <c r="IU71" s="136"/>
      <c r="IV71" s="136"/>
      <c r="IW71" s="136"/>
      <c r="IX71" s="136"/>
      <c r="IY71" s="136"/>
      <c r="IZ71" s="136"/>
      <c r="JA71" s="136"/>
      <c r="JB71" s="136"/>
      <c r="JC71" s="136"/>
      <c r="JD71" s="136"/>
      <c r="JE71" s="136"/>
      <c r="JF71" s="136"/>
      <c r="JG71" s="136"/>
      <c r="JH71" s="136"/>
      <c r="JI71" s="136"/>
      <c r="JJ71" s="136"/>
      <c r="JK71" s="136"/>
      <c r="JL71" s="136"/>
      <c r="JM71" s="136"/>
      <c r="JN71" s="136"/>
      <c r="JO71" s="136"/>
      <c r="JP71" s="136"/>
      <c r="JQ71" s="136"/>
      <c r="JR71" s="136"/>
      <c r="JS71" s="136"/>
      <c r="JT71" s="136"/>
      <c r="JU71" s="136"/>
      <c r="JV71" s="136"/>
      <c r="JW71" s="136"/>
      <c r="JX71" s="136"/>
      <c r="JY71" s="136"/>
      <c r="JZ71" s="136"/>
      <c r="KA71" s="136"/>
      <c r="KB71" s="136"/>
      <c r="KC71" s="136"/>
      <c r="KD71" s="136"/>
      <c r="KE71" s="136"/>
      <c r="KF71" s="136"/>
      <c r="KG71" s="136"/>
      <c r="KH71" s="136"/>
      <c r="KI71" s="136"/>
      <c r="KJ71" s="136"/>
      <c r="KK71" s="136"/>
      <c r="KL71" s="136"/>
      <c r="KM71" s="136"/>
      <c r="KN71" s="136"/>
      <c r="KO71" s="136"/>
      <c r="KP71" s="136"/>
      <c r="KQ71" s="136"/>
      <c r="KR71" s="136"/>
      <c r="KS71" s="136"/>
      <c r="KT71" s="136"/>
      <c r="KU71" s="136"/>
      <c r="KV71" s="136"/>
      <c r="KW71" s="136"/>
      <c r="KX71" s="136"/>
      <c r="KY71" s="136"/>
      <c r="KZ71" s="136"/>
      <c r="LA71" s="136"/>
      <c r="LB71" s="136"/>
      <c r="LC71" s="136"/>
      <c r="LD71" s="136"/>
      <c r="LE71" s="136"/>
      <c r="LF71" s="136"/>
      <c r="LG71" s="136"/>
      <c r="LH71" s="136"/>
      <c r="LI71" s="136"/>
      <c r="LJ71" s="136"/>
      <c r="LK71" s="136"/>
      <c r="LL71" s="136"/>
      <c r="LM71" s="136"/>
      <c r="LN71" s="136"/>
      <c r="LO71" s="136"/>
      <c r="LP71" s="136"/>
      <c r="LQ71" s="136"/>
      <c r="LR71" s="136"/>
      <c r="LS71" s="136"/>
      <c r="LT71" s="136"/>
      <c r="LU71" s="136"/>
      <c r="LV71" s="136"/>
      <c r="LW71" s="136"/>
      <c r="LX71" s="136"/>
      <c r="LY71" s="136"/>
      <c r="LZ71" s="136"/>
      <c r="MA71" s="136"/>
      <c r="MB71" s="136"/>
      <c r="MC71" s="136"/>
      <c r="MD71" s="136"/>
      <c r="ME71" s="136"/>
      <c r="MF71" s="136"/>
      <c r="MG71" s="136"/>
      <c r="MH71" s="136"/>
      <c r="MI71" s="136"/>
      <c r="MJ71" s="136"/>
      <c r="MK71" s="136"/>
      <c r="ML71" s="136"/>
      <c r="MM71" s="136"/>
      <c r="MN71" s="136"/>
      <c r="MO71" s="136"/>
      <c r="MP71" s="136"/>
      <c r="MQ71" s="136"/>
      <c r="MR71" s="136"/>
      <c r="MS71" s="136"/>
      <c r="MT71" s="136"/>
      <c r="MU71" s="136"/>
      <c r="MV71" s="136"/>
      <c r="MW71" s="136"/>
      <c r="MX71" s="136"/>
      <c r="MY71" s="136"/>
      <c r="MZ71" s="136"/>
      <c r="NA71" s="136"/>
      <c r="NB71" s="136"/>
      <c r="NC71" s="136"/>
      <c r="ND71" s="136"/>
      <c r="NE71" s="136"/>
      <c r="NF71" s="136"/>
      <c r="NG71" s="136"/>
      <c r="NH71" s="136"/>
      <c r="NI71" s="136"/>
      <c r="NJ71" s="136"/>
      <c r="NK71" s="136"/>
      <c r="NL71" s="136"/>
      <c r="NM71" s="136"/>
      <c r="NN71" s="136"/>
      <c r="NO71" s="136"/>
      <c r="NP71" s="136"/>
      <c r="NQ71" s="136"/>
      <c r="NR71" s="136"/>
      <c r="NS71" s="136"/>
      <c r="NT71" s="136"/>
      <c r="NU71" s="136"/>
      <c r="NV71" s="136"/>
      <c r="NW71" s="136"/>
      <c r="NX71" s="136"/>
      <c r="NY71" s="136"/>
      <c r="NZ71" s="136"/>
      <c r="OA71" s="136"/>
      <c r="OB71" s="136"/>
      <c r="OC71" s="136"/>
      <c r="OD71" s="136"/>
      <c r="OE71" s="136"/>
      <c r="OF71" s="136"/>
      <c r="OG71" s="136"/>
      <c r="OH71" s="136"/>
      <c r="OI71" s="136"/>
      <c r="OJ71" s="136"/>
      <c r="OK71" s="136"/>
      <c r="OL71" s="136"/>
      <c r="OM71" s="136"/>
      <c r="ON71" s="136"/>
      <c r="OO71" s="136"/>
      <c r="OP71" s="136"/>
      <c r="OQ71" s="136"/>
      <c r="OR71" s="136"/>
      <c r="OS71" s="136"/>
      <c r="OT71" s="136"/>
      <c r="OU71" s="136"/>
      <c r="OV71" s="136"/>
      <c r="OW71" s="136"/>
      <c r="OX71" s="136"/>
      <c r="OY71" s="136"/>
      <c r="OZ71" s="136"/>
      <c r="PA71" s="136"/>
      <c r="PB71" s="136"/>
      <c r="PC71" s="136"/>
      <c r="PD71" s="136"/>
      <c r="PE71" s="136"/>
      <c r="PF71" s="136"/>
      <c r="PG71" s="136"/>
      <c r="PH71" s="136"/>
      <c r="PI71" s="136"/>
      <c r="PJ71" s="136"/>
      <c r="PK71" s="136"/>
      <c r="PL71" s="136"/>
      <c r="PM71" s="136"/>
      <c r="PN71" s="136"/>
      <c r="PO71" s="136"/>
      <c r="PP71" s="136"/>
      <c r="PQ71" s="136"/>
      <c r="PR71" s="136"/>
      <c r="PS71" s="136"/>
      <c r="PT71" s="136"/>
      <c r="PU71" s="136"/>
      <c r="PV71" s="136"/>
      <c r="PW71" s="136"/>
      <c r="PX71" s="136"/>
      <c r="PY71" s="136"/>
      <c r="PZ71" s="136"/>
      <c r="QA71" s="136"/>
      <c r="QB71" s="136"/>
      <c r="QC71" s="136"/>
      <c r="QD71" s="136"/>
      <c r="QE71" s="136"/>
      <c r="QF71" s="136"/>
      <c r="QG71" s="136"/>
      <c r="QH71" s="136"/>
      <c r="QI71" s="136"/>
      <c r="QJ71" s="136"/>
      <c r="QK71" s="136"/>
      <c r="QL71" s="136"/>
      <c r="QM71" s="136"/>
      <c r="QN71" s="136"/>
      <c r="QO71" s="136"/>
      <c r="QP71" s="136"/>
      <c r="QQ71" s="136"/>
      <c r="QR71" s="136"/>
      <c r="QS71" s="136"/>
      <c r="QT71" s="136"/>
      <c r="QU71" s="136"/>
      <c r="QV71" s="136"/>
      <c r="QW71" s="136"/>
      <c r="QX71" s="136"/>
      <c r="QY71" s="136"/>
      <c r="QZ71" s="136"/>
      <c r="RA71" s="136"/>
      <c r="RB71" s="136"/>
      <c r="RC71" s="136"/>
      <c r="RD71" s="136"/>
      <c r="RE71" s="136"/>
      <c r="RF71" s="136"/>
      <c r="RG71" s="136"/>
      <c r="RH71" s="136"/>
      <c r="RI71" s="136"/>
      <c r="RJ71" s="136"/>
      <c r="RK71" s="136"/>
      <c r="RL71" s="136"/>
      <c r="RM71" s="136"/>
      <c r="RN71" s="136"/>
      <c r="RO71" s="136"/>
      <c r="RP71" s="136"/>
      <c r="RQ71" s="136"/>
      <c r="RR71" s="136"/>
      <c r="RS71" s="136"/>
      <c r="RT71" s="136"/>
      <c r="RU71" s="136"/>
      <c r="RV71" s="136"/>
      <c r="RW71" s="136"/>
      <c r="RX71" s="136"/>
      <c r="RY71" s="136"/>
      <c r="RZ71" s="136"/>
      <c r="SA71" s="136"/>
      <c r="SB71" s="136"/>
      <c r="SC71" s="136"/>
      <c r="SD71" s="136"/>
      <c r="SE71" s="136"/>
      <c r="SF71" s="136"/>
      <c r="SG71" s="136"/>
      <c r="SH71" s="136"/>
      <c r="SI71" s="136"/>
      <c r="SJ71" s="136"/>
      <c r="SK71" s="136"/>
      <c r="SL71" s="136"/>
      <c r="SM71" s="136"/>
      <c r="SN71" s="136"/>
      <c r="SO71" s="136"/>
      <c r="SP71" s="136"/>
      <c r="SQ71" s="136"/>
      <c r="SR71" s="136"/>
      <c r="SS71" s="136"/>
    </row>
    <row r="72" spans="14:513" s="135" customFormat="1" ht="14.5" x14ac:dyDescent="0.35">
      <c r="N72" s="134"/>
      <c r="O72" s="134"/>
      <c r="P72" s="215"/>
      <c r="Q72" s="195"/>
      <c r="R72" s="196"/>
      <c r="S72" s="196"/>
      <c r="T72" s="196"/>
      <c r="U72" s="196"/>
      <c r="V72" s="134"/>
      <c r="W72" s="134"/>
      <c r="X72" s="134"/>
      <c r="Y72" s="134"/>
      <c r="Z72" s="134"/>
      <c r="AA72" s="134"/>
      <c r="AB72" s="134"/>
      <c r="AC72" s="134"/>
      <c r="AD72" s="134"/>
      <c r="AE72" s="134"/>
      <c r="AF72" s="134"/>
      <c r="DO72" s="136"/>
      <c r="DP72" s="136"/>
      <c r="DQ72" s="136"/>
      <c r="DR72" s="136"/>
      <c r="DS72" s="136"/>
      <c r="DT72" s="136"/>
      <c r="DU72" s="136"/>
      <c r="DV72" s="136"/>
      <c r="DW72" s="136"/>
      <c r="DX72" s="136"/>
      <c r="DY72" s="136"/>
      <c r="DZ72" s="136"/>
      <c r="EA72" s="136"/>
      <c r="EB72" s="136"/>
      <c r="EC72" s="136"/>
      <c r="ED72" s="136"/>
      <c r="EE72" s="136"/>
      <c r="EF72" s="136"/>
      <c r="EG72" s="136"/>
      <c r="EH72" s="136"/>
      <c r="EI72" s="136"/>
      <c r="EJ72" s="136"/>
      <c r="EK72" s="136"/>
      <c r="EL72" s="136"/>
      <c r="EM72" s="136"/>
      <c r="EN72" s="136"/>
      <c r="EO72" s="136"/>
      <c r="EP72" s="136"/>
      <c r="EQ72" s="136"/>
      <c r="ER72" s="136"/>
      <c r="ES72" s="136"/>
      <c r="ET72" s="136"/>
      <c r="EU72" s="136"/>
      <c r="EV72" s="136"/>
      <c r="EW72" s="136"/>
      <c r="EX72" s="136"/>
      <c r="EY72" s="136"/>
      <c r="EZ72" s="136"/>
      <c r="FA72" s="136"/>
      <c r="FB72" s="136"/>
      <c r="FC72" s="136"/>
      <c r="FD72" s="136"/>
      <c r="FE72" s="136"/>
      <c r="FF72" s="136"/>
      <c r="FG72" s="136"/>
      <c r="FH72" s="136"/>
      <c r="FI72" s="136"/>
      <c r="FJ72" s="136"/>
      <c r="FK72" s="136"/>
      <c r="FL72" s="136"/>
      <c r="FM72" s="136"/>
      <c r="FN72" s="136"/>
      <c r="FO72" s="136"/>
      <c r="FP72" s="136"/>
      <c r="FQ72" s="136"/>
      <c r="FR72" s="136"/>
      <c r="FS72" s="136"/>
      <c r="FT72" s="136"/>
      <c r="FU72" s="136"/>
      <c r="FV72" s="136"/>
      <c r="FW72" s="136"/>
      <c r="FX72" s="136"/>
      <c r="FY72" s="136"/>
      <c r="FZ72" s="136"/>
      <c r="GA72" s="136"/>
      <c r="GB72" s="136"/>
      <c r="GC72" s="136"/>
      <c r="GD72" s="136"/>
      <c r="GE72" s="136"/>
      <c r="GF72" s="136"/>
      <c r="GG72" s="136"/>
      <c r="GH72" s="136"/>
      <c r="GI72" s="136"/>
      <c r="GJ72" s="136"/>
      <c r="GK72" s="136"/>
      <c r="GL72" s="136"/>
      <c r="GM72" s="136"/>
      <c r="GN72" s="136"/>
      <c r="GO72" s="136"/>
      <c r="GP72" s="136"/>
      <c r="GQ72" s="136"/>
      <c r="GR72" s="136"/>
      <c r="GS72" s="136"/>
      <c r="GT72" s="136"/>
      <c r="GU72" s="136"/>
      <c r="GV72" s="136"/>
      <c r="GW72" s="136"/>
      <c r="GX72" s="136"/>
      <c r="GY72" s="136"/>
      <c r="GZ72" s="136"/>
      <c r="HA72" s="136"/>
      <c r="HB72" s="136"/>
      <c r="HC72" s="136"/>
      <c r="HD72" s="136"/>
      <c r="HE72" s="136"/>
      <c r="HF72" s="136"/>
      <c r="HG72" s="136"/>
      <c r="HH72" s="136"/>
      <c r="HI72" s="136"/>
      <c r="HJ72" s="136"/>
      <c r="HK72" s="136"/>
      <c r="HL72" s="136"/>
      <c r="HM72" s="136"/>
      <c r="HN72" s="136"/>
      <c r="HO72" s="136"/>
      <c r="HP72" s="136"/>
      <c r="HQ72" s="136"/>
      <c r="HR72" s="136"/>
      <c r="HS72" s="136"/>
      <c r="HT72" s="136"/>
      <c r="HU72" s="136"/>
      <c r="HV72" s="136"/>
      <c r="HW72" s="136"/>
      <c r="HX72" s="136"/>
      <c r="HY72" s="136"/>
      <c r="HZ72" s="136"/>
      <c r="IA72" s="136"/>
      <c r="IB72" s="136"/>
      <c r="IC72" s="136"/>
      <c r="ID72" s="136"/>
      <c r="IE72" s="136"/>
      <c r="IF72" s="136"/>
      <c r="IG72" s="136"/>
      <c r="IH72" s="136"/>
      <c r="II72" s="136"/>
      <c r="IJ72" s="136"/>
      <c r="IK72" s="136"/>
      <c r="IL72" s="136"/>
      <c r="IM72" s="136"/>
      <c r="IN72" s="136"/>
      <c r="IO72" s="136"/>
      <c r="IP72" s="136"/>
      <c r="IQ72" s="136"/>
      <c r="IR72" s="136"/>
      <c r="IS72" s="136"/>
      <c r="IT72" s="136"/>
      <c r="IU72" s="136"/>
      <c r="IV72" s="136"/>
      <c r="IW72" s="136"/>
      <c r="IX72" s="136"/>
      <c r="IY72" s="136"/>
      <c r="IZ72" s="136"/>
      <c r="JA72" s="136"/>
      <c r="JB72" s="136"/>
      <c r="JC72" s="136"/>
      <c r="JD72" s="136"/>
      <c r="JE72" s="136"/>
      <c r="JF72" s="136"/>
      <c r="JG72" s="136"/>
      <c r="JH72" s="136"/>
      <c r="JI72" s="136"/>
      <c r="JJ72" s="136"/>
      <c r="JK72" s="136"/>
      <c r="JL72" s="136"/>
      <c r="JM72" s="136"/>
      <c r="JN72" s="136"/>
      <c r="JO72" s="136"/>
      <c r="JP72" s="136"/>
      <c r="JQ72" s="136"/>
      <c r="JR72" s="136"/>
      <c r="JS72" s="136"/>
      <c r="JT72" s="136"/>
      <c r="JU72" s="136"/>
      <c r="JV72" s="136"/>
      <c r="JW72" s="136"/>
      <c r="JX72" s="136"/>
      <c r="JY72" s="136"/>
      <c r="JZ72" s="136"/>
      <c r="KA72" s="136"/>
      <c r="KB72" s="136"/>
      <c r="KC72" s="136"/>
      <c r="KD72" s="136"/>
      <c r="KE72" s="136"/>
      <c r="KF72" s="136"/>
      <c r="KG72" s="136"/>
      <c r="KH72" s="136"/>
      <c r="KI72" s="136"/>
      <c r="KJ72" s="136"/>
      <c r="KK72" s="136"/>
      <c r="KL72" s="136"/>
      <c r="KM72" s="136"/>
      <c r="KN72" s="136"/>
      <c r="KO72" s="136"/>
      <c r="KP72" s="136"/>
      <c r="KQ72" s="136"/>
      <c r="KR72" s="136"/>
      <c r="KS72" s="136"/>
      <c r="KT72" s="136"/>
      <c r="KU72" s="136"/>
      <c r="KV72" s="136"/>
      <c r="KW72" s="136"/>
      <c r="KX72" s="136"/>
      <c r="KY72" s="136"/>
      <c r="KZ72" s="136"/>
      <c r="LA72" s="136"/>
      <c r="LB72" s="136"/>
      <c r="LC72" s="136"/>
      <c r="LD72" s="136"/>
      <c r="LE72" s="136"/>
      <c r="LF72" s="136"/>
      <c r="LG72" s="136"/>
      <c r="LH72" s="136"/>
      <c r="LI72" s="136"/>
      <c r="LJ72" s="136"/>
      <c r="LK72" s="136"/>
      <c r="LL72" s="136"/>
      <c r="LM72" s="136"/>
      <c r="LN72" s="136"/>
      <c r="LO72" s="136"/>
      <c r="LP72" s="136"/>
      <c r="LQ72" s="136"/>
      <c r="LR72" s="136"/>
      <c r="LS72" s="136"/>
      <c r="LT72" s="136"/>
      <c r="LU72" s="136"/>
      <c r="LV72" s="136"/>
      <c r="LW72" s="136"/>
      <c r="LX72" s="136"/>
      <c r="LY72" s="136"/>
      <c r="LZ72" s="136"/>
      <c r="MA72" s="136"/>
      <c r="MB72" s="136"/>
      <c r="MC72" s="136"/>
      <c r="MD72" s="136"/>
      <c r="ME72" s="136"/>
      <c r="MF72" s="136"/>
      <c r="MG72" s="136"/>
      <c r="MH72" s="136"/>
      <c r="MI72" s="136"/>
      <c r="MJ72" s="136"/>
      <c r="MK72" s="136"/>
      <c r="ML72" s="136"/>
      <c r="MM72" s="136"/>
      <c r="MN72" s="136"/>
      <c r="MO72" s="136"/>
      <c r="MP72" s="136"/>
      <c r="MQ72" s="136"/>
      <c r="MR72" s="136"/>
      <c r="MS72" s="136"/>
      <c r="MT72" s="136"/>
      <c r="MU72" s="136"/>
      <c r="MV72" s="136"/>
      <c r="MW72" s="136"/>
      <c r="MX72" s="136"/>
      <c r="MY72" s="136"/>
      <c r="MZ72" s="136"/>
      <c r="NA72" s="136"/>
      <c r="NB72" s="136"/>
      <c r="NC72" s="136"/>
      <c r="ND72" s="136"/>
      <c r="NE72" s="136"/>
      <c r="NF72" s="136"/>
      <c r="NG72" s="136"/>
      <c r="NH72" s="136"/>
      <c r="NI72" s="136"/>
      <c r="NJ72" s="136"/>
      <c r="NK72" s="136"/>
      <c r="NL72" s="136"/>
      <c r="NM72" s="136"/>
      <c r="NN72" s="136"/>
      <c r="NO72" s="136"/>
      <c r="NP72" s="136"/>
      <c r="NQ72" s="136"/>
      <c r="NR72" s="136"/>
      <c r="NS72" s="136"/>
      <c r="NT72" s="136"/>
      <c r="NU72" s="136"/>
      <c r="NV72" s="136"/>
      <c r="NW72" s="136"/>
      <c r="NX72" s="136"/>
      <c r="NY72" s="136"/>
      <c r="NZ72" s="136"/>
      <c r="OA72" s="136"/>
      <c r="OB72" s="136"/>
      <c r="OC72" s="136"/>
      <c r="OD72" s="136"/>
      <c r="OE72" s="136"/>
      <c r="OF72" s="136"/>
      <c r="OG72" s="136"/>
      <c r="OH72" s="136"/>
      <c r="OI72" s="136"/>
      <c r="OJ72" s="136"/>
      <c r="OK72" s="136"/>
      <c r="OL72" s="136"/>
      <c r="OM72" s="136"/>
      <c r="ON72" s="136"/>
      <c r="OO72" s="136"/>
      <c r="OP72" s="136"/>
      <c r="OQ72" s="136"/>
      <c r="OR72" s="136"/>
      <c r="OS72" s="136"/>
      <c r="OT72" s="136"/>
      <c r="OU72" s="136"/>
      <c r="OV72" s="136"/>
      <c r="OW72" s="136"/>
      <c r="OX72" s="136"/>
      <c r="OY72" s="136"/>
      <c r="OZ72" s="136"/>
      <c r="PA72" s="136"/>
      <c r="PB72" s="136"/>
      <c r="PC72" s="136"/>
      <c r="PD72" s="136"/>
      <c r="PE72" s="136"/>
      <c r="PF72" s="136"/>
      <c r="PG72" s="136"/>
      <c r="PH72" s="136"/>
      <c r="PI72" s="136"/>
      <c r="PJ72" s="136"/>
      <c r="PK72" s="136"/>
      <c r="PL72" s="136"/>
      <c r="PM72" s="136"/>
      <c r="PN72" s="136"/>
      <c r="PO72" s="136"/>
      <c r="PP72" s="136"/>
      <c r="PQ72" s="136"/>
      <c r="PR72" s="136"/>
      <c r="PS72" s="136"/>
      <c r="PT72" s="136"/>
      <c r="PU72" s="136"/>
      <c r="PV72" s="136"/>
      <c r="PW72" s="136"/>
      <c r="PX72" s="136"/>
      <c r="PY72" s="136"/>
      <c r="PZ72" s="136"/>
      <c r="QA72" s="136"/>
      <c r="QB72" s="136"/>
      <c r="QC72" s="136"/>
      <c r="QD72" s="136"/>
      <c r="QE72" s="136"/>
      <c r="QF72" s="136"/>
      <c r="QG72" s="136"/>
      <c r="QH72" s="136"/>
      <c r="QI72" s="136"/>
      <c r="QJ72" s="136"/>
      <c r="QK72" s="136"/>
      <c r="QL72" s="136"/>
      <c r="QM72" s="136"/>
      <c r="QN72" s="136"/>
      <c r="QO72" s="136"/>
      <c r="QP72" s="136"/>
      <c r="QQ72" s="136"/>
      <c r="QR72" s="136"/>
      <c r="QS72" s="136"/>
      <c r="QT72" s="136"/>
      <c r="QU72" s="136"/>
      <c r="QV72" s="136"/>
      <c r="QW72" s="136"/>
      <c r="QX72" s="136"/>
      <c r="QY72" s="136"/>
      <c r="QZ72" s="136"/>
      <c r="RA72" s="136"/>
      <c r="RB72" s="136"/>
      <c r="RC72" s="136"/>
      <c r="RD72" s="136"/>
      <c r="RE72" s="136"/>
      <c r="RF72" s="136"/>
      <c r="RG72" s="136"/>
      <c r="RH72" s="136"/>
      <c r="RI72" s="136"/>
      <c r="RJ72" s="136"/>
      <c r="RK72" s="136"/>
      <c r="RL72" s="136"/>
      <c r="RM72" s="136"/>
      <c r="RN72" s="136"/>
      <c r="RO72" s="136"/>
      <c r="RP72" s="136"/>
      <c r="RQ72" s="136"/>
      <c r="RR72" s="136"/>
      <c r="RS72" s="136"/>
      <c r="RT72" s="136"/>
      <c r="RU72" s="136"/>
      <c r="RV72" s="136"/>
      <c r="RW72" s="136"/>
      <c r="RX72" s="136"/>
      <c r="RY72" s="136"/>
      <c r="RZ72" s="136"/>
      <c r="SA72" s="136"/>
      <c r="SB72" s="136"/>
      <c r="SC72" s="136"/>
      <c r="SD72" s="136"/>
      <c r="SE72" s="136"/>
      <c r="SF72" s="136"/>
      <c r="SG72" s="136"/>
      <c r="SH72" s="136"/>
      <c r="SI72" s="136"/>
      <c r="SJ72" s="136"/>
      <c r="SK72" s="136"/>
      <c r="SL72" s="136"/>
      <c r="SM72" s="136"/>
      <c r="SN72" s="136"/>
      <c r="SO72" s="136"/>
      <c r="SP72" s="136"/>
      <c r="SQ72" s="136"/>
      <c r="SR72" s="136"/>
      <c r="SS72" s="136"/>
    </row>
    <row r="73" spans="14:513" s="135" customFormat="1" ht="14.5" x14ac:dyDescent="0.35"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DO73" s="136"/>
      <c r="DP73" s="136"/>
      <c r="DQ73" s="136"/>
      <c r="DR73" s="136"/>
      <c r="DS73" s="136"/>
      <c r="DT73" s="136"/>
      <c r="DU73" s="136"/>
      <c r="DV73" s="136"/>
      <c r="DW73" s="136"/>
      <c r="DX73" s="136"/>
      <c r="DY73" s="136"/>
      <c r="DZ73" s="136"/>
      <c r="EA73" s="136"/>
      <c r="EB73" s="136"/>
      <c r="EC73" s="136"/>
      <c r="ED73" s="136"/>
      <c r="EE73" s="136"/>
      <c r="EF73" s="136"/>
      <c r="EG73" s="136"/>
      <c r="EH73" s="136"/>
      <c r="EI73" s="136"/>
      <c r="EJ73" s="136"/>
      <c r="EK73" s="136"/>
      <c r="EL73" s="136"/>
      <c r="EM73" s="136"/>
      <c r="EN73" s="136"/>
      <c r="EO73" s="136"/>
      <c r="EP73" s="136"/>
      <c r="EQ73" s="136"/>
      <c r="ER73" s="136"/>
      <c r="ES73" s="136"/>
      <c r="ET73" s="136"/>
      <c r="EU73" s="136"/>
      <c r="EV73" s="136"/>
      <c r="EW73" s="136"/>
      <c r="EX73" s="136"/>
      <c r="EY73" s="136"/>
      <c r="EZ73" s="136"/>
      <c r="FA73" s="136"/>
      <c r="FB73" s="136"/>
      <c r="FC73" s="136"/>
      <c r="FD73" s="136"/>
      <c r="FE73" s="136"/>
      <c r="FF73" s="136"/>
      <c r="FG73" s="136"/>
      <c r="FH73" s="136"/>
      <c r="FI73" s="136"/>
      <c r="FJ73" s="136"/>
      <c r="FK73" s="136"/>
      <c r="FL73" s="136"/>
      <c r="FM73" s="136"/>
      <c r="FN73" s="136"/>
      <c r="FO73" s="136"/>
      <c r="FP73" s="136"/>
      <c r="FQ73" s="136"/>
      <c r="FR73" s="136"/>
      <c r="FS73" s="136"/>
      <c r="FT73" s="136"/>
      <c r="FU73" s="136"/>
      <c r="FV73" s="136"/>
      <c r="FW73" s="136"/>
      <c r="FX73" s="136"/>
      <c r="FY73" s="136"/>
      <c r="FZ73" s="136"/>
      <c r="GA73" s="136"/>
      <c r="GB73" s="136"/>
      <c r="GC73" s="136"/>
      <c r="GD73" s="136"/>
      <c r="GE73" s="136"/>
      <c r="GF73" s="136"/>
      <c r="GG73" s="136"/>
      <c r="GH73" s="136"/>
      <c r="GI73" s="136"/>
      <c r="GJ73" s="136"/>
      <c r="GK73" s="136"/>
      <c r="GL73" s="136"/>
      <c r="GM73" s="136"/>
      <c r="GN73" s="136"/>
      <c r="GO73" s="136"/>
      <c r="GP73" s="136"/>
      <c r="GQ73" s="136"/>
      <c r="GR73" s="136"/>
      <c r="GS73" s="136"/>
      <c r="GT73" s="136"/>
      <c r="GU73" s="136"/>
      <c r="GV73" s="136"/>
      <c r="GW73" s="136"/>
      <c r="GX73" s="136"/>
      <c r="GY73" s="136"/>
      <c r="GZ73" s="136"/>
      <c r="HA73" s="136"/>
      <c r="HB73" s="136"/>
      <c r="HC73" s="136"/>
      <c r="HD73" s="136"/>
      <c r="HE73" s="136"/>
      <c r="HF73" s="136"/>
      <c r="HG73" s="136"/>
      <c r="HH73" s="136"/>
      <c r="HI73" s="136"/>
      <c r="HJ73" s="136"/>
      <c r="HK73" s="136"/>
      <c r="HL73" s="136"/>
      <c r="HM73" s="136"/>
      <c r="HN73" s="136"/>
      <c r="HO73" s="136"/>
      <c r="HP73" s="136"/>
      <c r="HQ73" s="136"/>
      <c r="HR73" s="136"/>
      <c r="HS73" s="136"/>
      <c r="HT73" s="136"/>
      <c r="HU73" s="136"/>
      <c r="HV73" s="136"/>
      <c r="HW73" s="136"/>
      <c r="HX73" s="136"/>
      <c r="HY73" s="136"/>
      <c r="HZ73" s="136"/>
      <c r="IA73" s="136"/>
      <c r="IB73" s="136"/>
      <c r="IC73" s="136"/>
      <c r="ID73" s="136"/>
      <c r="IE73" s="136"/>
      <c r="IF73" s="136"/>
      <c r="IG73" s="136"/>
      <c r="IH73" s="136"/>
      <c r="II73" s="136"/>
      <c r="IJ73" s="136"/>
      <c r="IK73" s="136"/>
      <c r="IL73" s="136"/>
      <c r="IM73" s="136"/>
      <c r="IN73" s="136"/>
      <c r="IO73" s="136"/>
      <c r="IP73" s="136"/>
      <c r="IQ73" s="136"/>
      <c r="IR73" s="136"/>
      <c r="IS73" s="136"/>
      <c r="IT73" s="136"/>
      <c r="IU73" s="136"/>
      <c r="IV73" s="136"/>
      <c r="IW73" s="136"/>
      <c r="IX73" s="136"/>
      <c r="IY73" s="136"/>
      <c r="IZ73" s="136"/>
      <c r="JA73" s="136"/>
      <c r="JB73" s="136"/>
      <c r="JC73" s="136"/>
      <c r="JD73" s="136"/>
      <c r="JE73" s="136"/>
      <c r="JF73" s="136"/>
      <c r="JG73" s="136"/>
      <c r="JH73" s="136"/>
      <c r="JI73" s="136"/>
      <c r="JJ73" s="136"/>
      <c r="JK73" s="136"/>
      <c r="JL73" s="136"/>
      <c r="JM73" s="136"/>
      <c r="JN73" s="136"/>
      <c r="JO73" s="136"/>
      <c r="JP73" s="136"/>
      <c r="JQ73" s="136"/>
      <c r="JR73" s="136"/>
      <c r="JS73" s="136"/>
      <c r="JT73" s="136"/>
      <c r="JU73" s="136"/>
      <c r="JV73" s="136"/>
      <c r="JW73" s="136"/>
      <c r="JX73" s="136"/>
      <c r="JY73" s="136"/>
      <c r="JZ73" s="136"/>
      <c r="KA73" s="136"/>
      <c r="KB73" s="136"/>
      <c r="KC73" s="136"/>
      <c r="KD73" s="136"/>
      <c r="KE73" s="136"/>
      <c r="KF73" s="136"/>
      <c r="KG73" s="136"/>
      <c r="KH73" s="136"/>
      <c r="KI73" s="136"/>
      <c r="KJ73" s="136"/>
      <c r="KK73" s="136"/>
      <c r="KL73" s="136"/>
      <c r="KM73" s="136"/>
      <c r="KN73" s="136"/>
      <c r="KO73" s="136"/>
      <c r="KP73" s="136"/>
      <c r="KQ73" s="136"/>
      <c r="KR73" s="136"/>
      <c r="KS73" s="136"/>
      <c r="KT73" s="136"/>
      <c r="KU73" s="136"/>
      <c r="KV73" s="136"/>
      <c r="KW73" s="136"/>
      <c r="KX73" s="136"/>
      <c r="KY73" s="136"/>
      <c r="KZ73" s="136"/>
      <c r="LA73" s="136"/>
      <c r="LB73" s="136"/>
      <c r="LC73" s="136"/>
      <c r="LD73" s="136"/>
      <c r="LE73" s="136"/>
      <c r="LF73" s="136"/>
      <c r="LG73" s="136"/>
      <c r="LH73" s="136"/>
      <c r="LI73" s="136"/>
      <c r="LJ73" s="136"/>
      <c r="LK73" s="136"/>
      <c r="LL73" s="136"/>
      <c r="LM73" s="136"/>
      <c r="LN73" s="136"/>
      <c r="LO73" s="136"/>
      <c r="LP73" s="136"/>
      <c r="LQ73" s="136"/>
      <c r="LR73" s="136"/>
      <c r="LS73" s="136"/>
      <c r="LT73" s="136"/>
      <c r="LU73" s="136"/>
      <c r="LV73" s="136"/>
      <c r="LW73" s="136"/>
      <c r="LX73" s="136"/>
      <c r="LY73" s="136"/>
      <c r="LZ73" s="136"/>
      <c r="MA73" s="136"/>
      <c r="MB73" s="136"/>
      <c r="MC73" s="136"/>
      <c r="MD73" s="136"/>
      <c r="ME73" s="136"/>
      <c r="MF73" s="136"/>
      <c r="MG73" s="136"/>
      <c r="MH73" s="136"/>
      <c r="MI73" s="136"/>
      <c r="MJ73" s="136"/>
      <c r="MK73" s="136"/>
      <c r="ML73" s="136"/>
      <c r="MM73" s="136"/>
      <c r="MN73" s="136"/>
      <c r="MO73" s="136"/>
      <c r="MP73" s="136"/>
      <c r="MQ73" s="136"/>
      <c r="MR73" s="136"/>
      <c r="MS73" s="136"/>
      <c r="MT73" s="136"/>
      <c r="MU73" s="136"/>
      <c r="MV73" s="136"/>
      <c r="MW73" s="136"/>
      <c r="MX73" s="136"/>
      <c r="MY73" s="136"/>
      <c r="MZ73" s="136"/>
      <c r="NA73" s="136"/>
      <c r="NB73" s="136"/>
      <c r="NC73" s="136"/>
      <c r="ND73" s="136"/>
      <c r="NE73" s="136"/>
      <c r="NF73" s="136"/>
      <c r="NG73" s="136"/>
      <c r="NH73" s="136"/>
      <c r="NI73" s="136"/>
      <c r="NJ73" s="136"/>
      <c r="NK73" s="136"/>
      <c r="NL73" s="136"/>
      <c r="NM73" s="136"/>
      <c r="NN73" s="136"/>
      <c r="NO73" s="136"/>
      <c r="NP73" s="136"/>
      <c r="NQ73" s="136"/>
      <c r="NR73" s="136"/>
      <c r="NS73" s="136"/>
      <c r="NT73" s="136"/>
      <c r="NU73" s="136"/>
      <c r="NV73" s="136"/>
      <c r="NW73" s="136"/>
      <c r="NX73" s="136"/>
      <c r="NY73" s="136"/>
      <c r="NZ73" s="136"/>
      <c r="OA73" s="136"/>
      <c r="OB73" s="136"/>
      <c r="OC73" s="136"/>
      <c r="OD73" s="136"/>
      <c r="OE73" s="136"/>
      <c r="OF73" s="136"/>
      <c r="OG73" s="136"/>
      <c r="OH73" s="136"/>
      <c r="OI73" s="136"/>
      <c r="OJ73" s="136"/>
      <c r="OK73" s="136"/>
      <c r="OL73" s="136"/>
      <c r="OM73" s="136"/>
      <c r="ON73" s="136"/>
      <c r="OO73" s="136"/>
      <c r="OP73" s="136"/>
      <c r="OQ73" s="136"/>
      <c r="OR73" s="136"/>
      <c r="OS73" s="136"/>
      <c r="OT73" s="136"/>
      <c r="OU73" s="136"/>
      <c r="OV73" s="136"/>
      <c r="OW73" s="136"/>
      <c r="OX73" s="136"/>
      <c r="OY73" s="136"/>
      <c r="OZ73" s="136"/>
      <c r="PA73" s="136"/>
      <c r="PB73" s="136"/>
      <c r="PC73" s="136"/>
      <c r="PD73" s="136"/>
      <c r="PE73" s="136"/>
      <c r="PF73" s="136"/>
      <c r="PG73" s="136"/>
      <c r="PH73" s="136"/>
      <c r="PI73" s="136"/>
      <c r="PJ73" s="136"/>
      <c r="PK73" s="136"/>
      <c r="PL73" s="136"/>
      <c r="PM73" s="136"/>
      <c r="PN73" s="136"/>
      <c r="PO73" s="136"/>
      <c r="PP73" s="136"/>
      <c r="PQ73" s="136"/>
      <c r="PR73" s="136"/>
      <c r="PS73" s="136"/>
      <c r="PT73" s="136"/>
      <c r="PU73" s="136"/>
      <c r="PV73" s="136"/>
      <c r="PW73" s="136"/>
      <c r="PX73" s="136"/>
      <c r="PY73" s="136"/>
      <c r="PZ73" s="136"/>
      <c r="QA73" s="136"/>
      <c r="QB73" s="136"/>
      <c r="QC73" s="136"/>
      <c r="QD73" s="136"/>
      <c r="QE73" s="136"/>
      <c r="QF73" s="136"/>
      <c r="QG73" s="136"/>
      <c r="QH73" s="136"/>
      <c r="QI73" s="136"/>
      <c r="QJ73" s="136"/>
      <c r="QK73" s="136"/>
      <c r="QL73" s="136"/>
      <c r="QM73" s="136"/>
      <c r="QN73" s="136"/>
      <c r="QO73" s="136"/>
      <c r="QP73" s="136"/>
      <c r="QQ73" s="136"/>
      <c r="QR73" s="136"/>
      <c r="QS73" s="136"/>
      <c r="QT73" s="136"/>
      <c r="QU73" s="136"/>
      <c r="QV73" s="136"/>
      <c r="QW73" s="136"/>
      <c r="QX73" s="136"/>
      <c r="QY73" s="136"/>
      <c r="QZ73" s="136"/>
      <c r="RA73" s="136"/>
      <c r="RB73" s="136"/>
      <c r="RC73" s="136"/>
      <c r="RD73" s="136"/>
      <c r="RE73" s="136"/>
      <c r="RF73" s="136"/>
      <c r="RG73" s="136"/>
      <c r="RH73" s="136"/>
      <c r="RI73" s="136"/>
      <c r="RJ73" s="136"/>
      <c r="RK73" s="136"/>
      <c r="RL73" s="136"/>
      <c r="RM73" s="136"/>
      <c r="RN73" s="136"/>
      <c r="RO73" s="136"/>
      <c r="RP73" s="136"/>
      <c r="RQ73" s="136"/>
      <c r="RR73" s="136"/>
      <c r="RS73" s="136"/>
      <c r="RT73" s="136"/>
      <c r="RU73" s="136"/>
      <c r="RV73" s="136"/>
      <c r="RW73" s="136"/>
      <c r="RX73" s="136"/>
      <c r="RY73" s="136"/>
      <c r="RZ73" s="136"/>
      <c r="SA73" s="136"/>
      <c r="SB73" s="136"/>
      <c r="SC73" s="136"/>
      <c r="SD73" s="136"/>
      <c r="SE73" s="136"/>
      <c r="SF73" s="136"/>
      <c r="SG73" s="136"/>
      <c r="SH73" s="136"/>
      <c r="SI73" s="136"/>
      <c r="SJ73" s="136"/>
      <c r="SK73" s="136"/>
      <c r="SL73" s="136"/>
      <c r="SM73" s="136"/>
      <c r="SN73" s="136"/>
      <c r="SO73" s="136"/>
      <c r="SP73" s="136"/>
      <c r="SQ73" s="136"/>
      <c r="SR73" s="136"/>
      <c r="SS73" s="136"/>
    </row>
    <row r="74" spans="14:513" s="135" customFormat="1" ht="14.5" x14ac:dyDescent="0.35">
      <c r="N74" s="134"/>
      <c r="O74" s="134"/>
      <c r="P74" s="134"/>
      <c r="Q74" s="134"/>
      <c r="R74" s="134"/>
      <c r="S74" s="134"/>
      <c r="T74" s="134"/>
      <c r="U74" s="134"/>
      <c r="W74" s="216"/>
      <c r="X74" s="216"/>
      <c r="Y74" s="216"/>
      <c r="Z74" s="216"/>
      <c r="AA74" s="216"/>
      <c r="AB74" s="216"/>
      <c r="AC74" s="134"/>
      <c r="AD74" s="134"/>
      <c r="AE74" s="134"/>
      <c r="AF74" s="134"/>
      <c r="DO74" s="136"/>
      <c r="DP74" s="136"/>
      <c r="DQ74" s="136"/>
      <c r="DR74" s="136"/>
      <c r="DS74" s="136"/>
      <c r="DT74" s="136"/>
      <c r="DU74" s="136"/>
      <c r="DV74" s="136"/>
      <c r="DW74" s="136"/>
      <c r="DX74" s="136"/>
      <c r="DY74" s="136"/>
      <c r="DZ74" s="136"/>
      <c r="EA74" s="136"/>
      <c r="EB74" s="136"/>
      <c r="EC74" s="136"/>
      <c r="ED74" s="136"/>
      <c r="EE74" s="136"/>
      <c r="EF74" s="136"/>
      <c r="EG74" s="136"/>
      <c r="EH74" s="136"/>
      <c r="EI74" s="136"/>
      <c r="EJ74" s="136"/>
      <c r="EK74" s="136"/>
      <c r="EL74" s="136"/>
      <c r="EM74" s="136"/>
      <c r="EN74" s="136"/>
      <c r="EO74" s="136"/>
      <c r="EP74" s="136"/>
      <c r="EQ74" s="136"/>
      <c r="ER74" s="136"/>
      <c r="ES74" s="136"/>
      <c r="ET74" s="136"/>
      <c r="EU74" s="136"/>
      <c r="EV74" s="136"/>
      <c r="EW74" s="136"/>
      <c r="EX74" s="136"/>
      <c r="EY74" s="136"/>
      <c r="EZ74" s="136"/>
      <c r="FA74" s="136"/>
      <c r="FB74" s="136"/>
      <c r="FC74" s="136"/>
      <c r="FD74" s="136"/>
      <c r="FE74" s="136"/>
      <c r="FF74" s="136"/>
      <c r="FG74" s="136"/>
      <c r="FH74" s="136"/>
      <c r="FI74" s="136"/>
      <c r="FJ74" s="136"/>
      <c r="FK74" s="136"/>
      <c r="FL74" s="136"/>
      <c r="FM74" s="136"/>
      <c r="FN74" s="136"/>
      <c r="FO74" s="136"/>
      <c r="FP74" s="136"/>
      <c r="FQ74" s="136"/>
      <c r="FR74" s="136"/>
      <c r="FS74" s="136"/>
      <c r="FT74" s="136"/>
      <c r="FU74" s="136"/>
      <c r="FV74" s="136"/>
      <c r="FW74" s="136"/>
      <c r="FX74" s="136"/>
      <c r="FY74" s="136"/>
      <c r="FZ74" s="136"/>
      <c r="GA74" s="136"/>
      <c r="GB74" s="136"/>
      <c r="GC74" s="136"/>
      <c r="GD74" s="136"/>
      <c r="GE74" s="136"/>
      <c r="GF74" s="136"/>
      <c r="GG74" s="136"/>
      <c r="GH74" s="136"/>
      <c r="GI74" s="136"/>
      <c r="GJ74" s="136"/>
      <c r="GK74" s="136"/>
      <c r="GL74" s="136"/>
      <c r="GM74" s="136"/>
      <c r="GN74" s="136"/>
      <c r="GO74" s="136"/>
      <c r="GP74" s="136"/>
      <c r="GQ74" s="136"/>
      <c r="GR74" s="136"/>
      <c r="GS74" s="136"/>
      <c r="GT74" s="136"/>
      <c r="GU74" s="136"/>
      <c r="GV74" s="136"/>
      <c r="GW74" s="136"/>
      <c r="GX74" s="136"/>
      <c r="GY74" s="136"/>
      <c r="GZ74" s="136"/>
      <c r="HA74" s="136"/>
      <c r="HB74" s="136"/>
      <c r="HC74" s="136"/>
      <c r="HD74" s="136"/>
      <c r="HE74" s="136"/>
      <c r="HF74" s="136"/>
      <c r="HG74" s="136"/>
      <c r="HH74" s="136"/>
      <c r="HI74" s="136"/>
      <c r="HJ74" s="136"/>
      <c r="HK74" s="136"/>
      <c r="HL74" s="136"/>
      <c r="HM74" s="136"/>
      <c r="HN74" s="136"/>
      <c r="HO74" s="136"/>
      <c r="HP74" s="136"/>
      <c r="HQ74" s="136"/>
      <c r="HR74" s="136"/>
      <c r="HS74" s="136"/>
      <c r="HT74" s="136"/>
      <c r="HU74" s="136"/>
      <c r="HV74" s="136"/>
      <c r="HW74" s="136"/>
      <c r="HX74" s="136"/>
      <c r="HY74" s="136"/>
      <c r="HZ74" s="136"/>
      <c r="IA74" s="136"/>
      <c r="IB74" s="136"/>
      <c r="IC74" s="136"/>
      <c r="ID74" s="136"/>
      <c r="IE74" s="136"/>
      <c r="IF74" s="136"/>
      <c r="IG74" s="136"/>
      <c r="IH74" s="136"/>
      <c r="II74" s="136"/>
      <c r="IJ74" s="136"/>
      <c r="IK74" s="136"/>
      <c r="IL74" s="136"/>
      <c r="IM74" s="136"/>
      <c r="IN74" s="136"/>
      <c r="IO74" s="136"/>
      <c r="IP74" s="136"/>
      <c r="IQ74" s="136"/>
      <c r="IR74" s="136"/>
      <c r="IS74" s="136"/>
      <c r="IT74" s="136"/>
      <c r="IU74" s="136"/>
      <c r="IV74" s="136"/>
      <c r="IW74" s="136"/>
      <c r="IX74" s="136"/>
      <c r="IY74" s="136"/>
      <c r="IZ74" s="136"/>
      <c r="JA74" s="136"/>
      <c r="JB74" s="136"/>
      <c r="JC74" s="136"/>
      <c r="JD74" s="136"/>
      <c r="JE74" s="136"/>
      <c r="JF74" s="136"/>
      <c r="JG74" s="136"/>
      <c r="JH74" s="136"/>
      <c r="JI74" s="136"/>
      <c r="JJ74" s="136"/>
      <c r="JK74" s="136"/>
      <c r="JL74" s="136"/>
      <c r="JM74" s="136"/>
      <c r="JN74" s="136"/>
      <c r="JO74" s="136"/>
      <c r="JP74" s="136"/>
      <c r="JQ74" s="136"/>
      <c r="JR74" s="136"/>
      <c r="JS74" s="136"/>
      <c r="JT74" s="136"/>
      <c r="JU74" s="136"/>
      <c r="JV74" s="136"/>
      <c r="JW74" s="136"/>
      <c r="JX74" s="136"/>
      <c r="JY74" s="136"/>
      <c r="JZ74" s="136"/>
      <c r="KA74" s="136"/>
      <c r="KB74" s="136"/>
      <c r="KC74" s="136"/>
      <c r="KD74" s="136"/>
      <c r="KE74" s="136"/>
      <c r="KF74" s="136"/>
      <c r="KG74" s="136"/>
      <c r="KH74" s="136"/>
      <c r="KI74" s="136"/>
      <c r="KJ74" s="136"/>
      <c r="KK74" s="136"/>
      <c r="KL74" s="136"/>
      <c r="KM74" s="136"/>
      <c r="KN74" s="136"/>
      <c r="KO74" s="136"/>
      <c r="KP74" s="136"/>
      <c r="KQ74" s="136"/>
      <c r="KR74" s="136"/>
      <c r="KS74" s="136"/>
      <c r="KT74" s="136"/>
      <c r="KU74" s="136"/>
      <c r="KV74" s="136"/>
      <c r="KW74" s="136"/>
      <c r="KX74" s="136"/>
      <c r="KY74" s="136"/>
      <c r="KZ74" s="136"/>
      <c r="LA74" s="136"/>
      <c r="LB74" s="136"/>
      <c r="LC74" s="136"/>
      <c r="LD74" s="136"/>
      <c r="LE74" s="136"/>
      <c r="LF74" s="136"/>
      <c r="LG74" s="136"/>
      <c r="LH74" s="136"/>
      <c r="LI74" s="136"/>
      <c r="LJ74" s="136"/>
      <c r="LK74" s="136"/>
      <c r="LL74" s="136"/>
      <c r="LM74" s="136"/>
      <c r="LN74" s="136"/>
      <c r="LO74" s="136"/>
      <c r="LP74" s="136"/>
      <c r="LQ74" s="136"/>
      <c r="LR74" s="136"/>
      <c r="LS74" s="136"/>
      <c r="LT74" s="136"/>
      <c r="LU74" s="136"/>
      <c r="LV74" s="136"/>
      <c r="LW74" s="136"/>
      <c r="LX74" s="136"/>
      <c r="LY74" s="136"/>
      <c r="LZ74" s="136"/>
      <c r="MA74" s="136"/>
      <c r="MB74" s="136"/>
      <c r="MC74" s="136"/>
      <c r="MD74" s="136"/>
      <c r="ME74" s="136"/>
      <c r="MF74" s="136"/>
      <c r="MG74" s="136"/>
      <c r="MH74" s="136"/>
      <c r="MI74" s="136"/>
      <c r="MJ74" s="136"/>
      <c r="MK74" s="136"/>
      <c r="ML74" s="136"/>
      <c r="MM74" s="136"/>
      <c r="MN74" s="136"/>
      <c r="MO74" s="136"/>
      <c r="MP74" s="136"/>
      <c r="MQ74" s="136"/>
      <c r="MR74" s="136"/>
      <c r="MS74" s="136"/>
      <c r="MT74" s="136"/>
      <c r="MU74" s="136"/>
      <c r="MV74" s="136"/>
      <c r="MW74" s="136"/>
      <c r="MX74" s="136"/>
      <c r="MY74" s="136"/>
      <c r="MZ74" s="136"/>
      <c r="NA74" s="136"/>
      <c r="NB74" s="136"/>
      <c r="NC74" s="136"/>
      <c r="ND74" s="136"/>
      <c r="NE74" s="136"/>
      <c r="NF74" s="136"/>
      <c r="NG74" s="136"/>
      <c r="NH74" s="136"/>
      <c r="NI74" s="136"/>
      <c r="NJ74" s="136"/>
      <c r="NK74" s="136"/>
      <c r="NL74" s="136"/>
      <c r="NM74" s="136"/>
      <c r="NN74" s="136"/>
      <c r="NO74" s="136"/>
      <c r="NP74" s="136"/>
      <c r="NQ74" s="136"/>
      <c r="NR74" s="136"/>
      <c r="NS74" s="136"/>
      <c r="NT74" s="136"/>
      <c r="NU74" s="136"/>
      <c r="NV74" s="136"/>
      <c r="NW74" s="136"/>
      <c r="NX74" s="136"/>
      <c r="NY74" s="136"/>
      <c r="NZ74" s="136"/>
      <c r="OA74" s="136"/>
      <c r="OB74" s="136"/>
      <c r="OC74" s="136"/>
      <c r="OD74" s="136"/>
      <c r="OE74" s="136"/>
      <c r="OF74" s="136"/>
      <c r="OG74" s="136"/>
      <c r="OH74" s="136"/>
      <c r="OI74" s="136"/>
      <c r="OJ74" s="136"/>
      <c r="OK74" s="136"/>
      <c r="OL74" s="136"/>
      <c r="OM74" s="136"/>
      <c r="ON74" s="136"/>
      <c r="OO74" s="136"/>
      <c r="OP74" s="136"/>
      <c r="OQ74" s="136"/>
      <c r="OR74" s="136"/>
      <c r="OS74" s="136"/>
      <c r="OT74" s="136"/>
      <c r="OU74" s="136"/>
      <c r="OV74" s="136"/>
      <c r="OW74" s="136"/>
      <c r="OX74" s="136"/>
      <c r="OY74" s="136"/>
      <c r="OZ74" s="136"/>
      <c r="PA74" s="136"/>
      <c r="PB74" s="136"/>
      <c r="PC74" s="136"/>
      <c r="PD74" s="136"/>
      <c r="PE74" s="136"/>
      <c r="PF74" s="136"/>
      <c r="PG74" s="136"/>
      <c r="PH74" s="136"/>
      <c r="PI74" s="136"/>
      <c r="PJ74" s="136"/>
      <c r="PK74" s="136"/>
      <c r="PL74" s="136"/>
      <c r="PM74" s="136"/>
      <c r="PN74" s="136"/>
      <c r="PO74" s="136"/>
      <c r="PP74" s="136"/>
      <c r="PQ74" s="136"/>
      <c r="PR74" s="136"/>
      <c r="PS74" s="136"/>
      <c r="PT74" s="136"/>
      <c r="PU74" s="136"/>
      <c r="PV74" s="136"/>
      <c r="PW74" s="136"/>
      <c r="PX74" s="136"/>
      <c r="PY74" s="136"/>
      <c r="PZ74" s="136"/>
      <c r="QA74" s="136"/>
      <c r="QB74" s="136"/>
      <c r="QC74" s="136"/>
      <c r="QD74" s="136"/>
      <c r="QE74" s="136"/>
      <c r="QF74" s="136"/>
      <c r="QG74" s="136"/>
      <c r="QH74" s="136"/>
      <c r="QI74" s="136"/>
      <c r="QJ74" s="136"/>
      <c r="QK74" s="136"/>
      <c r="QL74" s="136"/>
      <c r="QM74" s="136"/>
      <c r="QN74" s="136"/>
      <c r="QO74" s="136"/>
      <c r="QP74" s="136"/>
      <c r="QQ74" s="136"/>
      <c r="QR74" s="136"/>
      <c r="QS74" s="136"/>
      <c r="QT74" s="136"/>
      <c r="QU74" s="136"/>
      <c r="QV74" s="136"/>
      <c r="QW74" s="136"/>
      <c r="QX74" s="136"/>
      <c r="QY74" s="136"/>
      <c r="QZ74" s="136"/>
      <c r="RA74" s="136"/>
      <c r="RB74" s="136"/>
      <c r="RC74" s="136"/>
      <c r="RD74" s="136"/>
      <c r="RE74" s="136"/>
      <c r="RF74" s="136"/>
      <c r="RG74" s="136"/>
      <c r="RH74" s="136"/>
      <c r="RI74" s="136"/>
      <c r="RJ74" s="136"/>
      <c r="RK74" s="136"/>
      <c r="RL74" s="136"/>
      <c r="RM74" s="136"/>
      <c r="RN74" s="136"/>
      <c r="RO74" s="136"/>
      <c r="RP74" s="136"/>
      <c r="RQ74" s="136"/>
      <c r="RR74" s="136"/>
      <c r="RS74" s="136"/>
      <c r="RT74" s="136"/>
      <c r="RU74" s="136"/>
      <c r="RV74" s="136"/>
      <c r="RW74" s="136"/>
      <c r="RX74" s="136"/>
      <c r="RY74" s="136"/>
      <c r="RZ74" s="136"/>
      <c r="SA74" s="136"/>
      <c r="SB74" s="136"/>
      <c r="SC74" s="136"/>
      <c r="SD74" s="136"/>
      <c r="SE74" s="136"/>
      <c r="SF74" s="136"/>
      <c r="SG74" s="136"/>
      <c r="SH74" s="136"/>
      <c r="SI74" s="136"/>
      <c r="SJ74" s="136"/>
      <c r="SK74" s="136"/>
      <c r="SL74" s="136"/>
      <c r="SM74" s="136"/>
      <c r="SN74" s="136"/>
      <c r="SO74" s="136"/>
      <c r="SP74" s="136"/>
      <c r="SQ74" s="136"/>
      <c r="SR74" s="136"/>
      <c r="SS74" s="136"/>
    </row>
    <row r="75" spans="14:513" s="135" customFormat="1" ht="14.5" x14ac:dyDescent="0.35">
      <c r="N75" s="134"/>
      <c r="O75" s="134"/>
      <c r="P75" s="134"/>
      <c r="Q75" s="134"/>
      <c r="R75" s="185"/>
      <c r="S75" s="134"/>
      <c r="T75" s="185"/>
      <c r="U75" s="134"/>
      <c r="V75" s="134"/>
      <c r="W75" s="134"/>
      <c r="X75" s="134"/>
      <c r="Y75" s="134"/>
      <c r="Z75" s="134"/>
      <c r="AA75" s="134"/>
      <c r="AB75" s="134"/>
      <c r="AC75" s="134"/>
      <c r="AD75" s="134"/>
      <c r="AE75" s="134"/>
      <c r="AF75" s="134"/>
      <c r="DO75" s="136"/>
      <c r="DP75" s="136"/>
      <c r="DQ75" s="136"/>
      <c r="DR75" s="136"/>
      <c r="DS75" s="136"/>
      <c r="DT75" s="136"/>
      <c r="DU75" s="136"/>
      <c r="DV75" s="136"/>
      <c r="DW75" s="136"/>
      <c r="DX75" s="136"/>
      <c r="DY75" s="136"/>
      <c r="DZ75" s="136"/>
      <c r="EA75" s="136"/>
      <c r="EB75" s="136"/>
      <c r="EC75" s="136"/>
      <c r="ED75" s="136"/>
      <c r="EE75" s="136"/>
      <c r="EF75" s="136"/>
      <c r="EG75" s="136"/>
      <c r="EH75" s="136"/>
      <c r="EI75" s="136"/>
      <c r="EJ75" s="136"/>
      <c r="EK75" s="136"/>
      <c r="EL75" s="136"/>
      <c r="EM75" s="136"/>
      <c r="EN75" s="136"/>
      <c r="EO75" s="136"/>
      <c r="EP75" s="136"/>
      <c r="EQ75" s="136"/>
      <c r="ER75" s="136"/>
      <c r="ES75" s="136"/>
      <c r="ET75" s="136"/>
      <c r="EU75" s="136"/>
      <c r="EV75" s="136"/>
      <c r="EW75" s="136"/>
      <c r="EX75" s="136"/>
      <c r="EY75" s="136"/>
      <c r="EZ75" s="136"/>
      <c r="FA75" s="136"/>
      <c r="FB75" s="136"/>
      <c r="FC75" s="136"/>
      <c r="FD75" s="136"/>
      <c r="FE75" s="136"/>
      <c r="FF75" s="136"/>
      <c r="FG75" s="136"/>
      <c r="FH75" s="136"/>
      <c r="FI75" s="136"/>
      <c r="FJ75" s="136"/>
      <c r="FK75" s="136"/>
      <c r="FL75" s="136"/>
      <c r="FM75" s="136"/>
      <c r="FN75" s="136"/>
      <c r="FO75" s="136"/>
      <c r="FP75" s="136"/>
      <c r="FQ75" s="136"/>
      <c r="FR75" s="136"/>
      <c r="FS75" s="136"/>
      <c r="FT75" s="136"/>
      <c r="FU75" s="136"/>
      <c r="FV75" s="136"/>
      <c r="FW75" s="136"/>
      <c r="FX75" s="136"/>
      <c r="FY75" s="136"/>
      <c r="FZ75" s="136"/>
      <c r="GA75" s="136"/>
      <c r="GB75" s="136"/>
      <c r="GC75" s="136"/>
      <c r="GD75" s="136"/>
      <c r="GE75" s="136"/>
      <c r="GF75" s="136"/>
      <c r="GG75" s="136"/>
      <c r="GH75" s="136"/>
      <c r="GI75" s="136"/>
      <c r="GJ75" s="136"/>
      <c r="GK75" s="136"/>
      <c r="GL75" s="136"/>
      <c r="GM75" s="136"/>
      <c r="GN75" s="136"/>
      <c r="GO75" s="136"/>
      <c r="GP75" s="136"/>
      <c r="GQ75" s="136"/>
      <c r="GR75" s="136"/>
      <c r="GS75" s="136"/>
      <c r="GT75" s="136"/>
      <c r="GU75" s="136"/>
      <c r="GV75" s="136"/>
      <c r="GW75" s="136"/>
      <c r="GX75" s="136"/>
      <c r="GY75" s="136"/>
      <c r="GZ75" s="136"/>
      <c r="HA75" s="136"/>
      <c r="HB75" s="136"/>
      <c r="HC75" s="136"/>
      <c r="HD75" s="136"/>
      <c r="HE75" s="136"/>
      <c r="HF75" s="136"/>
      <c r="HG75" s="136"/>
      <c r="HH75" s="136"/>
      <c r="HI75" s="136"/>
      <c r="HJ75" s="136"/>
      <c r="HK75" s="136"/>
      <c r="HL75" s="136"/>
      <c r="HM75" s="136"/>
      <c r="HN75" s="136"/>
      <c r="HO75" s="136"/>
      <c r="HP75" s="136"/>
      <c r="HQ75" s="136"/>
      <c r="HR75" s="136"/>
      <c r="HS75" s="136"/>
      <c r="HT75" s="136"/>
      <c r="HU75" s="136"/>
      <c r="HV75" s="136"/>
      <c r="HW75" s="136"/>
      <c r="HX75" s="136"/>
      <c r="HY75" s="136"/>
      <c r="HZ75" s="136"/>
      <c r="IA75" s="136"/>
      <c r="IB75" s="136"/>
      <c r="IC75" s="136"/>
      <c r="ID75" s="136"/>
      <c r="IE75" s="136"/>
      <c r="IF75" s="136"/>
      <c r="IG75" s="136"/>
      <c r="IH75" s="136"/>
      <c r="II75" s="136"/>
      <c r="IJ75" s="136"/>
      <c r="IK75" s="136"/>
      <c r="IL75" s="136"/>
      <c r="IM75" s="136"/>
      <c r="IN75" s="136"/>
      <c r="IO75" s="136"/>
      <c r="IP75" s="136"/>
      <c r="IQ75" s="136"/>
      <c r="IR75" s="136"/>
      <c r="IS75" s="136"/>
      <c r="IT75" s="136"/>
      <c r="IU75" s="136"/>
      <c r="IV75" s="136"/>
      <c r="IW75" s="136"/>
      <c r="IX75" s="136"/>
      <c r="IY75" s="136"/>
      <c r="IZ75" s="136"/>
      <c r="JA75" s="136"/>
      <c r="JB75" s="136"/>
      <c r="JC75" s="136"/>
      <c r="JD75" s="136"/>
      <c r="JE75" s="136"/>
      <c r="JF75" s="136"/>
      <c r="JG75" s="136"/>
      <c r="JH75" s="136"/>
      <c r="JI75" s="136"/>
      <c r="JJ75" s="136"/>
      <c r="JK75" s="136"/>
      <c r="JL75" s="136"/>
      <c r="JM75" s="136"/>
      <c r="JN75" s="136"/>
      <c r="JO75" s="136"/>
      <c r="JP75" s="136"/>
      <c r="JQ75" s="136"/>
      <c r="JR75" s="136"/>
      <c r="JS75" s="136"/>
      <c r="JT75" s="136"/>
      <c r="JU75" s="136"/>
      <c r="JV75" s="136"/>
      <c r="JW75" s="136"/>
      <c r="JX75" s="136"/>
      <c r="JY75" s="136"/>
      <c r="JZ75" s="136"/>
      <c r="KA75" s="136"/>
      <c r="KB75" s="136"/>
      <c r="KC75" s="136"/>
      <c r="KD75" s="136"/>
      <c r="KE75" s="136"/>
      <c r="KF75" s="136"/>
      <c r="KG75" s="136"/>
      <c r="KH75" s="136"/>
      <c r="KI75" s="136"/>
      <c r="KJ75" s="136"/>
      <c r="KK75" s="136"/>
      <c r="KL75" s="136"/>
      <c r="KM75" s="136"/>
      <c r="KN75" s="136"/>
      <c r="KO75" s="136"/>
      <c r="KP75" s="136"/>
      <c r="KQ75" s="136"/>
      <c r="KR75" s="136"/>
      <c r="KS75" s="136"/>
      <c r="KT75" s="136"/>
      <c r="KU75" s="136"/>
      <c r="KV75" s="136"/>
      <c r="KW75" s="136"/>
      <c r="KX75" s="136"/>
      <c r="KY75" s="136"/>
      <c r="KZ75" s="136"/>
      <c r="LA75" s="136"/>
      <c r="LB75" s="136"/>
      <c r="LC75" s="136"/>
      <c r="LD75" s="136"/>
      <c r="LE75" s="136"/>
      <c r="LF75" s="136"/>
      <c r="LG75" s="136"/>
      <c r="LH75" s="136"/>
      <c r="LI75" s="136"/>
      <c r="LJ75" s="136"/>
      <c r="LK75" s="136"/>
      <c r="LL75" s="136"/>
      <c r="LM75" s="136"/>
      <c r="LN75" s="136"/>
      <c r="LO75" s="136"/>
      <c r="LP75" s="136"/>
      <c r="LQ75" s="136"/>
      <c r="LR75" s="136"/>
      <c r="LS75" s="136"/>
      <c r="LT75" s="136"/>
      <c r="LU75" s="136"/>
      <c r="LV75" s="136"/>
      <c r="LW75" s="136"/>
      <c r="LX75" s="136"/>
      <c r="LY75" s="136"/>
      <c r="LZ75" s="136"/>
      <c r="MA75" s="136"/>
      <c r="MB75" s="136"/>
      <c r="MC75" s="136"/>
      <c r="MD75" s="136"/>
      <c r="ME75" s="136"/>
      <c r="MF75" s="136"/>
      <c r="MG75" s="136"/>
      <c r="MH75" s="136"/>
      <c r="MI75" s="136"/>
      <c r="MJ75" s="136"/>
      <c r="MK75" s="136"/>
      <c r="ML75" s="136"/>
      <c r="MM75" s="136"/>
      <c r="MN75" s="136"/>
      <c r="MO75" s="136"/>
      <c r="MP75" s="136"/>
      <c r="MQ75" s="136"/>
      <c r="MR75" s="136"/>
      <c r="MS75" s="136"/>
      <c r="MT75" s="136"/>
      <c r="MU75" s="136"/>
      <c r="MV75" s="136"/>
      <c r="MW75" s="136"/>
      <c r="MX75" s="136"/>
      <c r="MY75" s="136"/>
      <c r="MZ75" s="136"/>
      <c r="NA75" s="136"/>
      <c r="NB75" s="136"/>
      <c r="NC75" s="136"/>
      <c r="ND75" s="136"/>
      <c r="NE75" s="136"/>
      <c r="NF75" s="136"/>
      <c r="NG75" s="136"/>
      <c r="NH75" s="136"/>
      <c r="NI75" s="136"/>
      <c r="NJ75" s="136"/>
      <c r="NK75" s="136"/>
      <c r="NL75" s="136"/>
      <c r="NM75" s="136"/>
      <c r="NN75" s="136"/>
      <c r="NO75" s="136"/>
      <c r="NP75" s="136"/>
      <c r="NQ75" s="136"/>
      <c r="NR75" s="136"/>
      <c r="NS75" s="136"/>
      <c r="NT75" s="136"/>
      <c r="NU75" s="136"/>
      <c r="NV75" s="136"/>
      <c r="NW75" s="136"/>
      <c r="NX75" s="136"/>
      <c r="NY75" s="136"/>
      <c r="NZ75" s="136"/>
      <c r="OA75" s="136"/>
      <c r="OB75" s="136"/>
      <c r="OC75" s="136"/>
      <c r="OD75" s="136"/>
      <c r="OE75" s="136"/>
      <c r="OF75" s="136"/>
      <c r="OG75" s="136"/>
      <c r="OH75" s="136"/>
      <c r="OI75" s="136"/>
      <c r="OJ75" s="136"/>
      <c r="OK75" s="136"/>
      <c r="OL75" s="136"/>
      <c r="OM75" s="136"/>
      <c r="ON75" s="136"/>
      <c r="OO75" s="136"/>
      <c r="OP75" s="136"/>
      <c r="OQ75" s="136"/>
      <c r="OR75" s="136"/>
      <c r="OS75" s="136"/>
      <c r="OT75" s="136"/>
      <c r="OU75" s="136"/>
      <c r="OV75" s="136"/>
      <c r="OW75" s="136"/>
      <c r="OX75" s="136"/>
      <c r="OY75" s="136"/>
      <c r="OZ75" s="136"/>
      <c r="PA75" s="136"/>
      <c r="PB75" s="136"/>
      <c r="PC75" s="136"/>
      <c r="PD75" s="136"/>
      <c r="PE75" s="136"/>
      <c r="PF75" s="136"/>
      <c r="PG75" s="136"/>
      <c r="PH75" s="136"/>
      <c r="PI75" s="136"/>
      <c r="PJ75" s="136"/>
      <c r="PK75" s="136"/>
      <c r="PL75" s="136"/>
      <c r="PM75" s="136"/>
      <c r="PN75" s="136"/>
      <c r="PO75" s="136"/>
      <c r="PP75" s="136"/>
      <c r="PQ75" s="136"/>
      <c r="PR75" s="136"/>
      <c r="PS75" s="136"/>
      <c r="PT75" s="136"/>
      <c r="PU75" s="136"/>
      <c r="PV75" s="136"/>
      <c r="PW75" s="136"/>
      <c r="PX75" s="136"/>
      <c r="PY75" s="136"/>
      <c r="PZ75" s="136"/>
      <c r="QA75" s="136"/>
      <c r="QB75" s="136"/>
      <c r="QC75" s="136"/>
      <c r="QD75" s="136"/>
      <c r="QE75" s="136"/>
      <c r="QF75" s="136"/>
      <c r="QG75" s="136"/>
      <c r="QH75" s="136"/>
      <c r="QI75" s="136"/>
      <c r="QJ75" s="136"/>
      <c r="QK75" s="136"/>
      <c r="QL75" s="136"/>
      <c r="QM75" s="136"/>
      <c r="QN75" s="136"/>
      <c r="QO75" s="136"/>
      <c r="QP75" s="136"/>
      <c r="QQ75" s="136"/>
      <c r="QR75" s="136"/>
      <c r="QS75" s="136"/>
      <c r="QT75" s="136"/>
      <c r="QU75" s="136"/>
      <c r="QV75" s="136"/>
      <c r="QW75" s="136"/>
      <c r="QX75" s="136"/>
      <c r="QY75" s="136"/>
      <c r="QZ75" s="136"/>
      <c r="RA75" s="136"/>
      <c r="RB75" s="136"/>
      <c r="RC75" s="136"/>
      <c r="RD75" s="136"/>
      <c r="RE75" s="136"/>
      <c r="RF75" s="136"/>
      <c r="RG75" s="136"/>
      <c r="RH75" s="136"/>
      <c r="RI75" s="136"/>
      <c r="RJ75" s="136"/>
      <c r="RK75" s="136"/>
      <c r="RL75" s="136"/>
      <c r="RM75" s="136"/>
      <c r="RN75" s="136"/>
      <c r="RO75" s="136"/>
      <c r="RP75" s="136"/>
      <c r="RQ75" s="136"/>
      <c r="RR75" s="136"/>
      <c r="RS75" s="136"/>
      <c r="RT75" s="136"/>
      <c r="RU75" s="136"/>
      <c r="RV75" s="136"/>
      <c r="RW75" s="136"/>
      <c r="RX75" s="136"/>
      <c r="RY75" s="136"/>
      <c r="RZ75" s="136"/>
      <c r="SA75" s="136"/>
      <c r="SB75" s="136"/>
      <c r="SC75" s="136"/>
      <c r="SD75" s="136"/>
      <c r="SE75" s="136"/>
      <c r="SF75" s="136"/>
      <c r="SG75" s="136"/>
      <c r="SH75" s="136"/>
      <c r="SI75" s="136"/>
      <c r="SJ75" s="136"/>
      <c r="SK75" s="136"/>
      <c r="SL75" s="136"/>
      <c r="SM75" s="136"/>
      <c r="SN75" s="136"/>
      <c r="SO75" s="136"/>
      <c r="SP75" s="136"/>
      <c r="SQ75" s="136"/>
      <c r="SR75" s="136"/>
      <c r="SS75" s="136"/>
    </row>
    <row r="76" spans="14:513" s="135" customFormat="1" ht="14.5" x14ac:dyDescent="0.35"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DO76" s="136"/>
      <c r="DP76" s="136"/>
      <c r="DQ76" s="136"/>
      <c r="DR76" s="136"/>
      <c r="DS76" s="136"/>
      <c r="DT76" s="136"/>
      <c r="DU76" s="136"/>
      <c r="DV76" s="136"/>
      <c r="DW76" s="136"/>
      <c r="DX76" s="136"/>
      <c r="DY76" s="136"/>
      <c r="DZ76" s="136"/>
      <c r="EA76" s="136"/>
      <c r="EB76" s="136"/>
      <c r="EC76" s="136"/>
      <c r="ED76" s="136"/>
      <c r="EE76" s="136"/>
      <c r="EF76" s="136"/>
      <c r="EG76" s="136"/>
      <c r="EH76" s="136"/>
      <c r="EI76" s="136"/>
      <c r="EJ76" s="136"/>
      <c r="EK76" s="136"/>
      <c r="EL76" s="136"/>
      <c r="EM76" s="136"/>
      <c r="EN76" s="136"/>
      <c r="EO76" s="136"/>
      <c r="EP76" s="136"/>
      <c r="EQ76" s="136"/>
      <c r="ER76" s="136"/>
      <c r="ES76" s="136"/>
      <c r="ET76" s="136"/>
      <c r="EU76" s="136"/>
      <c r="EV76" s="136"/>
      <c r="EW76" s="136"/>
      <c r="EX76" s="136"/>
      <c r="EY76" s="136"/>
      <c r="EZ76" s="136"/>
      <c r="FA76" s="136"/>
      <c r="FB76" s="136"/>
      <c r="FC76" s="136"/>
      <c r="FD76" s="136"/>
      <c r="FE76" s="136"/>
      <c r="FF76" s="136"/>
      <c r="FG76" s="136"/>
      <c r="FH76" s="136"/>
      <c r="FI76" s="136"/>
      <c r="FJ76" s="136"/>
      <c r="FK76" s="136"/>
      <c r="FL76" s="136"/>
      <c r="FM76" s="136"/>
      <c r="FN76" s="136"/>
      <c r="FO76" s="136"/>
      <c r="FP76" s="136"/>
      <c r="FQ76" s="136"/>
      <c r="FR76" s="136"/>
      <c r="FS76" s="136"/>
      <c r="FT76" s="136"/>
      <c r="FU76" s="136"/>
      <c r="FV76" s="136"/>
      <c r="FW76" s="136"/>
      <c r="FX76" s="136"/>
      <c r="FY76" s="136"/>
      <c r="FZ76" s="136"/>
      <c r="GA76" s="136"/>
      <c r="GB76" s="136"/>
      <c r="GC76" s="136"/>
      <c r="GD76" s="136"/>
      <c r="GE76" s="136"/>
      <c r="GF76" s="136"/>
      <c r="GG76" s="136"/>
      <c r="GH76" s="136"/>
      <c r="GI76" s="136"/>
      <c r="GJ76" s="136"/>
      <c r="GK76" s="136"/>
      <c r="GL76" s="136"/>
      <c r="GM76" s="136"/>
      <c r="GN76" s="136"/>
      <c r="GO76" s="136"/>
      <c r="GP76" s="136"/>
      <c r="GQ76" s="136"/>
      <c r="GR76" s="136"/>
      <c r="GS76" s="136"/>
      <c r="GT76" s="136"/>
      <c r="GU76" s="136"/>
      <c r="GV76" s="136"/>
      <c r="GW76" s="136"/>
      <c r="GX76" s="136"/>
      <c r="GY76" s="136"/>
      <c r="GZ76" s="136"/>
      <c r="HA76" s="136"/>
      <c r="HB76" s="136"/>
      <c r="HC76" s="136"/>
      <c r="HD76" s="136"/>
      <c r="HE76" s="136"/>
      <c r="HF76" s="136"/>
      <c r="HG76" s="136"/>
      <c r="HH76" s="136"/>
      <c r="HI76" s="136"/>
      <c r="HJ76" s="136"/>
      <c r="HK76" s="136"/>
      <c r="HL76" s="136"/>
      <c r="HM76" s="136"/>
      <c r="HN76" s="136"/>
      <c r="HO76" s="136"/>
      <c r="HP76" s="136"/>
      <c r="HQ76" s="136"/>
      <c r="HR76" s="136"/>
      <c r="HS76" s="136"/>
      <c r="HT76" s="136"/>
      <c r="HU76" s="136"/>
      <c r="HV76" s="136"/>
      <c r="HW76" s="136"/>
      <c r="HX76" s="136"/>
      <c r="HY76" s="136"/>
      <c r="HZ76" s="136"/>
      <c r="IA76" s="136"/>
      <c r="IB76" s="136"/>
      <c r="IC76" s="136"/>
      <c r="ID76" s="136"/>
      <c r="IE76" s="136"/>
      <c r="IF76" s="136"/>
      <c r="IG76" s="136"/>
      <c r="IH76" s="136"/>
      <c r="II76" s="136"/>
      <c r="IJ76" s="136"/>
      <c r="IK76" s="136"/>
      <c r="IL76" s="136"/>
      <c r="IM76" s="136"/>
      <c r="IN76" s="136"/>
      <c r="IO76" s="136"/>
      <c r="IP76" s="136"/>
      <c r="IQ76" s="136"/>
      <c r="IR76" s="136"/>
      <c r="IS76" s="136"/>
      <c r="IT76" s="136"/>
      <c r="IU76" s="136"/>
      <c r="IV76" s="136"/>
      <c r="IW76" s="136"/>
      <c r="IX76" s="136"/>
      <c r="IY76" s="136"/>
      <c r="IZ76" s="136"/>
      <c r="JA76" s="136"/>
      <c r="JB76" s="136"/>
      <c r="JC76" s="136"/>
      <c r="JD76" s="136"/>
      <c r="JE76" s="136"/>
      <c r="JF76" s="136"/>
      <c r="JG76" s="136"/>
      <c r="JH76" s="136"/>
      <c r="JI76" s="136"/>
      <c r="JJ76" s="136"/>
      <c r="JK76" s="136"/>
      <c r="JL76" s="136"/>
      <c r="JM76" s="136"/>
      <c r="JN76" s="136"/>
      <c r="JO76" s="136"/>
      <c r="JP76" s="136"/>
      <c r="JQ76" s="136"/>
      <c r="JR76" s="136"/>
      <c r="JS76" s="136"/>
      <c r="JT76" s="136"/>
      <c r="JU76" s="136"/>
      <c r="JV76" s="136"/>
      <c r="JW76" s="136"/>
      <c r="JX76" s="136"/>
      <c r="JY76" s="136"/>
      <c r="JZ76" s="136"/>
      <c r="KA76" s="136"/>
      <c r="KB76" s="136"/>
      <c r="KC76" s="136"/>
      <c r="KD76" s="136"/>
      <c r="KE76" s="136"/>
      <c r="KF76" s="136"/>
      <c r="KG76" s="136"/>
      <c r="KH76" s="136"/>
      <c r="KI76" s="136"/>
      <c r="KJ76" s="136"/>
      <c r="KK76" s="136"/>
      <c r="KL76" s="136"/>
      <c r="KM76" s="136"/>
      <c r="KN76" s="136"/>
      <c r="KO76" s="136"/>
      <c r="KP76" s="136"/>
      <c r="KQ76" s="136"/>
      <c r="KR76" s="136"/>
      <c r="KS76" s="136"/>
      <c r="KT76" s="136"/>
      <c r="KU76" s="136"/>
      <c r="KV76" s="136"/>
      <c r="KW76" s="136"/>
      <c r="KX76" s="136"/>
      <c r="KY76" s="136"/>
      <c r="KZ76" s="136"/>
      <c r="LA76" s="136"/>
      <c r="LB76" s="136"/>
      <c r="LC76" s="136"/>
      <c r="LD76" s="136"/>
      <c r="LE76" s="136"/>
      <c r="LF76" s="136"/>
      <c r="LG76" s="136"/>
      <c r="LH76" s="136"/>
      <c r="LI76" s="136"/>
      <c r="LJ76" s="136"/>
      <c r="LK76" s="136"/>
      <c r="LL76" s="136"/>
      <c r="LM76" s="136"/>
      <c r="LN76" s="136"/>
      <c r="LO76" s="136"/>
      <c r="LP76" s="136"/>
      <c r="LQ76" s="136"/>
      <c r="LR76" s="136"/>
      <c r="LS76" s="136"/>
      <c r="LT76" s="136"/>
      <c r="LU76" s="136"/>
      <c r="LV76" s="136"/>
      <c r="LW76" s="136"/>
      <c r="LX76" s="136"/>
      <c r="LY76" s="136"/>
      <c r="LZ76" s="136"/>
      <c r="MA76" s="136"/>
      <c r="MB76" s="136"/>
      <c r="MC76" s="136"/>
      <c r="MD76" s="136"/>
      <c r="ME76" s="136"/>
      <c r="MF76" s="136"/>
      <c r="MG76" s="136"/>
      <c r="MH76" s="136"/>
      <c r="MI76" s="136"/>
      <c r="MJ76" s="136"/>
      <c r="MK76" s="136"/>
      <c r="ML76" s="136"/>
      <c r="MM76" s="136"/>
      <c r="MN76" s="136"/>
      <c r="MO76" s="136"/>
      <c r="MP76" s="136"/>
      <c r="MQ76" s="136"/>
      <c r="MR76" s="136"/>
      <c r="MS76" s="136"/>
      <c r="MT76" s="136"/>
      <c r="MU76" s="136"/>
      <c r="MV76" s="136"/>
      <c r="MW76" s="136"/>
      <c r="MX76" s="136"/>
      <c r="MY76" s="136"/>
      <c r="MZ76" s="136"/>
      <c r="NA76" s="136"/>
      <c r="NB76" s="136"/>
      <c r="NC76" s="136"/>
      <c r="ND76" s="136"/>
      <c r="NE76" s="136"/>
      <c r="NF76" s="136"/>
      <c r="NG76" s="136"/>
      <c r="NH76" s="136"/>
      <c r="NI76" s="136"/>
      <c r="NJ76" s="136"/>
      <c r="NK76" s="136"/>
      <c r="NL76" s="136"/>
      <c r="NM76" s="136"/>
      <c r="NN76" s="136"/>
      <c r="NO76" s="136"/>
      <c r="NP76" s="136"/>
      <c r="NQ76" s="136"/>
      <c r="NR76" s="136"/>
      <c r="NS76" s="136"/>
      <c r="NT76" s="136"/>
      <c r="NU76" s="136"/>
      <c r="NV76" s="136"/>
      <c r="NW76" s="136"/>
      <c r="NX76" s="136"/>
      <c r="NY76" s="136"/>
      <c r="NZ76" s="136"/>
      <c r="OA76" s="136"/>
      <c r="OB76" s="136"/>
      <c r="OC76" s="136"/>
      <c r="OD76" s="136"/>
      <c r="OE76" s="136"/>
      <c r="OF76" s="136"/>
      <c r="OG76" s="136"/>
      <c r="OH76" s="136"/>
      <c r="OI76" s="136"/>
      <c r="OJ76" s="136"/>
      <c r="OK76" s="136"/>
      <c r="OL76" s="136"/>
      <c r="OM76" s="136"/>
      <c r="ON76" s="136"/>
      <c r="OO76" s="136"/>
      <c r="OP76" s="136"/>
      <c r="OQ76" s="136"/>
      <c r="OR76" s="136"/>
      <c r="OS76" s="136"/>
      <c r="OT76" s="136"/>
      <c r="OU76" s="136"/>
      <c r="OV76" s="136"/>
      <c r="OW76" s="136"/>
      <c r="OX76" s="136"/>
      <c r="OY76" s="136"/>
      <c r="OZ76" s="136"/>
      <c r="PA76" s="136"/>
      <c r="PB76" s="136"/>
      <c r="PC76" s="136"/>
      <c r="PD76" s="136"/>
      <c r="PE76" s="136"/>
      <c r="PF76" s="136"/>
      <c r="PG76" s="136"/>
      <c r="PH76" s="136"/>
      <c r="PI76" s="136"/>
      <c r="PJ76" s="136"/>
      <c r="PK76" s="136"/>
      <c r="PL76" s="136"/>
      <c r="PM76" s="136"/>
      <c r="PN76" s="136"/>
      <c r="PO76" s="136"/>
      <c r="PP76" s="136"/>
      <c r="PQ76" s="136"/>
      <c r="PR76" s="136"/>
      <c r="PS76" s="136"/>
      <c r="PT76" s="136"/>
      <c r="PU76" s="136"/>
      <c r="PV76" s="136"/>
      <c r="PW76" s="136"/>
      <c r="PX76" s="136"/>
      <c r="PY76" s="136"/>
      <c r="PZ76" s="136"/>
      <c r="QA76" s="136"/>
      <c r="QB76" s="136"/>
      <c r="QC76" s="136"/>
      <c r="QD76" s="136"/>
      <c r="QE76" s="136"/>
      <c r="QF76" s="136"/>
      <c r="QG76" s="136"/>
      <c r="QH76" s="136"/>
      <c r="QI76" s="136"/>
      <c r="QJ76" s="136"/>
      <c r="QK76" s="136"/>
      <c r="QL76" s="136"/>
      <c r="QM76" s="136"/>
      <c r="QN76" s="136"/>
      <c r="QO76" s="136"/>
      <c r="QP76" s="136"/>
      <c r="QQ76" s="136"/>
      <c r="QR76" s="136"/>
      <c r="QS76" s="136"/>
      <c r="QT76" s="136"/>
      <c r="QU76" s="136"/>
      <c r="QV76" s="136"/>
      <c r="QW76" s="136"/>
      <c r="QX76" s="136"/>
      <c r="QY76" s="136"/>
      <c r="QZ76" s="136"/>
      <c r="RA76" s="136"/>
      <c r="RB76" s="136"/>
      <c r="RC76" s="136"/>
      <c r="RD76" s="136"/>
      <c r="RE76" s="136"/>
      <c r="RF76" s="136"/>
      <c r="RG76" s="136"/>
      <c r="RH76" s="136"/>
      <c r="RI76" s="136"/>
      <c r="RJ76" s="136"/>
      <c r="RK76" s="136"/>
      <c r="RL76" s="136"/>
      <c r="RM76" s="136"/>
      <c r="RN76" s="136"/>
      <c r="RO76" s="136"/>
      <c r="RP76" s="136"/>
      <c r="RQ76" s="136"/>
      <c r="RR76" s="136"/>
      <c r="RS76" s="136"/>
      <c r="RT76" s="136"/>
      <c r="RU76" s="136"/>
      <c r="RV76" s="136"/>
      <c r="RW76" s="136"/>
      <c r="RX76" s="136"/>
      <c r="RY76" s="136"/>
      <c r="RZ76" s="136"/>
      <c r="SA76" s="136"/>
      <c r="SB76" s="136"/>
      <c r="SC76" s="136"/>
      <c r="SD76" s="136"/>
      <c r="SE76" s="136"/>
      <c r="SF76" s="136"/>
      <c r="SG76" s="136"/>
      <c r="SH76" s="136"/>
      <c r="SI76" s="136"/>
      <c r="SJ76" s="136"/>
      <c r="SK76" s="136"/>
      <c r="SL76" s="136"/>
      <c r="SM76" s="136"/>
      <c r="SN76" s="136"/>
      <c r="SO76" s="136"/>
      <c r="SP76" s="136"/>
      <c r="SQ76" s="136"/>
      <c r="SR76" s="136"/>
      <c r="SS76" s="136"/>
    </row>
    <row r="77" spans="14:513" s="135" customFormat="1" ht="14.5" x14ac:dyDescent="0.35">
      <c r="N77" s="134"/>
      <c r="O77" s="134"/>
      <c r="P77" s="134"/>
      <c r="Q77" s="134"/>
      <c r="R77" s="134"/>
      <c r="S77" s="134"/>
      <c r="T77" s="134"/>
      <c r="U77" s="134"/>
      <c r="V77" s="134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DO77" s="136"/>
      <c r="DP77" s="136"/>
      <c r="DQ77" s="136"/>
      <c r="DR77" s="136"/>
      <c r="DS77" s="136"/>
      <c r="DT77" s="136"/>
      <c r="DU77" s="136"/>
      <c r="DV77" s="136"/>
      <c r="DW77" s="136"/>
      <c r="DX77" s="136"/>
      <c r="DY77" s="136"/>
      <c r="DZ77" s="136"/>
      <c r="EA77" s="136"/>
      <c r="EB77" s="136"/>
      <c r="EC77" s="136"/>
      <c r="ED77" s="136"/>
      <c r="EE77" s="136"/>
      <c r="EF77" s="136"/>
      <c r="EG77" s="136"/>
      <c r="EH77" s="136"/>
      <c r="EI77" s="136"/>
      <c r="EJ77" s="136"/>
      <c r="EK77" s="136"/>
      <c r="EL77" s="136"/>
      <c r="EM77" s="136"/>
      <c r="EN77" s="136"/>
      <c r="EO77" s="136"/>
      <c r="EP77" s="136"/>
      <c r="EQ77" s="136"/>
      <c r="ER77" s="136"/>
      <c r="ES77" s="136"/>
      <c r="ET77" s="136"/>
      <c r="EU77" s="136"/>
      <c r="EV77" s="136"/>
      <c r="EW77" s="136"/>
      <c r="EX77" s="136"/>
      <c r="EY77" s="136"/>
      <c r="EZ77" s="136"/>
      <c r="FA77" s="136"/>
      <c r="FB77" s="136"/>
      <c r="FC77" s="136"/>
      <c r="FD77" s="136"/>
      <c r="FE77" s="136"/>
      <c r="FF77" s="136"/>
      <c r="FG77" s="136"/>
      <c r="FH77" s="136"/>
      <c r="FI77" s="136"/>
      <c r="FJ77" s="136"/>
      <c r="FK77" s="136"/>
      <c r="FL77" s="136"/>
      <c r="FM77" s="136"/>
      <c r="FN77" s="136"/>
      <c r="FO77" s="136"/>
      <c r="FP77" s="136"/>
      <c r="FQ77" s="136"/>
      <c r="FR77" s="136"/>
      <c r="FS77" s="136"/>
      <c r="FT77" s="136"/>
      <c r="FU77" s="136"/>
      <c r="FV77" s="136"/>
      <c r="FW77" s="136"/>
      <c r="FX77" s="136"/>
      <c r="FY77" s="136"/>
      <c r="FZ77" s="136"/>
      <c r="GA77" s="136"/>
      <c r="GB77" s="136"/>
      <c r="GC77" s="136"/>
      <c r="GD77" s="136"/>
      <c r="GE77" s="136"/>
      <c r="GF77" s="136"/>
      <c r="GG77" s="136"/>
      <c r="GH77" s="136"/>
      <c r="GI77" s="136"/>
      <c r="GJ77" s="136"/>
      <c r="GK77" s="136"/>
      <c r="GL77" s="136"/>
      <c r="GM77" s="136"/>
      <c r="GN77" s="136"/>
      <c r="GO77" s="136"/>
      <c r="GP77" s="136"/>
      <c r="GQ77" s="136"/>
      <c r="GR77" s="136"/>
      <c r="GS77" s="136"/>
      <c r="GT77" s="136"/>
      <c r="GU77" s="136"/>
      <c r="GV77" s="136"/>
      <c r="GW77" s="136"/>
      <c r="GX77" s="136"/>
      <c r="GY77" s="136"/>
      <c r="GZ77" s="136"/>
      <c r="HA77" s="136"/>
      <c r="HB77" s="136"/>
      <c r="HC77" s="136"/>
      <c r="HD77" s="136"/>
      <c r="HE77" s="136"/>
      <c r="HF77" s="136"/>
      <c r="HG77" s="136"/>
      <c r="HH77" s="136"/>
      <c r="HI77" s="136"/>
      <c r="HJ77" s="136"/>
      <c r="HK77" s="136"/>
      <c r="HL77" s="136"/>
      <c r="HM77" s="136"/>
      <c r="HN77" s="136"/>
      <c r="HO77" s="136"/>
      <c r="HP77" s="136"/>
      <c r="HQ77" s="136"/>
      <c r="HR77" s="136"/>
      <c r="HS77" s="136"/>
      <c r="HT77" s="136"/>
      <c r="HU77" s="136"/>
      <c r="HV77" s="136"/>
      <c r="HW77" s="136"/>
      <c r="HX77" s="136"/>
      <c r="HY77" s="136"/>
      <c r="HZ77" s="136"/>
      <c r="IA77" s="136"/>
      <c r="IB77" s="136"/>
      <c r="IC77" s="136"/>
      <c r="ID77" s="136"/>
      <c r="IE77" s="136"/>
      <c r="IF77" s="136"/>
      <c r="IG77" s="136"/>
      <c r="IH77" s="136"/>
      <c r="II77" s="136"/>
      <c r="IJ77" s="136"/>
      <c r="IK77" s="136"/>
      <c r="IL77" s="136"/>
      <c r="IM77" s="136"/>
      <c r="IN77" s="136"/>
      <c r="IO77" s="136"/>
      <c r="IP77" s="136"/>
      <c r="IQ77" s="136"/>
      <c r="IR77" s="136"/>
      <c r="IS77" s="136"/>
      <c r="IT77" s="136"/>
      <c r="IU77" s="136"/>
      <c r="IV77" s="136"/>
      <c r="IW77" s="136"/>
      <c r="IX77" s="136"/>
      <c r="IY77" s="136"/>
      <c r="IZ77" s="136"/>
      <c r="JA77" s="136"/>
      <c r="JB77" s="136"/>
      <c r="JC77" s="136"/>
      <c r="JD77" s="136"/>
      <c r="JE77" s="136"/>
      <c r="JF77" s="136"/>
      <c r="JG77" s="136"/>
      <c r="JH77" s="136"/>
      <c r="JI77" s="136"/>
      <c r="JJ77" s="136"/>
      <c r="JK77" s="136"/>
      <c r="JL77" s="136"/>
      <c r="JM77" s="136"/>
      <c r="JN77" s="136"/>
      <c r="JO77" s="136"/>
      <c r="JP77" s="136"/>
      <c r="JQ77" s="136"/>
      <c r="JR77" s="136"/>
      <c r="JS77" s="136"/>
      <c r="JT77" s="136"/>
      <c r="JU77" s="136"/>
      <c r="JV77" s="136"/>
      <c r="JW77" s="136"/>
      <c r="JX77" s="136"/>
      <c r="JY77" s="136"/>
      <c r="JZ77" s="136"/>
      <c r="KA77" s="136"/>
      <c r="KB77" s="136"/>
      <c r="KC77" s="136"/>
      <c r="KD77" s="136"/>
      <c r="KE77" s="136"/>
      <c r="KF77" s="136"/>
      <c r="KG77" s="136"/>
      <c r="KH77" s="136"/>
      <c r="KI77" s="136"/>
      <c r="KJ77" s="136"/>
      <c r="KK77" s="136"/>
      <c r="KL77" s="136"/>
      <c r="KM77" s="136"/>
      <c r="KN77" s="136"/>
      <c r="KO77" s="136"/>
      <c r="KP77" s="136"/>
      <c r="KQ77" s="136"/>
      <c r="KR77" s="136"/>
      <c r="KS77" s="136"/>
      <c r="KT77" s="136"/>
      <c r="KU77" s="136"/>
      <c r="KV77" s="136"/>
      <c r="KW77" s="136"/>
      <c r="KX77" s="136"/>
      <c r="KY77" s="136"/>
      <c r="KZ77" s="136"/>
      <c r="LA77" s="136"/>
      <c r="LB77" s="136"/>
      <c r="LC77" s="136"/>
      <c r="LD77" s="136"/>
      <c r="LE77" s="136"/>
      <c r="LF77" s="136"/>
      <c r="LG77" s="136"/>
      <c r="LH77" s="136"/>
      <c r="LI77" s="136"/>
      <c r="LJ77" s="136"/>
      <c r="LK77" s="136"/>
      <c r="LL77" s="136"/>
      <c r="LM77" s="136"/>
      <c r="LN77" s="136"/>
      <c r="LO77" s="136"/>
      <c r="LP77" s="136"/>
      <c r="LQ77" s="136"/>
      <c r="LR77" s="136"/>
      <c r="LS77" s="136"/>
      <c r="LT77" s="136"/>
      <c r="LU77" s="136"/>
      <c r="LV77" s="136"/>
      <c r="LW77" s="136"/>
      <c r="LX77" s="136"/>
      <c r="LY77" s="136"/>
      <c r="LZ77" s="136"/>
      <c r="MA77" s="136"/>
      <c r="MB77" s="136"/>
      <c r="MC77" s="136"/>
      <c r="MD77" s="136"/>
      <c r="ME77" s="136"/>
      <c r="MF77" s="136"/>
      <c r="MG77" s="136"/>
      <c r="MH77" s="136"/>
      <c r="MI77" s="136"/>
      <c r="MJ77" s="136"/>
      <c r="MK77" s="136"/>
      <c r="ML77" s="136"/>
      <c r="MM77" s="136"/>
      <c r="MN77" s="136"/>
      <c r="MO77" s="136"/>
      <c r="MP77" s="136"/>
      <c r="MQ77" s="136"/>
      <c r="MR77" s="136"/>
      <c r="MS77" s="136"/>
      <c r="MT77" s="136"/>
      <c r="MU77" s="136"/>
      <c r="MV77" s="136"/>
      <c r="MW77" s="136"/>
      <c r="MX77" s="136"/>
      <c r="MY77" s="136"/>
      <c r="MZ77" s="136"/>
      <c r="NA77" s="136"/>
      <c r="NB77" s="136"/>
      <c r="NC77" s="136"/>
      <c r="ND77" s="136"/>
      <c r="NE77" s="136"/>
      <c r="NF77" s="136"/>
      <c r="NG77" s="136"/>
      <c r="NH77" s="136"/>
      <c r="NI77" s="136"/>
      <c r="NJ77" s="136"/>
      <c r="NK77" s="136"/>
      <c r="NL77" s="136"/>
      <c r="NM77" s="136"/>
      <c r="NN77" s="136"/>
      <c r="NO77" s="136"/>
      <c r="NP77" s="136"/>
      <c r="NQ77" s="136"/>
      <c r="NR77" s="136"/>
      <c r="NS77" s="136"/>
      <c r="NT77" s="136"/>
      <c r="NU77" s="136"/>
      <c r="NV77" s="136"/>
      <c r="NW77" s="136"/>
      <c r="NX77" s="136"/>
      <c r="NY77" s="136"/>
      <c r="NZ77" s="136"/>
      <c r="OA77" s="136"/>
      <c r="OB77" s="136"/>
      <c r="OC77" s="136"/>
      <c r="OD77" s="136"/>
      <c r="OE77" s="136"/>
      <c r="OF77" s="136"/>
      <c r="OG77" s="136"/>
      <c r="OH77" s="136"/>
      <c r="OI77" s="136"/>
      <c r="OJ77" s="136"/>
      <c r="OK77" s="136"/>
      <c r="OL77" s="136"/>
      <c r="OM77" s="136"/>
      <c r="ON77" s="136"/>
      <c r="OO77" s="136"/>
      <c r="OP77" s="136"/>
      <c r="OQ77" s="136"/>
      <c r="OR77" s="136"/>
      <c r="OS77" s="136"/>
      <c r="OT77" s="136"/>
      <c r="OU77" s="136"/>
      <c r="OV77" s="136"/>
      <c r="OW77" s="136"/>
      <c r="OX77" s="136"/>
      <c r="OY77" s="136"/>
      <c r="OZ77" s="136"/>
      <c r="PA77" s="136"/>
      <c r="PB77" s="136"/>
      <c r="PC77" s="136"/>
      <c r="PD77" s="136"/>
      <c r="PE77" s="136"/>
      <c r="PF77" s="136"/>
      <c r="PG77" s="136"/>
      <c r="PH77" s="136"/>
      <c r="PI77" s="136"/>
      <c r="PJ77" s="136"/>
      <c r="PK77" s="136"/>
      <c r="PL77" s="136"/>
      <c r="PM77" s="136"/>
      <c r="PN77" s="136"/>
      <c r="PO77" s="136"/>
      <c r="PP77" s="136"/>
      <c r="PQ77" s="136"/>
      <c r="PR77" s="136"/>
      <c r="PS77" s="136"/>
      <c r="PT77" s="136"/>
      <c r="PU77" s="136"/>
      <c r="PV77" s="136"/>
      <c r="PW77" s="136"/>
      <c r="PX77" s="136"/>
      <c r="PY77" s="136"/>
      <c r="PZ77" s="136"/>
      <c r="QA77" s="136"/>
      <c r="QB77" s="136"/>
      <c r="QC77" s="136"/>
      <c r="QD77" s="136"/>
      <c r="QE77" s="136"/>
      <c r="QF77" s="136"/>
      <c r="QG77" s="136"/>
      <c r="QH77" s="136"/>
      <c r="QI77" s="136"/>
      <c r="QJ77" s="136"/>
      <c r="QK77" s="136"/>
      <c r="QL77" s="136"/>
      <c r="QM77" s="136"/>
      <c r="QN77" s="136"/>
      <c r="QO77" s="136"/>
      <c r="QP77" s="136"/>
      <c r="QQ77" s="136"/>
      <c r="QR77" s="136"/>
      <c r="QS77" s="136"/>
      <c r="QT77" s="136"/>
      <c r="QU77" s="136"/>
      <c r="QV77" s="136"/>
      <c r="QW77" s="136"/>
      <c r="QX77" s="136"/>
      <c r="QY77" s="136"/>
      <c r="QZ77" s="136"/>
      <c r="RA77" s="136"/>
      <c r="RB77" s="136"/>
      <c r="RC77" s="136"/>
      <c r="RD77" s="136"/>
      <c r="RE77" s="136"/>
      <c r="RF77" s="136"/>
      <c r="RG77" s="136"/>
      <c r="RH77" s="136"/>
      <c r="RI77" s="136"/>
      <c r="RJ77" s="136"/>
      <c r="RK77" s="136"/>
      <c r="RL77" s="136"/>
      <c r="RM77" s="136"/>
      <c r="RN77" s="136"/>
      <c r="RO77" s="136"/>
      <c r="RP77" s="136"/>
      <c r="RQ77" s="136"/>
      <c r="RR77" s="136"/>
      <c r="RS77" s="136"/>
      <c r="RT77" s="136"/>
      <c r="RU77" s="136"/>
      <c r="RV77" s="136"/>
      <c r="RW77" s="136"/>
      <c r="RX77" s="136"/>
      <c r="RY77" s="136"/>
      <c r="RZ77" s="136"/>
      <c r="SA77" s="136"/>
      <c r="SB77" s="136"/>
      <c r="SC77" s="136"/>
      <c r="SD77" s="136"/>
      <c r="SE77" s="136"/>
      <c r="SF77" s="136"/>
      <c r="SG77" s="136"/>
      <c r="SH77" s="136"/>
      <c r="SI77" s="136"/>
      <c r="SJ77" s="136"/>
      <c r="SK77" s="136"/>
      <c r="SL77" s="136"/>
      <c r="SM77" s="136"/>
      <c r="SN77" s="136"/>
      <c r="SO77" s="136"/>
      <c r="SP77" s="136"/>
      <c r="SQ77" s="136"/>
      <c r="SR77" s="136"/>
      <c r="SS77" s="136"/>
    </row>
    <row r="78" spans="14:513" s="135" customFormat="1" ht="14.5" x14ac:dyDescent="0.35"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/>
      <c r="AA78" s="134"/>
      <c r="AB78" s="134"/>
      <c r="AC78" s="134"/>
      <c r="AD78" s="134"/>
      <c r="AE78" s="134"/>
      <c r="AF78" s="134"/>
      <c r="DO78" s="136"/>
      <c r="DP78" s="136"/>
      <c r="DQ78" s="136"/>
      <c r="DR78" s="136"/>
      <c r="DS78" s="136"/>
      <c r="DT78" s="136"/>
      <c r="DU78" s="136"/>
      <c r="DV78" s="136"/>
      <c r="DW78" s="136"/>
      <c r="DX78" s="136"/>
      <c r="DY78" s="136"/>
      <c r="DZ78" s="136"/>
      <c r="EA78" s="136"/>
      <c r="EB78" s="136"/>
      <c r="EC78" s="136"/>
      <c r="ED78" s="136"/>
      <c r="EE78" s="136"/>
      <c r="EF78" s="136"/>
      <c r="EG78" s="136"/>
      <c r="EH78" s="136"/>
      <c r="EI78" s="136"/>
      <c r="EJ78" s="136"/>
      <c r="EK78" s="136"/>
      <c r="EL78" s="136"/>
      <c r="EM78" s="136"/>
      <c r="EN78" s="136"/>
      <c r="EO78" s="136"/>
      <c r="EP78" s="136"/>
      <c r="EQ78" s="136"/>
      <c r="ER78" s="136"/>
      <c r="ES78" s="136"/>
      <c r="ET78" s="136"/>
      <c r="EU78" s="136"/>
      <c r="EV78" s="136"/>
      <c r="EW78" s="136"/>
      <c r="EX78" s="136"/>
      <c r="EY78" s="136"/>
      <c r="EZ78" s="136"/>
      <c r="FA78" s="136"/>
      <c r="FB78" s="136"/>
      <c r="FC78" s="136"/>
      <c r="FD78" s="136"/>
      <c r="FE78" s="136"/>
      <c r="FF78" s="136"/>
      <c r="FG78" s="136"/>
      <c r="FH78" s="136"/>
      <c r="FI78" s="136"/>
      <c r="FJ78" s="136"/>
      <c r="FK78" s="136"/>
      <c r="FL78" s="136"/>
      <c r="FM78" s="136"/>
      <c r="FN78" s="136"/>
      <c r="FO78" s="136"/>
      <c r="FP78" s="136"/>
      <c r="FQ78" s="136"/>
      <c r="FR78" s="136"/>
      <c r="FS78" s="136"/>
      <c r="FT78" s="136"/>
      <c r="FU78" s="136"/>
      <c r="FV78" s="136"/>
      <c r="FW78" s="136"/>
      <c r="FX78" s="136"/>
      <c r="FY78" s="136"/>
      <c r="FZ78" s="136"/>
      <c r="GA78" s="136"/>
      <c r="GB78" s="136"/>
      <c r="GC78" s="136"/>
      <c r="GD78" s="136"/>
      <c r="GE78" s="136"/>
      <c r="GF78" s="136"/>
      <c r="GG78" s="136"/>
      <c r="GH78" s="136"/>
      <c r="GI78" s="136"/>
      <c r="GJ78" s="136"/>
      <c r="GK78" s="136"/>
      <c r="GL78" s="136"/>
      <c r="GM78" s="136"/>
      <c r="GN78" s="136"/>
      <c r="GO78" s="136"/>
      <c r="GP78" s="136"/>
      <c r="GQ78" s="136"/>
      <c r="GR78" s="136"/>
      <c r="GS78" s="136"/>
      <c r="GT78" s="136"/>
      <c r="GU78" s="136"/>
      <c r="GV78" s="136"/>
      <c r="GW78" s="136"/>
      <c r="GX78" s="136"/>
      <c r="GY78" s="136"/>
      <c r="GZ78" s="136"/>
      <c r="HA78" s="136"/>
      <c r="HB78" s="136"/>
      <c r="HC78" s="136"/>
      <c r="HD78" s="136"/>
      <c r="HE78" s="136"/>
      <c r="HF78" s="136"/>
      <c r="HG78" s="136"/>
      <c r="HH78" s="136"/>
      <c r="HI78" s="136"/>
      <c r="HJ78" s="136"/>
      <c r="HK78" s="136"/>
      <c r="HL78" s="136"/>
      <c r="HM78" s="136"/>
      <c r="HN78" s="136"/>
      <c r="HO78" s="136"/>
      <c r="HP78" s="136"/>
      <c r="HQ78" s="136"/>
      <c r="HR78" s="136"/>
      <c r="HS78" s="136"/>
      <c r="HT78" s="136"/>
      <c r="HU78" s="136"/>
      <c r="HV78" s="136"/>
      <c r="HW78" s="136"/>
      <c r="HX78" s="136"/>
      <c r="HY78" s="136"/>
      <c r="HZ78" s="136"/>
      <c r="IA78" s="136"/>
      <c r="IB78" s="136"/>
      <c r="IC78" s="136"/>
      <c r="ID78" s="136"/>
      <c r="IE78" s="136"/>
      <c r="IF78" s="136"/>
      <c r="IG78" s="136"/>
      <c r="IH78" s="136"/>
      <c r="II78" s="136"/>
      <c r="IJ78" s="136"/>
      <c r="IK78" s="136"/>
      <c r="IL78" s="136"/>
      <c r="IM78" s="136"/>
      <c r="IN78" s="136"/>
      <c r="IO78" s="136"/>
      <c r="IP78" s="136"/>
      <c r="IQ78" s="136"/>
      <c r="IR78" s="136"/>
      <c r="IS78" s="136"/>
      <c r="IT78" s="136"/>
      <c r="IU78" s="136"/>
      <c r="IV78" s="136"/>
      <c r="IW78" s="136"/>
      <c r="IX78" s="136"/>
      <c r="IY78" s="136"/>
      <c r="IZ78" s="136"/>
      <c r="JA78" s="136"/>
      <c r="JB78" s="136"/>
      <c r="JC78" s="136"/>
      <c r="JD78" s="136"/>
      <c r="JE78" s="136"/>
      <c r="JF78" s="136"/>
      <c r="JG78" s="136"/>
      <c r="JH78" s="136"/>
      <c r="JI78" s="136"/>
      <c r="JJ78" s="136"/>
      <c r="JK78" s="136"/>
      <c r="JL78" s="136"/>
      <c r="JM78" s="136"/>
      <c r="JN78" s="136"/>
      <c r="JO78" s="136"/>
      <c r="JP78" s="136"/>
      <c r="JQ78" s="136"/>
      <c r="JR78" s="136"/>
      <c r="JS78" s="136"/>
      <c r="JT78" s="136"/>
      <c r="JU78" s="136"/>
      <c r="JV78" s="136"/>
      <c r="JW78" s="136"/>
      <c r="JX78" s="136"/>
      <c r="JY78" s="136"/>
      <c r="JZ78" s="136"/>
      <c r="KA78" s="136"/>
      <c r="KB78" s="136"/>
      <c r="KC78" s="136"/>
      <c r="KD78" s="136"/>
      <c r="KE78" s="136"/>
      <c r="KF78" s="136"/>
      <c r="KG78" s="136"/>
      <c r="KH78" s="136"/>
      <c r="KI78" s="136"/>
      <c r="KJ78" s="136"/>
      <c r="KK78" s="136"/>
      <c r="KL78" s="136"/>
      <c r="KM78" s="136"/>
      <c r="KN78" s="136"/>
      <c r="KO78" s="136"/>
      <c r="KP78" s="136"/>
      <c r="KQ78" s="136"/>
      <c r="KR78" s="136"/>
      <c r="KS78" s="136"/>
      <c r="KT78" s="136"/>
      <c r="KU78" s="136"/>
      <c r="KV78" s="136"/>
      <c r="KW78" s="136"/>
      <c r="KX78" s="136"/>
      <c r="KY78" s="136"/>
      <c r="KZ78" s="136"/>
      <c r="LA78" s="136"/>
      <c r="LB78" s="136"/>
      <c r="LC78" s="136"/>
      <c r="LD78" s="136"/>
      <c r="LE78" s="136"/>
      <c r="LF78" s="136"/>
      <c r="LG78" s="136"/>
      <c r="LH78" s="136"/>
      <c r="LI78" s="136"/>
      <c r="LJ78" s="136"/>
      <c r="LK78" s="136"/>
      <c r="LL78" s="136"/>
      <c r="LM78" s="136"/>
      <c r="LN78" s="136"/>
      <c r="LO78" s="136"/>
      <c r="LP78" s="136"/>
      <c r="LQ78" s="136"/>
      <c r="LR78" s="136"/>
      <c r="LS78" s="136"/>
      <c r="LT78" s="136"/>
      <c r="LU78" s="136"/>
      <c r="LV78" s="136"/>
      <c r="LW78" s="136"/>
      <c r="LX78" s="136"/>
      <c r="LY78" s="136"/>
      <c r="LZ78" s="136"/>
      <c r="MA78" s="136"/>
      <c r="MB78" s="136"/>
      <c r="MC78" s="136"/>
      <c r="MD78" s="136"/>
      <c r="ME78" s="136"/>
      <c r="MF78" s="136"/>
      <c r="MG78" s="136"/>
      <c r="MH78" s="136"/>
      <c r="MI78" s="136"/>
      <c r="MJ78" s="136"/>
      <c r="MK78" s="136"/>
      <c r="ML78" s="136"/>
      <c r="MM78" s="136"/>
      <c r="MN78" s="136"/>
      <c r="MO78" s="136"/>
      <c r="MP78" s="136"/>
      <c r="MQ78" s="136"/>
      <c r="MR78" s="136"/>
      <c r="MS78" s="136"/>
      <c r="MT78" s="136"/>
      <c r="MU78" s="136"/>
      <c r="MV78" s="136"/>
      <c r="MW78" s="136"/>
      <c r="MX78" s="136"/>
      <c r="MY78" s="136"/>
      <c r="MZ78" s="136"/>
      <c r="NA78" s="136"/>
      <c r="NB78" s="136"/>
      <c r="NC78" s="136"/>
      <c r="ND78" s="136"/>
      <c r="NE78" s="136"/>
      <c r="NF78" s="136"/>
      <c r="NG78" s="136"/>
      <c r="NH78" s="136"/>
      <c r="NI78" s="136"/>
      <c r="NJ78" s="136"/>
      <c r="NK78" s="136"/>
      <c r="NL78" s="136"/>
      <c r="NM78" s="136"/>
      <c r="NN78" s="136"/>
      <c r="NO78" s="136"/>
      <c r="NP78" s="136"/>
      <c r="NQ78" s="136"/>
      <c r="NR78" s="136"/>
      <c r="NS78" s="136"/>
      <c r="NT78" s="136"/>
      <c r="NU78" s="136"/>
      <c r="NV78" s="136"/>
      <c r="NW78" s="136"/>
      <c r="NX78" s="136"/>
      <c r="NY78" s="136"/>
      <c r="NZ78" s="136"/>
      <c r="OA78" s="136"/>
      <c r="OB78" s="136"/>
      <c r="OC78" s="136"/>
      <c r="OD78" s="136"/>
      <c r="OE78" s="136"/>
      <c r="OF78" s="136"/>
      <c r="OG78" s="136"/>
      <c r="OH78" s="136"/>
      <c r="OI78" s="136"/>
      <c r="OJ78" s="136"/>
      <c r="OK78" s="136"/>
      <c r="OL78" s="136"/>
      <c r="OM78" s="136"/>
      <c r="ON78" s="136"/>
      <c r="OO78" s="136"/>
      <c r="OP78" s="136"/>
      <c r="OQ78" s="136"/>
      <c r="OR78" s="136"/>
      <c r="OS78" s="136"/>
      <c r="OT78" s="136"/>
      <c r="OU78" s="136"/>
      <c r="OV78" s="136"/>
      <c r="OW78" s="136"/>
      <c r="OX78" s="136"/>
      <c r="OY78" s="136"/>
      <c r="OZ78" s="136"/>
      <c r="PA78" s="136"/>
      <c r="PB78" s="136"/>
      <c r="PC78" s="136"/>
      <c r="PD78" s="136"/>
      <c r="PE78" s="136"/>
      <c r="PF78" s="136"/>
      <c r="PG78" s="136"/>
      <c r="PH78" s="136"/>
      <c r="PI78" s="136"/>
      <c r="PJ78" s="136"/>
      <c r="PK78" s="136"/>
      <c r="PL78" s="136"/>
      <c r="PM78" s="136"/>
      <c r="PN78" s="136"/>
      <c r="PO78" s="136"/>
      <c r="PP78" s="136"/>
      <c r="PQ78" s="136"/>
      <c r="PR78" s="136"/>
      <c r="PS78" s="136"/>
      <c r="PT78" s="136"/>
      <c r="PU78" s="136"/>
      <c r="PV78" s="136"/>
      <c r="PW78" s="136"/>
      <c r="PX78" s="136"/>
      <c r="PY78" s="136"/>
      <c r="PZ78" s="136"/>
      <c r="QA78" s="136"/>
      <c r="QB78" s="136"/>
      <c r="QC78" s="136"/>
      <c r="QD78" s="136"/>
      <c r="QE78" s="136"/>
      <c r="QF78" s="136"/>
      <c r="QG78" s="136"/>
      <c r="QH78" s="136"/>
      <c r="QI78" s="136"/>
      <c r="QJ78" s="136"/>
      <c r="QK78" s="136"/>
      <c r="QL78" s="136"/>
      <c r="QM78" s="136"/>
      <c r="QN78" s="136"/>
      <c r="QO78" s="136"/>
      <c r="QP78" s="136"/>
      <c r="QQ78" s="136"/>
      <c r="QR78" s="136"/>
      <c r="QS78" s="136"/>
      <c r="QT78" s="136"/>
      <c r="QU78" s="136"/>
      <c r="QV78" s="136"/>
      <c r="QW78" s="136"/>
      <c r="QX78" s="136"/>
      <c r="QY78" s="136"/>
      <c r="QZ78" s="136"/>
      <c r="RA78" s="136"/>
      <c r="RB78" s="136"/>
      <c r="RC78" s="136"/>
      <c r="RD78" s="136"/>
      <c r="RE78" s="136"/>
      <c r="RF78" s="136"/>
      <c r="RG78" s="136"/>
      <c r="RH78" s="136"/>
      <c r="RI78" s="136"/>
      <c r="RJ78" s="136"/>
      <c r="RK78" s="136"/>
      <c r="RL78" s="136"/>
      <c r="RM78" s="136"/>
      <c r="RN78" s="136"/>
      <c r="RO78" s="136"/>
      <c r="RP78" s="136"/>
      <c r="RQ78" s="136"/>
      <c r="RR78" s="136"/>
      <c r="RS78" s="136"/>
      <c r="RT78" s="136"/>
      <c r="RU78" s="136"/>
      <c r="RV78" s="136"/>
      <c r="RW78" s="136"/>
      <c r="RX78" s="136"/>
      <c r="RY78" s="136"/>
      <c r="RZ78" s="136"/>
      <c r="SA78" s="136"/>
      <c r="SB78" s="136"/>
      <c r="SC78" s="136"/>
      <c r="SD78" s="136"/>
      <c r="SE78" s="136"/>
      <c r="SF78" s="136"/>
      <c r="SG78" s="136"/>
      <c r="SH78" s="136"/>
      <c r="SI78" s="136"/>
      <c r="SJ78" s="136"/>
      <c r="SK78" s="136"/>
      <c r="SL78" s="136"/>
      <c r="SM78" s="136"/>
      <c r="SN78" s="136"/>
      <c r="SO78" s="136"/>
      <c r="SP78" s="136"/>
      <c r="SQ78" s="136"/>
      <c r="SR78" s="136"/>
      <c r="SS78" s="136"/>
    </row>
    <row r="79" spans="14:513" s="135" customFormat="1" ht="14.5" x14ac:dyDescent="0.35"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4"/>
      <c r="AC79" s="134"/>
      <c r="AD79" s="134"/>
      <c r="AE79" s="134"/>
      <c r="AF79" s="134"/>
      <c r="DO79" s="136"/>
      <c r="DP79" s="136"/>
      <c r="DQ79" s="136"/>
      <c r="DR79" s="136"/>
      <c r="DS79" s="136"/>
      <c r="DT79" s="136"/>
      <c r="DU79" s="136"/>
      <c r="DV79" s="136"/>
      <c r="DW79" s="136"/>
      <c r="DX79" s="136"/>
      <c r="DY79" s="136"/>
      <c r="DZ79" s="136"/>
      <c r="EA79" s="136"/>
      <c r="EB79" s="136"/>
      <c r="EC79" s="136"/>
      <c r="ED79" s="136"/>
      <c r="EE79" s="136"/>
      <c r="EF79" s="136"/>
      <c r="EG79" s="136"/>
      <c r="EH79" s="136"/>
      <c r="EI79" s="136"/>
      <c r="EJ79" s="136"/>
      <c r="EK79" s="136"/>
      <c r="EL79" s="136"/>
      <c r="EM79" s="136"/>
      <c r="EN79" s="136"/>
      <c r="EO79" s="136"/>
      <c r="EP79" s="136"/>
      <c r="EQ79" s="136"/>
      <c r="ER79" s="136"/>
      <c r="ES79" s="136"/>
      <c r="ET79" s="136"/>
      <c r="EU79" s="136"/>
      <c r="EV79" s="136"/>
      <c r="EW79" s="136"/>
      <c r="EX79" s="136"/>
      <c r="EY79" s="136"/>
      <c r="EZ79" s="136"/>
      <c r="FA79" s="136"/>
      <c r="FB79" s="136"/>
      <c r="FC79" s="136"/>
      <c r="FD79" s="136"/>
      <c r="FE79" s="136"/>
      <c r="FF79" s="136"/>
      <c r="FG79" s="136"/>
      <c r="FH79" s="136"/>
      <c r="FI79" s="136"/>
      <c r="FJ79" s="136"/>
      <c r="FK79" s="136"/>
      <c r="FL79" s="136"/>
      <c r="FM79" s="136"/>
      <c r="FN79" s="136"/>
      <c r="FO79" s="136"/>
      <c r="FP79" s="136"/>
      <c r="FQ79" s="136"/>
      <c r="FR79" s="136"/>
      <c r="FS79" s="136"/>
      <c r="FT79" s="136"/>
      <c r="FU79" s="136"/>
      <c r="FV79" s="136"/>
      <c r="FW79" s="136"/>
      <c r="FX79" s="136"/>
      <c r="FY79" s="136"/>
      <c r="FZ79" s="136"/>
      <c r="GA79" s="136"/>
      <c r="GB79" s="136"/>
      <c r="GC79" s="136"/>
      <c r="GD79" s="136"/>
      <c r="GE79" s="136"/>
      <c r="GF79" s="136"/>
      <c r="GG79" s="136"/>
      <c r="GH79" s="136"/>
      <c r="GI79" s="136"/>
      <c r="GJ79" s="136"/>
      <c r="GK79" s="136"/>
      <c r="GL79" s="136"/>
      <c r="GM79" s="136"/>
      <c r="GN79" s="136"/>
      <c r="GO79" s="136"/>
      <c r="GP79" s="136"/>
      <c r="GQ79" s="136"/>
      <c r="GR79" s="136"/>
      <c r="GS79" s="136"/>
      <c r="GT79" s="136"/>
      <c r="GU79" s="136"/>
      <c r="GV79" s="136"/>
      <c r="GW79" s="136"/>
      <c r="GX79" s="136"/>
      <c r="GY79" s="136"/>
      <c r="GZ79" s="136"/>
      <c r="HA79" s="136"/>
      <c r="HB79" s="136"/>
      <c r="HC79" s="136"/>
      <c r="HD79" s="136"/>
      <c r="HE79" s="136"/>
      <c r="HF79" s="136"/>
      <c r="HG79" s="136"/>
      <c r="HH79" s="136"/>
      <c r="HI79" s="136"/>
      <c r="HJ79" s="136"/>
      <c r="HK79" s="136"/>
      <c r="HL79" s="136"/>
      <c r="HM79" s="136"/>
      <c r="HN79" s="136"/>
      <c r="HO79" s="136"/>
      <c r="HP79" s="136"/>
      <c r="HQ79" s="136"/>
      <c r="HR79" s="136"/>
      <c r="HS79" s="136"/>
      <c r="HT79" s="136"/>
      <c r="HU79" s="136"/>
      <c r="HV79" s="136"/>
      <c r="HW79" s="136"/>
      <c r="HX79" s="136"/>
      <c r="HY79" s="136"/>
      <c r="HZ79" s="136"/>
      <c r="IA79" s="136"/>
      <c r="IB79" s="136"/>
      <c r="IC79" s="136"/>
      <c r="ID79" s="136"/>
      <c r="IE79" s="136"/>
      <c r="IF79" s="136"/>
      <c r="IG79" s="136"/>
      <c r="IH79" s="136"/>
      <c r="II79" s="136"/>
      <c r="IJ79" s="136"/>
      <c r="IK79" s="136"/>
      <c r="IL79" s="136"/>
      <c r="IM79" s="136"/>
      <c r="IN79" s="136"/>
      <c r="IO79" s="136"/>
      <c r="IP79" s="136"/>
      <c r="IQ79" s="136"/>
      <c r="IR79" s="136"/>
      <c r="IS79" s="136"/>
      <c r="IT79" s="136"/>
      <c r="IU79" s="136"/>
      <c r="IV79" s="136"/>
      <c r="IW79" s="136"/>
      <c r="IX79" s="136"/>
      <c r="IY79" s="136"/>
      <c r="IZ79" s="136"/>
      <c r="JA79" s="136"/>
      <c r="JB79" s="136"/>
      <c r="JC79" s="136"/>
      <c r="JD79" s="136"/>
      <c r="JE79" s="136"/>
      <c r="JF79" s="136"/>
      <c r="JG79" s="136"/>
      <c r="JH79" s="136"/>
      <c r="JI79" s="136"/>
      <c r="JJ79" s="136"/>
      <c r="JK79" s="136"/>
      <c r="JL79" s="136"/>
      <c r="JM79" s="136"/>
      <c r="JN79" s="136"/>
      <c r="JO79" s="136"/>
      <c r="JP79" s="136"/>
      <c r="JQ79" s="136"/>
      <c r="JR79" s="136"/>
      <c r="JS79" s="136"/>
      <c r="JT79" s="136"/>
      <c r="JU79" s="136"/>
      <c r="JV79" s="136"/>
      <c r="JW79" s="136"/>
      <c r="JX79" s="136"/>
      <c r="JY79" s="136"/>
      <c r="JZ79" s="136"/>
      <c r="KA79" s="136"/>
      <c r="KB79" s="136"/>
      <c r="KC79" s="136"/>
      <c r="KD79" s="136"/>
      <c r="KE79" s="136"/>
      <c r="KF79" s="136"/>
      <c r="KG79" s="136"/>
      <c r="KH79" s="136"/>
      <c r="KI79" s="136"/>
      <c r="KJ79" s="136"/>
      <c r="KK79" s="136"/>
      <c r="KL79" s="136"/>
      <c r="KM79" s="136"/>
      <c r="KN79" s="136"/>
      <c r="KO79" s="136"/>
      <c r="KP79" s="136"/>
      <c r="KQ79" s="136"/>
      <c r="KR79" s="136"/>
      <c r="KS79" s="136"/>
      <c r="KT79" s="136"/>
      <c r="KU79" s="136"/>
      <c r="KV79" s="136"/>
      <c r="KW79" s="136"/>
      <c r="KX79" s="136"/>
      <c r="KY79" s="136"/>
      <c r="KZ79" s="136"/>
      <c r="LA79" s="136"/>
      <c r="LB79" s="136"/>
      <c r="LC79" s="136"/>
      <c r="LD79" s="136"/>
      <c r="LE79" s="136"/>
      <c r="LF79" s="136"/>
      <c r="LG79" s="136"/>
      <c r="LH79" s="136"/>
      <c r="LI79" s="136"/>
      <c r="LJ79" s="136"/>
      <c r="LK79" s="136"/>
      <c r="LL79" s="136"/>
      <c r="LM79" s="136"/>
      <c r="LN79" s="136"/>
      <c r="LO79" s="136"/>
      <c r="LP79" s="136"/>
      <c r="LQ79" s="136"/>
      <c r="LR79" s="136"/>
      <c r="LS79" s="136"/>
      <c r="LT79" s="136"/>
      <c r="LU79" s="136"/>
      <c r="LV79" s="136"/>
      <c r="LW79" s="136"/>
      <c r="LX79" s="136"/>
      <c r="LY79" s="136"/>
      <c r="LZ79" s="136"/>
      <c r="MA79" s="136"/>
      <c r="MB79" s="136"/>
      <c r="MC79" s="136"/>
      <c r="MD79" s="136"/>
      <c r="ME79" s="136"/>
      <c r="MF79" s="136"/>
      <c r="MG79" s="136"/>
      <c r="MH79" s="136"/>
      <c r="MI79" s="136"/>
      <c r="MJ79" s="136"/>
      <c r="MK79" s="136"/>
      <c r="ML79" s="136"/>
      <c r="MM79" s="136"/>
      <c r="MN79" s="136"/>
      <c r="MO79" s="136"/>
      <c r="MP79" s="136"/>
      <c r="MQ79" s="136"/>
      <c r="MR79" s="136"/>
      <c r="MS79" s="136"/>
      <c r="MT79" s="136"/>
      <c r="MU79" s="136"/>
      <c r="MV79" s="136"/>
      <c r="MW79" s="136"/>
      <c r="MX79" s="136"/>
      <c r="MY79" s="136"/>
      <c r="MZ79" s="136"/>
      <c r="NA79" s="136"/>
      <c r="NB79" s="136"/>
      <c r="NC79" s="136"/>
      <c r="ND79" s="136"/>
      <c r="NE79" s="136"/>
      <c r="NF79" s="136"/>
      <c r="NG79" s="136"/>
      <c r="NH79" s="136"/>
      <c r="NI79" s="136"/>
      <c r="NJ79" s="136"/>
      <c r="NK79" s="136"/>
      <c r="NL79" s="136"/>
      <c r="NM79" s="136"/>
      <c r="NN79" s="136"/>
      <c r="NO79" s="136"/>
      <c r="NP79" s="136"/>
      <c r="NQ79" s="136"/>
      <c r="NR79" s="136"/>
      <c r="NS79" s="136"/>
      <c r="NT79" s="136"/>
      <c r="NU79" s="136"/>
      <c r="NV79" s="136"/>
      <c r="NW79" s="136"/>
      <c r="NX79" s="136"/>
      <c r="NY79" s="136"/>
      <c r="NZ79" s="136"/>
      <c r="OA79" s="136"/>
      <c r="OB79" s="136"/>
      <c r="OC79" s="136"/>
      <c r="OD79" s="136"/>
      <c r="OE79" s="136"/>
      <c r="OF79" s="136"/>
      <c r="OG79" s="136"/>
      <c r="OH79" s="136"/>
      <c r="OI79" s="136"/>
      <c r="OJ79" s="136"/>
      <c r="OK79" s="136"/>
      <c r="OL79" s="136"/>
      <c r="OM79" s="136"/>
      <c r="ON79" s="136"/>
      <c r="OO79" s="136"/>
      <c r="OP79" s="136"/>
      <c r="OQ79" s="136"/>
      <c r="OR79" s="136"/>
      <c r="OS79" s="136"/>
      <c r="OT79" s="136"/>
      <c r="OU79" s="136"/>
      <c r="OV79" s="136"/>
      <c r="OW79" s="136"/>
      <c r="OX79" s="136"/>
      <c r="OY79" s="136"/>
      <c r="OZ79" s="136"/>
      <c r="PA79" s="136"/>
      <c r="PB79" s="136"/>
      <c r="PC79" s="136"/>
      <c r="PD79" s="136"/>
      <c r="PE79" s="136"/>
      <c r="PF79" s="136"/>
      <c r="PG79" s="136"/>
      <c r="PH79" s="136"/>
      <c r="PI79" s="136"/>
      <c r="PJ79" s="136"/>
      <c r="PK79" s="136"/>
      <c r="PL79" s="136"/>
      <c r="PM79" s="136"/>
      <c r="PN79" s="136"/>
      <c r="PO79" s="136"/>
      <c r="PP79" s="136"/>
      <c r="PQ79" s="136"/>
      <c r="PR79" s="136"/>
      <c r="PS79" s="136"/>
      <c r="PT79" s="136"/>
      <c r="PU79" s="136"/>
      <c r="PV79" s="136"/>
      <c r="PW79" s="136"/>
      <c r="PX79" s="136"/>
      <c r="PY79" s="136"/>
      <c r="PZ79" s="136"/>
      <c r="QA79" s="136"/>
      <c r="QB79" s="136"/>
      <c r="QC79" s="136"/>
      <c r="QD79" s="136"/>
      <c r="QE79" s="136"/>
      <c r="QF79" s="136"/>
      <c r="QG79" s="136"/>
      <c r="QH79" s="136"/>
      <c r="QI79" s="136"/>
      <c r="QJ79" s="136"/>
      <c r="QK79" s="136"/>
      <c r="QL79" s="136"/>
      <c r="QM79" s="136"/>
      <c r="QN79" s="136"/>
      <c r="QO79" s="136"/>
      <c r="QP79" s="136"/>
      <c r="QQ79" s="136"/>
      <c r="QR79" s="136"/>
      <c r="QS79" s="136"/>
      <c r="QT79" s="136"/>
      <c r="QU79" s="136"/>
      <c r="QV79" s="136"/>
      <c r="QW79" s="136"/>
      <c r="QX79" s="136"/>
      <c r="QY79" s="136"/>
      <c r="QZ79" s="136"/>
      <c r="RA79" s="136"/>
      <c r="RB79" s="136"/>
      <c r="RC79" s="136"/>
      <c r="RD79" s="136"/>
      <c r="RE79" s="136"/>
      <c r="RF79" s="136"/>
      <c r="RG79" s="136"/>
      <c r="RH79" s="136"/>
      <c r="RI79" s="136"/>
      <c r="RJ79" s="136"/>
      <c r="RK79" s="136"/>
      <c r="RL79" s="136"/>
      <c r="RM79" s="136"/>
      <c r="RN79" s="136"/>
      <c r="RO79" s="136"/>
      <c r="RP79" s="136"/>
      <c r="RQ79" s="136"/>
      <c r="RR79" s="136"/>
      <c r="RS79" s="136"/>
      <c r="RT79" s="136"/>
      <c r="RU79" s="136"/>
      <c r="RV79" s="136"/>
      <c r="RW79" s="136"/>
      <c r="RX79" s="136"/>
      <c r="RY79" s="136"/>
      <c r="RZ79" s="136"/>
      <c r="SA79" s="136"/>
      <c r="SB79" s="136"/>
      <c r="SC79" s="136"/>
      <c r="SD79" s="136"/>
      <c r="SE79" s="136"/>
      <c r="SF79" s="136"/>
      <c r="SG79" s="136"/>
      <c r="SH79" s="136"/>
      <c r="SI79" s="136"/>
      <c r="SJ79" s="136"/>
      <c r="SK79" s="136"/>
      <c r="SL79" s="136"/>
      <c r="SM79" s="136"/>
      <c r="SN79" s="136"/>
      <c r="SO79" s="136"/>
      <c r="SP79" s="136"/>
      <c r="SQ79" s="136"/>
      <c r="SR79" s="136"/>
      <c r="SS79" s="136"/>
    </row>
    <row r="80" spans="14:513" s="135" customFormat="1" ht="14.5" x14ac:dyDescent="0.35"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DO80" s="136"/>
      <c r="DP80" s="136"/>
      <c r="DQ80" s="136"/>
      <c r="DR80" s="136"/>
      <c r="DS80" s="136"/>
      <c r="DT80" s="136"/>
      <c r="DU80" s="136"/>
      <c r="DV80" s="136"/>
      <c r="DW80" s="136"/>
      <c r="DX80" s="136"/>
      <c r="DY80" s="136"/>
      <c r="DZ80" s="136"/>
      <c r="EA80" s="136"/>
      <c r="EB80" s="136"/>
      <c r="EC80" s="136"/>
      <c r="ED80" s="136"/>
      <c r="EE80" s="136"/>
      <c r="EF80" s="136"/>
      <c r="EG80" s="136"/>
      <c r="EH80" s="136"/>
      <c r="EI80" s="136"/>
      <c r="EJ80" s="136"/>
      <c r="EK80" s="136"/>
      <c r="EL80" s="136"/>
      <c r="EM80" s="136"/>
      <c r="EN80" s="136"/>
      <c r="EO80" s="136"/>
      <c r="EP80" s="136"/>
      <c r="EQ80" s="136"/>
      <c r="ER80" s="136"/>
      <c r="ES80" s="136"/>
      <c r="ET80" s="136"/>
      <c r="EU80" s="136"/>
      <c r="EV80" s="136"/>
      <c r="EW80" s="136"/>
      <c r="EX80" s="136"/>
      <c r="EY80" s="136"/>
      <c r="EZ80" s="136"/>
      <c r="FA80" s="136"/>
      <c r="FB80" s="136"/>
      <c r="FC80" s="136"/>
      <c r="FD80" s="136"/>
      <c r="FE80" s="136"/>
      <c r="FF80" s="136"/>
      <c r="FG80" s="136"/>
      <c r="FH80" s="136"/>
      <c r="FI80" s="136"/>
      <c r="FJ80" s="136"/>
      <c r="FK80" s="136"/>
      <c r="FL80" s="136"/>
      <c r="FM80" s="136"/>
      <c r="FN80" s="136"/>
      <c r="FO80" s="136"/>
      <c r="FP80" s="136"/>
      <c r="FQ80" s="136"/>
      <c r="FR80" s="136"/>
      <c r="FS80" s="136"/>
      <c r="FT80" s="136"/>
      <c r="FU80" s="136"/>
      <c r="FV80" s="136"/>
      <c r="FW80" s="136"/>
      <c r="FX80" s="136"/>
      <c r="FY80" s="136"/>
      <c r="FZ80" s="136"/>
      <c r="GA80" s="136"/>
      <c r="GB80" s="136"/>
      <c r="GC80" s="136"/>
      <c r="GD80" s="136"/>
      <c r="GE80" s="136"/>
      <c r="GF80" s="136"/>
      <c r="GG80" s="136"/>
      <c r="GH80" s="136"/>
      <c r="GI80" s="136"/>
      <c r="GJ80" s="136"/>
      <c r="GK80" s="136"/>
      <c r="GL80" s="136"/>
      <c r="GM80" s="136"/>
      <c r="GN80" s="136"/>
      <c r="GO80" s="136"/>
      <c r="GP80" s="136"/>
      <c r="GQ80" s="136"/>
      <c r="GR80" s="136"/>
      <c r="GS80" s="136"/>
      <c r="GT80" s="136"/>
      <c r="GU80" s="136"/>
      <c r="GV80" s="136"/>
      <c r="GW80" s="136"/>
      <c r="GX80" s="136"/>
      <c r="GY80" s="136"/>
      <c r="GZ80" s="136"/>
      <c r="HA80" s="136"/>
      <c r="HB80" s="136"/>
      <c r="HC80" s="136"/>
      <c r="HD80" s="136"/>
      <c r="HE80" s="136"/>
      <c r="HF80" s="136"/>
      <c r="HG80" s="136"/>
      <c r="HH80" s="136"/>
      <c r="HI80" s="136"/>
      <c r="HJ80" s="136"/>
      <c r="HK80" s="136"/>
      <c r="HL80" s="136"/>
      <c r="HM80" s="136"/>
      <c r="HN80" s="136"/>
      <c r="HO80" s="136"/>
      <c r="HP80" s="136"/>
      <c r="HQ80" s="136"/>
      <c r="HR80" s="136"/>
      <c r="HS80" s="136"/>
      <c r="HT80" s="136"/>
      <c r="HU80" s="136"/>
      <c r="HV80" s="136"/>
      <c r="HW80" s="136"/>
      <c r="HX80" s="136"/>
      <c r="HY80" s="136"/>
      <c r="HZ80" s="136"/>
      <c r="IA80" s="136"/>
      <c r="IB80" s="136"/>
      <c r="IC80" s="136"/>
      <c r="ID80" s="136"/>
      <c r="IE80" s="136"/>
      <c r="IF80" s="136"/>
      <c r="IG80" s="136"/>
      <c r="IH80" s="136"/>
      <c r="II80" s="136"/>
      <c r="IJ80" s="136"/>
      <c r="IK80" s="136"/>
      <c r="IL80" s="136"/>
      <c r="IM80" s="136"/>
      <c r="IN80" s="136"/>
      <c r="IO80" s="136"/>
      <c r="IP80" s="136"/>
      <c r="IQ80" s="136"/>
      <c r="IR80" s="136"/>
      <c r="IS80" s="136"/>
      <c r="IT80" s="136"/>
      <c r="IU80" s="136"/>
      <c r="IV80" s="136"/>
      <c r="IW80" s="136"/>
      <c r="IX80" s="136"/>
      <c r="IY80" s="136"/>
      <c r="IZ80" s="136"/>
      <c r="JA80" s="136"/>
      <c r="JB80" s="136"/>
      <c r="JC80" s="136"/>
      <c r="JD80" s="136"/>
      <c r="JE80" s="136"/>
      <c r="JF80" s="136"/>
      <c r="JG80" s="136"/>
      <c r="JH80" s="136"/>
      <c r="JI80" s="136"/>
      <c r="JJ80" s="136"/>
      <c r="JK80" s="136"/>
      <c r="JL80" s="136"/>
      <c r="JM80" s="136"/>
      <c r="JN80" s="136"/>
      <c r="JO80" s="136"/>
      <c r="JP80" s="136"/>
      <c r="JQ80" s="136"/>
      <c r="JR80" s="136"/>
      <c r="JS80" s="136"/>
      <c r="JT80" s="136"/>
      <c r="JU80" s="136"/>
      <c r="JV80" s="136"/>
      <c r="JW80" s="136"/>
      <c r="JX80" s="136"/>
      <c r="JY80" s="136"/>
      <c r="JZ80" s="136"/>
      <c r="KA80" s="136"/>
      <c r="KB80" s="136"/>
      <c r="KC80" s="136"/>
      <c r="KD80" s="136"/>
      <c r="KE80" s="136"/>
      <c r="KF80" s="136"/>
      <c r="KG80" s="136"/>
      <c r="KH80" s="136"/>
      <c r="KI80" s="136"/>
      <c r="KJ80" s="136"/>
      <c r="KK80" s="136"/>
      <c r="KL80" s="136"/>
      <c r="KM80" s="136"/>
      <c r="KN80" s="136"/>
      <c r="KO80" s="136"/>
      <c r="KP80" s="136"/>
      <c r="KQ80" s="136"/>
      <c r="KR80" s="136"/>
      <c r="KS80" s="136"/>
      <c r="KT80" s="136"/>
      <c r="KU80" s="136"/>
      <c r="KV80" s="136"/>
      <c r="KW80" s="136"/>
      <c r="KX80" s="136"/>
      <c r="KY80" s="136"/>
      <c r="KZ80" s="136"/>
      <c r="LA80" s="136"/>
      <c r="LB80" s="136"/>
      <c r="LC80" s="136"/>
      <c r="LD80" s="136"/>
      <c r="LE80" s="136"/>
      <c r="LF80" s="136"/>
      <c r="LG80" s="136"/>
      <c r="LH80" s="136"/>
      <c r="LI80" s="136"/>
      <c r="LJ80" s="136"/>
      <c r="LK80" s="136"/>
      <c r="LL80" s="136"/>
      <c r="LM80" s="136"/>
      <c r="LN80" s="136"/>
      <c r="LO80" s="136"/>
      <c r="LP80" s="136"/>
      <c r="LQ80" s="136"/>
      <c r="LR80" s="136"/>
      <c r="LS80" s="136"/>
      <c r="LT80" s="136"/>
      <c r="LU80" s="136"/>
      <c r="LV80" s="136"/>
      <c r="LW80" s="136"/>
      <c r="LX80" s="136"/>
      <c r="LY80" s="136"/>
      <c r="LZ80" s="136"/>
      <c r="MA80" s="136"/>
      <c r="MB80" s="136"/>
      <c r="MC80" s="136"/>
      <c r="MD80" s="136"/>
      <c r="ME80" s="136"/>
      <c r="MF80" s="136"/>
      <c r="MG80" s="136"/>
      <c r="MH80" s="136"/>
      <c r="MI80" s="136"/>
      <c r="MJ80" s="136"/>
      <c r="MK80" s="136"/>
      <c r="ML80" s="136"/>
      <c r="MM80" s="136"/>
      <c r="MN80" s="136"/>
      <c r="MO80" s="136"/>
      <c r="MP80" s="136"/>
      <c r="MQ80" s="136"/>
      <c r="MR80" s="136"/>
      <c r="MS80" s="136"/>
      <c r="MT80" s="136"/>
      <c r="MU80" s="136"/>
      <c r="MV80" s="136"/>
      <c r="MW80" s="136"/>
      <c r="MX80" s="136"/>
      <c r="MY80" s="136"/>
      <c r="MZ80" s="136"/>
      <c r="NA80" s="136"/>
      <c r="NB80" s="136"/>
      <c r="NC80" s="136"/>
      <c r="ND80" s="136"/>
      <c r="NE80" s="136"/>
      <c r="NF80" s="136"/>
      <c r="NG80" s="136"/>
      <c r="NH80" s="136"/>
      <c r="NI80" s="136"/>
      <c r="NJ80" s="136"/>
      <c r="NK80" s="136"/>
      <c r="NL80" s="136"/>
      <c r="NM80" s="136"/>
      <c r="NN80" s="136"/>
      <c r="NO80" s="136"/>
      <c r="NP80" s="136"/>
      <c r="NQ80" s="136"/>
      <c r="NR80" s="136"/>
      <c r="NS80" s="136"/>
      <c r="NT80" s="136"/>
      <c r="NU80" s="136"/>
      <c r="NV80" s="136"/>
      <c r="NW80" s="136"/>
      <c r="NX80" s="136"/>
      <c r="NY80" s="136"/>
      <c r="NZ80" s="136"/>
      <c r="OA80" s="136"/>
      <c r="OB80" s="136"/>
      <c r="OC80" s="136"/>
      <c r="OD80" s="136"/>
      <c r="OE80" s="136"/>
      <c r="OF80" s="136"/>
      <c r="OG80" s="136"/>
      <c r="OH80" s="136"/>
      <c r="OI80" s="136"/>
      <c r="OJ80" s="136"/>
      <c r="OK80" s="136"/>
      <c r="OL80" s="136"/>
      <c r="OM80" s="136"/>
      <c r="ON80" s="136"/>
      <c r="OO80" s="136"/>
      <c r="OP80" s="136"/>
      <c r="OQ80" s="136"/>
      <c r="OR80" s="136"/>
      <c r="OS80" s="136"/>
      <c r="OT80" s="136"/>
      <c r="OU80" s="136"/>
      <c r="OV80" s="136"/>
      <c r="OW80" s="136"/>
      <c r="OX80" s="136"/>
      <c r="OY80" s="136"/>
      <c r="OZ80" s="136"/>
      <c r="PA80" s="136"/>
      <c r="PB80" s="136"/>
      <c r="PC80" s="136"/>
      <c r="PD80" s="136"/>
      <c r="PE80" s="136"/>
      <c r="PF80" s="136"/>
      <c r="PG80" s="136"/>
      <c r="PH80" s="136"/>
      <c r="PI80" s="136"/>
      <c r="PJ80" s="136"/>
      <c r="PK80" s="136"/>
      <c r="PL80" s="136"/>
      <c r="PM80" s="136"/>
      <c r="PN80" s="136"/>
      <c r="PO80" s="136"/>
      <c r="PP80" s="136"/>
      <c r="PQ80" s="136"/>
      <c r="PR80" s="136"/>
      <c r="PS80" s="136"/>
      <c r="PT80" s="136"/>
      <c r="PU80" s="136"/>
      <c r="PV80" s="136"/>
      <c r="PW80" s="136"/>
      <c r="PX80" s="136"/>
      <c r="PY80" s="136"/>
      <c r="PZ80" s="136"/>
      <c r="QA80" s="136"/>
      <c r="QB80" s="136"/>
      <c r="QC80" s="136"/>
      <c r="QD80" s="136"/>
      <c r="QE80" s="136"/>
      <c r="QF80" s="136"/>
      <c r="QG80" s="136"/>
      <c r="QH80" s="136"/>
      <c r="QI80" s="136"/>
      <c r="QJ80" s="136"/>
      <c r="QK80" s="136"/>
      <c r="QL80" s="136"/>
      <c r="QM80" s="136"/>
      <c r="QN80" s="136"/>
      <c r="QO80" s="136"/>
      <c r="QP80" s="136"/>
      <c r="QQ80" s="136"/>
      <c r="QR80" s="136"/>
      <c r="QS80" s="136"/>
      <c r="QT80" s="136"/>
      <c r="QU80" s="136"/>
      <c r="QV80" s="136"/>
      <c r="QW80" s="136"/>
      <c r="QX80" s="136"/>
      <c r="QY80" s="136"/>
      <c r="QZ80" s="136"/>
      <c r="RA80" s="136"/>
      <c r="RB80" s="136"/>
      <c r="RC80" s="136"/>
      <c r="RD80" s="136"/>
      <c r="RE80" s="136"/>
      <c r="RF80" s="136"/>
      <c r="RG80" s="136"/>
      <c r="RH80" s="136"/>
      <c r="RI80" s="136"/>
      <c r="RJ80" s="136"/>
      <c r="RK80" s="136"/>
      <c r="RL80" s="136"/>
      <c r="RM80" s="136"/>
      <c r="RN80" s="136"/>
      <c r="RO80" s="136"/>
      <c r="RP80" s="136"/>
      <c r="RQ80" s="136"/>
      <c r="RR80" s="136"/>
      <c r="RS80" s="136"/>
      <c r="RT80" s="136"/>
      <c r="RU80" s="136"/>
      <c r="RV80" s="136"/>
      <c r="RW80" s="136"/>
      <c r="RX80" s="136"/>
      <c r="RY80" s="136"/>
      <c r="RZ80" s="136"/>
      <c r="SA80" s="136"/>
      <c r="SB80" s="136"/>
      <c r="SC80" s="136"/>
      <c r="SD80" s="136"/>
      <c r="SE80" s="136"/>
      <c r="SF80" s="136"/>
      <c r="SG80" s="136"/>
      <c r="SH80" s="136"/>
      <c r="SI80" s="136"/>
      <c r="SJ80" s="136"/>
      <c r="SK80" s="136"/>
      <c r="SL80" s="136"/>
      <c r="SM80" s="136"/>
      <c r="SN80" s="136"/>
      <c r="SO80" s="136"/>
      <c r="SP80" s="136"/>
      <c r="SQ80" s="136"/>
      <c r="SR80" s="136"/>
      <c r="SS80" s="136"/>
    </row>
    <row r="81" spans="14:513" s="135" customFormat="1" ht="14.5" x14ac:dyDescent="0.35">
      <c r="N81" s="134"/>
      <c r="O81" s="134"/>
      <c r="P81" s="134"/>
      <c r="Q81" s="134"/>
      <c r="R81" s="134"/>
      <c r="S81" s="134"/>
      <c r="T81" s="134"/>
      <c r="U81" s="134"/>
      <c r="V81" s="134"/>
      <c r="W81" s="134"/>
      <c r="X81" s="134"/>
      <c r="Y81" s="134"/>
      <c r="Z81" s="134"/>
      <c r="AA81" s="134"/>
      <c r="AB81" s="134"/>
      <c r="AC81" s="134"/>
      <c r="AD81" s="134"/>
      <c r="AE81" s="134"/>
      <c r="AF81" s="134"/>
      <c r="DO81" s="136"/>
      <c r="DP81" s="136"/>
      <c r="DQ81" s="136"/>
      <c r="DR81" s="136"/>
      <c r="DS81" s="136"/>
      <c r="DT81" s="136"/>
      <c r="DU81" s="136"/>
      <c r="DV81" s="136"/>
      <c r="DW81" s="136"/>
      <c r="DX81" s="136"/>
      <c r="DY81" s="136"/>
      <c r="DZ81" s="136"/>
      <c r="EA81" s="136"/>
      <c r="EB81" s="136"/>
      <c r="EC81" s="136"/>
      <c r="ED81" s="136"/>
      <c r="EE81" s="136"/>
      <c r="EF81" s="136"/>
      <c r="EG81" s="136"/>
      <c r="EH81" s="136"/>
      <c r="EI81" s="136"/>
      <c r="EJ81" s="136"/>
      <c r="EK81" s="136"/>
      <c r="EL81" s="136"/>
      <c r="EM81" s="136"/>
      <c r="EN81" s="136"/>
      <c r="EO81" s="136"/>
      <c r="EP81" s="136"/>
      <c r="EQ81" s="136"/>
      <c r="ER81" s="136"/>
      <c r="ES81" s="136"/>
      <c r="ET81" s="136"/>
      <c r="EU81" s="136"/>
      <c r="EV81" s="136"/>
      <c r="EW81" s="136"/>
      <c r="EX81" s="136"/>
      <c r="EY81" s="136"/>
      <c r="EZ81" s="136"/>
      <c r="FA81" s="136"/>
      <c r="FB81" s="136"/>
      <c r="FC81" s="136"/>
      <c r="FD81" s="136"/>
      <c r="FE81" s="136"/>
      <c r="FF81" s="136"/>
      <c r="FG81" s="136"/>
      <c r="FH81" s="136"/>
      <c r="FI81" s="136"/>
      <c r="FJ81" s="136"/>
      <c r="FK81" s="136"/>
      <c r="FL81" s="136"/>
      <c r="FM81" s="136"/>
      <c r="FN81" s="136"/>
      <c r="FO81" s="136"/>
      <c r="FP81" s="136"/>
      <c r="FQ81" s="136"/>
      <c r="FR81" s="136"/>
      <c r="FS81" s="136"/>
      <c r="FT81" s="136"/>
      <c r="FU81" s="136"/>
      <c r="FV81" s="136"/>
      <c r="FW81" s="136"/>
      <c r="FX81" s="136"/>
      <c r="FY81" s="136"/>
      <c r="FZ81" s="136"/>
      <c r="GA81" s="136"/>
      <c r="GB81" s="136"/>
      <c r="GC81" s="136"/>
      <c r="GD81" s="136"/>
      <c r="GE81" s="136"/>
      <c r="GF81" s="136"/>
      <c r="GG81" s="136"/>
      <c r="GH81" s="136"/>
      <c r="GI81" s="136"/>
      <c r="GJ81" s="136"/>
      <c r="GK81" s="136"/>
      <c r="GL81" s="136"/>
      <c r="GM81" s="136"/>
      <c r="GN81" s="136"/>
      <c r="GO81" s="136"/>
      <c r="GP81" s="136"/>
      <c r="GQ81" s="136"/>
      <c r="GR81" s="136"/>
      <c r="GS81" s="136"/>
      <c r="GT81" s="136"/>
      <c r="GU81" s="136"/>
      <c r="GV81" s="136"/>
      <c r="GW81" s="136"/>
      <c r="GX81" s="136"/>
      <c r="GY81" s="136"/>
      <c r="GZ81" s="136"/>
      <c r="HA81" s="136"/>
      <c r="HB81" s="136"/>
      <c r="HC81" s="136"/>
      <c r="HD81" s="136"/>
      <c r="HE81" s="136"/>
      <c r="HF81" s="136"/>
      <c r="HG81" s="136"/>
      <c r="HH81" s="136"/>
      <c r="HI81" s="136"/>
      <c r="HJ81" s="136"/>
      <c r="HK81" s="136"/>
      <c r="HL81" s="136"/>
      <c r="HM81" s="136"/>
      <c r="HN81" s="136"/>
      <c r="HO81" s="136"/>
      <c r="HP81" s="136"/>
      <c r="HQ81" s="136"/>
      <c r="HR81" s="136"/>
      <c r="HS81" s="136"/>
      <c r="HT81" s="136"/>
      <c r="HU81" s="136"/>
      <c r="HV81" s="136"/>
      <c r="HW81" s="136"/>
      <c r="HX81" s="136"/>
      <c r="HY81" s="136"/>
      <c r="HZ81" s="136"/>
      <c r="IA81" s="136"/>
      <c r="IB81" s="136"/>
      <c r="IC81" s="136"/>
      <c r="ID81" s="136"/>
      <c r="IE81" s="136"/>
      <c r="IF81" s="136"/>
      <c r="IG81" s="136"/>
      <c r="IH81" s="136"/>
      <c r="II81" s="136"/>
      <c r="IJ81" s="136"/>
      <c r="IK81" s="136"/>
      <c r="IL81" s="136"/>
      <c r="IM81" s="136"/>
      <c r="IN81" s="136"/>
      <c r="IO81" s="136"/>
      <c r="IP81" s="136"/>
      <c r="IQ81" s="136"/>
      <c r="IR81" s="136"/>
      <c r="IS81" s="136"/>
      <c r="IT81" s="136"/>
      <c r="IU81" s="136"/>
      <c r="IV81" s="136"/>
      <c r="IW81" s="136"/>
      <c r="IX81" s="136"/>
      <c r="IY81" s="136"/>
      <c r="IZ81" s="136"/>
      <c r="JA81" s="136"/>
      <c r="JB81" s="136"/>
      <c r="JC81" s="136"/>
      <c r="JD81" s="136"/>
      <c r="JE81" s="136"/>
      <c r="JF81" s="136"/>
      <c r="JG81" s="136"/>
      <c r="JH81" s="136"/>
      <c r="JI81" s="136"/>
      <c r="JJ81" s="136"/>
      <c r="JK81" s="136"/>
      <c r="JL81" s="136"/>
      <c r="JM81" s="136"/>
      <c r="JN81" s="136"/>
      <c r="JO81" s="136"/>
      <c r="JP81" s="136"/>
      <c r="JQ81" s="136"/>
      <c r="JR81" s="136"/>
      <c r="JS81" s="136"/>
      <c r="JT81" s="136"/>
      <c r="JU81" s="136"/>
      <c r="JV81" s="136"/>
      <c r="JW81" s="136"/>
      <c r="JX81" s="136"/>
      <c r="JY81" s="136"/>
      <c r="JZ81" s="136"/>
      <c r="KA81" s="136"/>
      <c r="KB81" s="136"/>
      <c r="KC81" s="136"/>
      <c r="KD81" s="136"/>
      <c r="KE81" s="136"/>
      <c r="KF81" s="136"/>
      <c r="KG81" s="136"/>
      <c r="KH81" s="136"/>
      <c r="KI81" s="136"/>
      <c r="KJ81" s="136"/>
      <c r="KK81" s="136"/>
      <c r="KL81" s="136"/>
      <c r="KM81" s="136"/>
      <c r="KN81" s="136"/>
      <c r="KO81" s="136"/>
      <c r="KP81" s="136"/>
      <c r="KQ81" s="136"/>
      <c r="KR81" s="136"/>
      <c r="KS81" s="136"/>
      <c r="KT81" s="136"/>
      <c r="KU81" s="136"/>
      <c r="KV81" s="136"/>
      <c r="KW81" s="136"/>
      <c r="KX81" s="136"/>
      <c r="KY81" s="136"/>
      <c r="KZ81" s="136"/>
      <c r="LA81" s="136"/>
      <c r="LB81" s="136"/>
      <c r="LC81" s="136"/>
      <c r="LD81" s="136"/>
      <c r="LE81" s="136"/>
      <c r="LF81" s="136"/>
      <c r="LG81" s="136"/>
      <c r="LH81" s="136"/>
      <c r="LI81" s="136"/>
      <c r="LJ81" s="136"/>
      <c r="LK81" s="136"/>
      <c r="LL81" s="136"/>
      <c r="LM81" s="136"/>
      <c r="LN81" s="136"/>
      <c r="LO81" s="136"/>
      <c r="LP81" s="136"/>
      <c r="LQ81" s="136"/>
      <c r="LR81" s="136"/>
      <c r="LS81" s="136"/>
      <c r="LT81" s="136"/>
      <c r="LU81" s="136"/>
      <c r="LV81" s="136"/>
      <c r="LW81" s="136"/>
      <c r="LX81" s="136"/>
      <c r="LY81" s="136"/>
      <c r="LZ81" s="136"/>
      <c r="MA81" s="136"/>
      <c r="MB81" s="136"/>
      <c r="MC81" s="136"/>
      <c r="MD81" s="136"/>
      <c r="ME81" s="136"/>
      <c r="MF81" s="136"/>
      <c r="MG81" s="136"/>
      <c r="MH81" s="136"/>
      <c r="MI81" s="136"/>
      <c r="MJ81" s="136"/>
      <c r="MK81" s="136"/>
      <c r="ML81" s="136"/>
      <c r="MM81" s="136"/>
      <c r="MN81" s="136"/>
      <c r="MO81" s="136"/>
      <c r="MP81" s="136"/>
      <c r="MQ81" s="136"/>
      <c r="MR81" s="136"/>
      <c r="MS81" s="136"/>
      <c r="MT81" s="136"/>
      <c r="MU81" s="136"/>
      <c r="MV81" s="136"/>
      <c r="MW81" s="136"/>
      <c r="MX81" s="136"/>
      <c r="MY81" s="136"/>
      <c r="MZ81" s="136"/>
      <c r="NA81" s="136"/>
      <c r="NB81" s="136"/>
      <c r="NC81" s="136"/>
      <c r="ND81" s="136"/>
      <c r="NE81" s="136"/>
      <c r="NF81" s="136"/>
      <c r="NG81" s="136"/>
      <c r="NH81" s="136"/>
      <c r="NI81" s="136"/>
      <c r="NJ81" s="136"/>
      <c r="NK81" s="136"/>
      <c r="NL81" s="136"/>
      <c r="NM81" s="136"/>
      <c r="NN81" s="136"/>
      <c r="NO81" s="136"/>
      <c r="NP81" s="136"/>
      <c r="NQ81" s="136"/>
      <c r="NR81" s="136"/>
      <c r="NS81" s="136"/>
      <c r="NT81" s="136"/>
      <c r="NU81" s="136"/>
      <c r="NV81" s="136"/>
      <c r="NW81" s="136"/>
      <c r="NX81" s="136"/>
      <c r="NY81" s="136"/>
      <c r="NZ81" s="136"/>
      <c r="OA81" s="136"/>
      <c r="OB81" s="136"/>
      <c r="OC81" s="136"/>
      <c r="OD81" s="136"/>
      <c r="OE81" s="136"/>
      <c r="OF81" s="136"/>
      <c r="OG81" s="136"/>
      <c r="OH81" s="136"/>
      <c r="OI81" s="136"/>
      <c r="OJ81" s="136"/>
      <c r="OK81" s="136"/>
      <c r="OL81" s="136"/>
      <c r="OM81" s="136"/>
      <c r="ON81" s="136"/>
      <c r="OO81" s="136"/>
      <c r="OP81" s="136"/>
      <c r="OQ81" s="136"/>
      <c r="OR81" s="136"/>
      <c r="OS81" s="136"/>
      <c r="OT81" s="136"/>
      <c r="OU81" s="136"/>
      <c r="OV81" s="136"/>
      <c r="OW81" s="136"/>
      <c r="OX81" s="136"/>
      <c r="OY81" s="136"/>
      <c r="OZ81" s="136"/>
      <c r="PA81" s="136"/>
      <c r="PB81" s="136"/>
      <c r="PC81" s="136"/>
      <c r="PD81" s="136"/>
      <c r="PE81" s="136"/>
      <c r="PF81" s="136"/>
      <c r="PG81" s="136"/>
      <c r="PH81" s="136"/>
      <c r="PI81" s="136"/>
      <c r="PJ81" s="136"/>
      <c r="PK81" s="136"/>
      <c r="PL81" s="136"/>
      <c r="PM81" s="136"/>
      <c r="PN81" s="136"/>
      <c r="PO81" s="136"/>
      <c r="PP81" s="136"/>
      <c r="PQ81" s="136"/>
      <c r="PR81" s="136"/>
      <c r="PS81" s="136"/>
      <c r="PT81" s="136"/>
      <c r="PU81" s="136"/>
      <c r="PV81" s="136"/>
      <c r="PW81" s="136"/>
      <c r="PX81" s="136"/>
      <c r="PY81" s="136"/>
      <c r="PZ81" s="136"/>
      <c r="QA81" s="136"/>
      <c r="QB81" s="136"/>
      <c r="QC81" s="136"/>
      <c r="QD81" s="136"/>
      <c r="QE81" s="136"/>
      <c r="QF81" s="136"/>
      <c r="QG81" s="136"/>
      <c r="QH81" s="136"/>
      <c r="QI81" s="136"/>
      <c r="QJ81" s="136"/>
      <c r="QK81" s="136"/>
      <c r="QL81" s="136"/>
      <c r="QM81" s="136"/>
      <c r="QN81" s="136"/>
      <c r="QO81" s="136"/>
      <c r="QP81" s="136"/>
      <c r="QQ81" s="136"/>
      <c r="QR81" s="136"/>
      <c r="QS81" s="136"/>
      <c r="QT81" s="136"/>
      <c r="QU81" s="136"/>
      <c r="QV81" s="136"/>
      <c r="QW81" s="136"/>
      <c r="QX81" s="136"/>
      <c r="QY81" s="136"/>
      <c r="QZ81" s="136"/>
      <c r="RA81" s="136"/>
      <c r="RB81" s="136"/>
      <c r="RC81" s="136"/>
      <c r="RD81" s="136"/>
      <c r="RE81" s="136"/>
      <c r="RF81" s="136"/>
      <c r="RG81" s="136"/>
      <c r="RH81" s="136"/>
      <c r="RI81" s="136"/>
      <c r="RJ81" s="136"/>
      <c r="RK81" s="136"/>
      <c r="RL81" s="136"/>
      <c r="RM81" s="136"/>
      <c r="RN81" s="136"/>
      <c r="RO81" s="136"/>
      <c r="RP81" s="136"/>
      <c r="RQ81" s="136"/>
      <c r="RR81" s="136"/>
      <c r="RS81" s="136"/>
      <c r="RT81" s="136"/>
      <c r="RU81" s="136"/>
      <c r="RV81" s="136"/>
      <c r="RW81" s="136"/>
      <c r="RX81" s="136"/>
      <c r="RY81" s="136"/>
      <c r="RZ81" s="136"/>
      <c r="SA81" s="136"/>
      <c r="SB81" s="136"/>
      <c r="SC81" s="136"/>
      <c r="SD81" s="136"/>
      <c r="SE81" s="136"/>
      <c r="SF81" s="136"/>
      <c r="SG81" s="136"/>
      <c r="SH81" s="136"/>
      <c r="SI81" s="136"/>
      <c r="SJ81" s="136"/>
      <c r="SK81" s="136"/>
      <c r="SL81" s="136"/>
      <c r="SM81" s="136"/>
      <c r="SN81" s="136"/>
      <c r="SO81" s="136"/>
      <c r="SP81" s="136"/>
      <c r="SQ81" s="136"/>
      <c r="SR81" s="136"/>
      <c r="SS81" s="136"/>
    </row>
    <row r="82" spans="14:513" s="135" customFormat="1" ht="14.5" x14ac:dyDescent="0.35"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/>
      <c r="AA82" s="134"/>
      <c r="AB82" s="134"/>
      <c r="AC82" s="134"/>
      <c r="AD82" s="134"/>
      <c r="AE82" s="134"/>
      <c r="AF82" s="134"/>
      <c r="DO82" s="136"/>
      <c r="DP82" s="136"/>
      <c r="DQ82" s="136"/>
      <c r="DR82" s="136"/>
      <c r="DS82" s="136"/>
      <c r="DT82" s="136"/>
      <c r="DU82" s="136"/>
      <c r="DV82" s="136"/>
      <c r="DW82" s="136"/>
      <c r="DX82" s="136"/>
      <c r="DY82" s="136"/>
      <c r="DZ82" s="136"/>
      <c r="EA82" s="136"/>
      <c r="EB82" s="136"/>
      <c r="EC82" s="136"/>
      <c r="ED82" s="136"/>
      <c r="EE82" s="136"/>
      <c r="EF82" s="136"/>
      <c r="EG82" s="136"/>
      <c r="EH82" s="136"/>
      <c r="EI82" s="136"/>
      <c r="EJ82" s="136"/>
      <c r="EK82" s="136"/>
      <c r="EL82" s="136"/>
      <c r="EM82" s="136"/>
      <c r="EN82" s="136"/>
      <c r="EO82" s="136"/>
      <c r="EP82" s="136"/>
      <c r="EQ82" s="136"/>
      <c r="ER82" s="136"/>
      <c r="ES82" s="136"/>
      <c r="ET82" s="136"/>
      <c r="EU82" s="136"/>
      <c r="EV82" s="136"/>
      <c r="EW82" s="136"/>
      <c r="EX82" s="136"/>
      <c r="EY82" s="136"/>
      <c r="EZ82" s="136"/>
      <c r="FA82" s="136"/>
      <c r="FB82" s="136"/>
      <c r="FC82" s="136"/>
      <c r="FD82" s="136"/>
      <c r="FE82" s="136"/>
      <c r="FF82" s="136"/>
      <c r="FG82" s="136"/>
      <c r="FH82" s="136"/>
      <c r="FI82" s="136"/>
      <c r="FJ82" s="136"/>
      <c r="FK82" s="136"/>
      <c r="FL82" s="136"/>
      <c r="FM82" s="136"/>
      <c r="FN82" s="136"/>
      <c r="FO82" s="136"/>
      <c r="FP82" s="136"/>
      <c r="FQ82" s="136"/>
      <c r="FR82" s="136"/>
      <c r="FS82" s="136"/>
      <c r="FT82" s="136"/>
      <c r="FU82" s="136"/>
      <c r="FV82" s="136"/>
      <c r="FW82" s="136"/>
      <c r="FX82" s="136"/>
      <c r="FY82" s="136"/>
      <c r="FZ82" s="136"/>
      <c r="GA82" s="136"/>
      <c r="GB82" s="136"/>
      <c r="GC82" s="136"/>
      <c r="GD82" s="136"/>
      <c r="GE82" s="136"/>
      <c r="GF82" s="136"/>
      <c r="GG82" s="136"/>
      <c r="GH82" s="136"/>
      <c r="GI82" s="136"/>
      <c r="GJ82" s="136"/>
      <c r="GK82" s="136"/>
      <c r="GL82" s="136"/>
      <c r="GM82" s="136"/>
      <c r="GN82" s="136"/>
      <c r="GO82" s="136"/>
      <c r="GP82" s="136"/>
      <c r="GQ82" s="136"/>
      <c r="GR82" s="136"/>
      <c r="GS82" s="136"/>
      <c r="GT82" s="136"/>
      <c r="GU82" s="136"/>
      <c r="GV82" s="136"/>
      <c r="GW82" s="136"/>
      <c r="GX82" s="136"/>
      <c r="GY82" s="136"/>
      <c r="GZ82" s="136"/>
      <c r="HA82" s="136"/>
      <c r="HB82" s="136"/>
      <c r="HC82" s="136"/>
      <c r="HD82" s="136"/>
      <c r="HE82" s="136"/>
      <c r="HF82" s="136"/>
      <c r="HG82" s="136"/>
      <c r="HH82" s="136"/>
      <c r="HI82" s="136"/>
      <c r="HJ82" s="136"/>
      <c r="HK82" s="136"/>
      <c r="HL82" s="136"/>
      <c r="HM82" s="136"/>
      <c r="HN82" s="136"/>
      <c r="HO82" s="136"/>
      <c r="HP82" s="136"/>
      <c r="HQ82" s="136"/>
      <c r="HR82" s="136"/>
      <c r="HS82" s="136"/>
      <c r="HT82" s="136"/>
      <c r="HU82" s="136"/>
      <c r="HV82" s="136"/>
      <c r="HW82" s="136"/>
      <c r="HX82" s="136"/>
      <c r="HY82" s="136"/>
      <c r="HZ82" s="136"/>
      <c r="IA82" s="136"/>
      <c r="IB82" s="136"/>
      <c r="IC82" s="136"/>
      <c r="ID82" s="136"/>
      <c r="IE82" s="136"/>
      <c r="IF82" s="136"/>
      <c r="IG82" s="136"/>
      <c r="IH82" s="136"/>
      <c r="II82" s="136"/>
      <c r="IJ82" s="136"/>
      <c r="IK82" s="136"/>
      <c r="IL82" s="136"/>
      <c r="IM82" s="136"/>
      <c r="IN82" s="136"/>
      <c r="IO82" s="136"/>
      <c r="IP82" s="136"/>
      <c r="IQ82" s="136"/>
      <c r="IR82" s="136"/>
      <c r="IS82" s="136"/>
      <c r="IT82" s="136"/>
      <c r="IU82" s="136"/>
      <c r="IV82" s="136"/>
      <c r="IW82" s="136"/>
      <c r="IX82" s="136"/>
      <c r="IY82" s="136"/>
      <c r="IZ82" s="136"/>
      <c r="JA82" s="136"/>
      <c r="JB82" s="136"/>
      <c r="JC82" s="136"/>
      <c r="JD82" s="136"/>
      <c r="JE82" s="136"/>
      <c r="JF82" s="136"/>
      <c r="JG82" s="136"/>
      <c r="JH82" s="136"/>
      <c r="JI82" s="136"/>
      <c r="JJ82" s="136"/>
      <c r="JK82" s="136"/>
      <c r="JL82" s="136"/>
      <c r="JM82" s="136"/>
      <c r="JN82" s="136"/>
      <c r="JO82" s="136"/>
      <c r="JP82" s="136"/>
      <c r="JQ82" s="136"/>
      <c r="JR82" s="136"/>
      <c r="JS82" s="136"/>
      <c r="JT82" s="136"/>
      <c r="JU82" s="136"/>
      <c r="JV82" s="136"/>
      <c r="JW82" s="136"/>
      <c r="JX82" s="136"/>
      <c r="JY82" s="136"/>
      <c r="JZ82" s="136"/>
      <c r="KA82" s="136"/>
      <c r="KB82" s="136"/>
      <c r="KC82" s="136"/>
      <c r="KD82" s="136"/>
      <c r="KE82" s="136"/>
      <c r="KF82" s="136"/>
      <c r="KG82" s="136"/>
      <c r="KH82" s="136"/>
      <c r="KI82" s="136"/>
      <c r="KJ82" s="136"/>
      <c r="KK82" s="136"/>
      <c r="KL82" s="136"/>
      <c r="KM82" s="136"/>
      <c r="KN82" s="136"/>
      <c r="KO82" s="136"/>
      <c r="KP82" s="136"/>
      <c r="KQ82" s="136"/>
      <c r="KR82" s="136"/>
      <c r="KS82" s="136"/>
      <c r="KT82" s="136"/>
      <c r="KU82" s="136"/>
      <c r="KV82" s="136"/>
      <c r="KW82" s="136"/>
      <c r="KX82" s="136"/>
      <c r="KY82" s="136"/>
      <c r="KZ82" s="136"/>
      <c r="LA82" s="136"/>
      <c r="LB82" s="136"/>
      <c r="LC82" s="136"/>
      <c r="LD82" s="136"/>
      <c r="LE82" s="136"/>
      <c r="LF82" s="136"/>
      <c r="LG82" s="136"/>
      <c r="LH82" s="136"/>
      <c r="LI82" s="136"/>
      <c r="LJ82" s="136"/>
      <c r="LK82" s="136"/>
      <c r="LL82" s="136"/>
      <c r="LM82" s="136"/>
      <c r="LN82" s="136"/>
      <c r="LO82" s="136"/>
      <c r="LP82" s="136"/>
      <c r="LQ82" s="136"/>
      <c r="LR82" s="136"/>
      <c r="LS82" s="136"/>
      <c r="LT82" s="136"/>
      <c r="LU82" s="136"/>
      <c r="LV82" s="136"/>
      <c r="LW82" s="136"/>
      <c r="LX82" s="136"/>
      <c r="LY82" s="136"/>
      <c r="LZ82" s="136"/>
      <c r="MA82" s="136"/>
      <c r="MB82" s="136"/>
      <c r="MC82" s="136"/>
      <c r="MD82" s="136"/>
      <c r="ME82" s="136"/>
      <c r="MF82" s="136"/>
      <c r="MG82" s="136"/>
      <c r="MH82" s="136"/>
      <c r="MI82" s="136"/>
      <c r="MJ82" s="136"/>
      <c r="MK82" s="136"/>
      <c r="ML82" s="136"/>
      <c r="MM82" s="136"/>
      <c r="MN82" s="136"/>
      <c r="MO82" s="136"/>
      <c r="MP82" s="136"/>
      <c r="MQ82" s="136"/>
      <c r="MR82" s="136"/>
      <c r="MS82" s="136"/>
      <c r="MT82" s="136"/>
      <c r="MU82" s="136"/>
      <c r="MV82" s="136"/>
      <c r="MW82" s="136"/>
      <c r="MX82" s="136"/>
      <c r="MY82" s="136"/>
      <c r="MZ82" s="136"/>
      <c r="NA82" s="136"/>
      <c r="NB82" s="136"/>
      <c r="NC82" s="136"/>
      <c r="ND82" s="136"/>
      <c r="NE82" s="136"/>
      <c r="NF82" s="136"/>
      <c r="NG82" s="136"/>
      <c r="NH82" s="136"/>
      <c r="NI82" s="136"/>
      <c r="NJ82" s="136"/>
      <c r="NK82" s="136"/>
      <c r="NL82" s="136"/>
      <c r="NM82" s="136"/>
      <c r="NN82" s="136"/>
      <c r="NO82" s="136"/>
      <c r="NP82" s="136"/>
      <c r="NQ82" s="136"/>
      <c r="NR82" s="136"/>
      <c r="NS82" s="136"/>
      <c r="NT82" s="136"/>
      <c r="NU82" s="136"/>
      <c r="NV82" s="136"/>
      <c r="NW82" s="136"/>
      <c r="NX82" s="136"/>
      <c r="NY82" s="136"/>
      <c r="NZ82" s="136"/>
      <c r="OA82" s="136"/>
      <c r="OB82" s="136"/>
      <c r="OC82" s="136"/>
      <c r="OD82" s="136"/>
      <c r="OE82" s="136"/>
      <c r="OF82" s="136"/>
      <c r="OG82" s="136"/>
      <c r="OH82" s="136"/>
      <c r="OI82" s="136"/>
      <c r="OJ82" s="136"/>
      <c r="OK82" s="136"/>
      <c r="OL82" s="136"/>
      <c r="OM82" s="136"/>
      <c r="ON82" s="136"/>
      <c r="OO82" s="136"/>
      <c r="OP82" s="136"/>
      <c r="OQ82" s="136"/>
      <c r="OR82" s="136"/>
      <c r="OS82" s="136"/>
      <c r="OT82" s="136"/>
      <c r="OU82" s="136"/>
      <c r="OV82" s="136"/>
      <c r="OW82" s="136"/>
      <c r="OX82" s="136"/>
      <c r="OY82" s="136"/>
      <c r="OZ82" s="136"/>
      <c r="PA82" s="136"/>
      <c r="PB82" s="136"/>
      <c r="PC82" s="136"/>
      <c r="PD82" s="136"/>
      <c r="PE82" s="136"/>
      <c r="PF82" s="136"/>
      <c r="PG82" s="136"/>
      <c r="PH82" s="136"/>
      <c r="PI82" s="136"/>
      <c r="PJ82" s="136"/>
      <c r="PK82" s="136"/>
      <c r="PL82" s="136"/>
      <c r="PM82" s="136"/>
      <c r="PN82" s="136"/>
      <c r="PO82" s="136"/>
      <c r="PP82" s="136"/>
      <c r="PQ82" s="136"/>
      <c r="PR82" s="136"/>
      <c r="PS82" s="136"/>
      <c r="PT82" s="136"/>
      <c r="PU82" s="136"/>
      <c r="PV82" s="136"/>
      <c r="PW82" s="136"/>
      <c r="PX82" s="136"/>
      <c r="PY82" s="136"/>
      <c r="PZ82" s="136"/>
      <c r="QA82" s="136"/>
      <c r="QB82" s="136"/>
      <c r="QC82" s="136"/>
      <c r="QD82" s="136"/>
      <c r="QE82" s="136"/>
      <c r="QF82" s="136"/>
      <c r="QG82" s="136"/>
      <c r="QH82" s="136"/>
      <c r="QI82" s="136"/>
      <c r="QJ82" s="136"/>
      <c r="QK82" s="136"/>
      <c r="QL82" s="136"/>
      <c r="QM82" s="136"/>
      <c r="QN82" s="136"/>
      <c r="QO82" s="136"/>
      <c r="QP82" s="136"/>
      <c r="QQ82" s="136"/>
      <c r="QR82" s="136"/>
      <c r="QS82" s="136"/>
      <c r="QT82" s="136"/>
      <c r="QU82" s="136"/>
      <c r="QV82" s="136"/>
      <c r="QW82" s="136"/>
      <c r="QX82" s="136"/>
      <c r="QY82" s="136"/>
      <c r="QZ82" s="136"/>
      <c r="RA82" s="136"/>
      <c r="RB82" s="136"/>
      <c r="RC82" s="136"/>
      <c r="RD82" s="136"/>
      <c r="RE82" s="136"/>
      <c r="RF82" s="136"/>
      <c r="RG82" s="136"/>
      <c r="RH82" s="136"/>
      <c r="RI82" s="136"/>
      <c r="RJ82" s="136"/>
      <c r="RK82" s="136"/>
      <c r="RL82" s="136"/>
      <c r="RM82" s="136"/>
      <c r="RN82" s="136"/>
      <c r="RO82" s="136"/>
      <c r="RP82" s="136"/>
      <c r="RQ82" s="136"/>
      <c r="RR82" s="136"/>
      <c r="RS82" s="136"/>
      <c r="RT82" s="136"/>
      <c r="RU82" s="136"/>
      <c r="RV82" s="136"/>
      <c r="RW82" s="136"/>
      <c r="RX82" s="136"/>
      <c r="RY82" s="136"/>
      <c r="RZ82" s="136"/>
      <c r="SA82" s="136"/>
      <c r="SB82" s="136"/>
      <c r="SC82" s="136"/>
      <c r="SD82" s="136"/>
      <c r="SE82" s="136"/>
      <c r="SF82" s="136"/>
      <c r="SG82" s="136"/>
      <c r="SH82" s="136"/>
      <c r="SI82" s="136"/>
      <c r="SJ82" s="136"/>
      <c r="SK82" s="136"/>
      <c r="SL82" s="136"/>
      <c r="SM82" s="136"/>
      <c r="SN82" s="136"/>
      <c r="SO82" s="136"/>
      <c r="SP82" s="136"/>
      <c r="SQ82" s="136"/>
      <c r="SR82" s="136"/>
      <c r="SS82" s="136"/>
    </row>
    <row r="83" spans="14:513" s="135" customFormat="1" ht="14.5" x14ac:dyDescent="0.35"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DO83" s="136"/>
      <c r="DP83" s="136"/>
      <c r="DQ83" s="136"/>
      <c r="DR83" s="136"/>
      <c r="DS83" s="136"/>
      <c r="DT83" s="136"/>
      <c r="DU83" s="136"/>
      <c r="DV83" s="136"/>
      <c r="DW83" s="136"/>
      <c r="DX83" s="136"/>
      <c r="DY83" s="136"/>
      <c r="DZ83" s="136"/>
      <c r="EA83" s="136"/>
      <c r="EB83" s="136"/>
      <c r="EC83" s="136"/>
      <c r="ED83" s="136"/>
      <c r="EE83" s="136"/>
      <c r="EF83" s="136"/>
      <c r="EG83" s="136"/>
      <c r="EH83" s="136"/>
      <c r="EI83" s="136"/>
      <c r="EJ83" s="136"/>
      <c r="EK83" s="136"/>
      <c r="EL83" s="136"/>
      <c r="EM83" s="136"/>
      <c r="EN83" s="136"/>
      <c r="EO83" s="136"/>
      <c r="EP83" s="136"/>
      <c r="EQ83" s="136"/>
      <c r="ER83" s="136"/>
      <c r="ES83" s="136"/>
      <c r="ET83" s="136"/>
      <c r="EU83" s="136"/>
      <c r="EV83" s="136"/>
      <c r="EW83" s="136"/>
      <c r="EX83" s="136"/>
      <c r="EY83" s="136"/>
      <c r="EZ83" s="136"/>
      <c r="FA83" s="136"/>
      <c r="FB83" s="136"/>
      <c r="FC83" s="136"/>
      <c r="FD83" s="136"/>
      <c r="FE83" s="136"/>
      <c r="FF83" s="136"/>
      <c r="FG83" s="136"/>
      <c r="FH83" s="136"/>
      <c r="FI83" s="136"/>
      <c r="FJ83" s="136"/>
      <c r="FK83" s="136"/>
      <c r="FL83" s="136"/>
      <c r="FM83" s="136"/>
      <c r="FN83" s="136"/>
      <c r="FO83" s="136"/>
      <c r="FP83" s="136"/>
      <c r="FQ83" s="136"/>
      <c r="FR83" s="136"/>
      <c r="FS83" s="136"/>
      <c r="FT83" s="136"/>
      <c r="FU83" s="136"/>
      <c r="FV83" s="136"/>
      <c r="FW83" s="136"/>
      <c r="FX83" s="136"/>
      <c r="FY83" s="136"/>
      <c r="FZ83" s="136"/>
      <c r="GA83" s="136"/>
      <c r="GB83" s="136"/>
      <c r="GC83" s="136"/>
      <c r="GD83" s="136"/>
      <c r="GE83" s="136"/>
      <c r="GF83" s="136"/>
      <c r="GG83" s="136"/>
      <c r="GH83" s="136"/>
      <c r="GI83" s="136"/>
      <c r="GJ83" s="136"/>
      <c r="GK83" s="136"/>
      <c r="GL83" s="136"/>
      <c r="GM83" s="136"/>
      <c r="GN83" s="136"/>
      <c r="GO83" s="136"/>
      <c r="GP83" s="136"/>
      <c r="GQ83" s="136"/>
      <c r="GR83" s="136"/>
      <c r="GS83" s="136"/>
      <c r="GT83" s="136"/>
      <c r="GU83" s="136"/>
      <c r="GV83" s="136"/>
      <c r="GW83" s="136"/>
      <c r="GX83" s="136"/>
      <c r="GY83" s="136"/>
      <c r="GZ83" s="136"/>
      <c r="HA83" s="136"/>
      <c r="HB83" s="136"/>
      <c r="HC83" s="136"/>
      <c r="HD83" s="136"/>
      <c r="HE83" s="136"/>
      <c r="HF83" s="136"/>
      <c r="HG83" s="136"/>
      <c r="HH83" s="136"/>
      <c r="HI83" s="136"/>
      <c r="HJ83" s="136"/>
      <c r="HK83" s="136"/>
      <c r="HL83" s="136"/>
      <c r="HM83" s="136"/>
      <c r="HN83" s="136"/>
      <c r="HO83" s="136"/>
      <c r="HP83" s="136"/>
      <c r="HQ83" s="136"/>
      <c r="HR83" s="136"/>
      <c r="HS83" s="136"/>
      <c r="HT83" s="136"/>
      <c r="HU83" s="136"/>
      <c r="HV83" s="136"/>
      <c r="HW83" s="136"/>
      <c r="HX83" s="136"/>
      <c r="HY83" s="136"/>
      <c r="HZ83" s="136"/>
      <c r="IA83" s="136"/>
      <c r="IB83" s="136"/>
      <c r="IC83" s="136"/>
      <c r="ID83" s="136"/>
      <c r="IE83" s="136"/>
      <c r="IF83" s="136"/>
      <c r="IG83" s="136"/>
      <c r="IH83" s="136"/>
      <c r="II83" s="136"/>
      <c r="IJ83" s="136"/>
      <c r="IK83" s="136"/>
      <c r="IL83" s="136"/>
      <c r="IM83" s="136"/>
      <c r="IN83" s="136"/>
      <c r="IO83" s="136"/>
      <c r="IP83" s="136"/>
      <c r="IQ83" s="136"/>
      <c r="IR83" s="136"/>
      <c r="IS83" s="136"/>
      <c r="IT83" s="136"/>
      <c r="IU83" s="136"/>
      <c r="IV83" s="136"/>
      <c r="IW83" s="136"/>
      <c r="IX83" s="136"/>
      <c r="IY83" s="136"/>
      <c r="IZ83" s="136"/>
      <c r="JA83" s="136"/>
      <c r="JB83" s="136"/>
      <c r="JC83" s="136"/>
      <c r="JD83" s="136"/>
      <c r="JE83" s="136"/>
      <c r="JF83" s="136"/>
      <c r="JG83" s="136"/>
      <c r="JH83" s="136"/>
      <c r="JI83" s="136"/>
      <c r="JJ83" s="136"/>
      <c r="JK83" s="136"/>
      <c r="JL83" s="136"/>
      <c r="JM83" s="136"/>
      <c r="JN83" s="136"/>
      <c r="JO83" s="136"/>
      <c r="JP83" s="136"/>
      <c r="JQ83" s="136"/>
      <c r="JR83" s="136"/>
      <c r="JS83" s="136"/>
      <c r="JT83" s="136"/>
      <c r="JU83" s="136"/>
      <c r="JV83" s="136"/>
      <c r="JW83" s="136"/>
      <c r="JX83" s="136"/>
      <c r="JY83" s="136"/>
      <c r="JZ83" s="136"/>
      <c r="KA83" s="136"/>
      <c r="KB83" s="136"/>
      <c r="KC83" s="136"/>
      <c r="KD83" s="136"/>
      <c r="KE83" s="136"/>
      <c r="KF83" s="136"/>
      <c r="KG83" s="136"/>
      <c r="KH83" s="136"/>
      <c r="KI83" s="136"/>
      <c r="KJ83" s="136"/>
      <c r="KK83" s="136"/>
      <c r="KL83" s="136"/>
      <c r="KM83" s="136"/>
      <c r="KN83" s="136"/>
      <c r="KO83" s="136"/>
      <c r="KP83" s="136"/>
      <c r="KQ83" s="136"/>
      <c r="KR83" s="136"/>
      <c r="KS83" s="136"/>
      <c r="KT83" s="136"/>
      <c r="KU83" s="136"/>
      <c r="KV83" s="136"/>
      <c r="KW83" s="136"/>
      <c r="KX83" s="136"/>
      <c r="KY83" s="136"/>
      <c r="KZ83" s="136"/>
      <c r="LA83" s="136"/>
      <c r="LB83" s="136"/>
      <c r="LC83" s="136"/>
      <c r="LD83" s="136"/>
      <c r="LE83" s="136"/>
      <c r="LF83" s="136"/>
      <c r="LG83" s="136"/>
      <c r="LH83" s="136"/>
      <c r="LI83" s="136"/>
      <c r="LJ83" s="136"/>
      <c r="LK83" s="136"/>
      <c r="LL83" s="136"/>
      <c r="LM83" s="136"/>
      <c r="LN83" s="136"/>
      <c r="LO83" s="136"/>
      <c r="LP83" s="136"/>
      <c r="LQ83" s="136"/>
      <c r="LR83" s="136"/>
      <c r="LS83" s="136"/>
      <c r="LT83" s="136"/>
      <c r="LU83" s="136"/>
      <c r="LV83" s="136"/>
      <c r="LW83" s="136"/>
      <c r="LX83" s="136"/>
      <c r="LY83" s="136"/>
      <c r="LZ83" s="136"/>
      <c r="MA83" s="136"/>
      <c r="MB83" s="136"/>
      <c r="MC83" s="136"/>
      <c r="MD83" s="136"/>
      <c r="ME83" s="136"/>
      <c r="MF83" s="136"/>
      <c r="MG83" s="136"/>
      <c r="MH83" s="136"/>
      <c r="MI83" s="136"/>
      <c r="MJ83" s="136"/>
      <c r="MK83" s="136"/>
      <c r="ML83" s="136"/>
      <c r="MM83" s="136"/>
      <c r="MN83" s="136"/>
      <c r="MO83" s="136"/>
      <c r="MP83" s="136"/>
      <c r="MQ83" s="136"/>
      <c r="MR83" s="136"/>
      <c r="MS83" s="136"/>
      <c r="MT83" s="136"/>
      <c r="MU83" s="136"/>
      <c r="MV83" s="136"/>
      <c r="MW83" s="136"/>
      <c r="MX83" s="136"/>
      <c r="MY83" s="136"/>
      <c r="MZ83" s="136"/>
      <c r="NA83" s="136"/>
      <c r="NB83" s="136"/>
      <c r="NC83" s="136"/>
      <c r="ND83" s="136"/>
      <c r="NE83" s="136"/>
      <c r="NF83" s="136"/>
      <c r="NG83" s="136"/>
      <c r="NH83" s="136"/>
      <c r="NI83" s="136"/>
      <c r="NJ83" s="136"/>
      <c r="NK83" s="136"/>
      <c r="NL83" s="136"/>
      <c r="NM83" s="136"/>
      <c r="NN83" s="136"/>
      <c r="NO83" s="136"/>
      <c r="NP83" s="136"/>
      <c r="NQ83" s="136"/>
      <c r="NR83" s="136"/>
      <c r="NS83" s="136"/>
      <c r="NT83" s="136"/>
      <c r="NU83" s="136"/>
      <c r="NV83" s="136"/>
      <c r="NW83" s="136"/>
      <c r="NX83" s="136"/>
      <c r="NY83" s="136"/>
      <c r="NZ83" s="136"/>
      <c r="OA83" s="136"/>
      <c r="OB83" s="136"/>
      <c r="OC83" s="136"/>
      <c r="OD83" s="136"/>
      <c r="OE83" s="136"/>
      <c r="OF83" s="136"/>
      <c r="OG83" s="136"/>
      <c r="OH83" s="136"/>
      <c r="OI83" s="136"/>
      <c r="OJ83" s="136"/>
      <c r="OK83" s="136"/>
      <c r="OL83" s="136"/>
      <c r="OM83" s="136"/>
      <c r="ON83" s="136"/>
      <c r="OO83" s="136"/>
      <c r="OP83" s="136"/>
      <c r="OQ83" s="136"/>
      <c r="OR83" s="136"/>
      <c r="OS83" s="136"/>
      <c r="OT83" s="136"/>
      <c r="OU83" s="136"/>
      <c r="OV83" s="136"/>
      <c r="OW83" s="136"/>
      <c r="OX83" s="136"/>
      <c r="OY83" s="136"/>
      <c r="OZ83" s="136"/>
      <c r="PA83" s="136"/>
      <c r="PB83" s="136"/>
      <c r="PC83" s="136"/>
      <c r="PD83" s="136"/>
      <c r="PE83" s="136"/>
      <c r="PF83" s="136"/>
      <c r="PG83" s="136"/>
      <c r="PH83" s="136"/>
      <c r="PI83" s="136"/>
      <c r="PJ83" s="136"/>
      <c r="PK83" s="136"/>
      <c r="PL83" s="136"/>
      <c r="PM83" s="136"/>
      <c r="PN83" s="136"/>
      <c r="PO83" s="136"/>
      <c r="PP83" s="136"/>
      <c r="PQ83" s="136"/>
      <c r="PR83" s="136"/>
      <c r="PS83" s="136"/>
      <c r="PT83" s="136"/>
      <c r="PU83" s="136"/>
      <c r="PV83" s="136"/>
      <c r="PW83" s="136"/>
      <c r="PX83" s="136"/>
      <c r="PY83" s="136"/>
      <c r="PZ83" s="136"/>
      <c r="QA83" s="136"/>
      <c r="QB83" s="136"/>
      <c r="QC83" s="136"/>
      <c r="QD83" s="136"/>
      <c r="QE83" s="136"/>
      <c r="QF83" s="136"/>
      <c r="QG83" s="136"/>
      <c r="QH83" s="136"/>
      <c r="QI83" s="136"/>
      <c r="QJ83" s="136"/>
      <c r="QK83" s="136"/>
      <c r="QL83" s="136"/>
      <c r="QM83" s="136"/>
      <c r="QN83" s="136"/>
      <c r="QO83" s="136"/>
      <c r="QP83" s="136"/>
      <c r="QQ83" s="136"/>
      <c r="QR83" s="136"/>
      <c r="QS83" s="136"/>
      <c r="QT83" s="136"/>
      <c r="QU83" s="136"/>
      <c r="QV83" s="136"/>
      <c r="QW83" s="136"/>
      <c r="QX83" s="136"/>
      <c r="QY83" s="136"/>
      <c r="QZ83" s="136"/>
      <c r="RA83" s="136"/>
      <c r="RB83" s="136"/>
      <c r="RC83" s="136"/>
      <c r="RD83" s="136"/>
      <c r="RE83" s="136"/>
      <c r="RF83" s="136"/>
      <c r="RG83" s="136"/>
      <c r="RH83" s="136"/>
      <c r="RI83" s="136"/>
      <c r="RJ83" s="136"/>
      <c r="RK83" s="136"/>
      <c r="RL83" s="136"/>
      <c r="RM83" s="136"/>
      <c r="RN83" s="136"/>
      <c r="RO83" s="136"/>
      <c r="RP83" s="136"/>
      <c r="RQ83" s="136"/>
      <c r="RR83" s="136"/>
      <c r="RS83" s="136"/>
      <c r="RT83" s="136"/>
      <c r="RU83" s="136"/>
      <c r="RV83" s="136"/>
      <c r="RW83" s="136"/>
      <c r="RX83" s="136"/>
      <c r="RY83" s="136"/>
      <c r="RZ83" s="136"/>
      <c r="SA83" s="136"/>
      <c r="SB83" s="136"/>
      <c r="SC83" s="136"/>
      <c r="SD83" s="136"/>
      <c r="SE83" s="136"/>
      <c r="SF83" s="136"/>
      <c r="SG83" s="136"/>
      <c r="SH83" s="136"/>
      <c r="SI83" s="136"/>
      <c r="SJ83" s="136"/>
      <c r="SK83" s="136"/>
      <c r="SL83" s="136"/>
      <c r="SM83" s="136"/>
      <c r="SN83" s="136"/>
      <c r="SO83" s="136"/>
      <c r="SP83" s="136"/>
      <c r="SQ83" s="136"/>
      <c r="SR83" s="136"/>
      <c r="SS83" s="136"/>
    </row>
    <row r="84" spans="14:513" s="135" customFormat="1" ht="14.5" x14ac:dyDescent="0.35"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/>
      <c r="AA84" s="134"/>
      <c r="AB84" s="134"/>
      <c r="AC84" s="134"/>
      <c r="AD84" s="134"/>
      <c r="AE84" s="134"/>
      <c r="AF84" s="134"/>
      <c r="DO84" s="136"/>
      <c r="DP84" s="136"/>
      <c r="DQ84" s="136"/>
      <c r="DR84" s="136"/>
      <c r="DS84" s="136"/>
      <c r="DT84" s="136"/>
      <c r="DU84" s="136"/>
      <c r="DV84" s="136"/>
      <c r="DW84" s="136"/>
      <c r="DX84" s="136"/>
      <c r="DY84" s="136"/>
      <c r="DZ84" s="136"/>
      <c r="EA84" s="136"/>
      <c r="EB84" s="136"/>
      <c r="EC84" s="136"/>
      <c r="ED84" s="136"/>
      <c r="EE84" s="136"/>
      <c r="EF84" s="136"/>
      <c r="EG84" s="136"/>
      <c r="EH84" s="136"/>
      <c r="EI84" s="136"/>
      <c r="EJ84" s="136"/>
      <c r="EK84" s="136"/>
      <c r="EL84" s="136"/>
      <c r="EM84" s="136"/>
      <c r="EN84" s="136"/>
      <c r="EO84" s="136"/>
      <c r="EP84" s="136"/>
      <c r="EQ84" s="136"/>
      <c r="ER84" s="136"/>
      <c r="ES84" s="136"/>
      <c r="ET84" s="136"/>
      <c r="EU84" s="136"/>
      <c r="EV84" s="136"/>
      <c r="EW84" s="136"/>
      <c r="EX84" s="136"/>
      <c r="EY84" s="136"/>
      <c r="EZ84" s="136"/>
      <c r="FA84" s="136"/>
      <c r="FB84" s="136"/>
      <c r="FC84" s="136"/>
      <c r="FD84" s="136"/>
      <c r="FE84" s="136"/>
      <c r="FF84" s="136"/>
      <c r="FG84" s="136"/>
      <c r="FH84" s="136"/>
      <c r="FI84" s="136"/>
      <c r="FJ84" s="136"/>
      <c r="FK84" s="136"/>
      <c r="FL84" s="136"/>
      <c r="FM84" s="136"/>
      <c r="FN84" s="136"/>
      <c r="FO84" s="136"/>
      <c r="FP84" s="136"/>
      <c r="FQ84" s="136"/>
      <c r="FR84" s="136"/>
      <c r="FS84" s="136"/>
      <c r="FT84" s="136"/>
      <c r="FU84" s="136"/>
      <c r="FV84" s="136"/>
      <c r="FW84" s="136"/>
      <c r="FX84" s="136"/>
      <c r="FY84" s="136"/>
      <c r="FZ84" s="136"/>
      <c r="GA84" s="136"/>
      <c r="GB84" s="136"/>
      <c r="GC84" s="136"/>
      <c r="GD84" s="136"/>
      <c r="GE84" s="136"/>
      <c r="GF84" s="136"/>
      <c r="GG84" s="136"/>
      <c r="GH84" s="136"/>
      <c r="GI84" s="136"/>
      <c r="GJ84" s="136"/>
      <c r="GK84" s="136"/>
      <c r="GL84" s="136"/>
      <c r="GM84" s="136"/>
      <c r="GN84" s="136"/>
      <c r="GO84" s="136"/>
      <c r="GP84" s="136"/>
      <c r="GQ84" s="136"/>
      <c r="GR84" s="136"/>
      <c r="GS84" s="136"/>
      <c r="GT84" s="136"/>
      <c r="GU84" s="136"/>
      <c r="GV84" s="136"/>
      <c r="GW84" s="136"/>
      <c r="GX84" s="136"/>
      <c r="GY84" s="136"/>
      <c r="GZ84" s="136"/>
      <c r="HA84" s="136"/>
      <c r="HB84" s="136"/>
      <c r="HC84" s="136"/>
      <c r="HD84" s="136"/>
      <c r="HE84" s="136"/>
      <c r="HF84" s="136"/>
      <c r="HG84" s="136"/>
      <c r="HH84" s="136"/>
      <c r="HI84" s="136"/>
      <c r="HJ84" s="136"/>
      <c r="HK84" s="136"/>
      <c r="HL84" s="136"/>
      <c r="HM84" s="136"/>
      <c r="HN84" s="136"/>
      <c r="HO84" s="136"/>
      <c r="HP84" s="136"/>
      <c r="HQ84" s="136"/>
      <c r="HR84" s="136"/>
      <c r="HS84" s="136"/>
      <c r="HT84" s="136"/>
      <c r="HU84" s="136"/>
      <c r="HV84" s="136"/>
      <c r="HW84" s="136"/>
      <c r="HX84" s="136"/>
      <c r="HY84" s="136"/>
      <c r="HZ84" s="136"/>
      <c r="IA84" s="136"/>
      <c r="IB84" s="136"/>
      <c r="IC84" s="136"/>
      <c r="ID84" s="136"/>
      <c r="IE84" s="136"/>
      <c r="IF84" s="136"/>
      <c r="IG84" s="136"/>
      <c r="IH84" s="136"/>
      <c r="II84" s="136"/>
      <c r="IJ84" s="136"/>
      <c r="IK84" s="136"/>
      <c r="IL84" s="136"/>
      <c r="IM84" s="136"/>
      <c r="IN84" s="136"/>
      <c r="IO84" s="136"/>
      <c r="IP84" s="136"/>
      <c r="IQ84" s="136"/>
      <c r="IR84" s="136"/>
      <c r="IS84" s="136"/>
      <c r="IT84" s="136"/>
      <c r="IU84" s="136"/>
      <c r="IV84" s="136"/>
      <c r="IW84" s="136"/>
      <c r="IX84" s="136"/>
      <c r="IY84" s="136"/>
      <c r="IZ84" s="136"/>
      <c r="JA84" s="136"/>
      <c r="JB84" s="136"/>
      <c r="JC84" s="136"/>
      <c r="JD84" s="136"/>
      <c r="JE84" s="136"/>
      <c r="JF84" s="136"/>
      <c r="JG84" s="136"/>
      <c r="JH84" s="136"/>
      <c r="JI84" s="136"/>
      <c r="JJ84" s="136"/>
      <c r="JK84" s="136"/>
      <c r="JL84" s="136"/>
      <c r="JM84" s="136"/>
      <c r="JN84" s="136"/>
      <c r="JO84" s="136"/>
      <c r="JP84" s="136"/>
      <c r="JQ84" s="136"/>
      <c r="JR84" s="136"/>
      <c r="JS84" s="136"/>
      <c r="JT84" s="136"/>
      <c r="JU84" s="136"/>
      <c r="JV84" s="136"/>
      <c r="JW84" s="136"/>
      <c r="JX84" s="136"/>
      <c r="JY84" s="136"/>
      <c r="JZ84" s="136"/>
      <c r="KA84" s="136"/>
      <c r="KB84" s="136"/>
      <c r="KC84" s="136"/>
      <c r="KD84" s="136"/>
      <c r="KE84" s="136"/>
      <c r="KF84" s="136"/>
      <c r="KG84" s="136"/>
      <c r="KH84" s="136"/>
      <c r="KI84" s="136"/>
      <c r="KJ84" s="136"/>
      <c r="KK84" s="136"/>
      <c r="KL84" s="136"/>
      <c r="KM84" s="136"/>
      <c r="KN84" s="136"/>
      <c r="KO84" s="136"/>
      <c r="KP84" s="136"/>
      <c r="KQ84" s="136"/>
      <c r="KR84" s="136"/>
      <c r="KS84" s="136"/>
      <c r="KT84" s="136"/>
      <c r="KU84" s="136"/>
      <c r="KV84" s="136"/>
      <c r="KW84" s="136"/>
      <c r="KX84" s="136"/>
      <c r="KY84" s="136"/>
      <c r="KZ84" s="136"/>
      <c r="LA84" s="136"/>
      <c r="LB84" s="136"/>
      <c r="LC84" s="136"/>
      <c r="LD84" s="136"/>
      <c r="LE84" s="136"/>
      <c r="LF84" s="136"/>
      <c r="LG84" s="136"/>
      <c r="LH84" s="136"/>
      <c r="LI84" s="136"/>
      <c r="LJ84" s="136"/>
      <c r="LK84" s="136"/>
      <c r="LL84" s="136"/>
      <c r="LM84" s="136"/>
      <c r="LN84" s="136"/>
      <c r="LO84" s="136"/>
      <c r="LP84" s="136"/>
      <c r="LQ84" s="136"/>
      <c r="LR84" s="136"/>
      <c r="LS84" s="136"/>
      <c r="LT84" s="136"/>
      <c r="LU84" s="136"/>
      <c r="LV84" s="136"/>
      <c r="LW84" s="136"/>
      <c r="LX84" s="136"/>
      <c r="LY84" s="136"/>
      <c r="LZ84" s="136"/>
      <c r="MA84" s="136"/>
      <c r="MB84" s="136"/>
      <c r="MC84" s="136"/>
      <c r="MD84" s="136"/>
      <c r="ME84" s="136"/>
      <c r="MF84" s="136"/>
      <c r="MG84" s="136"/>
      <c r="MH84" s="136"/>
      <c r="MI84" s="136"/>
      <c r="MJ84" s="136"/>
      <c r="MK84" s="136"/>
      <c r="ML84" s="136"/>
      <c r="MM84" s="136"/>
      <c r="MN84" s="136"/>
      <c r="MO84" s="136"/>
      <c r="MP84" s="136"/>
      <c r="MQ84" s="136"/>
      <c r="MR84" s="136"/>
      <c r="MS84" s="136"/>
      <c r="MT84" s="136"/>
      <c r="MU84" s="136"/>
      <c r="MV84" s="136"/>
      <c r="MW84" s="136"/>
      <c r="MX84" s="136"/>
      <c r="MY84" s="136"/>
      <c r="MZ84" s="136"/>
      <c r="NA84" s="136"/>
      <c r="NB84" s="136"/>
      <c r="NC84" s="136"/>
      <c r="ND84" s="136"/>
      <c r="NE84" s="136"/>
      <c r="NF84" s="136"/>
      <c r="NG84" s="136"/>
      <c r="NH84" s="136"/>
      <c r="NI84" s="136"/>
      <c r="NJ84" s="136"/>
      <c r="NK84" s="136"/>
      <c r="NL84" s="136"/>
      <c r="NM84" s="136"/>
      <c r="NN84" s="136"/>
      <c r="NO84" s="136"/>
      <c r="NP84" s="136"/>
      <c r="NQ84" s="136"/>
      <c r="NR84" s="136"/>
      <c r="NS84" s="136"/>
      <c r="NT84" s="136"/>
      <c r="NU84" s="136"/>
      <c r="NV84" s="136"/>
      <c r="NW84" s="136"/>
      <c r="NX84" s="136"/>
      <c r="NY84" s="136"/>
      <c r="NZ84" s="136"/>
      <c r="OA84" s="136"/>
      <c r="OB84" s="136"/>
      <c r="OC84" s="136"/>
      <c r="OD84" s="136"/>
      <c r="OE84" s="136"/>
      <c r="OF84" s="136"/>
      <c r="OG84" s="136"/>
      <c r="OH84" s="136"/>
      <c r="OI84" s="136"/>
      <c r="OJ84" s="136"/>
      <c r="OK84" s="136"/>
      <c r="OL84" s="136"/>
      <c r="OM84" s="136"/>
      <c r="ON84" s="136"/>
      <c r="OO84" s="136"/>
      <c r="OP84" s="136"/>
      <c r="OQ84" s="136"/>
      <c r="OR84" s="136"/>
      <c r="OS84" s="136"/>
      <c r="OT84" s="136"/>
      <c r="OU84" s="136"/>
      <c r="OV84" s="136"/>
      <c r="OW84" s="136"/>
      <c r="OX84" s="136"/>
      <c r="OY84" s="136"/>
      <c r="OZ84" s="136"/>
      <c r="PA84" s="136"/>
      <c r="PB84" s="136"/>
      <c r="PC84" s="136"/>
      <c r="PD84" s="136"/>
      <c r="PE84" s="136"/>
      <c r="PF84" s="136"/>
      <c r="PG84" s="136"/>
      <c r="PH84" s="136"/>
      <c r="PI84" s="136"/>
      <c r="PJ84" s="136"/>
      <c r="PK84" s="136"/>
      <c r="PL84" s="136"/>
      <c r="PM84" s="136"/>
      <c r="PN84" s="136"/>
      <c r="PO84" s="136"/>
      <c r="PP84" s="136"/>
      <c r="PQ84" s="136"/>
      <c r="PR84" s="136"/>
      <c r="PS84" s="136"/>
      <c r="PT84" s="136"/>
      <c r="PU84" s="136"/>
      <c r="PV84" s="136"/>
      <c r="PW84" s="136"/>
      <c r="PX84" s="136"/>
      <c r="PY84" s="136"/>
      <c r="PZ84" s="136"/>
      <c r="QA84" s="136"/>
      <c r="QB84" s="136"/>
      <c r="QC84" s="136"/>
      <c r="QD84" s="136"/>
      <c r="QE84" s="136"/>
      <c r="QF84" s="136"/>
      <c r="QG84" s="136"/>
      <c r="QH84" s="136"/>
      <c r="QI84" s="136"/>
      <c r="QJ84" s="136"/>
      <c r="QK84" s="136"/>
      <c r="QL84" s="136"/>
      <c r="QM84" s="136"/>
      <c r="QN84" s="136"/>
      <c r="QO84" s="136"/>
      <c r="QP84" s="136"/>
      <c r="QQ84" s="136"/>
      <c r="QR84" s="136"/>
      <c r="QS84" s="136"/>
      <c r="QT84" s="136"/>
      <c r="QU84" s="136"/>
      <c r="QV84" s="136"/>
      <c r="QW84" s="136"/>
      <c r="QX84" s="136"/>
      <c r="QY84" s="136"/>
      <c r="QZ84" s="136"/>
      <c r="RA84" s="136"/>
      <c r="RB84" s="136"/>
      <c r="RC84" s="136"/>
      <c r="RD84" s="136"/>
      <c r="RE84" s="136"/>
      <c r="RF84" s="136"/>
      <c r="RG84" s="136"/>
      <c r="RH84" s="136"/>
      <c r="RI84" s="136"/>
      <c r="RJ84" s="136"/>
      <c r="RK84" s="136"/>
      <c r="RL84" s="136"/>
      <c r="RM84" s="136"/>
      <c r="RN84" s="136"/>
      <c r="RO84" s="136"/>
      <c r="RP84" s="136"/>
      <c r="RQ84" s="136"/>
      <c r="RR84" s="136"/>
      <c r="RS84" s="136"/>
      <c r="RT84" s="136"/>
      <c r="RU84" s="136"/>
      <c r="RV84" s="136"/>
      <c r="RW84" s="136"/>
      <c r="RX84" s="136"/>
      <c r="RY84" s="136"/>
      <c r="RZ84" s="136"/>
      <c r="SA84" s="136"/>
      <c r="SB84" s="136"/>
      <c r="SC84" s="136"/>
      <c r="SD84" s="136"/>
      <c r="SE84" s="136"/>
      <c r="SF84" s="136"/>
      <c r="SG84" s="136"/>
      <c r="SH84" s="136"/>
      <c r="SI84" s="136"/>
      <c r="SJ84" s="136"/>
      <c r="SK84" s="136"/>
      <c r="SL84" s="136"/>
      <c r="SM84" s="136"/>
      <c r="SN84" s="136"/>
      <c r="SO84" s="136"/>
      <c r="SP84" s="136"/>
      <c r="SQ84" s="136"/>
      <c r="SR84" s="136"/>
      <c r="SS84" s="136"/>
    </row>
    <row r="85" spans="14:513" s="135" customFormat="1" ht="14.5" x14ac:dyDescent="0.35"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  <c r="Y85" s="134"/>
      <c r="Z85" s="134"/>
      <c r="AA85" s="134"/>
      <c r="AB85" s="134"/>
      <c r="AC85" s="134"/>
      <c r="AD85" s="134"/>
      <c r="AE85" s="134"/>
      <c r="AF85" s="134"/>
      <c r="DO85" s="136"/>
      <c r="DP85" s="136"/>
      <c r="DQ85" s="136"/>
      <c r="DR85" s="136"/>
      <c r="DS85" s="136"/>
      <c r="DT85" s="136"/>
      <c r="DU85" s="136"/>
      <c r="DV85" s="136"/>
      <c r="DW85" s="136"/>
      <c r="DX85" s="136"/>
      <c r="DY85" s="136"/>
      <c r="DZ85" s="136"/>
      <c r="EA85" s="136"/>
      <c r="EB85" s="136"/>
      <c r="EC85" s="136"/>
      <c r="ED85" s="136"/>
      <c r="EE85" s="136"/>
      <c r="EF85" s="136"/>
      <c r="EG85" s="136"/>
      <c r="EH85" s="136"/>
      <c r="EI85" s="136"/>
      <c r="EJ85" s="136"/>
      <c r="EK85" s="136"/>
      <c r="EL85" s="136"/>
      <c r="EM85" s="136"/>
      <c r="EN85" s="136"/>
      <c r="EO85" s="136"/>
      <c r="EP85" s="136"/>
      <c r="EQ85" s="136"/>
      <c r="ER85" s="136"/>
      <c r="ES85" s="136"/>
      <c r="ET85" s="136"/>
      <c r="EU85" s="136"/>
      <c r="EV85" s="136"/>
      <c r="EW85" s="136"/>
      <c r="EX85" s="136"/>
      <c r="EY85" s="136"/>
      <c r="EZ85" s="136"/>
      <c r="FA85" s="136"/>
      <c r="FB85" s="136"/>
      <c r="FC85" s="136"/>
      <c r="FD85" s="136"/>
      <c r="FE85" s="136"/>
      <c r="FF85" s="136"/>
      <c r="FG85" s="136"/>
      <c r="FH85" s="136"/>
      <c r="FI85" s="136"/>
      <c r="FJ85" s="136"/>
      <c r="FK85" s="136"/>
      <c r="FL85" s="136"/>
      <c r="FM85" s="136"/>
      <c r="FN85" s="136"/>
      <c r="FO85" s="136"/>
      <c r="FP85" s="136"/>
      <c r="FQ85" s="136"/>
      <c r="FR85" s="136"/>
      <c r="FS85" s="136"/>
      <c r="FT85" s="136"/>
      <c r="FU85" s="136"/>
      <c r="FV85" s="136"/>
      <c r="FW85" s="136"/>
      <c r="FX85" s="136"/>
      <c r="FY85" s="136"/>
      <c r="FZ85" s="136"/>
      <c r="GA85" s="136"/>
      <c r="GB85" s="136"/>
      <c r="GC85" s="136"/>
      <c r="GD85" s="136"/>
      <c r="GE85" s="136"/>
      <c r="GF85" s="136"/>
      <c r="GG85" s="136"/>
      <c r="GH85" s="136"/>
      <c r="GI85" s="136"/>
      <c r="GJ85" s="136"/>
      <c r="GK85" s="136"/>
      <c r="GL85" s="136"/>
      <c r="GM85" s="136"/>
      <c r="GN85" s="136"/>
      <c r="GO85" s="136"/>
      <c r="GP85" s="136"/>
      <c r="GQ85" s="136"/>
      <c r="GR85" s="136"/>
      <c r="GS85" s="136"/>
      <c r="GT85" s="136"/>
      <c r="GU85" s="136"/>
      <c r="GV85" s="136"/>
      <c r="GW85" s="136"/>
      <c r="GX85" s="136"/>
      <c r="GY85" s="136"/>
      <c r="GZ85" s="136"/>
      <c r="HA85" s="136"/>
      <c r="HB85" s="136"/>
      <c r="HC85" s="136"/>
      <c r="HD85" s="136"/>
      <c r="HE85" s="136"/>
      <c r="HF85" s="136"/>
      <c r="HG85" s="136"/>
      <c r="HH85" s="136"/>
      <c r="HI85" s="136"/>
      <c r="HJ85" s="136"/>
      <c r="HK85" s="136"/>
      <c r="HL85" s="136"/>
      <c r="HM85" s="136"/>
      <c r="HN85" s="136"/>
      <c r="HO85" s="136"/>
      <c r="HP85" s="136"/>
      <c r="HQ85" s="136"/>
      <c r="HR85" s="136"/>
      <c r="HS85" s="136"/>
      <c r="HT85" s="136"/>
      <c r="HU85" s="136"/>
      <c r="HV85" s="136"/>
      <c r="HW85" s="136"/>
      <c r="HX85" s="136"/>
      <c r="HY85" s="136"/>
      <c r="HZ85" s="136"/>
      <c r="IA85" s="136"/>
      <c r="IB85" s="136"/>
      <c r="IC85" s="136"/>
      <c r="ID85" s="136"/>
      <c r="IE85" s="136"/>
      <c r="IF85" s="136"/>
      <c r="IG85" s="136"/>
      <c r="IH85" s="136"/>
      <c r="II85" s="136"/>
      <c r="IJ85" s="136"/>
      <c r="IK85" s="136"/>
      <c r="IL85" s="136"/>
      <c r="IM85" s="136"/>
      <c r="IN85" s="136"/>
      <c r="IO85" s="136"/>
      <c r="IP85" s="136"/>
      <c r="IQ85" s="136"/>
      <c r="IR85" s="136"/>
      <c r="IS85" s="136"/>
      <c r="IT85" s="136"/>
      <c r="IU85" s="136"/>
      <c r="IV85" s="136"/>
      <c r="IW85" s="136"/>
      <c r="IX85" s="136"/>
      <c r="IY85" s="136"/>
      <c r="IZ85" s="136"/>
      <c r="JA85" s="136"/>
      <c r="JB85" s="136"/>
      <c r="JC85" s="136"/>
      <c r="JD85" s="136"/>
      <c r="JE85" s="136"/>
      <c r="JF85" s="136"/>
      <c r="JG85" s="136"/>
      <c r="JH85" s="136"/>
      <c r="JI85" s="136"/>
      <c r="JJ85" s="136"/>
      <c r="JK85" s="136"/>
      <c r="JL85" s="136"/>
      <c r="JM85" s="136"/>
      <c r="JN85" s="136"/>
      <c r="JO85" s="136"/>
      <c r="JP85" s="136"/>
      <c r="JQ85" s="136"/>
      <c r="JR85" s="136"/>
      <c r="JS85" s="136"/>
      <c r="JT85" s="136"/>
      <c r="JU85" s="136"/>
      <c r="JV85" s="136"/>
      <c r="JW85" s="136"/>
      <c r="JX85" s="136"/>
      <c r="JY85" s="136"/>
      <c r="JZ85" s="136"/>
      <c r="KA85" s="136"/>
      <c r="KB85" s="136"/>
      <c r="KC85" s="136"/>
      <c r="KD85" s="136"/>
      <c r="KE85" s="136"/>
      <c r="KF85" s="136"/>
      <c r="KG85" s="136"/>
      <c r="KH85" s="136"/>
      <c r="KI85" s="136"/>
      <c r="KJ85" s="136"/>
      <c r="KK85" s="136"/>
      <c r="KL85" s="136"/>
      <c r="KM85" s="136"/>
      <c r="KN85" s="136"/>
      <c r="KO85" s="136"/>
      <c r="KP85" s="136"/>
      <c r="KQ85" s="136"/>
      <c r="KR85" s="136"/>
      <c r="KS85" s="136"/>
      <c r="KT85" s="136"/>
      <c r="KU85" s="136"/>
      <c r="KV85" s="136"/>
      <c r="KW85" s="136"/>
      <c r="KX85" s="136"/>
      <c r="KY85" s="136"/>
      <c r="KZ85" s="136"/>
      <c r="LA85" s="136"/>
      <c r="LB85" s="136"/>
      <c r="LC85" s="136"/>
      <c r="LD85" s="136"/>
      <c r="LE85" s="136"/>
      <c r="LF85" s="136"/>
      <c r="LG85" s="136"/>
      <c r="LH85" s="136"/>
      <c r="LI85" s="136"/>
      <c r="LJ85" s="136"/>
      <c r="LK85" s="136"/>
      <c r="LL85" s="136"/>
      <c r="LM85" s="136"/>
      <c r="LN85" s="136"/>
      <c r="LO85" s="136"/>
      <c r="LP85" s="136"/>
      <c r="LQ85" s="136"/>
      <c r="LR85" s="136"/>
      <c r="LS85" s="136"/>
      <c r="LT85" s="136"/>
      <c r="LU85" s="136"/>
      <c r="LV85" s="136"/>
      <c r="LW85" s="136"/>
      <c r="LX85" s="136"/>
      <c r="LY85" s="136"/>
      <c r="LZ85" s="136"/>
      <c r="MA85" s="136"/>
      <c r="MB85" s="136"/>
      <c r="MC85" s="136"/>
      <c r="MD85" s="136"/>
      <c r="ME85" s="136"/>
      <c r="MF85" s="136"/>
      <c r="MG85" s="136"/>
      <c r="MH85" s="136"/>
      <c r="MI85" s="136"/>
      <c r="MJ85" s="136"/>
      <c r="MK85" s="136"/>
      <c r="ML85" s="136"/>
      <c r="MM85" s="136"/>
      <c r="MN85" s="136"/>
      <c r="MO85" s="136"/>
      <c r="MP85" s="136"/>
      <c r="MQ85" s="136"/>
      <c r="MR85" s="136"/>
      <c r="MS85" s="136"/>
      <c r="MT85" s="136"/>
      <c r="MU85" s="136"/>
      <c r="MV85" s="136"/>
      <c r="MW85" s="136"/>
      <c r="MX85" s="136"/>
      <c r="MY85" s="136"/>
      <c r="MZ85" s="136"/>
      <c r="NA85" s="136"/>
      <c r="NB85" s="136"/>
      <c r="NC85" s="136"/>
      <c r="ND85" s="136"/>
      <c r="NE85" s="136"/>
      <c r="NF85" s="136"/>
      <c r="NG85" s="136"/>
      <c r="NH85" s="136"/>
      <c r="NI85" s="136"/>
      <c r="NJ85" s="136"/>
      <c r="NK85" s="136"/>
      <c r="NL85" s="136"/>
      <c r="NM85" s="136"/>
      <c r="NN85" s="136"/>
      <c r="NO85" s="136"/>
      <c r="NP85" s="136"/>
      <c r="NQ85" s="136"/>
      <c r="NR85" s="136"/>
      <c r="NS85" s="136"/>
      <c r="NT85" s="136"/>
      <c r="NU85" s="136"/>
      <c r="NV85" s="136"/>
      <c r="NW85" s="136"/>
      <c r="NX85" s="136"/>
      <c r="NY85" s="136"/>
      <c r="NZ85" s="136"/>
      <c r="OA85" s="136"/>
      <c r="OB85" s="136"/>
      <c r="OC85" s="136"/>
      <c r="OD85" s="136"/>
      <c r="OE85" s="136"/>
      <c r="OF85" s="136"/>
      <c r="OG85" s="136"/>
      <c r="OH85" s="136"/>
      <c r="OI85" s="136"/>
      <c r="OJ85" s="136"/>
      <c r="OK85" s="136"/>
      <c r="OL85" s="136"/>
      <c r="OM85" s="136"/>
      <c r="ON85" s="136"/>
      <c r="OO85" s="136"/>
      <c r="OP85" s="136"/>
      <c r="OQ85" s="136"/>
      <c r="OR85" s="136"/>
      <c r="OS85" s="136"/>
      <c r="OT85" s="136"/>
      <c r="OU85" s="136"/>
      <c r="OV85" s="136"/>
      <c r="OW85" s="136"/>
      <c r="OX85" s="136"/>
      <c r="OY85" s="136"/>
      <c r="OZ85" s="136"/>
      <c r="PA85" s="136"/>
      <c r="PB85" s="136"/>
      <c r="PC85" s="136"/>
      <c r="PD85" s="136"/>
      <c r="PE85" s="136"/>
      <c r="PF85" s="136"/>
      <c r="PG85" s="136"/>
      <c r="PH85" s="136"/>
      <c r="PI85" s="136"/>
      <c r="PJ85" s="136"/>
      <c r="PK85" s="136"/>
      <c r="PL85" s="136"/>
      <c r="PM85" s="136"/>
      <c r="PN85" s="136"/>
      <c r="PO85" s="136"/>
      <c r="PP85" s="136"/>
      <c r="PQ85" s="136"/>
      <c r="PR85" s="136"/>
      <c r="PS85" s="136"/>
      <c r="PT85" s="136"/>
      <c r="PU85" s="136"/>
      <c r="PV85" s="136"/>
      <c r="PW85" s="136"/>
      <c r="PX85" s="136"/>
      <c r="PY85" s="136"/>
      <c r="PZ85" s="136"/>
      <c r="QA85" s="136"/>
      <c r="QB85" s="136"/>
      <c r="QC85" s="136"/>
      <c r="QD85" s="136"/>
      <c r="QE85" s="136"/>
      <c r="QF85" s="136"/>
      <c r="QG85" s="136"/>
      <c r="QH85" s="136"/>
      <c r="QI85" s="136"/>
      <c r="QJ85" s="136"/>
      <c r="QK85" s="136"/>
      <c r="QL85" s="136"/>
      <c r="QM85" s="136"/>
      <c r="QN85" s="136"/>
      <c r="QO85" s="136"/>
      <c r="QP85" s="136"/>
      <c r="QQ85" s="136"/>
      <c r="QR85" s="136"/>
      <c r="QS85" s="136"/>
      <c r="QT85" s="136"/>
      <c r="QU85" s="136"/>
      <c r="QV85" s="136"/>
      <c r="QW85" s="136"/>
      <c r="QX85" s="136"/>
      <c r="QY85" s="136"/>
      <c r="QZ85" s="136"/>
      <c r="RA85" s="136"/>
      <c r="RB85" s="136"/>
      <c r="RC85" s="136"/>
      <c r="RD85" s="136"/>
      <c r="RE85" s="136"/>
      <c r="RF85" s="136"/>
      <c r="RG85" s="136"/>
      <c r="RH85" s="136"/>
      <c r="RI85" s="136"/>
      <c r="RJ85" s="136"/>
      <c r="RK85" s="136"/>
      <c r="RL85" s="136"/>
      <c r="RM85" s="136"/>
      <c r="RN85" s="136"/>
      <c r="RO85" s="136"/>
      <c r="RP85" s="136"/>
      <c r="RQ85" s="136"/>
      <c r="RR85" s="136"/>
      <c r="RS85" s="136"/>
      <c r="RT85" s="136"/>
      <c r="RU85" s="136"/>
      <c r="RV85" s="136"/>
      <c r="RW85" s="136"/>
      <c r="RX85" s="136"/>
      <c r="RY85" s="136"/>
      <c r="RZ85" s="136"/>
      <c r="SA85" s="136"/>
      <c r="SB85" s="136"/>
      <c r="SC85" s="136"/>
      <c r="SD85" s="136"/>
      <c r="SE85" s="136"/>
      <c r="SF85" s="136"/>
      <c r="SG85" s="136"/>
      <c r="SH85" s="136"/>
      <c r="SI85" s="136"/>
      <c r="SJ85" s="136"/>
      <c r="SK85" s="136"/>
      <c r="SL85" s="136"/>
      <c r="SM85" s="136"/>
      <c r="SN85" s="136"/>
      <c r="SO85" s="136"/>
      <c r="SP85" s="136"/>
      <c r="SQ85" s="136"/>
      <c r="SR85" s="136"/>
      <c r="SS85" s="136"/>
    </row>
    <row r="86" spans="14:513" s="135" customFormat="1" ht="14.5" x14ac:dyDescent="0.35"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/>
      <c r="AA86" s="134"/>
      <c r="AB86" s="134"/>
      <c r="AC86" s="134"/>
      <c r="AD86" s="134"/>
      <c r="AE86" s="134"/>
      <c r="AF86" s="134"/>
      <c r="DO86" s="136"/>
      <c r="DP86" s="136"/>
      <c r="DQ86" s="136"/>
      <c r="DR86" s="136"/>
      <c r="DS86" s="136"/>
      <c r="DT86" s="136"/>
      <c r="DU86" s="136"/>
      <c r="DV86" s="136"/>
      <c r="DW86" s="136"/>
      <c r="DX86" s="136"/>
      <c r="DY86" s="136"/>
      <c r="DZ86" s="136"/>
      <c r="EA86" s="136"/>
      <c r="EB86" s="136"/>
      <c r="EC86" s="136"/>
      <c r="ED86" s="136"/>
      <c r="EE86" s="136"/>
      <c r="EF86" s="136"/>
      <c r="EG86" s="136"/>
      <c r="EH86" s="136"/>
      <c r="EI86" s="136"/>
      <c r="EJ86" s="136"/>
      <c r="EK86" s="136"/>
      <c r="EL86" s="136"/>
      <c r="EM86" s="136"/>
      <c r="EN86" s="136"/>
      <c r="EO86" s="136"/>
      <c r="EP86" s="136"/>
      <c r="EQ86" s="136"/>
      <c r="ER86" s="136"/>
      <c r="ES86" s="136"/>
      <c r="ET86" s="136"/>
      <c r="EU86" s="136"/>
      <c r="EV86" s="136"/>
      <c r="EW86" s="136"/>
      <c r="EX86" s="136"/>
      <c r="EY86" s="136"/>
      <c r="EZ86" s="136"/>
      <c r="FA86" s="136"/>
      <c r="FB86" s="136"/>
      <c r="FC86" s="136"/>
      <c r="FD86" s="136"/>
      <c r="FE86" s="136"/>
      <c r="FF86" s="136"/>
      <c r="FG86" s="136"/>
      <c r="FH86" s="136"/>
      <c r="FI86" s="136"/>
      <c r="FJ86" s="136"/>
      <c r="FK86" s="136"/>
      <c r="FL86" s="136"/>
      <c r="FM86" s="136"/>
      <c r="FN86" s="136"/>
      <c r="FO86" s="136"/>
      <c r="FP86" s="136"/>
      <c r="FQ86" s="136"/>
      <c r="FR86" s="136"/>
      <c r="FS86" s="136"/>
      <c r="FT86" s="136"/>
      <c r="FU86" s="136"/>
      <c r="FV86" s="136"/>
      <c r="FW86" s="136"/>
      <c r="FX86" s="136"/>
      <c r="FY86" s="136"/>
      <c r="FZ86" s="136"/>
      <c r="GA86" s="136"/>
      <c r="GB86" s="136"/>
      <c r="GC86" s="136"/>
      <c r="GD86" s="136"/>
      <c r="GE86" s="136"/>
      <c r="GF86" s="136"/>
      <c r="GG86" s="136"/>
      <c r="GH86" s="136"/>
      <c r="GI86" s="136"/>
      <c r="GJ86" s="136"/>
      <c r="GK86" s="136"/>
      <c r="GL86" s="136"/>
      <c r="GM86" s="136"/>
      <c r="GN86" s="136"/>
      <c r="GO86" s="136"/>
      <c r="GP86" s="136"/>
      <c r="GQ86" s="136"/>
      <c r="GR86" s="136"/>
      <c r="GS86" s="136"/>
      <c r="GT86" s="136"/>
      <c r="GU86" s="136"/>
      <c r="GV86" s="136"/>
      <c r="GW86" s="136"/>
      <c r="GX86" s="136"/>
      <c r="GY86" s="136"/>
      <c r="GZ86" s="136"/>
      <c r="HA86" s="136"/>
      <c r="HB86" s="136"/>
      <c r="HC86" s="136"/>
      <c r="HD86" s="136"/>
      <c r="HE86" s="136"/>
      <c r="HF86" s="136"/>
      <c r="HG86" s="136"/>
      <c r="HH86" s="136"/>
      <c r="HI86" s="136"/>
      <c r="HJ86" s="136"/>
      <c r="HK86" s="136"/>
      <c r="HL86" s="136"/>
      <c r="HM86" s="136"/>
      <c r="HN86" s="136"/>
      <c r="HO86" s="136"/>
      <c r="HP86" s="136"/>
      <c r="HQ86" s="136"/>
      <c r="HR86" s="136"/>
      <c r="HS86" s="136"/>
      <c r="HT86" s="136"/>
      <c r="HU86" s="136"/>
      <c r="HV86" s="136"/>
      <c r="HW86" s="136"/>
      <c r="HX86" s="136"/>
      <c r="HY86" s="136"/>
      <c r="HZ86" s="136"/>
      <c r="IA86" s="136"/>
      <c r="IB86" s="136"/>
      <c r="IC86" s="136"/>
      <c r="ID86" s="136"/>
      <c r="IE86" s="136"/>
      <c r="IF86" s="136"/>
      <c r="IG86" s="136"/>
      <c r="IH86" s="136"/>
      <c r="II86" s="136"/>
      <c r="IJ86" s="136"/>
      <c r="IK86" s="136"/>
      <c r="IL86" s="136"/>
      <c r="IM86" s="136"/>
      <c r="IN86" s="136"/>
      <c r="IO86" s="136"/>
      <c r="IP86" s="136"/>
      <c r="IQ86" s="136"/>
      <c r="IR86" s="136"/>
      <c r="IS86" s="136"/>
      <c r="IT86" s="136"/>
      <c r="IU86" s="136"/>
      <c r="IV86" s="136"/>
      <c r="IW86" s="136"/>
      <c r="IX86" s="136"/>
      <c r="IY86" s="136"/>
      <c r="IZ86" s="136"/>
      <c r="JA86" s="136"/>
      <c r="JB86" s="136"/>
      <c r="JC86" s="136"/>
      <c r="JD86" s="136"/>
      <c r="JE86" s="136"/>
      <c r="JF86" s="136"/>
      <c r="JG86" s="136"/>
      <c r="JH86" s="136"/>
      <c r="JI86" s="136"/>
      <c r="JJ86" s="136"/>
      <c r="JK86" s="136"/>
      <c r="JL86" s="136"/>
      <c r="JM86" s="136"/>
      <c r="JN86" s="136"/>
      <c r="JO86" s="136"/>
      <c r="JP86" s="136"/>
      <c r="JQ86" s="136"/>
      <c r="JR86" s="136"/>
      <c r="JS86" s="136"/>
      <c r="JT86" s="136"/>
      <c r="JU86" s="136"/>
      <c r="JV86" s="136"/>
      <c r="JW86" s="136"/>
      <c r="JX86" s="136"/>
      <c r="JY86" s="136"/>
      <c r="JZ86" s="136"/>
      <c r="KA86" s="136"/>
      <c r="KB86" s="136"/>
      <c r="KC86" s="136"/>
      <c r="KD86" s="136"/>
      <c r="KE86" s="136"/>
      <c r="KF86" s="136"/>
      <c r="KG86" s="136"/>
      <c r="KH86" s="136"/>
      <c r="KI86" s="136"/>
      <c r="KJ86" s="136"/>
      <c r="KK86" s="136"/>
      <c r="KL86" s="136"/>
      <c r="KM86" s="136"/>
      <c r="KN86" s="136"/>
      <c r="KO86" s="136"/>
      <c r="KP86" s="136"/>
      <c r="KQ86" s="136"/>
      <c r="KR86" s="136"/>
      <c r="KS86" s="136"/>
      <c r="KT86" s="136"/>
      <c r="KU86" s="136"/>
      <c r="KV86" s="136"/>
      <c r="KW86" s="136"/>
      <c r="KX86" s="136"/>
      <c r="KY86" s="136"/>
      <c r="KZ86" s="136"/>
      <c r="LA86" s="136"/>
      <c r="LB86" s="136"/>
      <c r="LC86" s="136"/>
      <c r="LD86" s="136"/>
      <c r="LE86" s="136"/>
      <c r="LF86" s="136"/>
      <c r="LG86" s="136"/>
      <c r="LH86" s="136"/>
      <c r="LI86" s="136"/>
      <c r="LJ86" s="136"/>
      <c r="LK86" s="136"/>
      <c r="LL86" s="136"/>
      <c r="LM86" s="136"/>
      <c r="LN86" s="136"/>
      <c r="LO86" s="136"/>
      <c r="LP86" s="136"/>
      <c r="LQ86" s="136"/>
      <c r="LR86" s="136"/>
      <c r="LS86" s="136"/>
      <c r="LT86" s="136"/>
      <c r="LU86" s="136"/>
      <c r="LV86" s="136"/>
      <c r="LW86" s="136"/>
      <c r="LX86" s="136"/>
      <c r="LY86" s="136"/>
      <c r="LZ86" s="136"/>
      <c r="MA86" s="136"/>
      <c r="MB86" s="136"/>
      <c r="MC86" s="136"/>
      <c r="MD86" s="136"/>
      <c r="ME86" s="136"/>
      <c r="MF86" s="136"/>
      <c r="MG86" s="136"/>
      <c r="MH86" s="136"/>
      <c r="MI86" s="136"/>
      <c r="MJ86" s="136"/>
      <c r="MK86" s="136"/>
      <c r="ML86" s="136"/>
      <c r="MM86" s="136"/>
      <c r="MN86" s="136"/>
      <c r="MO86" s="136"/>
      <c r="MP86" s="136"/>
      <c r="MQ86" s="136"/>
      <c r="MR86" s="136"/>
      <c r="MS86" s="136"/>
      <c r="MT86" s="136"/>
      <c r="MU86" s="136"/>
      <c r="MV86" s="136"/>
      <c r="MW86" s="136"/>
      <c r="MX86" s="136"/>
      <c r="MY86" s="136"/>
      <c r="MZ86" s="136"/>
      <c r="NA86" s="136"/>
      <c r="NB86" s="136"/>
      <c r="NC86" s="136"/>
      <c r="ND86" s="136"/>
      <c r="NE86" s="136"/>
      <c r="NF86" s="136"/>
      <c r="NG86" s="136"/>
      <c r="NH86" s="136"/>
      <c r="NI86" s="136"/>
      <c r="NJ86" s="136"/>
      <c r="NK86" s="136"/>
      <c r="NL86" s="136"/>
      <c r="NM86" s="136"/>
      <c r="NN86" s="136"/>
      <c r="NO86" s="136"/>
      <c r="NP86" s="136"/>
      <c r="NQ86" s="136"/>
      <c r="NR86" s="136"/>
      <c r="NS86" s="136"/>
      <c r="NT86" s="136"/>
      <c r="NU86" s="136"/>
      <c r="NV86" s="136"/>
      <c r="NW86" s="136"/>
      <c r="NX86" s="136"/>
      <c r="NY86" s="136"/>
      <c r="NZ86" s="136"/>
      <c r="OA86" s="136"/>
      <c r="OB86" s="136"/>
      <c r="OC86" s="136"/>
      <c r="OD86" s="136"/>
      <c r="OE86" s="136"/>
      <c r="OF86" s="136"/>
      <c r="OG86" s="136"/>
      <c r="OH86" s="136"/>
      <c r="OI86" s="136"/>
      <c r="OJ86" s="136"/>
      <c r="OK86" s="136"/>
      <c r="OL86" s="136"/>
      <c r="OM86" s="136"/>
      <c r="ON86" s="136"/>
      <c r="OO86" s="136"/>
      <c r="OP86" s="136"/>
      <c r="OQ86" s="136"/>
      <c r="OR86" s="136"/>
      <c r="OS86" s="136"/>
      <c r="OT86" s="136"/>
      <c r="OU86" s="136"/>
      <c r="OV86" s="136"/>
      <c r="OW86" s="136"/>
      <c r="OX86" s="136"/>
      <c r="OY86" s="136"/>
      <c r="OZ86" s="136"/>
      <c r="PA86" s="136"/>
      <c r="PB86" s="136"/>
      <c r="PC86" s="136"/>
      <c r="PD86" s="136"/>
      <c r="PE86" s="136"/>
      <c r="PF86" s="136"/>
      <c r="PG86" s="136"/>
      <c r="PH86" s="136"/>
      <c r="PI86" s="136"/>
      <c r="PJ86" s="136"/>
      <c r="PK86" s="136"/>
      <c r="PL86" s="136"/>
      <c r="PM86" s="136"/>
      <c r="PN86" s="136"/>
      <c r="PO86" s="136"/>
      <c r="PP86" s="136"/>
      <c r="PQ86" s="136"/>
      <c r="PR86" s="136"/>
      <c r="PS86" s="136"/>
      <c r="PT86" s="136"/>
      <c r="PU86" s="136"/>
      <c r="PV86" s="136"/>
      <c r="PW86" s="136"/>
      <c r="PX86" s="136"/>
      <c r="PY86" s="136"/>
      <c r="PZ86" s="136"/>
      <c r="QA86" s="136"/>
      <c r="QB86" s="136"/>
      <c r="QC86" s="136"/>
      <c r="QD86" s="136"/>
      <c r="QE86" s="136"/>
      <c r="QF86" s="136"/>
      <c r="QG86" s="136"/>
      <c r="QH86" s="136"/>
      <c r="QI86" s="136"/>
      <c r="QJ86" s="136"/>
      <c r="QK86" s="136"/>
      <c r="QL86" s="136"/>
      <c r="QM86" s="136"/>
      <c r="QN86" s="136"/>
      <c r="QO86" s="136"/>
      <c r="QP86" s="136"/>
      <c r="QQ86" s="136"/>
      <c r="QR86" s="136"/>
      <c r="QS86" s="136"/>
      <c r="QT86" s="136"/>
      <c r="QU86" s="136"/>
      <c r="QV86" s="136"/>
      <c r="QW86" s="136"/>
      <c r="QX86" s="136"/>
      <c r="QY86" s="136"/>
      <c r="QZ86" s="136"/>
      <c r="RA86" s="136"/>
      <c r="RB86" s="136"/>
      <c r="RC86" s="136"/>
      <c r="RD86" s="136"/>
      <c r="RE86" s="136"/>
      <c r="RF86" s="136"/>
      <c r="RG86" s="136"/>
      <c r="RH86" s="136"/>
      <c r="RI86" s="136"/>
      <c r="RJ86" s="136"/>
      <c r="RK86" s="136"/>
      <c r="RL86" s="136"/>
      <c r="RM86" s="136"/>
      <c r="RN86" s="136"/>
      <c r="RO86" s="136"/>
      <c r="RP86" s="136"/>
      <c r="RQ86" s="136"/>
      <c r="RR86" s="136"/>
      <c r="RS86" s="136"/>
      <c r="RT86" s="136"/>
      <c r="RU86" s="136"/>
      <c r="RV86" s="136"/>
      <c r="RW86" s="136"/>
      <c r="RX86" s="136"/>
      <c r="RY86" s="136"/>
      <c r="RZ86" s="136"/>
      <c r="SA86" s="136"/>
      <c r="SB86" s="136"/>
      <c r="SC86" s="136"/>
      <c r="SD86" s="136"/>
      <c r="SE86" s="136"/>
      <c r="SF86" s="136"/>
      <c r="SG86" s="136"/>
      <c r="SH86" s="136"/>
      <c r="SI86" s="136"/>
      <c r="SJ86" s="136"/>
      <c r="SK86" s="136"/>
      <c r="SL86" s="136"/>
      <c r="SM86" s="136"/>
      <c r="SN86" s="136"/>
      <c r="SO86" s="136"/>
      <c r="SP86" s="136"/>
      <c r="SQ86" s="136"/>
      <c r="SR86" s="136"/>
      <c r="SS86" s="136"/>
    </row>
    <row r="87" spans="14:513" s="135" customFormat="1" ht="14.5" x14ac:dyDescent="0.35"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  <c r="Y87" s="134"/>
      <c r="Z87" s="134"/>
      <c r="AA87" s="134"/>
      <c r="AB87" s="134"/>
      <c r="AC87" s="134"/>
      <c r="AD87" s="134"/>
      <c r="AE87" s="134"/>
      <c r="AF87" s="134"/>
      <c r="DO87" s="136"/>
      <c r="DP87" s="136"/>
      <c r="DQ87" s="136"/>
      <c r="DR87" s="136"/>
      <c r="DS87" s="136"/>
      <c r="DT87" s="136"/>
      <c r="DU87" s="136"/>
      <c r="DV87" s="136"/>
      <c r="DW87" s="136"/>
      <c r="DX87" s="136"/>
      <c r="DY87" s="136"/>
      <c r="DZ87" s="136"/>
      <c r="EA87" s="136"/>
      <c r="EB87" s="136"/>
      <c r="EC87" s="136"/>
      <c r="ED87" s="136"/>
      <c r="EE87" s="136"/>
      <c r="EF87" s="136"/>
      <c r="EG87" s="136"/>
      <c r="EH87" s="136"/>
      <c r="EI87" s="136"/>
      <c r="EJ87" s="136"/>
      <c r="EK87" s="136"/>
      <c r="EL87" s="136"/>
      <c r="EM87" s="136"/>
      <c r="EN87" s="136"/>
      <c r="EO87" s="136"/>
      <c r="EP87" s="136"/>
      <c r="EQ87" s="136"/>
      <c r="ER87" s="136"/>
      <c r="ES87" s="136"/>
      <c r="ET87" s="136"/>
      <c r="EU87" s="136"/>
      <c r="EV87" s="136"/>
      <c r="EW87" s="136"/>
      <c r="EX87" s="136"/>
      <c r="EY87" s="136"/>
      <c r="EZ87" s="136"/>
      <c r="FA87" s="136"/>
      <c r="FB87" s="136"/>
      <c r="FC87" s="136"/>
      <c r="FD87" s="136"/>
      <c r="FE87" s="136"/>
      <c r="FF87" s="136"/>
      <c r="FG87" s="136"/>
      <c r="FH87" s="136"/>
      <c r="FI87" s="136"/>
      <c r="FJ87" s="136"/>
      <c r="FK87" s="136"/>
      <c r="FL87" s="136"/>
      <c r="FM87" s="136"/>
      <c r="FN87" s="136"/>
      <c r="FO87" s="136"/>
      <c r="FP87" s="136"/>
      <c r="FQ87" s="136"/>
      <c r="FR87" s="136"/>
      <c r="FS87" s="136"/>
      <c r="FT87" s="136"/>
      <c r="FU87" s="136"/>
      <c r="FV87" s="136"/>
      <c r="FW87" s="136"/>
      <c r="FX87" s="136"/>
      <c r="FY87" s="136"/>
      <c r="FZ87" s="136"/>
      <c r="GA87" s="136"/>
      <c r="GB87" s="136"/>
      <c r="GC87" s="136"/>
      <c r="GD87" s="136"/>
      <c r="GE87" s="136"/>
      <c r="GF87" s="136"/>
      <c r="GG87" s="136"/>
      <c r="GH87" s="136"/>
      <c r="GI87" s="136"/>
      <c r="GJ87" s="136"/>
      <c r="GK87" s="136"/>
      <c r="GL87" s="136"/>
      <c r="GM87" s="136"/>
      <c r="GN87" s="136"/>
      <c r="GO87" s="136"/>
      <c r="GP87" s="136"/>
      <c r="GQ87" s="136"/>
      <c r="GR87" s="136"/>
      <c r="GS87" s="136"/>
      <c r="GT87" s="136"/>
      <c r="GU87" s="136"/>
      <c r="GV87" s="136"/>
      <c r="GW87" s="136"/>
      <c r="GX87" s="136"/>
      <c r="GY87" s="136"/>
      <c r="GZ87" s="136"/>
      <c r="HA87" s="136"/>
      <c r="HB87" s="136"/>
      <c r="HC87" s="136"/>
      <c r="HD87" s="136"/>
      <c r="HE87" s="136"/>
      <c r="HF87" s="136"/>
      <c r="HG87" s="136"/>
      <c r="HH87" s="136"/>
      <c r="HI87" s="136"/>
      <c r="HJ87" s="136"/>
      <c r="HK87" s="136"/>
      <c r="HL87" s="136"/>
      <c r="HM87" s="136"/>
      <c r="HN87" s="136"/>
      <c r="HO87" s="136"/>
      <c r="HP87" s="136"/>
      <c r="HQ87" s="136"/>
      <c r="HR87" s="136"/>
      <c r="HS87" s="136"/>
      <c r="HT87" s="136"/>
      <c r="HU87" s="136"/>
      <c r="HV87" s="136"/>
      <c r="HW87" s="136"/>
      <c r="HX87" s="136"/>
      <c r="HY87" s="136"/>
      <c r="HZ87" s="136"/>
      <c r="IA87" s="136"/>
      <c r="IB87" s="136"/>
      <c r="IC87" s="136"/>
      <c r="ID87" s="136"/>
      <c r="IE87" s="136"/>
      <c r="IF87" s="136"/>
      <c r="IG87" s="136"/>
      <c r="IH87" s="136"/>
      <c r="II87" s="136"/>
      <c r="IJ87" s="136"/>
      <c r="IK87" s="136"/>
      <c r="IL87" s="136"/>
      <c r="IM87" s="136"/>
      <c r="IN87" s="136"/>
      <c r="IO87" s="136"/>
      <c r="IP87" s="136"/>
      <c r="IQ87" s="136"/>
      <c r="IR87" s="136"/>
      <c r="IS87" s="136"/>
      <c r="IT87" s="136"/>
      <c r="IU87" s="136"/>
      <c r="IV87" s="136"/>
      <c r="IW87" s="136"/>
      <c r="IX87" s="136"/>
      <c r="IY87" s="136"/>
      <c r="IZ87" s="136"/>
      <c r="JA87" s="136"/>
      <c r="JB87" s="136"/>
      <c r="JC87" s="136"/>
      <c r="JD87" s="136"/>
      <c r="JE87" s="136"/>
      <c r="JF87" s="136"/>
      <c r="JG87" s="136"/>
      <c r="JH87" s="136"/>
      <c r="JI87" s="136"/>
      <c r="JJ87" s="136"/>
      <c r="JK87" s="136"/>
      <c r="JL87" s="136"/>
      <c r="JM87" s="136"/>
      <c r="JN87" s="136"/>
      <c r="JO87" s="136"/>
      <c r="JP87" s="136"/>
      <c r="JQ87" s="136"/>
      <c r="JR87" s="136"/>
      <c r="JS87" s="136"/>
      <c r="JT87" s="136"/>
      <c r="JU87" s="136"/>
      <c r="JV87" s="136"/>
      <c r="JW87" s="136"/>
      <c r="JX87" s="136"/>
      <c r="JY87" s="136"/>
      <c r="JZ87" s="136"/>
      <c r="KA87" s="136"/>
      <c r="KB87" s="136"/>
      <c r="KC87" s="136"/>
      <c r="KD87" s="136"/>
      <c r="KE87" s="136"/>
      <c r="KF87" s="136"/>
      <c r="KG87" s="136"/>
      <c r="KH87" s="136"/>
      <c r="KI87" s="136"/>
      <c r="KJ87" s="136"/>
      <c r="KK87" s="136"/>
      <c r="KL87" s="136"/>
      <c r="KM87" s="136"/>
      <c r="KN87" s="136"/>
      <c r="KO87" s="136"/>
      <c r="KP87" s="136"/>
      <c r="KQ87" s="136"/>
      <c r="KR87" s="136"/>
      <c r="KS87" s="136"/>
      <c r="KT87" s="136"/>
      <c r="KU87" s="136"/>
      <c r="KV87" s="136"/>
      <c r="KW87" s="136"/>
      <c r="KX87" s="136"/>
      <c r="KY87" s="136"/>
      <c r="KZ87" s="136"/>
      <c r="LA87" s="136"/>
      <c r="LB87" s="136"/>
      <c r="LC87" s="136"/>
      <c r="LD87" s="136"/>
      <c r="LE87" s="136"/>
      <c r="LF87" s="136"/>
      <c r="LG87" s="136"/>
      <c r="LH87" s="136"/>
      <c r="LI87" s="136"/>
      <c r="LJ87" s="136"/>
      <c r="LK87" s="136"/>
      <c r="LL87" s="136"/>
      <c r="LM87" s="136"/>
      <c r="LN87" s="136"/>
      <c r="LO87" s="136"/>
      <c r="LP87" s="136"/>
      <c r="LQ87" s="136"/>
      <c r="LR87" s="136"/>
      <c r="LS87" s="136"/>
      <c r="LT87" s="136"/>
      <c r="LU87" s="136"/>
      <c r="LV87" s="136"/>
      <c r="LW87" s="136"/>
      <c r="LX87" s="136"/>
      <c r="LY87" s="136"/>
      <c r="LZ87" s="136"/>
      <c r="MA87" s="136"/>
      <c r="MB87" s="136"/>
      <c r="MC87" s="136"/>
      <c r="MD87" s="136"/>
      <c r="ME87" s="136"/>
      <c r="MF87" s="136"/>
      <c r="MG87" s="136"/>
      <c r="MH87" s="136"/>
      <c r="MI87" s="136"/>
      <c r="MJ87" s="136"/>
      <c r="MK87" s="136"/>
      <c r="ML87" s="136"/>
      <c r="MM87" s="136"/>
      <c r="MN87" s="136"/>
      <c r="MO87" s="136"/>
      <c r="MP87" s="136"/>
      <c r="MQ87" s="136"/>
      <c r="MR87" s="136"/>
      <c r="MS87" s="136"/>
      <c r="MT87" s="136"/>
      <c r="MU87" s="136"/>
      <c r="MV87" s="136"/>
      <c r="MW87" s="136"/>
      <c r="MX87" s="136"/>
      <c r="MY87" s="136"/>
      <c r="MZ87" s="136"/>
      <c r="NA87" s="136"/>
      <c r="NB87" s="136"/>
      <c r="NC87" s="136"/>
      <c r="ND87" s="136"/>
      <c r="NE87" s="136"/>
      <c r="NF87" s="136"/>
      <c r="NG87" s="136"/>
      <c r="NH87" s="136"/>
      <c r="NI87" s="136"/>
      <c r="NJ87" s="136"/>
      <c r="NK87" s="136"/>
      <c r="NL87" s="136"/>
      <c r="NM87" s="136"/>
      <c r="NN87" s="136"/>
      <c r="NO87" s="136"/>
      <c r="NP87" s="136"/>
      <c r="NQ87" s="136"/>
      <c r="NR87" s="136"/>
      <c r="NS87" s="136"/>
      <c r="NT87" s="136"/>
      <c r="NU87" s="136"/>
      <c r="NV87" s="136"/>
      <c r="NW87" s="136"/>
      <c r="NX87" s="136"/>
      <c r="NY87" s="136"/>
      <c r="NZ87" s="136"/>
      <c r="OA87" s="136"/>
      <c r="OB87" s="136"/>
      <c r="OC87" s="136"/>
      <c r="OD87" s="136"/>
      <c r="OE87" s="136"/>
      <c r="OF87" s="136"/>
      <c r="OG87" s="136"/>
      <c r="OH87" s="136"/>
      <c r="OI87" s="136"/>
      <c r="OJ87" s="136"/>
      <c r="OK87" s="136"/>
      <c r="OL87" s="136"/>
      <c r="OM87" s="136"/>
      <c r="ON87" s="136"/>
      <c r="OO87" s="136"/>
      <c r="OP87" s="136"/>
      <c r="OQ87" s="136"/>
      <c r="OR87" s="136"/>
      <c r="OS87" s="136"/>
      <c r="OT87" s="136"/>
      <c r="OU87" s="136"/>
      <c r="OV87" s="136"/>
      <c r="OW87" s="136"/>
      <c r="OX87" s="136"/>
      <c r="OY87" s="136"/>
      <c r="OZ87" s="136"/>
      <c r="PA87" s="136"/>
      <c r="PB87" s="136"/>
      <c r="PC87" s="136"/>
      <c r="PD87" s="136"/>
      <c r="PE87" s="136"/>
      <c r="PF87" s="136"/>
      <c r="PG87" s="136"/>
      <c r="PH87" s="136"/>
      <c r="PI87" s="136"/>
      <c r="PJ87" s="136"/>
      <c r="PK87" s="136"/>
      <c r="PL87" s="136"/>
      <c r="PM87" s="136"/>
      <c r="PN87" s="136"/>
      <c r="PO87" s="136"/>
      <c r="PP87" s="136"/>
      <c r="PQ87" s="136"/>
      <c r="PR87" s="136"/>
      <c r="PS87" s="136"/>
      <c r="PT87" s="136"/>
      <c r="PU87" s="136"/>
      <c r="PV87" s="136"/>
      <c r="PW87" s="136"/>
      <c r="PX87" s="136"/>
      <c r="PY87" s="136"/>
      <c r="PZ87" s="136"/>
      <c r="QA87" s="136"/>
      <c r="QB87" s="136"/>
      <c r="QC87" s="136"/>
      <c r="QD87" s="136"/>
      <c r="QE87" s="136"/>
      <c r="QF87" s="136"/>
      <c r="QG87" s="136"/>
      <c r="QH87" s="136"/>
      <c r="QI87" s="136"/>
      <c r="QJ87" s="136"/>
      <c r="QK87" s="136"/>
      <c r="QL87" s="136"/>
      <c r="QM87" s="136"/>
      <c r="QN87" s="136"/>
      <c r="QO87" s="136"/>
      <c r="QP87" s="136"/>
      <c r="QQ87" s="136"/>
      <c r="QR87" s="136"/>
      <c r="QS87" s="136"/>
      <c r="QT87" s="136"/>
      <c r="QU87" s="136"/>
      <c r="QV87" s="136"/>
      <c r="QW87" s="136"/>
      <c r="QX87" s="136"/>
      <c r="QY87" s="136"/>
      <c r="QZ87" s="136"/>
      <c r="RA87" s="136"/>
      <c r="RB87" s="136"/>
      <c r="RC87" s="136"/>
      <c r="RD87" s="136"/>
      <c r="RE87" s="136"/>
      <c r="RF87" s="136"/>
      <c r="RG87" s="136"/>
      <c r="RH87" s="136"/>
      <c r="RI87" s="136"/>
      <c r="RJ87" s="136"/>
      <c r="RK87" s="136"/>
      <c r="RL87" s="136"/>
      <c r="RM87" s="136"/>
      <c r="RN87" s="136"/>
      <c r="RO87" s="136"/>
      <c r="RP87" s="136"/>
      <c r="RQ87" s="136"/>
      <c r="RR87" s="136"/>
      <c r="RS87" s="136"/>
      <c r="RT87" s="136"/>
      <c r="RU87" s="136"/>
      <c r="RV87" s="136"/>
      <c r="RW87" s="136"/>
      <c r="RX87" s="136"/>
      <c r="RY87" s="136"/>
      <c r="RZ87" s="136"/>
      <c r="SA87" s="136"/>
      <c r="SB87" s="136"/>
      <c r="SC87" s="136"/>
      <c r="SD87" s="136"/>
      <c r="SE87" s="136"/>
      <c r="SF87" s="136"/>
      <c r="SG87" s="136"/>
      <c r="SH87" s="136"/>
      <c r="SI87" s="136"/>
      <c r="SJ87" s="136"/>
      <c r="SK87" s="136"/>
      <c r="SL87" s="136"/>
      <c r="SM87" s="136"/>
      <c r="SN87" s="136"/>
      <c r="SO87" s="136"/>
      <c r="SP87" s="136"/>
      <c r="SQ87" s="136"/>
      <c r="SR87" s="136"/>
      <c r="SS87" s="136"/>
    </row>
    <row r="88" spans="14:513" s="135" customFormat="1" ht="14.5" x14ac:dyDescent="0.35"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/>
      <c r="AA88" s="134"/>
      <c r="AB88" s="134"/>
      <c r="AC88" s="134"/>
      <c r="AD88" s="134"/>
      <c r="AE88" s="134"/>
      <c r="AF88" s="134"/>
      <c r="DO88" s="136"/>
      <c r="DP88" s="136"/>
      <c r="DQ88" s="136"/>
      <c r="DR88" s="136"/>
      <c r="DS88" s="136"/>
      <c r="DT88" s="136"/>
      <c r="DU88" s="136"/>
      <c r="DV88" s="136"/>
      <c r="DW88" s="136"/>
      <c r="DX88" s="136"/>
      <c r="DY88" s="136"/>
      <c r="DZ88" s="136"/>
      <c r="EA88" s="136"/>
      <c r="EB88" s="136"/>
      <c r="EC88" s="136"/>
      <c r="ED88" s="136"/>
      <c r="EE88" s="136"/>
      <c r="EF88" s="136"/>
      <c r="EG88" s="136"/>
      <c r="EH88" s="136"/>
      <c r="EI88" s="136"/>
      <c r="EJ88" s="136"/>
      <c r="EK88" s="136"/>
      <c r="EL88" s="136"/>
      <c r="EM88" s="136"/>
      <c r="EN88" s="136"/>
      <c r="EO88" s="136"/>
      <c r="EP88" s="136"/>
      <c r="EQ88" s="136"/>
      <c r="ER88" s="136"/>
      <c r="ES88" s="136"/>
      <c r="ET88" s="136"/>
      <c r="EU88" s="136"/>
      <c r="EV88" s="136"/>
      <c r="EW88" s="136"/>
      <c r="EX88" s="136"/>
      <c r="EY88" s="136"/>
      <c r="EZ88" s="136"/>
      <c r="FA88" s="136"/>
      <c r="FB88" s="136"/>
      <c r="FC88" s="136"/>
      <c r="FD88" s="136"/>
      <c r="FE88" s="136"/>
      <c r="FF88" s="136"/>
      <c r="FG88" s="136"/>
      <c r="FH88" s="136"/>
      <c r="FI88" s="136"/>
      <c r="FJ88" s="136"/>
      <c r="FK88" s="136"/>
      <c r="FL88" s="136"/>
      <c r="FM88" s="136"/>
      <c r="FN88" s="136"/>
      <c r="FO88" s="136"/>
      <c r="FP88" s="136"/>
      <c r="FQ88" s="136"/>
      <c r="FR88" s="136"/>
      <c r="FS88" s="136"/>
      <c r="FT88" s="136"/>
      <c r="FU88" s="136"/>
      <c r="FV88" s="136"/>
      <c r="FW88" s="136"/>
      <c r="FX88" s="136"/>
      <c r="FY88" s="136"/>
      <c r="FZ88" s="136"/>
      <c r="GA88" s="136"/>
      <c r="GB88" s="136"/>
      <c r="GC88" s="136"/>
      <c r="GD88" s="136"/>
      <c r="GE88" s="136"/>
      <c r="GF88" s="136"/>
      <c r="GG88" s="136"/>
      <c r="GH88" s="136"/>
      <c r="GI88" s="136"/>
      <c r="GJ88" s="136"/>
      <c r="GK88" s="136"/>
      <c r="GL88" s="136"/>
      <c r="GM88" s="136"/>
      <c r="GN88" s="136"/>
      <c r="GO88" s="136"/>
      <c r="GP88" s="136"/>
      <c r="GQ88" s="136"/>
      <c r="GR88" s="136"/>
      <c r="GS88" s="136"/>
      <c r="GT88" s="136"/>
      <c r="GU88" s="136"/>
      <c r="GV88" s="136"/>
      <c r="GW88" s="136"/>
      <c r="GX88" s="136"/>
      <c r="GY88" s="136"/>
      <c r="GZ88" s="136"/>
      <c r="HA88" s="136"/>
      <c r="HB88" s="136"/>
      <c r="HC88" s="136"/>
      <c r="HD88" s="136"/>
      <c r="HE88" s="136"/>
      <c r="HF88" s="136"/>
      <c r="HG88" s="136"/>
      <c r="HH88" s="136"/>
      <c r="HI88" s="136"/>
      <c r="HJ88" s="136"/>
      <c r="HK88" s="136"/>
      <c r="HL88" s="136"/>
      <c r="HM88" s="136"/>
      <c r="HN88" s="136"/>
      <c r="HO88" s="136"/>
      <c r="HP88" s="136"/>
      <c r="HQ88" s="136"/>
      <c r="HR88" s="136"/>
      <c r="HS88" s="136"/>
      <c r="HT88" s="136"/>
      <c r="HU88" s="136"/>
      <c r="HV88" s="136"/>
      <c r="HW88" s="136"/>
      <c r="HX88" s="136"/>
      <c r="HY88" s="136"/>
      <c r="HZ88" s="136"/>
      <c r="IA88" s="136"/>
      <c r="IB88" s="136"/>
      <c r="IC88" s="136"/>
      <c r="ID88" s="136"/>
      <c r="IE88" s="136"/>
      <c r="IF88" s="136"/>
      <c r="IG88" s="136"/>
      <c r="IH88" s="136"/>
      <c r="II88" s="136"/>
      <c r="IJ88" s="136"/>
      <c r="IK88" s="136"/>
      <c r="IL88" s="136"/>
      <c r="IM88" s="136"/>
      <c r="IN88" s="136"/>
      <c r="IO88" s="136"/>
      <c r="IP88" s="136"/>
      <c r="IQ88" s="136"/>
      <c r="IR88" s="136"/>
      <c r="IS88" s="136"/>
      <c r="IT88" s="136"/>
      <c r="IU88" s="136"/>
      <c r="IV88" s="136"/>
      <c r="IW88" s="136"/>
      <c r="IX88" s="136"/>
      <c r="IY88" s="136"/>
      <c r="IZ88" s="136"/>
      <c r="JA88" s="136"/>
      <c r="JB88" s="136"/>
      <c r="JC88" s="136"/>
      <c r="JD88" s="136"/>
      <c r="JE88" s="136"/>
      <c r="JF88" s="136"/>
      <c r="JG88" s="136"/>
      <c r="JH88" s="136"/>
      <c r="JI88" s="136"/>
      <c r="JJ88" s="136"/>
      <c r="JK88" s="136"/>
      <c r="JL88" s="136"/>
      <c r="JM88" s="136"/>
      <c r="JN88" s="136"/>
      <c r="JO88" s="136"/>
      <c r="JP88" s="136"/>
      <c r="JQ88" s="136"/>
      <c r="JR88" s="136"/>
      <c r="JS88" s="136"/>
      <c r="JT88" s="136"/>
      <c r="JU88" s="136"/>
      <c r="JV88" s="136"/>
      <c r="JW88" s="136"/>
      <c r="JX88" s="136"/>
      <c r="JY88" s="136"/>
      <c r="JZ88" s="136"/>
      <c r="KA88" s="136"/>
      <c r="KB88" s="136"/>
      <c r="KC88" s="136"/>
      <c r="KD88" s="136"/>
      <c r="KE88" s="136"/>
      <c r="KF88" s="136"/>
      <c r="KG88" s="136"/>
      <c r="KH88" s="136"/>
      <c r="KI88" s="136"/>
      <c r="KJ88" s="136"/>
      <c r="KK88" s="136"/>
      <c r="KL88" s="136"/>
      <c r="KM88" s="136"/>
      <c r="KN88" s="136"/>
      <c r="KO88" s="136"/>
      <c r="KP88" s="136"/>
      <c r="KQ88" s="136"/>
      <c r="KR88" s="136"/>
      <c r="KS88" s="136"/>
      <c r="KT88" s="136"/>
      <c r="KU88" s="136"/>
      <c r="KV88" s="136"/>
      <c r="KW88" s="136"/>
      <c r="KX88" s="136"/>
      <c r="KY88" s="136"/>
      <c r="KZ88" s="136"/>
      <c r="LA88" s="136"/>
      <c r="LB88" s="136"/>
      <c r="LC88" s="136"/>
      <c r="LD88" s="136"/>
      <c r="LE88" s="136"/>
      <c r="LF88" s="136"/>
      <c r="LG88" s="136"/>
      <c r="LH88" s="136"/>
      <c r="LI88" s="136"/>
      <c r="LJ88" s="136"/>
      <c r="LK88" s="136"/>
      <c r="LL88" s="136"/>
      <c r="LM88" s="136"/>
      <c r="LN88" s="136"/>
      <c r="LO88" s="136"/>
      <c r="LP88" s="136"/>
      <c r="LQ88" s="136"/>
      <c r="LR88" s="136"/>
      <c r="LS88" s="136"/>
      <c r="LT88" s="136"/>
      <c r="LU88" s="136"/>
      <c r="LV88" s="136"/>
      <c r="LW88" s="136"/>
      <c r="LX88" s="136"/>
      <c r="LY88" s="136"/>
      <c r="LZ88" s="136"/>
      <c r="MA88" s="136"/>
      <c r="MB88" s="136"/>
      <c r="MC88" s="136"/>
      <c r="MD88" s="136"/>
      <c r="ME88" s="136"/>
      <c r="MF88" s="136"/>
      <c r="MG88" s="136"/>
      <c r="MH88" s="136"/>
      <c r="MI88" s="136"/>
      <c r="MJ88" s="136"/>
      <c r="MK88" s="136"/>
      <c r="ML88" s="136"/>
      <c r="MM88" s="136"/>
      <c r="MN88" s="136"/>
      <c r="MO88" s="136"/>
      <c r="MP88" s="136"/>
      <c r="MQ88" s="136"/>
      <c r="MR88" s="136"/>
      <c r="MS88" s="136"/>
      <c r="MT88" s="136"/>
      <c r="MU88" s="136"/>
      <c r="MV88" s="136"/>
      <c r="MW88" s="136"/>
      <c r="MX88" s="136"/>
      <c r="MY88" s="136"/>
      <c r="MZ88" s="136"/>
      <c r="NA88" s="136"/>
      <c r="NB88" s="136"/>
      <c r="NC88" s="136"/>
      <c r="ND88" s="136"/>
      <c r="NE88" s="136"/>
      <c r="NF88" s="136"/>
      <c r="NG88" s="136"/>
      <c r="NH88" s="136"/>
      <c r="NI88" s="136"/>
      <c r="NJ88" s="136"/>
      <c r="NK88" s="136"/>
      <c r="NL88" s="136"/>
      <c r="NM88" s="136"/>
      <c r="NN88" s="136"/>
      <c r="NO88" s="136"/>
      <c r="NP88" s="136"/>
      <c r="NQ88" s="136"/>
      <c r="NR88" s="136"/>
      <c r="NS88" s="136"/>
      <c r="NT88" s="136"/>
      <c r="NU88" s="136"/>
      <c r="NV88" s="136"/>
      <c r="NW88" s="136"/>
      <c r="NX88" s="136"/>
      <c r="NY88" s="136"/>
      <c r="NZ88" s="136"/>
      <c r="OA88" s="136"/>
      <c r="OB88" s="136"/>
      <c r="OC88" s="136"/>
      <c r="OD88" s="136"/>
      <c r="OE88" s="136"/>
      <c r="OF88" s="136"/>
      <c r="OG88" s="136"/>
      <c r="OH88" s="136"/>
      <c r="OI88" s="136"/>
      <c r="OJ88" s="136"/>
      <c r="OK88" s="136"/>
      <c r="OL88" s="136"/>
      <c r="OM88" s="136"/>
      <c r="ON88" s="136"/>
      <c r="OO88" s="136"/>
      <c r="OP88" s="136"/>
      <c r="OQ88" s="136"/>
      <c r="OR88" s="136"/>
      <c r="OS88" s="136"/>
      <c r="OT88" s="136"/>
      <c r="OU88" s="136"/>
      <c r="OV88" s="136"/>
      <c r="OW88" s="136"/>
      <c r="OX88" s="136"/>
      <c r="OY88" s="136"/>
      <c r="OZ88" s="136"/>
      <c r="PA88" s="136"/>
      <c r="PB88" s="136"/>
      <c r="PC88" s="136"/>
      <c r="PD88" s="136"/>
      <c r="PE88" s="136"/>
      <c r="PF88" s="136"/>
      <c r="PG88" s="136"/>
      <c r="PH88" s="136"/>
      <c r="PI88" s="136"/>
      <c r="PJ88" s="136"/>
      <c r="PK88" s="136"/>
      <c r="PL88" s="136"/>
      <c r="PM88" s="136"/>
      <c r="PN88" s="136"/>
      <c r="PO88" s="136"/>
      <c r="PP88" s="136"/>
      <c r="PQ88" s="136"/>
      <c r="PR88" s="136"/>
      <c r="PS88" s="136"/>
      <c r="PT88" s="136"/>
      <c r="PU88" s="136"/>
      <c r="PV88" s="136"/>
      <c r="PW88" s="136"/>
      <c r="PX88" s="136"/>
      <c r="PY88" s="136"/>
      <c r="PZ88" s="136"/>
      <c r="QA88" s="136"/>
      <c r="QB88" s="136"/>
      <c r="QC88" s="136"/>
      <c r="QD88" s="136"/>
      <c r="QE88" s="136"/>
      <c r="QF88" s="136"/>
      <c r="QG88" s="136"/>
      <c r="QH88" s="136"/>
      <c r="QI88" s="136"/>
      <c r="QJ88" s="136"/>
      <c r="QK88" s="136"/>
      <c r="QL88" s="136"/>
      <c r="QM88" s="136"/>
      <c r="QN88" s="136"/>
      <c r="QO88" s="136"/>
      <c r="QP88" s="136"/>
      <c r="QQ88" s="136"/>
      <c r="QR88" s="136"/>
      <c r="QS88" s="136"/>
      <c r="QT88" s="136"/>
      <c r="QU88" s="136"/>
      <c r="QV88" s="136"/>
      <c r="QW88" s="136"/>
      <c r="QX88" s="136"/>
      <c r="QY88" s="136"/>
      <c r="QZ88" s="136"/>
      <c r="RA88" s="136"/>
      <c r="RB88" s="136"/>
      <c r="RC88" s="136"/>
      <c r="RD88" s="136"/>
      <c r="RE88" s="136"/>
      <c r="RF88" s="136"/>
      <c r="RG88" s="136"/>
      <c r="RH88" s="136"/>
      <c r="RI88" s="136"/>
      <c r="RJ88" s="136"/>
      <c r="RK88" s="136"/>
      <c r="RL88" s="136"/>
      <c r="RM88" s="136"/>
      <c r="RN88" s="136"/>
      <c r="RO88" s="136"/>
      <c r="RP88" s="136"/>
      <c r="RQ88" s="136"/>
      <c r="RR88" s="136"/>
      <c r="RS88" s="136"/>
      <c r="RT88" s="136"/>
      <c r="RU88" s="136"/>
      <c r="RV88" s="136"/>
      <c r="RW88" s="136"/>
      <c r="RX88" s="136"/>
      <c r="RY88" s="136"/>
      <c r="RZ88" s="136"/>
      <c r="SA88" s="136"/>
      <c r="SB88" s="136"/>
      <c r="SC88" s="136"/>
      <c r="SD88" s="136"/>
      <c r="SE88" s="136"/>
      <c r="SF88" s="136"/>
      <c r="SG88" s="136"/>
      <c r="SH88" s="136"/>
      <c r="SI88" s="136"/>
      <c r="SJ88" s="136"/>
      <c r="SK88" s="136"/>
      <c r="SL88" s="136"/>
      <c r="SM88" s="136"/>
      <c r="SN88" s="136"/>
      <c r="SO88" s="136"/>
      <c r="SP88" s="136"/>
      <c r="SQ88" s="136"/>
      <c r="SR88" s="136"/>
      <c r="SS88" s="136"/>
    </row>
    <row r="89" spans="14:513" s="135" customFormat="1" ht="14.5" x14ac:dyDescent="0.35"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  <c r="Y89" s="134"/>
      <c r="Z89" s="134"/>
      <c r="AA89" s="134"/>
      <c r="AB89" s="134"/>
      <c r="AC89" s="134"/>
      <c r="AD89" s="134"/>
      <c r="AE89" s="134"/>
      <c r="AF89" s="134"/>
      <c r="DO89" s="136"/>
      <c r="DP89" s="136"/>
      <c r="DQ89" s="136"/>
      <c r="DR89" s="136"/>
      <c r="DS89" s="136"/>
      <c r="DT89" s="136"/>
      <c r="DU89" s="136"/>
      <c r="DV89" s="136"/>
      <c r="DW89" s="136"/>
      <c r="DX89" s="136"/>
      <c r="DY89" s="136"/>
      <c r="DZ89" s="136"/>
      <c r="EA89" s="136"/>
      <c r="EB89" s="136"/>
      <c r="EC89" s="136"/>
      <c r="ED89" s="136"/>
      <c r="EE89" s="136"/>
      <c r="EF89" s="136"/>
      <c r="EG89" s="136"/>
      <c r="EH89" s="136"/>
      <c r="EI89" s="136"/>
      <c r="EJ89" s="136"/>
      <c r="EK89" s="136"/>
      <c r="EL89" s="136"/>
      <c r="EM89" s="136"/>
      <c r="EN89" s="136"/>
      <c r="EO89" s="136"/>
      <c r="EP89" s="136"/>
      <c r="EQ89" s="136"/>
      <c r="ER89" s="136"/>
      <c r="ES89" s="136"/>
      <c r="ET89" s="136"/>
      <c r="EU89" s="136"/>
      <c r="EV89" s="136"/>
      <c r="EW89" s="136"/>
      <c r="EX89" s="136"/>
      <c r="EY89" s="136"/>
      <c r="EZ89" s="136"/>
      <c r="FA89" s="136"/>
      <c r="FB89" s="136"/>
      <c r="FC89" s="136"/>
      <c r="FD89" s="136"/>
      <c r="FE89" s="136"/>
      <c r="FF89" s="136"/>
      <c r="FG89" s="136"/>
      <c r="FH89" s="136"/>
      <c r="FI89" s="136"/>
      <c r="FJ89" s="136"/>
      <c r="FK89" s="136"/>
      <c r="FL89" s="136"/>
      <c r="FM89" s="136"/>
      <c r="FN89" s="136"/>
      <c r="FO89" s="136"/>
      <c r="FP89" s="136"/>
      <c r="FQ89" s="136"/>
      <c r="FR89" s="136"/>
      <c r="FS89" s="136"/>
      <c r="FT89" s="136"/>
      <c r="FU89" s="136"/>
      <c r="FV89" s="136"/>
      <c r="FW89" s="136"/>
      <c r="FX89" s="136"/>
      <c r="FY89" s="136"/>
      <c r="FZ89" s="136"/>
      <c r="GA89" s="136"/>
      <c r="GB89" s="136"/>
      <c r="GC89" s="136"/>
      <c r="GD89" s="136"/>
      <c r="GE89" s="136"/>
      <c r="GF89" s="136"/>
      <c r="GG89" s="136"/>
      <c r="GH89" s="136"/>
      <c r="GI89" s="136"/>
      <c r="GJ89" s="136"/>
      <c r="GK89" s="136"/>
      <c r="GL89" s="136"/>
      <c r="GM89" s="136"/>
      <c r="GN89" s="136"/>
      <c r="GO89" s="136"/>
      <c r="GP89" s="136"/>
      <c r="GQ89" s="136"/>
      <c r="GR89" s="136"/>
      <c r="GS89" s="136"/>
      <c r="GT89" s="136"/>
      <c r="GU89" s="136"/>
      <c r="GV89" s="136"/>
      <c r="GW89" s="136"/>
      <c r="GX89" s="136"/>
      <c r="GY89" s="136"/>
      <c r="GZ89" s="136"/>
      <c r="HA89" s="136"/>
      <c r="HB89" s="136"/>
      <c r="HC89" s="136"/>
      <c r="HD89" s="136"/>
      <c r="HE89" s="136"/>
      <c r="HF89" s="136"/>
      <c r="HG89" s="136"/>
      <c r="HH89" s="136"/>
      <c r="HI89" s="136"/>
      <c r="HJ89" s="136"/>
      <c r="HK89" s="136"/>
      <c r="HL89" s="136"/>
      <c r="HM89" s="136"/>
      <c r="HN89" s="136"/>
      <c r="HO89" s="136"/>
      <c r="HP89" s="136"/>
      <c r="HQ89" s="136"/>
      <c r="HR89" s="136"/>
      <c r="HS89" s="136"/>
      <c r="HT89" s="136"/>
      <c r="HU89" s="136"/>
      <c r="HV89" s="136"/>
      <c r="HW89" s="136"/>
      <c r="HX89" s="136"/>
      <c r="HY89" s="136"/>
      <c r="HZ89" s="136"/>
      <c r="IA89" s="136"/>
      <c r="IB89" s="136"/>
      <c r="IC89" s="136"/>
      <c r="ID89" s="136"/>
      <c r="IE89" s="136"/>
      <c r="IF89" s="136"/>
      <c r="IG89" s="136"/>
      <c r="IH89" s="136"/>
      <c r="II89" s="136"/>
      <c r="IJ89" s="136"/>
      <c r="IK89" s="136"/>
      <c r="IL89" s="136"/>
      <c r="IM89" s="136"/>
      <c r="IN89" s="136"/>
      <c r="IO89" s="136"/>
      <c r="IP89" s="136"/>
      <c r="IQ89" s="136"/>
      <c r="IR89" s="136"/>
      <c r="IS89" s="136"/>
      <c r="IT89" s="136"/>
      <c r="IU89" s="136"/>
      <c r="IV89" s="136"/>
      <c r="IW89" s="136"/>
      <c r="IX89" s="136"/>
      <c r="IY89" s="136"/>
      <c r="IZ89" s="136"/>
      <c r="JA89" s="136"/>
      <c r="JB89" s="136"/>
      <c r="JC89" s="136"/>
      <c r="JD89" s="136"/>
      <c r="JE89" s="136"/>
      <c r="JF89" s="136"/>
      <c r="JG89" s="136"/>
      <c r="JH89" s="136"/>
      <c r="JI89" s="136"/>
      <c r="JJ89" s="136"/>
      <c r="JK89" s="136"/>
      <c r="JL89" s="136"/>
      <c r="JM89" s="136"/>
      <c r="JN89" s="136"/>
      <c r="JO89" s="136"/>
      <c r="JP89" s="136"/>
      <c r="JQ89" s="136"/>
      <c r="JR89" s="136"/>
      <c r="JS89" s="136"/>
      <c r="JT89" s="136"/>
      <c r="JU89" s="136"/>
      <c r="JV89" s="136"/>
      <c r="JW89" s="136"/>
      <c r="JX89" s="136"/>
      <c r="JY89" s="136"/>
      <c r="JZ89" s="136"/>
      <c r="KA89" s="136"/>
      <c r="KB89" s="136"/>
      <c r="KC89" s="136"/>
      <c r="KD89" s="136"/>
      <c r="KE89" s="136"/>
      <c r="KF89" s="136"/>
      <c r="KG89" s="136"/>
      <c r="KH89" s="136"/>
      <c r="KI89" s="136"/>
      <c r="KJ89" s="136"/>
      <c r="KK89" s="136"/>
      <c r="KL89" s="136"/>
      <c r="KM89" s="136"/>
      <c r="KN89" s="136"/>
      <c r="KO89" s="136"/>
      <c r="KP89" s="136"/>
      <c r="KQ89" s="136"/>
      <c r="KR89" s="136"/>
      <c r="KS89" s="136"/>
      <c r="KT89" s="136"/>
      <c r="KU89" s="136"/>
      <c r="KV89" s="136"/>
      <c r="KW89" s="136"/>
      <c r="KX89" s="136"/>
      <c r="KY89" s="136"/>
      <c r="KZ89" s="136"/>
      <c r="LA89" s="136"/>
      <c r="LB89" s="136"/>
      <c r="LC89" s="136"/>
      <c r="LD89" s="136"/>
      <c r="LE89" s="136"/>
      <c r="LF89" s="136"/>
      <c r="LG89" s="136"/>
      <c r="LH89" s="136"/>
      <c r="LI89" s="136"/>
      <c r="LJ89" s="136"/>
      <c r="LK89" s="136"/>
      <c r="LL89" s="136"/>
      <c r="LM89" s="136"/>
      <c r="LN89" s="136"/>
      <c r="LO89" s="136"/>
      <c r="LP89" s="136"/>
      <c r="LQ89" s="136"/>
      <c r="LR89" s="136"/>
      <c r="LS89" s="136"/>
      <c r="LT89" s="136"/>
      <c r="LU89" s="136"/>
      <c r="LV89" s="136"/>
      <c r="LW89" s="136"/>
      <c r="LX89" s="136"/>
      <c r="LY89" s="136"/>
      <c r="LZ89" s="136"/>
      <c r="MA89" s="136"/>
      <c r="MB89" s="136"/>
      <c r="MC89" s="136"/>
      <c r="MD89" s="136"/>
      <c r="ME89" s="136"/>
      <c r="MF89" s="136"/>
      <c r="MG89" s="136"/>
      <c r="MH89" s="136"/>
      <c r="MI89" s="136"/>
      <c r="MJ89" s="136"/>
      <c r="MK89" s="136"/>
      <c r="ML89" s="136"/>
      <c r="MM89" s="136"/>
      <c r="MN89" s="136"/>
      <c r="MO89" s="136"/>
      <c r="MP89" s="136"/>
      <c r="MQ89" s="136"/>
      <c r="MR89" s="136"/>
      <c r="MS89" s="136"/>
      <c r="MT89" s="136"/>
      <c r="MU89" s="136"/>
      <c r="MV89" s="136"/>
      <c r="MW89" s="136"/>
      <c r="MX89" s="136"/>
      <c r="MY89" s="136"/>
      <c r="MZ89" s="136"/>
      <c r="NA89" s="136"/>
      <c r="NB89" s="136"/>
      <c r="NC89" s="136"/>
      <c r="ND89" s="136"/>
      <c r="NE89" s="136"/>
      <c r="NF89" s="136"/>
      <c r="NG89" s="136"/>
      <c r="NH89" s="136"/>
      <c r="NI89" s="136"/>
      <c r="NJ89" s="136"/>
      <c r="NK89" s="136"/>
      <c r="NL89" s="136"/>
      <c r="NM89" s="136"/>
      <c r="NN89" s="136"/>
      <c r="NO89" s="136"/>
      <c r="NP89" s="136"/>
      <c r="NQ89" s="136"/>
      <c r="NR89" s="136"/>
      <c r="NS89" s="136"/>
      <c r="NT89" s="136"/>
      <c r="NU89" s="136"/>
      <c r="NV89" s="136"/>
      <c r="NW89" s="136"/>
      <c r="NX89" s="136"/>
      <c r="NY89" s="136"/>
      <c r="NZ89" s="136"/>
      <c r="OA89" s="136"/>
      <c r="OB89" s="136"/>
      <c r="OC89" s="136"/>
      <c r="OD89" s="136"/>
      <c r="OE89" s="136"/>
      <c r="OF89" s="136"/>
      <c r="OG89" s="136"/>
      <c r="OH89" s="136"/>
      <c r="OI89" s="136"/>
      <c r="OJ89" s="136"/>
      <c r="OK89" s="136"/>
      <c r="OL89" s="136"/>
      <c r="OM89" s="136"/>
      <c r="ON89" s="136"/>
      <c r="OO89" s="136"/>
      <c r="OP89" s="136"/>
      <c r="OQ89" s="136"/>
      <c r="OR89" s="136"/>
      <c r="OS89" s="136"/>
      <c r="OT89" s="136"/>
      <c r="OU89" s="136"/>
      <c r="OV89" s="136"/>
      <c r="OW89" s="136"/>
      <c r="OX89" s="136"/>
      <c r="OY89" s="136"/>
      <c r="OZ89" s="136"/>
      <c r="PA89" s="136"/>
      <c r="PB89" s="136"/>
      <c r="PC89" s="136"/>
      <c r="PD89" s="136"/>
      <c r="PE89" s="136"/>
      <c r="PF89" s="136"/>
      <c r="PG89" s="136"/>
      <c r="PH89" s="136"/>
      <c r="PI89" s="136"/>
      <c r="PJ89" s="136"/>
      <c r="PK89" s="136"/>
      <c r="PL89" s="136"/>
      <c r="PM89" s="136"/>
      <c r="PN89" s="136"/>
      <c r="PO89" s="136"/>
      <c r="PP89" s="136"/>
      <c r="PQ89" s="136"/>
      <c r="PR89" s="136"/>
      <c r="PS89" s="136"/>
      <c r="PT89" s="136"/>
      <c r="PU89" s="136"/>
      <c r="PV89" s="136"/>
      <c r="PW89" s="136"/>
      <c r="PX89" s="136"/>
      <c r="PY89" s="136"/>
      <c r="PZ89" s="136"/>
      <c r="QA89" s="136"/>
      <c r="QB89" s="136"/>
      <c r="QC89" s="136"/>
      <c r="QD89" s="136"/>
      <c r="QE89" s="136"/>
      <c r="QF89" s="136"/>
      <c r="QG89" s="136"/>
      <c r="QH89" s="136"/>
      <c r="QI89" s="136"/>
      <c r="QJ89" s="136"/>
      <c r="QK89" s="136"/>
      <c r="QL89" s="136"/>
      <c r="QM89" s="136"/>
      <c r="QN89" s="136"/>
      <c r="QO89" s="136"/>
      <c r="QP89" s="136"/>
      <c r="QQ89" s="136"/>
      <c r="QR89" s="136"/>
      <c r="QS89" s="136"/>
      <c r="QT89" s="136"/>
      <c r="QU89" s="136"/>
      <c r="QV89" s="136"/>
      <c r="QW89" s="136"/>
      <c r="QX89" s="136"/>
      <c r="QY89" s="136"/>
      <c r="QZ89" s="136"/>
      <c r="RA89" s="136"/>
      <c r="RB89" s="136"/>
      <c r="RC89" s="136"/>
      <c r="RD89" s="136"/>
      <c r="RE89" s="136"/>
      <c r="RF89" s="136"/>
      <c r="RG89" s="136"/>
      <c r="RH89" s="136"/>
      <c r="RI89" s="136"/>
      <c r="RJ89" s="136"/>
      <c r="RK89" s="136"/>
      <c r="RL89" s="136"/>
      <c r="RM89" s="136"/>
      <c r="RN89" s="136"/>
      <c r="RO89" s="136"/>
      <c r="RP89" s="136"/>
      <c r="RQ89" s="136"/>
      <c r="RR89" s="136"/>
      <c r="RS89" s="136"/>
      <c r="RT89" s="136"/>
      <c r="RU89" s="136"/>
      <c r="RV89" s="136"/>
      <c r="RW89" s="136"/>
      <c r="RX89" s="136"/>
      <c r="RY89" s="136"/>
      <c r="RZ89" s="136"/>
      <c r="SA89" s="136"/>
      <c r="SB89" s="136"/>
      <c r="SC89" s="136"/>
      <c r="SD89" s="136"/>
      <c r="SE89" s="136"/>
      <c r="SF89" s="136"/>
      <c r="SG89" s="136"/>
      <c r="SH89" s="136"/>
      <c r="SI89" s="136"/>
      <c r="SJ89" s="136"/>
      <c r="SK89" s="136"/>
      <c r="SL89" s="136"/>
      <c r="SM89" s="136"/>
      <c r="SN89" s="136"/>
      <c r="SO89" s="136"/>
      <c r="SP89" s="136"/>
      <c r="SQ89" s="136"/>
      <c r="SR89" s="136"/>
      <c r="SS89" s="136"/>
    </row>
    <row r="90" spans="14:513" s="135" customFormat="1" ht="14.5" x14ac:dyDescent="0.35"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/>
      <c r="AA90" s="134"/>
      <c r="AB90" s="134"/>
      <c r="AC90" s="134"/>
      <c r="AD90" s="134"/>
      <c r="AE90" s="134"/>
      <c r="AF90" s="134"/>
      <c r="DO90" s="136"/>
      <c r="DP90" s="136"/>
      <c r="DQ90" s="136"/>
      <c r="DR90" s="136"/>
      <c r="DS90" s="136"/>
      <c r="DT90" s="136"/>
      <c r="DU90" s="136"/>
      <c r="DV90" s="136"/>
      <c r="DW90" s="136"/>
      <c r="DX90" s="136"/>
      <c r="DY90" s="136"/>
      <c r="DZ90" s="136"/>
      <c r="EA90" s="136"/>
      <c r="EB90" s="136"/>
      <c r="EC90" s="136"/>
      <c r="ED90" s="136"/>
      <c r="EE90" s="136"/>
      <c r="EF90" s="136"/>
      <c r="EG90" s="136"/>
      <c r="EH90" s="136"/>
      <c r="EI90" s="136"/>
      <c r="EJ90" s="136"/>
      <c r="EK90" s="136"/>
      <c r="EL90" s="136"/>
      <c r="EM90" s="136"/>
      <c r="EN90" s="136"/>
      <c r="EO90" s="136"/>
      <c r="EP90" s="136"/>
      <c r="EQ90" s="136"/>
      <c r="ER90" s="136"/>
      <c r="ES90" s="136"/>
      <c r="ET90" s="136"/>
      <c r="EU90" s="136"/>
      <c r="EV90" s="136"/>
      <c r="EW90" s="136"/>
      <c r="EX90" s="136"/>
      <c r="EY90" s="136"/>
      <c r="EZ90" s="136"/>
      <c r="FA90" s="136"/>
      <c r="FB90" s="136"/>
      <c r="FC90" s="136"/>
      <c r="FD90" s="136"/>
      <c r="FE90" s="136"/>
      <c r="FF90" s="136"/>
      <c r="FG90" s="136"/>
      <c r="FH90" s="136"/>
      <c r="FI90" s="136"/>
      <c r="FJ90" s="136"/>
      <c r="FK90" s="136"/>
      <c r="FL90" s="136"/>
      <c r="FM90" s="136"/>
      <c r="FN90" s="136"/>
      <c r="FO90" s="136"/>
      <c r="FP90" s="136"/>
      <c r="FQ90" s="136"/>
      <c r="FR90" s="136"/>
      <c r="FS90" s="136"/>
      <c r="FT90" s="136"/>
      <c r="FU90" s="136"/>
      <c r="FV90" s="136"/>
      <c r="FW90" s="136"/>
      <c r="FX90" s="136"/>
      <c r="FY90" s="136"/>
      <c r="FZ90" s="136"/>
      <c r="GA90" s="136"/>
      <c r="GB90" s="136"/>
      <c r="GC90" s="136"/>
      <c r="GD90" s="136"/>
      <c r="GE90" s="136"/>
      <c r="GF90" s="136"/>
      <c r="GG90" s="136"/>
      <c r="GH90" s="136"/>
      <c r="GI90" s="136"/>
      <c r="GJ90" s="136"/>
      <c r="GK90" s="136"/>
      <c r="GL90" s="136"/>
      <c r="GM90" s="136"/>
      <c r="GN90" s="136"/>
      <c r="GO90" s="136"/>
      <c r="GP90" s="136"/>
      <c r="GQ90" s="136"/>
      <c r="GR90" s="136"/>
      <c r="GS90" s="136"/>
      <c r="GT90" s="136"/>
      <c r="GU90" s="136"/>
      <c r="GV90" s="136"/>
      <c r="GW90" s="136"/>
      <c r="GX90" s="136"/>
      <c r="GY90" s="136"/>
      <c r="GZ90" s="136"/>
      <c r="HA90" s="136"/>
      <c r="HB90" s="136"/>
      <c r="HC90" s="136"/>
      <c r="HD90" s="136"/>
      <c r="HE90" s="136"/>
      <c r="HF90" s="136"/>
      <c r="HG90" s="136"/>
      <c r="HH90" s="136"/>
      <c r="HI90" s="136"/>
      <c r="HJ90" s="136"/>
      <c r="HK90" s="136"/>
      <c r="HL90" s="136"/>
      <c r="HM90" s="136"/>
      <c r="HN90" s="136"/>
      <c r="HO90" s="136"/>
      <c r="HP90" s="136"/>
      <c r="HQ90" s="136"/>
      <c r="HR90" s="136"/>
      <c r="HS90" s="136"/>
      <c r="HT90" s="136"/>
      <c r="HU90" s="136"/>
      <c r="HV90" s="136"/>
      <c r="HW90" s="136"/>
      <c r="HX90" s="136"/>
      <c r="HY90" s="136"/>
      <c r="HZ90" s="136"/>
      <c r="IA90" s="136"/>
      <c r="IB90" s="136"/>
      <c r="IC90" s="136"/>
      <c r="ID90" s="136"/>
      <c r="IE90" s="136"/>
      <c r="IF90" s="136"/>
      <c r="IG90" s="136"/>
      <c r="IH90" s="136"/>
      <c r="II90" s="136"/>
      <c r="IJ90" s="136"/>
      <c r="IK90" s="136"/>
      <c r="IL90" s="136"/>
      <c r="IM90" s="136"/>
      <c r="IN90" s="136"/>
      <c r="IO90" s="136"/>
      <c r="IP90" s="136"/>
      <c r="IQ90" s="136"/>
      <c r="IR90" s="136"/>
      <c r="IS90" s="136"/>
      <c r="IT90" s="136"/>
      <c r="IU90" s="136"/>
      <c r="IV90" s="136"/>
      <c r="IW90" s="136"/>
      <c r="IX90" s="136"/>
      <c r="IY90" s="136"/>
      <c r="IZ90" s="136"/>
      <c r="JA90" s="136"/>
      <c r="JB90" s="136"/>
      <c r="JC90" s="136"/>
      <c r="JD90" s="136"/>
      <c r="JE90" s="136"/>
      <c r="JF90" s="136"/>
      <c r="JG90" s="136"/>
      <c r="JH90" s="136"/>
      <c r="JI90" s="136"/>
      <c r="JJ90" s="136"/>
      <c r="JK90" s="136"/>
      <c r="JL90" s="136"/>
      <c r="JM90" s="136"/>
      <c r="JN90" s="136"/>
      <c r="JO90" s="136"/>
      <c r="JP90" s="136"/>
      <c r="JQ90" s="136"/>
      <c r="JR90" s="136"/>
      <c r="JS90" s="136"/>
      <c r="JT90" s="136"/>
      <c r="JU90" s="136"/>
      <c r="JV90" s="136"/>
      <c r="JW90" s="136"/>
      <c r="JX90" s="136"/>
      <c r="JY90" s="136"/>
      <c r="JZ90" s="136"/>
      <c r="KA90" s="136"/>
      <c r="KB90" s="136"/>
      <c r="KC90" s="136"/>
      <c r="KD90" s="136"/>
      <c r="KE90" s="136"/>
      <c r="KF90" s="136"/>
      <c r="KG90" s="136"/>
      <c r="KH90" s="136"/>
      <c r="KI90" s="136"/>
      <c r="KJ90" s="136"/>
      <c r="KK90" s="136"/>
      <c r="KL90" s="136"/>
      <c r="KM90" s="136"/>
      <c r="KN90" s="136"/>
      <c r="KO90" s="136"/>
      <c r="KP90" s="136"/>
      <c r="KQ90" s="136"/>
      <c r="KR90" s="136"/>
      <c r="KS90" s="136"/>
      <c r="KT90" s="136"/>
      <c r="KU90" s="136"/>
      <c r="KV90" s="136"/>
      <c r="KW90" s="136"/>
      <c r="KX90" s="136"/>
      <c r="KY90" s="136"/>
      <c r="KZ90" s="136"/>
      <c r="LA90" s="136"/>
      <c r="LB90" s="136"/>
      <c r="LC90" s="136"/>
      <c r="LD90" s="136"/>
      <c r="LE90" s="136"/>
      <c r="LF90" s="136"/>
      <c r="LG90" s="136"/>
      <c r="LH90" s="136"/>
      <c r="LI90" s="136"/>
      <c r="LJ90" s="136"/>
      <c r="LK90" s="136"/>
      <c r="LL90" s="136"/>
      <c r="LM90" s="136"/>
      <c r="LN90" s="136"/>
      <c r="LO90" s="136"/>
      <c r="LP90" s="136"/>
      <c r="LQ90" s="136"/>
      <c r="LR90" s="136"/>
      <c r="LS90" s="136"/>
      <c r="LT90" s="136"/>
      <c r="LU90" s="136"/>
      <c r="LV90" s="136"/>
      <c r="LW90" s="136"/>
      <c r="LX90" s="136"/>
      <c r="LY90" s="136"/>
      <c r="LZ90" s="136"/>
      <c r="MA90" s="136"/>
      <c r="MB90" s="136"/>
      <c r="MC90" s="136"/>
      <c r="MD90" s="136"/>
      <c r="ME90" s="136"/>
      <c r="MF90" s="136"/>
      <c r="MG90" s="136"/>
      <c r="MH90" s="136"/>
      <c r="MI90" s="136"/>
      <c r="MJ90" s="136"/>
      <c r="MK90" s="136"/>
      <c r="ML90" s="136"/>
      <c r="MM90" s="136"/>
      <c r="MN90" s="136"/>
      <c r="MO90" s="136"/>
      <c r="MP90" s="136"/>
      <c r="MQ90" s="136"/>
      <c r="MR90" s="136"/>
      <c r="MS90" s="136"/>
      <c r="MT90" s="136"/>
      <c r="MU90" s="136"/>
      <c r="MV90" s="136"/>
      <c r="MW90" s="136"/>
      <c r="MX90" s="136"/>
      <c r="MY90" s="136"/>
      <c r="MZ90" s="136"/>
      <c r="NA90" s="136"/>
      <c r="NB90" s="136"/>
      <c r="NC90" s="136"/>
      <c r="ND90" s="136"/>
      <c r="NE90" s="136"/>
      <c r="NF90" s="136"/>
      <c r="NG90" s="136"/>
      <c r="NH90" s="136"/>
      <c r="NI90" s="136"/>
      <c r="NJ90" s="136"/>
      <c r="NK90" s="136"/>
      <c r="NL90" s="136"/>
      <c r="NM90" s="136"/>
      <c r="NN90" s="136"/>
      <c r="NO90" s="136"/>
      <c r="NP90" s="136"/>
      <c r="NQ90" s="136"/>
      <c r="NR90" s="136"/>
      <c r="NS90" s="136"/>
      <c r="NT90" s="136"/>
      <c r="NU90" s="136"/>
      <c r="NV90" s="136"/>
      <c r="NW90" s="136"/>
      <c r="NX90" s="136"/>
      <c r="NY90" s="136"/>
      <c r="NZ90" s="136"/>
      <c r="OA90" s="136"/>
      <c r="OB90" s="136"/>
      <c r="OC90" s="136"/>
      <c r="OD90" s="136"/>
      <c r="OE90" s="136"/>
      <c r="OF90" s="136"/>
      <c r="OG90" s="136"/>
      <c r="OH90" s="136"/>
      <c r="OI90" s="136"/>
      <c r="OJ90" s="136"/>
      <c r="OK90" s="136"/>
      <c r="OL90" s="136"/>
      <c r="OM90" s="136"/>
      <c r="ON90" s="136"/>
      <c r="OO90" s="136"/>
      <c r="OP90" s="136"/>
      <c r="OQ90" s="136"/>
      <c r="OR90" s="136"/>
      <c r="OS90" s="136"/>
      <c r="OT90" s="136"/>
      <c r="OU90" s="136"/>
      <c r="OV90" s="136"/>
      <c r="OW90" s="136"/>
      <c r="OX90" s="136"/>
      <c r="OY90" s="136"/>
      <c r="OZ90" s="136"/>
      <c r="PA90" s="136"/>
      <c r="PB90" s="136"/>
      <c r="PC90" s="136"/>
      <c r="PD90" s="136"/>
      <c r="PE90" s="136"/>
      <c r="PF90" s="136"/>
      <c r="PG90" s="136"/>
      <c r="PH90" s="136"/>
      <c r="PI90" s="136"/>
      <c r="PJ90" s="136"/>
      <c r="PK90" s="136"/>
      <c r="PL90" s="136"/>
      <c r="PM90" s="136"/>
      <c r="PN90" s="136"/>
      <c r="PO90" s="136"/>
      <c r="PP90" s="136"/>
      <c r="PQ90" s="136"/>
      <c r="PR90" s="136"/>
      <c r="PS90" s="136"/>
      <c r="PT90" s="136"/>
      <c r="PU90" s="136"/>
      <c r="PV90" s="136"/>
      <c r="PW90" s="136"/>
      <c r="PX90" s="136"/>
      <c r="PY90" s="136"/>
      <c r="PZ90" s="136"/>
      <c r="QA90" s="136"/>
      <c r="QB90" s="136"/>
      <c r="QC90" s="136"/>
      <c r="QD90" s="136"/>
      <c r="QE90" s="136"/>
      <c r="QF90" s="136"/>
      <c r="QG90" s="136"/>
      <c r="QH90" s="136"/>
      <c r="QI90" s="136"/>
      <c r="QJ90" s="136"/>
      <c r="QK90" s="136"/>
      <c r="QL90" s="136"/>
      <c r="QM90" s="136"/>
      <c r="QN90" s="136"/>
      <c r="QO90" s="136"/>
      <c r="QP90" s="136"/>
      <c r="QQ90" s="136"/>
      <c r="QR90" s="136"/>
      <c r="QS90" s="136"/>
      <c r="QT90" s="136"/>
      <c r="QU90" s="136"/>
      <c r="QV90" s="136"/>
      <c r="QW90" s="136"/>
      <c r="QX90" s="136"/>
      <c r="QY90" s="136"/>
      <c r="QZ90" s="136"/>
      <c r="RA90" s="136"/>
      <c r="RB90" s="136"/>
      <c r="RC90" s="136"/>
      <c r="RD90" s="136"/>
      <c r="RE90" s="136"/>
      <c r="RF90" s="136"/>
      <c r="RG90" s="136"/>
      <c r="RH90" s="136"/>
      <c r="RI90" s="136"/>
      <c r="RJ90" s="136"/>
      <c r="RK90" s="136"/>
      <c r="RL90" s="136"/>
      <c r="RM90" s="136"/>
      <c r="RN90" s="136"/>
      <c r="RO90" s="136"/>
      <c r="RP90" s="136"/>
      <c r="RQ90" s="136"/>
      <c r="RR90" s="136"/>
      <c r="RS90" s="136"/>
      <c r="RT90" s="136"/>
      <c r="RU90" s="136"/>
      <c r="RV90" s="136"/>
      <c r="RW90" s="136"/>
      <c r="RX90" s="136"/>
      <c r="RY90" s="136"/>
      <c r="RZ90" s="136"/>
      <c r="SA90" s="136"/>
      <c r="SB90" s="136"/>
      <c r="SC90" s="136"/>
      <c r="SD90" s="136"/>
      <c r="SE90" s="136"/>
      <c r="SF90" s="136"/>
      <c r="SG90" s="136"/>
      <c r="SH90" s="136"/>
      <c r="SI90" s="136"/>
      <c r="SJ90" s="136"/>
      <c r="SK90" s="136"/>
      <c r="SL90" s="136"/>
      <c r="SM90" s="136"/>
      <c r="SN90" s="136"/>
      <c r="SO90" s="136"/>
      <c r="SP90" s="136"/>
      <c r="SQ90" s="136"/>
      <c r="SR90" s="136"/>
      <c r="SS90" s="136"/>
    </row>
    <row r="91" spans="14:513" s="135" customFormat="1" ht="14.5" x14ac:dyDescent="0.35"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  <c r="Y91" s="134"/>
      <c r="Z91" s="134"/>
      <c r="AA91" s="134"/>
      <c r="AB91" s="134"/>
      <c r="AC91" s="134"/>
      <c r="AD91" s="134"/>
      <c r="AE91" s="134"/>
      <c r="AF91" s="134"/>
      <c r="DO91" s="136"/>
      <c r="DP91" s="136"/>
      <c r="DQ91" s="136"/>
      <c r="DR91" s="136"/>
      <c r="DS91" s="136"/>
      <c r="DT91" s="136"/>
      <c r="DU91" s="136"/>
      <c r="DV91" s="136"/>
      <c r="DW91" s="136"/>
      <c r="DX91" s="136"/>
      <c r="DY91" s="136"/>
      <c r="DZ91" s="136"/>
      <c r="EA91" s="136"/>
      <c r="EB91" s="136"/>
      <c r="EC91" s="136"/>
      <c r="ED91" s="136"/>
      <c r="EE91" s="136"/>
      <c r="EF91" s="136"/>
      <c r="EG91" s="136"/>
      <c r="EH91" s="136"/>
      <c r="EI91" s="136"/>
      <c r="EJ91" s="136"/>
      <c r="EK91" s="136"/>
      <c r="EL91" s="136"/>
      <c r="EM91" s="136"/>
      <c r="EN91" s="136"/>
      <c r="EO91" s="136"/>
      <c r="EP91" s="136"/>
      <c r="EQ91" s="136"/>
      <c r="ER91" s="136"/>
      <c r="ES91" s="136"/>
      <c r="ET91" s="136"/>
      <c r="EU91" s="136"/>
      <c r="EV91" s="136"/>
      <c r="EW91" s="136"/>
      <c r="EX91" s="136"/>
      <c r="EY91" s="136"/>
      <c r="EZ91" s="136"/>
      <c r="FA91" s="136"/>
      <c r="FB91" s="136"/>
      <c r="FC91" s="136"/>
      <c r="FD91" s="136"/>
      <c r="FE91" s="136"/>
      <c r="FF91" s="136"/>
      <c r="FG91" s="136"/>
      <c r="FH91" s="136"/>
      <c r="FI91" s="136"/>
      <c r="FJ91" s="136"/>
      <c r="FK91" s="136"/>
      <c r="FL91" s="136"/>
      <c r="FM91" s="136"/>
      <c r="FN91" s="136"/>
      <c r="FO91" s="136"/>
      <c r="FP91" s="136"/>
      <c r="FQ91" s="136"/>
      <c r="FR91" s="136"/>
      <c r="FS91" s="136"/>
      <c r="FT91" s="136"/>
      <c r="FU91" s="136"/>
      <c r="FV91" s="136"/>
      <c r="FW91" s="136"/>
      <c r="FX91" s="136"/>
      <c r="FY91" s="136"/>
      <c r="FZ91" s="136"/>
      <c r="GA91" s="136"/>
      <c r="GB91" s="136"/>
      <c r="GC91" s="136"/>
      <c r="GD91" s="136"/>
      <c r="GE91" s="136"/>
      <c r="GF91" s="136"/>
      <c r="GG91" s="136"/>
      <c r="GH91" s="136"/>
      <c r="GI91" s="136"/>
      <c r="GJ91" s="136"/>
      <c r="GK91" s="136"/>
      <c r="GL91" s="136"/>
      <c r="GM91" s="136"/>
      <c r="GN91" s="136"/>
      <c r="GO91" s="136"/>
      <c r="GP91" s="136"/>
      <c r="GQ91" s="136"/>
      <c r="GR91" s="136"/>
      <c r="GS91" s="136"/>
      <c r="GT91" s="136"/>
      <c r="GU91" s="136"/>
      <c r="GV91" s="136"/>
      <c r="GW91" s="136"/>
      <c r="GX91" s="136"/>
      <c r="GY91" s="136"/>
      <c r="GZ91" s="136"/>
      <c r="HA91" s="136"/>
      <c r="HB91" s="136"/>
      <c r="HC91" s="136"/>
      <c r="HD91" s="136"/>
      <c r="HE91" s="136"/>
      <c r="HF91" s="136"/>
      <c r="HG91" s="136"/>
      <c r="HH91" s="136"/>
      <c r="HI91" s="136"/>
      <c r="HJ91" s="136"/>
      <c r="HK91" s="136"/>
      <c r="HL91" s="136"/>
      <c r="HM91" s="136"/>
      <c r="HN91" s="136"/>
      <c r="HO91" s="136"/>
      <c r="HP91" s="136"/>
      <c r="HQ91" s="136"/>
      <c r="HR91" s="136"/>
      <c r="HS91" s="136"/>
      <c r="HT91" s="136"/>
      <c r="HU91" s="136"/>
      <c r="HV91" s="136"/>
      <c r="HW91" s="136"/>
      <c r="HX91" s="136"/>
      <c r="HY91" s="136"/>
      <c r="HZ91" s="136"/>
      <c r="IA91" s="136"/>
      <c r="IB91" s="136"/>
      <c r="IC91" s="136"/>
      <c r="ID91" s="136"/>
      <c r="IE91" s="136"/>
      <c r="IF91" s="136"/>
      <c r="IG91" s="136"/>
      <c r="IH91" s="136"/>
      <c r="II91" s="136"/>
      <c r="IJ91" s="136"/>
      <c r="IK91" s="136"/>
      <c r="IL91" s="136"/>
      <c r="IM91" s="136"/>
      <c r="IN91" s="136"/>
      <c r="IO91" s="136"/>
      <c r="IP91" s="136"/>
      <c r="IQ91" s="136"/>
      <c r="IR91" s="136"/>
      <c r="IS91" s="136"/>
      <c r="IT91" s="136"/>
      <c r="IU91" s="136"/>
      <c r="IV91" s="136"/>
      <c r="IW91" s="136"/>
      <c r="IX91" s="136"/>
      <c r="IY91" s="136"/>
      <c r="IZ91" s="136"/>
      <c r="JA91" s="136"/>
      <c r="JB91" s="136"/>
      <c r="JC91" s="136"/>
      <c r="JD91" s="136"/>
      <c r="JE91" s="136"/>
      <c r="JF91" s="136"/>
      <c r="JG91" s="136"/>
      <c r="JH91" s="136"/>
      <c r="JI91" s="136"/>
      <c r="JJ91" s="136"/>
      <c r="JK91" s="136"/>
      <c r="JL91" s="136"/>
      <c r="JM91" s="136"/>
      <c r="JN91" s="136"/>
      <c r="JO91" s="136"/>
      <c r="JP91" s="136"/>
      <c r="JQ91" s="136"/>
      <c r="JR91" s="136"/>
      <c r="JS91" s="136"/>
      <c r="JT91" s="136"/>
      <c r="JU91" s="136"/>
      <c r="JV91" s="136"/>
      <c r="JW91" s="136"/>
      <c r="JX91" s="136"/>
      <c r="JY91" s="136"/>
      <c r="JZ91" s="136"/>
      <c r="KA91" s="136"/>
      <c r="KB91" s="136"/>
      <c r="KC91" s="136"/>
      <c r="KD91" s="136"/>
      <c r="KE91" s="136"/>
      <c r="KF91" s="136"/>
      <c r="KG91" s="136"/>
      <c r="KH91" s="136"/>
      <c r="KI91" s="136"/>
      <c r="KJ91" s="136"/>
      <c r="KK91" s="136"/>
      <c r="KL91" s="136"/>
      <c r="KM91" s="136"/>
      <c r="KN91" s="136"/>
      <c r="KO91" s="136"/>
      <c r="KP91" s="136"/>
      <c r="KQ91" s="136"/>
      <c r="KR91" s="136"/>
      <c r="KS91" s="136"/>
      <c r="KT91" s="136"/>
      <c r="KU91" s="136"/>
      <c r="KV91" s="136"/>
      <c r="KW91" s="136"/>
      <c r="KX91" s="136"/>
      <c r="KY91" s="136"/>
      <c r="KZ91" s="136"/>
      <c r="LA91" s="136"/>
      <c r="LB91" s="136"/>
      <c r="LC91" s="136"/>
      <c r="LD91" s="136"/>
      <c r="LE91" s="136"/>
      <c r="LF91" s="136"/>
      <c r="LG91" s="136"/>
      <c r="LH91" s="136"/>
      <c r="LI91" s="136"/>
      <c r="LJ91" s="136"/>
      <c r="LK91" s="136"/>
      <c r="LL91" s="136"/>
      <c r="LM91" s="136"/>
      <c r="LN91" s="136"/>
      <c r="LO91" s="136"/>
      <c r="LP91" s="136"/>
      <c r="LQ91" s="136"/>
      <c r="LR91" s="136"/>
      <c r="LS91" s="136"/>
      <c r="LT91" s="136"/>
      <c r="LU91" s="136"/>
      <c r="LV91" s="136"/>
      <c r="LW91" s="136"/>
      <c r="LX91" s="136"/>
      <c r="LY91" s="136"/>
      <c r="LZ91" s="136"/>
      <c r="MA91" s="136"/>
      <c r="MB91" s="136"/>
      <c r="MC91" s="136"/>
      <c r="MD91" s="136"/>
      <c r="ME91" s="136"/>
      <c r="MF91" s="136"/>
      <c r="MG91" s="136"/>
      <c r="MH91" s="136"/>
      <c r="MI91" s="136"/>
      <c r="MJ91" s="136"/>
      <c r="MK91" s="136"/>
      <c r="ML91" s="136"/>
      <c r="MM91" s="136"/>
      <c r="MN91" s="136"/>
      <c r="MO91" s="136"/>
      <c r="MP91" s="136"/>
      <c r="MQ91" s="136"/>
      <c r="MR91" s="136"/>
      <c r="MS91" s="136"/>
      <c r="MT91" s="136"/>
      <c r="MU91" s="136"/>
      <c r="MV91" s="136"/>
      <c r="MW91" s="136"/>
      <c r="MX91" s="136"/>
      <c r="MY91" s="136"/>
      <c r="MZ91" s="136"/>
      <c r="NA91" s="136"/>
      <c r="NB91" s="136"/>
      <c r="NC91" s="136"/>
      <c r="ND91" s="136"/>
      <c r="NE91" s="136"/>
      <c r="NF91" s="136"/>
      <c r="NG91" s="136"/>
      <c r="NH91" s="136"/>
      <c r="NI91" s="136"/>
      <c r="NJ91" s="136"/>
      <c r="NK91" s="136"/>
      <c r="NL91" s="136"/>
      <c r="NM91" s="136"/>
      <c r="NN91" s="136"/>
      <c r="NO91" s="136"/>
      <c r="NP91" s="136"/>
      <c r="NQ91" s="136"/>
      <c r="NR91" s="136"/>
      <c r="NS91" s="136"/>
      <c r="NT91" s="136"/>
      <c r="NU91" s="136"/>
      <c r="NV91" s="136"/>
      <c r="NW91" s="136"/>
      <c r="NX91" s="136"/>
      <c r="NY91" s="136"/>
      <c r="NZ91" s="136"/>
      <c r="OA91" s="136"/>
      <c r="OB91" s="136"/>
      <c r="OC91" s="136"/>
      <c r="OD91" s="136"/>
      <c r="OE91" s="136"/>
      <c r="OF91" s="136"/>
      <c r="OG91" s="136"/>
      <c r="OH91" s="136"/>
      <c r="OI91" s="136"/>
      <c r="OJ91" s="136"/>
      <c r="OK91" s="136"/>
      <c r="OL91" s="136"/>
      <c r="OM91" s="136"/>
      <c r="ON91" s="136"/>
      <c r="OO91" s="136"/>
      <c r="OP91" s="136"/>
      <c r="OQ91" s="136"/>
      <c r="OR91" s="136"/>
      <c r="OS91" s="136"/>
      <c r="OT91" s="136"/>
      <c r="OU91" s="136"/>
      <c r="OV91" s="136"/>
      <c r="OW91" s="136"/>
      <c r="OX91" s="136"/>
      <c r="OY91" s="136"/>
      <c r="OZ91" s="136"/>
      <c r="PA91" s="136"/>
      <c r="PB91" s="136"/>
      <c r="PC91" s="136"/>
      <c r="PD91" s="136"/>
      <c r="PE91" s="136"/>
      <c r="PF91" s="136"/>
      <c r="PG91" s="136"/>
      <c r="PH91" s="136"/>
      <c r="PI91" s="136"/>
      <c r="PJ91" s="136"/>
      <c r="PK91" s="136"/>
      <c r="PL91" s="136"/>
      <c r="PM91" s="136"/>
      <c r="PN91" s="136"/>
      <c r="PO91" s="136"/>
      <c r="PP91" s="136"/>
      <c r="PQ91" s="136"/>
      <c r="PR91" s="136"/>
      <c r="PS91" s="136"/>
      <c r="PT91" s="136"/>
      <c r="PU91" s="136"/>
      <c r="PV91" s="136"/>
      <c r="PW91" s="136"/>
      <c r="PX91" s="136"/>
      <c r="PY91" s="136"/>
      <c r="PZ91" s="136"/>
      <c r="QA91" s="136"/>
      <c r="QB91" s="136"/>
      <c r="QC91" s="136"/>
      <c r="QD91" s="136"/>
      <c r="QE91" s="136"/>
      <c r="QF91" s="136"/>
      <c r="QG91" s="136"/>
      <c r="QH91" s="136"/>
      <c r="QI91" s="136"/>
      <c r="QJ91" s="136"/>
      <c r="QK91" s="136"/>
      <c r="QL91" s="136"/>
      <c r="QM91" s="136"/>
      <c r="QN91" s="136"/>
      <c r="QO91" s="136"/>
      <c r="QP91" s="136"/>
      <c r="QQ91" s="136"/>
      <c r="QR91" s="136"/>
      <c r="QS91" s="136"/>
      <c r="QT91" s="136"/>
      <c r="QU91" s="136"/>
      <c r="QV91" s="136"/>
      <c r="QW91" s="136"/>
      <c r="QX91" s="136"/>
      <c r="QY91" s="136"/>
      <c r="QZ91" s="136"/>
      <c r="RA91" s="136"/>
      <c r="RB91" s="136"/>
      <c r="RC91" s="136"/>
      <c r="RD91" s="136"/>
      <c r="RE91" s="136"/>
      <c r="RF91" s="136"/>
      <c r="RG91" s="136"/>
      <c r="RH91" s="136"/>
      <c r="RI91" s="136"/>
      <c r="RJ91" s="136"/>
      <c r="RK91" s="136"/>
      <c r="RL91" s="136"/>
      <c r="RM91" s="136"/>
      <c r="RN91" s="136"/>
      <c r="RO91" s="136"/>
      <c r="RP91" s="136"/>
      <c r="RQ91" s="136"/>
      <c r="RR91" s="136"/>
      <c r="RS91" s="136"/>
      <c r="RT91" s="136"/>
      <c r="RU91" s="136"/>
      <c r="RV91" s="136"/>
      <c r="RW91" s="136"/>
      <c r="RX91" s="136"/>
      <c r="RY91" s="136"/>
      <c r="RZ91" s="136"/>
      <c r="SA91" s="136"/>
      <c r="SB91" s="136"/>
      <c r="SC91" s="136"/>
      <c r="SD91" s="136"/>
      <c r="SE91" s="136"/>
      <c r="SF91" s="136"/>
      <c r="SG91" s="136"/>
      <c r="SH91" s="136"/>
      <c r="SI91" s="136"/>
      <c r="SJ91" s="136"/>
      <c r="SK91" s="136"/>
      <c r="SL91" s="136"/>
      <c r="SM91" s="136"/>
      <c r="SN91" s="136"/>
      <c r="SO91" s="136"/>
      <c r="SP91" s="136"/>
      <c r="SQ91" s="136"/>
      <c r="SR91" s="136"/>
      <c r="SS91" s="136"/>
    </row>
    <row r="92" spans="14:513" s="135" customFormat="1" ht="14.5" x14ac:dyDescent="0.35"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/>
      <c r="AA92" s="134"/>
      <c r="AB92" s="134"/>
      <c r="AC92" s="134"/>
      <c r="AD92" s="134"/>
      <c r="AE92" s="134"/>
      <c r="AF92" s="134"/>
      <c r="DO92" s="136"/>
      <c r="DP92" s="136"/>
      <c r="DQ92" s="136"/>
      <c r="DR92" s="136"/>
      <c r="DS92" s="136"/>
      <c r="DT92" s="136"/>
      <c r="DU92" s="136"/>
      <c r="DV92" s="136"/>
      <c r="DW92" s="136"/>
      <c r="DX92" s="136"/>
      <c r="DY92" s="136"/>
      <c r="DZ92" s="136"/>
      <c r="EA92" s="136"/>
      <c r="EB92" s="136"/>
      <c r="EC92" s="136"/>
      <c r="ED92" s="136"/>
      <c r="EE92" s="136"/>
      <c r="EF92" s="136"/>
      <c r="EG92" s="136"/>
      <c r="EH92" s="136"/>
      <c r="EI92" s="136"/>
      <c r="EJ92" s="136"/>
      <c r="EK92" s="136"/>
      <c r="EL92" s="136"/>
      <c r="EM92" s="136"/>
      <c r="EN92" s="136"/>
      <c r="EO92" s="136"/>
      <c r="EP92" s="136"/>
      <c r="EQ92" s="136"/>
      <c r="ER92" s="136"/>
      <c r="ES92" s="136"/>
      <c r="ET92" s="136"/>
      <c r="EU92" s="136"/>
      <c r="EV92" s="136"/>
      <c r="EW92" s="136"/>
      <c r="EX92" s="136"/>
      <c r="EY92" s="136"/>
      <c r="EZ92" s="136"/>
      <c r="FA92" s="136"/>
      <c r="FB92" s="136"/>
      <c r="FC92" s="136"/>
      <c r="FD92" s="136"/>
      <c r="FE92" s="136"/>
      <c r="FF92" s="136"/>
      <c r="FG92" s="136"/>
      <c r="FH92" s="136"/>
      <c r="FI92" s="136"/>
      <c r="FJ92" s="136"/>
      <c r="FK92" s="136"/>
      <c r="FL92" s="136"/>
      <c r="FM92" s="136"/>
      <c r="FN92" s="136"/>
      <c r="FO92" s="136"/>
      <c r="FP92" s="136"/>
      <c r="FQ92" s="136"/>
      <c r="FR92" s="136"/>
      <c r="FS92" s="136"/>
      <c r="FT92" s="136"/>
      <c r="FU92" s="136"/>
      <c r="FV92" s="136"/>
      <c r="FW92" s="136"/>
      <c r="FX92" s="136"/>
      <c r="FY92" s="136"/>
      <c r="FZ92" s="136"/>
      <c r="GA92" s="136"/>
      <c r="GB92" s="136"/>
      <c r="GC92" s="136"/>
      <c r="GD92" s="136"/>
      <c r="GE92" s="136"/>
      <c r="GF92" s="136"/>
      <c r="GG92" s="136"/>
      <c r="GH92" s="136"/>
      <c r="GI92" s="136"/>
      <c r="GJ92" s="136"/>
      <c r="GK92" s="136"/>
      <c r="GL92" s="136"/>
      <c r="GM92" s="136"/>
      <c r="GN92" s="136"/>
      <c r="GO92" s="136"/>
      <c r="GP92" s="136"/>
      <c r="GQ92" s="136"/>
      <c r="GR92" s="136"/>
      <c r="GS92" s="136"/>
      <c r="GT92" s="136"/>
      <c r="GU92" s="136"/>
      <c r="GV92" s="136"/>
      <c r="GW92" s="136"/>
      <c r="GX92" s="136"/>
      <c r="GY92" s="136"/>
      <c r="GZ92" s="136"/>
      <c r="HA92" s="136"/>
      <c r="HB92" s="136"/>
      <c r="HC92" s="136"/>
      <c r="HD92" s="136"/>
      <c r="HE92" s="136"/>
      <c r="HF92" s="136"/>
      <c r="HG92" s="136"/>
      <c r="HH92" s="136"/>
      <c r="HI92" s="136"/>
      <c r="HJ92" s="136"/>
      <c r="HK92" s="136"/>
      <c r="HL92" s="136"/>
      <c r="HM92" s="136"/>
      <c r="HN92" s="136"/>
      <c r="HO92" s="136"/>
      <c r="HP92" s="136"/>
      <c r="HQ92" s="136"/>
      <c r="HR92" s="136"/>
      <c r="HS92" s="136"/>
      <c r="HT92" s="136"/>
      <c r="HU92" s="136"/>
      <c r="HV92" s="136"/>
      <c r="HW92" s="136"/>
      <c r="HX92" s="136"/>
      <c r="HY92" s="136"/>
      <c r="HZ92" s="136"/>
      <c r="IA92" s="136"/>
      <c r="IB92" s="136"/>
      <c r="IC92" s="136"/>
      <c r="ID92" s="136"/>
      <c r="IE92" s="136"/>
      <c r="IF92" s="136"/>
      <c r="IG92" s="136"/>
      <c r="IH92" s="136"/>
      <c r="II92" s="136"/>
      <c r="IJ92" s="136"/>
      <c r="IK92" s="136"/>
      <c r="IL92" s="136"/>
      <c r="IM92" s="136"/>
      <c r="IN92" s="136"/>
      <c r="IO92" s="136"/>
      <c r="IP92" s="136"/>
      <c r="IQ92" s="136"/>
      <c r="IR92" s="136"/>
      <c r="IS92" s="136"/>
      <c r="IT92" s="136"/>
      <c r="IU92" s="136"/>
      <c r="IV92" s="136"/>
      <c r="IW92" s="136"/>
      <c r="IX92" s="136"/>
      <c r="IY92" s="136"/>
      <c r="IZ92" s="136"/>
      <c r="JA92" s="136"/>
      <c r="JB92" s="136"/>
      <c r="JC92" s="136"/>
      <c r="JD92" s="136"/>
      <c r="JE92" s="136"/>
      <c r="JF92" s="136"/>
      <c r="JG92" s="136"/>
      <c r="JH92" s="136"/>
      <c r="JI92" s="136"/>
      <c r="JJ92" s="136"/>
      <c r="JK92" s="136"/>
      <c r="JL92" s="136"/>
      <c r="JM92" s="136"/>
      <c r="JN92" s="136"/>
      <c r="JO92" s="136"/>
      <c r="JP92" s="136"/>
      <c r="JQ92" s="136"/>
      <c r="JR92" s="136"/>
      <c r="JS92" s="136"/>
      <c r="JT92" s="136"/>
      <c r="JU92" s="136"/>
      <c r="JV92" s="136"/>
      <c r="JW92" s="136"/>
      <c r="JX92" s="136"/>
      <c r="JY92" s="136"/>
      <c r="JZ92" s="136"/>
      <c r="KA92" s="136"/>
      <c r="KB92" s="136"/>
      <c r="KC92" s="136"/>
      <c r="KD92" s="136"/>
      <c r="KE92" s="136"/>
      <c r="KF92" s="136"/>
      <c r="KG92" s="136"/>
      <c r="KH92" s="136"/>
      <c r="KI92" s="136"/>
      <c r="KJ92" s="136"/>
      <c r="KK92" s="136"/>
      <c r="KL92" s="136"/>
      <c r="KM92" s="136"/>
      <c r="KN92" s="136"/>
      <c r="KO92" s="136"/>
      <c r="KP92" s="136"/>
      <c r="KQ92" s="136"/>
      <c r="KR92" s="136"/>
      <c r="KS92" s="136"/>
      <c r="KT92" s="136"/>
      <c r="KU92" s="136"/>
      <c r="KV92" s="136"/>
      <c r="KW92" s="136"/>
      <c r="KX92" s="136"/>
      <c r="KY92" s="136"/>
      <c r="KZ92" s="136"/>
      <c r="LA92" s="136"/>
      <c r="LB92" s="136"/>
      <c r="LC92" s="136"/>
      <c r="LD92" s="136"/>
      <c r="LE92" s="136"/>
      <c r="LF92" s="136"/>
      <c r="LG92" s="136"/>
      <c r="LH92" s="136"/>
      <c r="LI92" s="136"/>
      <c r="LJ92" s="136"/>
      <c r="LK92" s="136"/>
      <c r="LL92" s="136"/>
      <c r="LM92" s="136"/>
      <c r="LN92" s="136"/>
      <c r="LO92" s="136"/>
      <c r="LP92" s="136"/>
      <c r="LQ92" s="136"/>
      <c r="LR92" s="136"/>
      <c r="LS92" s="136"/>
      <c r="LT92" s="136"/>
      <c r="LU92" s="136"/>
      <c r="LV92" s="136"/>
      <c r="LW92" s="136"/>
      <c r="LX92" s="136"/>
      <c r="LY92" s="136"/>
      <c r="LZ92" s="136"/>
      <c r="MA92" s="136"/>
      <c r="MB92" s="136"/>
      <c r="MC92" s="136"/>
      <c r="MD92" s="136"/>
      <c r="ME92" s="136"/>
      <c r="MF92" s="136"/>
      <c r="MG92" s="136"/>
      <c r="MH92" s="136"/>
      <c r="MI92" s="136"/>
      <c r="MJ92" s="136"/>
      <c r="MK92" s="136"/>
      <c r="ML92" s="136"/>
      <c r="MM92" s="136"/>
      <c r="MN92" s="136"/>
      <c r="MO92" s="136"/>
      <c r="MP92" s="136"/>
      <c r="MQ92" s="136"/>
      <c r="MR92" s="136"/>
      <c r="MS92" s="136"/>
      <c r="MT92" s="136"/>
      <c r="MU92" s="136"/>
      <c r="MV92" s="136"/>
      <c r="MW92" s="136"/>
      <c r="MX92" s="136"/>
      <c r="MY92" s="136"/>
      <c r="MZ92" s="136"/>
      <c r="NA92" s="136"/>
      <c r="NB92" s="136"/>
      <c r="NC92" s="136"/>
      <c r="ND92" s="136"/>
      <c r="NE92" s="136"/>
      <c r="NF92" s="136"/>
      <c r="NG92" s="136"/>
      <c r="NH92" s="136"/>
      <c r="NI92" s="136"/>
      <c r="NJ92" s="136"/>
      <c r="NK92" s="136"/>
      <c r="NL92" s="136"/>
      <c r="NM92" s="136"/>
      <c r="NN92" s="136"/>
      <c r="NO92" s="136"/>
      <c r="NP92" s="136"/>
      <c r="NQ92" s="136"/>
      <c r="NR92" s="136"/>
      <c r="NS92" s="136"/>
      <c r="NT92" s="136"/>
      <c r="NU92" s="136"/>
      <c r="NV92" s="136"/>
      <c r="NW92" s="136"/>
      <c r="NX92" s="136"/>
      <c r="NY92" s="136"/>
      <c r="NZ92" s="136"/>
      <c r="OA92" s="136"/>
      <c r="OB92" s="136"/>
      <c r="OC92" s="136"/>
      <c r="OD92" s="136"/>
      <c r="OE92" s="136"/>
      <c r="OF92" s="136"/>
      <c r="OG92" s="136"/>
      <c r="OH92" s="136"/>
      <c r="OI92" s="136"/>
      <c r="OJ92" s="136"/>
      <c r="OK92" s="136"/>
      <c r="OL92" s="136"/>
      <c r="OM92" s="136"/>
      <c r="ON92" s="136"/>
      <c r="OO92" s="136"/>
      <c r="OP92" s="136"/>
      <c r="OQ92" s="136"/>
      <c r="OR92" s="136"/>
      <c r="OS92" s="136"/>
      <c r="OT92" s="136"/>
      <c r="OU92" s="136"/>
      <c r="OV92" s="136"/>
      <c r="OW92" s="136"/>
      <c r="OX92" s="136"/>
      <c r="OY92" s="136"/>
      <c r="OZ92" s="136"/>
      <c r="PA92" s="136"/>
      <c r="PB92" s="136"/>
      <c r="PC92" s="136"/>
      <c r="PD92" s="136"/>
      <c r="PE92" s="136"/>
      <c r="PF92" s="136"/>
      <c r="PG92" s="136"/>
      <c r="PH92" s="136"/>
      <c r="PI92" s="136"/>
      <c r="PJ92" s="136"/>
      <c r="PK92" s="136"/>
      <c r="PL92" s="136"/>
      <c r="PM92" s="136"/>
      <c r="PN92" s="136"/>
      <c r="PO92" s="136"/>
      <c r="PP92" s="136"/>
      <c r="PQ92" s="136"/>
      <c r="PR92" s="136"/>
      <c r="PS92" s="136"/>
      <c r="PT92" s="136"/>
      <c r="PU92" s="136"/>
      <c r="PV92" s="136"/>
      <c r="PW92" s="136"/>
      <c r="PX92" s="136"/>
      <c r="PY92" s="136"/>
      <c r="PZ92" s="136"/>
      <c r="QA92" s="136"/>
      <c r="QB92" s="136"/>
      <c r="QC92" s="136"/>
      <c r="QD92" s="136"/>
      <c r="QE92" s="136"/>
      <c r="QF92" s="136"/>
      <c r="QG92" s="136"/>
      <c r="QH92" s="136"/>
      <c r="QI92" s="136"/>
      <c r="QJ92" s="136"/>
      <c r="QK92" s="136"/>
      <c r="QL92" s="136"/>
      <c r="QM92" s="136"/>
      <c r="QN92" s="136"/>
      <c r="QO92" s="136"/>
      <c r="QP92" s="136"/>
      <c r="QQ92" s="136"/>
      <c r="QR92" s="136"/>
      <c r="QS92" s="136"/>
      <c r="QT92" s="136"/>
      <c r="QU92" s="136"/>
      <c r="QV92" s="136"/>
      <c r="QW92" s="136"/>
      <c r="QX92" s="136"/>
      <c r="QY92" s="136"/>
      <c r="QZ92" s="136"/>
      <c r="RA92" s="136"/>
      <c r="RB92" s="136"/>
      <c r="RC92" s="136"/>
      <c r="RD92" s="136"/>
      <c r="RE92" s="136"/>
      <c r="RF92" s="136"/>
      <c r="RG92" s="136"/>
      <c r="RH92" s="136"/>
      <c r="RI92" s="136"/>
      <c r="RJ92" s="136"/>
      <c r="RK92" s="136"/>
      <c r="RL92" s="136"/>
      <c r="RM92" s="136"/>
      <c r="RN92" s="136"/>
      <c r="RO92" s="136"/>
      <c r="RP92" s="136"/>
      <c r="RQ92" s="136"/>
      <c r="RR92" s="136"/>
      <c r="RS92" s="136"/>
      <c r="RT92" s="136"/>
      <c r="RU92" s="136"/>
      <c r="RV92" s="136"/>
      <c r="RW92" s="136"/>
      <c r="RX92" s="136"/>
      <c r="RY92" s="136"/>
      <c r="RZ92" s="136"/>
      <c r="SA92" s="136"/>
      <c r="SB92" s="136"/>
      <c r="SC92" s="136"/>
      <c r="SD92" s="136"/>
      <c r="SE92" s="136"/>
      <c r="SF92" s="136"/>
      <c r="SG92" s="136"/>
      <c r="SH92" s="136"/>
      <c r="SI92" s="136"/>
      <c r="SJ92" s="136"/>
      <c r="SK92" s="136"/>
      <c r="SL92" s="136"/>
      <c r="SM92" s="136"/>
      <c r="SN92" s="136"/>
      <c r="SO92" s="136"/>
      <c r="SP92" s="136"/>
      <c r="SQ92" s="136"/>
      <c r="SR92" s="136"/>
      <c r="SS92" s="136"/>
    </row>
    <row r="93" spans="14:513" s="135" customFormat="1" ht="14.5" x14ac:dyDescent="0.35"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4"/>
      <c r="AC93" s="134"/>
      <c r="AD93" s="134"/>
      <c r="AE93" s="134"/>
      <c r="AF93" s="134"/>
      <c r="DO93" s="136"/>
      <c r="DP93" s="136"/>
      <c r="DQ93" s="136"/>
      <c r="DR93" s="136"/>
      <c r="DS93" s="136"/>
      <c r="DT93" s="136"/>
      <c r="DU93" s="136"/>
      <c r="DV93" s="136"/>
      <c r="DW93" s="136"/>
      <c r="DX93" s="136"/>
      <c r="DY93" s="136"/>
      <c r="DZ93" s="136"/>
      <c r="EA93" s="136"/>
      <c r="EB93" s="136"/>
      <c r="EC93" s="136"/>
      <c r="ED93" s="136"/>
      <c r="EE93" s="136"/>
      <c r="EF93" s="136"/>
      <c r="EG93" s="136"/>
      <c r="EH93" s="136"/>
      <c r="EI93" s="136"/>
      <c r="EJ93" s="136"/>
      <c r="EK93" s="136"/>
      <c r="EL93" s="136"/>
      <c r="EM93" s="136"/>
      <c r="EN93" s="136"/>
      <c r="EO93" s="136"/>
      <c r="EP93" s="136"/>
      <c r="EQ93" s="136"/>
      <c r="ER93" s="136"/>
      <c r="ES93" s="136"/>
      <c r="ET93" s="136"/>
      <c r="EU93" s="136"/>
      <c r="EV93" s="136"/>
      <c r="EW93" s="136"/>
      <c r="EX93" s="136"/>
      <c r="EY93" s="136"/>
      <c r="EZ93" s="136"/>
      <c r="FA93" s="136"/>
      <c r="FB93" s="136"/>
      <c r="FC93" s="136"/>
      <c r="FD93" s="136"/>
      <c r="FE93" s="136"/>
      <c r="FF93" s="136"/>
      <c r="FG93" s="136"/>
      <c r="FH93" s="136"/>
      <c r="FI93" s="136"/>
      <c r="FJ93" s="136"/>
      <c r="FK93" s="136"/>
      <c r="FL93" s="136"/>
      <c r="FM93" s="136"/>
      <c r="FN93" s="136"/>
      <c r="FO93" s="136"/>
      <c r="FP93" s="136"/>
      <c r="FQ93" s="136"/>
      <c r="FR93" s="136"/>
      <c r="FS93" s="136"/>
      <c r="FT93" s="136"/>
      <c r="FU93" s="136"/>
      <c r="FV93" s="136"/>
      <c r="FW93" s="136"/>
      <c r="FX93" s="136"/>
      <c r="FY93" s="136"/>
      <c r="FZ93" s="136"/>
      <c r="GA93" s="136"/>
      <c r="GB93" s="136"/>
      <c r="GC93" s="136"/>
      <c r="GD93" s="136"/>
      <c r="GE93" s="136"/>
      <c r="GF93" s="136"/>
      <c r="GG93" s="136"/>
      <c r="GH93" s="136"/>
      <c r="GI93" s="136"/>
      <c r="GJ93" s="136"/>
      <c r="GK93" s="136"/>
      <c r="GL93" s="136"/>
      <c r="GM93" s="136"/>
      <c r="GN93" s="136"/>
      <c r="GO93" s="136"/>
      <c r="GP93" s="136"/>
      <c r="GQ93" s="136"/>
      <c r="GR93" s="136"/>
      <c r="GS93" s="136"/>
      <c r="GT93" s="136"/>
      <c r="GU93" s="136"/>
      <c r="GV93" s="136"/>
      <c r="GW93" s="136"/>
      <c r="GX93" s="136"/>
      <c r="GY93" s="136"/>
      <c r="GZ93" s="136"/>
      <c r="HA93" s="136"/>
      <c r="HB93" s="136"/>
      <c r="HC93" s="136"/>
      <c r="HD93" s="136"/>
      <c r="HE93" s="136"/>
      <c r="HF93" s="136"/>
      <c r="HG93" s="136"/>
      <c r="HH93" s="136"/>
      <c r="HI93" s="136"/>
      <c r="HJ93" s="136"/>
      <c r="HK93" s="136"/>
      <c r="HL93" s="136"/>
      <c r="HM93" s="136"/>
      <c r="HN93" s="136"/>
      <c r="HO93" s="136"/>
      <c r="HP93" s="136"/>
      <c r="HQ93" s="136"/>
      <c r="HR93" s="136"/>
      <c r="HS93" s="136"/>
      <c r="HT93" s="136"/>
      <c r="HU93" s="136"/>
      <c r="HV93" s="136"/>
      <c r="HW93" s="136"/>
      <c r="HX93" s="136"/>
      <c r="HY93" s="136"/>
      <c r="HZ93" s="136"/>
      <c r="IA93" s="136"/>
      <c r="IB93" s="136"/>
      <c r="IC93" s="136"/>
      <c r="ID93" s="136"/>
      <c r="IE93" s="136"/>
      <c r="IF93" s="136"/>
      <c r="IG93" s="136"/>
      <c r="IH93" s="136"/>
      <c r="II93" s="136"/>
      <c r="IJ93" s="136"/>
      <c r="IK93" s="136"/>
      <c r="IL93" s="136"/>
      <c r="IM93" s="136"/>
      <c r="IN93" s="136"/>
      <c r="IO93" s="136"/>
      <c r="IP93" s="136"/>
      <c r="IQ93" s="136"/>
      <c r="IR93" s="136"/>
      <c r="IS93" s="136"/>
      <c r="IT93" s="136"/>
      <c r="IU93" s="136"/>
      <c r="IV93" s="136"/>
      <c r="IW93" s="136"/>
      <c r="IX93" s="136"/>
      <c r="IY93" s="136"/>
      <c r="IZ93" s="136"/>
      <c r="JA93" s="136"/>
      <c r="JB93" s="136"/>
      <c r="JC93" s="136"/>
      <c r="JD93" s="136"/>
      <c r="JE93" s="136"/>
      <c r="JF93" s="136"/>
      <c r="JG93" s="136"/>
      <c r="JH93" s="136"/>
      <c r="JI93" s="136"/>
      <c r="JJ93" s="136"/>
      <c r="JK93" s="136"/>
      <c r="JL93" s="136"/>
      <c r="JM93" s="136"/>
      <c r="JN93" s="136"/>
      <c r="JO93" s="136"/>
      <c r="JP93" s="136"/>
      <c r="JQ93" s="136"/>
      <c r="JR93" s="136"/>
      <c r="JS93" s="136"/>
      <c r="JT93" s="136"/>
      <c r="JU93" s="136"/>
      <c r="JV93" s="136"/>
      <c r="JW93" s="136"/>
      <c r="JX93" s="136"/>
      <c r="JY93" s="136"/>
      <c r="JZ93" s="136"/>
      <c r="KA93" s="136"/>
      <c r="KB93" s="136"/>
      <c r="KC93" s="136"/>
      <c r="KD93" s="136"/>
      <c r="KE93" s="136"/>
      <c r="KF93" s="136"/>
      <c r="KG93" s="136"/>
      <c r="KH93" s="136"/>
      <c r="KI93" s="136"/>
      <c r="KJ93" s="136"/>
      <c r="KK93" s="136"/>
      <c r="KL93" s="136"/>
      <c r="KM93" s="136"/>
      <c r="KN93" s="136"/>
      <c r="KO93" s="136"/>
      <c r="KP93" s="136"/>
      <c r="KQ93" s="136"/>
      <c r="KR93" s="136"/>
      <c r="KS93" s="136"/>
      <c r="KT93" s="136"/>
      <c r="KU93" s="136"/>
      <c r="KV93" s="136"/>
      <c r="KW93" s="136"/>
      <c r="KX93" s="136"/>
      <c r="KY93" s="136"/>
      <c r="KZ93" s="136"/>
      <c r="LA93" s="136"/>
      <c r="LB93" s="136"/>
      <c r="LC93" s="136"/>
      <c r="LD93" s="136"/>
      <c r="LE93" s="136"/>
      <c r="LF93" s="136"/>
      <c r="LG93" s="136"/>
      <c r="LH93" s="136"/>
      <c r="LI93" s="136"/>
      <c r="LJ93" s="136"/>
      <c r="LK93" s="136"/>
      <c r="LL93" s="136"/>
      <c r="LM93" s="136"/>
      <c r="LN93" s="136"/>
      <c r="LO93" s="136"/>
      <c r="LP93" s="136"/>
      <c r="LQ93" s="136"/>
      <c r="LR93" s="136"/>
      <c r="LS93" s="136"/>
      <c r="LT93" s="136"/>
      <c r="LU93" s="136"/>
      <c r="LV93" s="136"/>
      <c r="LW93" s="136"/>
      <c r="LX93" s="136"/>
      <c r="LY93" s="136"/>
      <c r="LZ93" s="136"/>
      <c r="MA93" s="136"/>
      <c r="MB93" s="136"/>
      <c r="MC93" s="136"/>
      <c r="MD93" s="136"/>
      <c r="ME93" s="136"/>
      <c r="MF93" s="136"/>
      <c r="MG93" s="136"/>
      <c r="MH93" s="136"/>
      <c r="MI93" s="136"/>
      <c r="MJ93" s="136"/>
      <c r="MK93" s="136"/>
      <c r="ML93" s="136"/>
      <c r="MM93" s="136"/>
      <c r="MN93" s="136"/>
      <c r="MO93" s="136"/>
      <c r="MP93" s="136"/>
      <c r="MQ93" s="136"/>
      <c r="MR93" s="136"/>
      <c r="MS93" s="136"/>
      <c r="MT93" s="136"/>
      <c r="MU93" s="136"/>
      <c r="MV93" s="136"/>
      <c r="MW93" s="136"/>
      <c r="MX93" s="136"/>
      <c r="MY93" s="136"/>
      <c r="MZ93" s="136"/>
      <c r="NA93" s="136"/>
      <c r="NB93" s="136"/>
      <c r="NC93" s="136"/>
      <c r="ND93" s="136"/>
      <c r="NE93" s="136"/>
      <c r="NF93" s="136"/>
      <c r="NG93" s="136"/>
      <c r="NH93" s="136"/>
      <c r="NI93" s="136"/>
      <c r="NJ93" s="136"/>
      <c r="NK93" s="136"/>
      <c r="NL93" s="136"/>
      <c r="NM93" s="136"/>
      <c r="NN93" s="136"/>
      <c r="NO93" s="136"/>
      <c r="NP93" s="136"/>
      <c r="NQ93" s="136"/>
      <c r="NR93" s="136"/>
      <c r="NS93" s="136"/>
      <c r="NT93" s="136"/>
      <c r="NU93" s="136"/>
      <c r="NV93" s="136"/>
      <c r="NW93" s="136"/>
      <c r="NX93" s="136"/>
      <c r="NY93" s="136"/>
      <c r="NZ93" s="136"/>
      <c r="OA93" s="136"/>
      <c r="OB93" s="136"/>
      <c r="OC93" s="136"/>
      <c r="OD93" s="136"/>
      <c r="OE93" s="136"/>
      <c r="OF93" s="136"/>
      <c r="OG93" s="136"/>
      <c r="OH93" s="136"/>
      <c r="OI93" s="136"/>
      <c r="OJ93" s="136"/>
      <c r="OK93" s="136"/>
      <c r="OL93" s="136"/>
      <c r="OM93" s="136"/>
      <c r="ON93" s="136"/>
      <c r="OO93" s="136"/>
      <c r="OP93" s="136"/>
      <c r="OQ93" s="136"/>
      <c r="OR93" s="136"/>
      <c r="OS93" s="136"/>
      <c r="OT93" s="136"/>
      <c r="OU93" s="136"/>
      <c r="OV93" s="136"/>
      <c r="OW93" s="136"/>
      <c r="OX93" s="136"/>
      <c r="OY93" s="136"/>
      <c r="OZ93" s="136"/>
      <c r="PA93" s="136"/>
      <c r="PB93" s="136"/>
      <c r="PC93" s="136"/>
      <c r="PD93" s="136"/>
      <c r="PE93" s="136"/>
      <c r="PF93" s="136"/>
      <c r="PG93" s="136"/>
      <c r="PH93" s="136"/>
      <c r="PI93" s="136"/>
      <c r="PJ93" s="136"/>
      <c r="PK93" s="136"/>
      <c r="PL93" s="136"/>
      <c r="PM93" s="136"/>
      <c r="PN93" s="136"/>
      <c r="PO93" s="136"/>
      <c r="PP93" s="136"/>
      <c r="PQ93" s="136"/>
      <c r="PR93" s="136"/>
      <c r="PS93" s="136"/>
      <c r="PT93" s="136"/>
      <c r="PU93" s="136"/>
      <c r="PV93" s="136"/>
      <c r="PW93" s="136"/>
      <c r="PX93" s="136"/>
      <c r="PY93" s="136"/>
      <c r="PZ93" s="136"/>
      <c r="QA93" s="136"/>
      <c r="QB93" s="136"/>
      <c r="QC93" s="136"/>
      <c r="QD93" s="136"/>
      <c r="QE93" s="136"/>
      <c r="QF93" s="136"/>
      <c r="QG93" s="136"/>
      <c r="QH93" s="136"/>
      <c r="QI93" s="136"/>
      <c r="QJ93" s="136"/>
      <c r="QK93" s="136"/>
      <c r="QL93" s="136"/>
      <c r="QM93" s="136"/>
      <c r="QN93" s="136"/>
      <c r="QO93" s="136"/>
      <c r="QP93" s="136"/>
      <c r="QQ93" s="136"/>
      <c r="QR93" s="136"/>
      <c r="QS93" s="136"/>
      <c r="QT93" s="136"/>
      <c r="QU93" s="136"/>
      <c r="QV93" s="136"/>
      <c r="QW93" s="136"/>
      <c r="QX93" s="136"/>
      <c r="QY93" s="136"/>
      <c r="QZ93" s="136"/>
      <c r="RA93" s="136"/>
      <c r="RB93" s="136"/>
      <c r="RC93" s="136"/>
      <c r="RD93" s="136"/>
      <c r="RE93" s="136"/>
      <c r="RF93" s="136"/>
      <c r="RG93" s="136"/>
      <c r="RH93" s="136"/>
      <c r="RI93" s="136"/>
      <c r="RJ93" s="136"/>
      <c r="RK93" s="136"/>
      <c r="RL93" s="136"/>
      <c r="RM93" s="136"/>
      <c r="RN93" s="136"/>
      <c r="RO93" s="136"/>
      <c r="RP93" s="136"/>
      <c r="RQ93" s="136"/>
      <c r="RR93" s="136"/>
      <c r="RS93" s="136"/>
      <c r="RT93" s="136"/>
      <c r="RU93" s="136"/>
      <c r="RV93" s="136"/>
      <c r="RW93" s="136"/>
      <c r="RX93" s="136"/>
      <c r="RY93" s="136"/>
      <c r="RZ93" s="136"/>
      <c r="SA93" s="136"/>
      <c r="SB93" s="136"/>
      <c r="SC93" s="136"/>
      <c r="SD93" s="136"/>
      <c r="SE93" s="136"/>
      <c r="SF93" s="136"/>
      <c r="SG93" s="136"/>
      <c r="SH93" s="136"/>
      <c r="SI93" s="136"/>
      <c r="SJ93" s="136"/>
      <c r="SK93" s="136"/>
      <c r="SL93" s="136"/>
      <c r="SM93" s="136"/>
      <c r="SN93" s="136"/>
      <c r="SO93" s="136"/>
      <c r="SP93" s="136"/>
      <c r="SQ93" s="136"/>
      <c r="SR93" s="136"/>
      <c r="SS93" s="136"/>
    </row>
    <row r="94" spans="14:513" s="135" customFormat="1" ht="14.5" x14ac:dyDescent="0.35"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  <c r="Y94" s="134"/>
      <c r="Z94" s="134"/>
      <c r="AA94" s="134"/>
      <c r="AB94" s="134"/>
      <c r="AC94" s="134"/>
      <c r="AD94" s="134"/>
      <c r="AE94" s="134"/>
      <c r="AF94" s="134"/>
      <c r="BH94" s="432"/>
      <c r="BI94" s="432"/>
      <c r="BJ94" s="432"/>
      <c r="BK94" s="432"/>
      <c r="BL94" s="432"/>
      <c r="BM94" s="432">
        <v>-16157.735158433934</v>
      </c>
      <c r="BN94" s="432">
        <v>-432563.84486578195</v>
      </c>
      <c r="BO94" s="432">
        <v>-1028621.6189506191</v>
      </c>
      <c r="BP94" s="432">
        <v>-320214.00900121871</v>
      </c>
      <c r="BQ94" s="432">
        <v>-415659.27579686837</v>
      </c>
      <c r="BR94" s="432">
        <f>-924340.298694488+200000</f>
        <v>-724340.29869448801</v>
      </c>
      <c r="BS94" s="432">
        <v>-242859.60046662544</v>
      </c>
      <c r="BT94" s="432">
        <v>-381725.82750239421</v>
      </c>
      <c r="BU94" s="432">
        <v>-355483.56585279596</v>
      </c>
      <c r="BV94" s="432">
        <v>23158.076994227566</v>
      </c>
      <c r="BW94" s="432">
        <v>-339816.20521151402</v>
      </c>
      <c r="BX94" s="432">
        <v>1669855.0009853006</v>
      </c>
      <c r="DO94" s="136"/>
      <c r="DP94" s="136"/>
      <c r="DQ94" s="136"/>
      <c r="DR94" s="136"/>
      <c r="DS94" s="136"/>
      <c r="DT94" s="136"/>
      <c r="DU94" s="136"/>
      <c r="DV94" s="136"/>
      <c r="DW94" s="136"/>
      <c r="DX94" s="136"/>
      <c r="DY94" s="136"/>
      <c r="DZ94" s="136"/>
      <c r="EA94" s="136"/>
      <c r="EB94" s="136"/>
      <c r="EC94" s="136"/>
      <c r="ED94" s="136"/>
      <c r="EE94" s="136"/>
      <c r="EF94" s="136"/>
      <c r="EG94" s="136"/>
      <c r="EH94" s="136"/>
      <c r="EI94" s="136"/>
      <c r="EJ94" s="136"/>
      <c r="EK94" s="136"/>
      <c r="EL94" s="136"/>
      <c r="EM94" s="136"/>
      <c r="EN94" s="136"/>
      <c r="EO94" s="136"/>
      <c r="EP94" s="136"/>
      <c r="EQ94" s="136"/>
      <c r="ER94" s="136"/>
      <c r="ES94" s="136"/>
      <c r="ET94" s="136"/>
      <c r="EU94" s="136"/>
      <c r="EV94" s="136"/>
      <c r="EW94" s="136"/>
      <c r="EX94" s="136"/>
      <c r="EY94" s="136"/>
      <c r="EZ94" s="136"/>
      <c r="FA94" s="136"/>
      <c r="FB94" s="136"/>
      <c r="FC94" s="136"/>
      <c r="FD94" s="136"/>
      <c r="FE94" s="136"/>
      <c r="FF94" s="136"/>
      <c r="FG94" s="136"/>
      <c r="FH94" s="136"/>
      <c r="FI94" s="136"/>
      <c r="FJ94" s="136"/>
      <c r="FK94" s="136"/>
      <c r="FL94" s="136"/>
      <c r="FM94" s="136"/>
      <c r="FN94" s="136"/>
      <c r="FO94" s="136"/>
      <c r="FP94" s="136"/>
      <c r="FQ94" s="136"/>
      <c r="FR94" s="136"/>
      <c r="FS94" s="136"/>
      <c r="FT94" s="136"/>
      <c r="FU94" s="136"/>
      <c r="FV94" s="136"/>
      <c r="FW94" s="136"/>
      <c r="FX94" s="136"/>
      <c r="FY94" s="136"/>
      <c r="FZ94" s="136"/>
      <c r="GA94" s="136"/>
      <c r="GB94" s="136"/>
      <c r="GC94" s="136"/>
      <c r="GD94" s="136"/>
      <c r="GE94" s="136"/>
      <c r="GF94" s="136"/>
      <c r="GG94" s="136"/>
      <c r="GH94" s="136"/>
      <c r="GI94" s="136"/>
      <c r="GJ94" s="136"/>
      <c r="GK94" s="136"/>
      <c r="GL94" s="136"/>
      <c r="GM94" s="136"/>
      <c r="GN94" s="136"/>
      <c r="GO94" s="136"/>
      <c r="GP94" s="136"/>
      <c r="GQ94" s="136"/>
      <c r="GR94" s="136"/>
      <c r="GS94" s="136"/>
      <c r="GT94" s="136"/>
      <c r="GU94" s="136"/>
      <c r="GV94" s="136"/>
      <c r="GW94" s="136"/>
      <c r="GX94" s="136"/>
      <c r="GY94" s="136"/>
      <c r="GZ94" s="136"/>
      <c r="HA94" s="136"/>
      <c r="HB94" s="136"/>
      <c r="HC94" s="136"/>
      <c r="HD94" s="136"/>
      <c r="HE94" s="136"/>
      <c r="HF94" s="136"/>
      <c r="HG94" s="136"/>
      <c r="HH94" s="136"/>
      <c r="HI94" s="136"/>
      <c r="HJ94" s="136"/>
      <c r="HK94" s="136"/>
      <c r="HL94" s="136"/>
      <c r="HM94" s="136"/>
      <c r="HN94" s="136"/>
      <c r="HO94" s="136"/>
      <c r="HP94" s="136"/>
      <c r="HQ94" s="136"/>
      <c r="HR94" s="136"/>
      <c r="HS94" s="136"/>
      <c r="HT94" s="136"/>
      <c r="HU94" s="136"/>
      <c r="HV94" s="136"/>
      <c r="HW94" s="136"/>
      <c r="HX94" s="136"/>
      <c r="HY94" s="136"/>
      <c r="HZ94" s="136"/>
      <c r="IA94" s="136"/>
      <c r="IB94" s="136"/>
      <c r="IC94" s="136"/>
      <c r="ID94" s="136"/>
      <c r="IE94" s="136"/>
      <c r="IF94" s="136"/>
      <c r="IG94" s="136"/>
      <c r="IH94" s="136"/>
      <c r="II94" s="136"/>
      <c r="IJ94" s="136"/>
      <c r="IK94" s="136"/>
      <c r="IL94" s="136"/>
      <c r="IM94" s="136"/>
      <c r="IN94" s="136"/>
      <c r="IO94" s="136"/>
      <c r="IP94" s="136"/>
      <c r="IQ94" s="136"/>
      <c r="IR94" s="136"/>
      <c r="IS94" s="136"/>
      <c r="IT94" s="136"/>
      <c r="IU94" s="136"/>
      <c r="IV94" s="136"/>
      <c r="IW94" s="136"/>
      <c r="IX94" s="136"/>
      <c r="IY94" s="136"/>
      <c r="IZ94" s="136"/>
      <c r="JA94" s="136"/>
      <c r="JB94" s="136"/>
      <c r="JC94" s="136"/>
      <c r="JD94" s="136"/>
      <c r="JE94" s="136"/>
      <c r="JF94" s="136"/>
      <c r="JG94" s="136"/>
      <c r="JH94" s="136"/>
      <c r="JI94" s="136"/>
      <c r="JJ94" s="136"/>
      <c r="JK94" s="136"/>
      <c r="JL94" s="136"/>
      <c r="JM94" s="136"/>
      <c r="JN94" s="136"/>
      <c r="JO94" s="136"/>
      <c r="JP94" s="136"/>
      <c r="JQ94" s="136"/>
      <c r="JR94" s="136"/>
      <c r="JS94" s="136"/>
      <c r="JT94" s="136"/>
      <c r="JU94" s="136"/>
      <c r="JV94" s="136"/>
      <c r="JW94" s="136"/>
      <c r="JX94" s="136"/>
      <c r="JY94" s="136"/>
      <c r="JZ94" s="136"/>
      <c r="KA94" s="136"/>
      <c r="KB94" s="136"/>
      <c r="KC94" s="136"/>
      <c r="KD94" s="136"/>
      <c r="KE94" s="136"/>
      <c r="KF94" s="136"/>
      <c r="KG94" s="136"/>
      <c r="KH94" s="136"/>
      <c r="KI94" s="136"/>
      <c r="KJ94" s="136"/>
      <c r="KK94" s="136"/>
      <c r="KL94" s="136"/>
      <c r="KM94" s="136"/>
      <c r="KN94" s="136"/>
      <c r="KO94" s="136"/>
      <c r="KP94" s="136"/>
      <c r="KQ94" s="136"/>
      <c r="KR94" s="136"/>
      <c r="KS94" s="136"/>
      <c r="KT94" s="136"/>
      <c r="KU94" s="136"/>
      <c r="KV94" s="136"/>
      <c r="KW94" s="136"/>
      <c r="KX94" s="136"/>
      <c r="KY94" s="136"/>
      <c r="KZ94" s="136"/>
      <c r="LA94" s="136"/>
      <c r="LB94" s="136"/>
      <c r="LC94" s="136"/>
      <c r="LD94" s="136"/>
      <c r="LE94" s="136"/>
      <c r="LF94" s="136"/>
      <c r="LG94" s="136"/>
      <c r="LH94" s="136"/>
      <c r="LI94" s="136"/>
      <c r="LJ94" s="136"/>
      <c r="LK94" s="136"/>
      <c r="LL94" s="136"/>
      <c r="LM94" s="136"/>
      <c r="LN94" s="136"/>
      <c r="LO94" s="136"/>
      <c r="LP94" s="136"/>
      <c r="LQ94" s="136"/>
      <c r="LR94" s="136"/>
      <c r="LS94" s="136"/>
      <c r="LT94" s="136"/>
      <c r="LU94" s="136"/>
      <c r="LV94" s="136"/>
      <c r="LW94" s="136"/>
      <c r="LX94" s="136"/>
      <c r="LY94" s="136"/>
      <c r="LZ94" s="136"/>
      <c r="MA94" s="136"/>
      <c r="MB94" s="136"/>
      <c r="MC94" s="136"/>
      <c r="MD94" s="136"/>
      <c r="ME94" s="136"/>
      <c r="MF94" s="136"/>
      <c r="MG94" s="136"/>
      <c r="MH94" s="136"/>
      <c r="MI94" s="136"/>
      <c r="MJ94" s="136"/>
      <c r="MK94" s="136"/>
      <c r="ML94" s="136"/>
      <c r="MM94" s="136"/>
      <c r="MN94" s="136"/>
      <c r="MO94" s="136"/>
      <c r="MP94" s="136"/>
      <c r="MQ94" s="136"/>
      <c r="MR94" s="136"/>
      <c r="MS94" s="136"/>
      <c r="MT94" s="136"/>
      <c r="MU94" s="136"/>
      <c r="MV94" s="136"/>
      <c r="MW94" s="136"/>
      <c r="MX94" s="136"/>
      <c r="MY94" s="136"/>
      <c r="MZ94" s="136"/>
      <c r="NA94" s="136"/>
      <c r="NB94" s="136"/>
      <c r="NC94" s="136"/>
      <c r="ND94" s="136"/>
      <c r="NE94" s="136"/>
      <c r="NF94" s="136"/>
      <c r="NG94" s="136"/>
      <c r="NH94" s="136"/>
      <c r="NI94" s="136"/>
      <c r="NJ94" s="136"/>
      <c r="NK94" s="136"/>
      <c r="NL94" s="136"/>
      <c r="NM94" s="136"/>
      <c r="NN94" s="136"/>
      <c r="NO94" s="136"/>
      <c r="NP94" s="136"/>
      <c r="NQ94" s="136"/>
      <c r="NR94" s="136"/>
      <c r="NS94" s="136"/>
      <c r="NT94" s="136"/>
      <c r="NU94" s="136"/>
      <c r="NV94" s="136"/>
      <c r="NW94" s="136"/>
      <c r="NX94" s="136"/>
      <c r="NY94" s="136"/>
      <c r="NZ94" s="136"/>
      <c r="OA94" s="136"/>
      <c r="OB94" s="136"/>
      <c r="OC94" s="136"/>
      <c r="OD94" s="136"/>
      <c r="OE94" s="136"/>
      <c r="OF94" s="136"/>
      <c r="OG94" s="136"/>
      <c r="OH94" s="136"/>
      <c r="OI94" s="136"/>
      <c r="OJ94" s="136"/>
      <c r="OK94" s="136"/>
      <c r="OL94" s="136"/>
      <c r="OM94" s="136"/>
      <c r="ON94" s="136"/>
      <c r="OO94" s="136"/>
      <c r="OP94" s="136"/>
      <c r="OQ94" s="136"/>
      <c r="OR94" s="136"/>
      <c r="OS94" s="136"/>
      <c r="OT94" s="136"/>
      <c r="OU94" s="136"/>
      <c r="OV94" s="136"/>
      <c r="OW94" s="136"/>
      <c r="OX94" s="136"/>
      <c r="OY94" s="136"/>
      <c r="OZ94" s="136"/>
      <c r="PA94" s="136"/>
      <c r="PB94" s="136"/>
      <c r="PC94" s="136"/>
      <c r="PD94" s="136"/>
      <c r="PE94" s="136"/>
      <c r="PF94" s="136"/>
      <c r="PG94" s="136"/>
      <c r="PH94" s="136"/>
      <c r="PI94" s="136"/>
      <c r="PJ94" s="136"/>
      <c r="PK94" s="136"/>
      <c r="PL94" s="136"/>
      <c r="PM94" s="136"/>
      <c r="PN94" s="136"/>
      <c r="PO94" s="136"/>
      <c r="PP94" s="136"/>
      <c r="PQ94" s="136"/>
      <c r="PR94" s="136"/>
      <c r="PS94" s="136"/>
      <c r="PT94" s="136"/>
      <c r="PU94" s="136"/>
      <c r="PV94" s="136"/>
      <c r="PW94" s="136"/>
      <c r="PX94" s="136"/>
      <c r="PY94" s="136"/>
      <c r="PZ94" s="136"/>
      <c r="QA94" s="136"/>
      <c r="QB94" s="136"/>
      <c r="QC94" s="136"/>
      <c r="QD94" s="136"/>
      <c r="QE94" s="136"/>
      <c r="QF94" s="136"/>
      <c r="QG94" s="136"/>
      <c r="QH94" s="136"/>
      <c r="QI94" s="136"/>
      <c r="QJ94" s="136"/>
      <c r="QK94" s="136"/>
      <c r="QL94" s="136"/>
      <c r="QM94" s="136"/>
      <c r="QN94" s="136"/>
      <c r="QO94" s="136"/>
      <c r="QP94" s="136"/>
      <c r="QQ94" s="136"/>
      <c r="QR94" s="136"/>
      <c r="QS94" s="136"/>
      <c r="QT94" s="136"/>
      <c r="QU94" s="136"/>
      <c r="QV94" s="136"/>
      <c r="QW94" s="136"/>
      <c r="QX94" s="136"/>
      <c r="QY94" s="136"/>
      <c r="QZ94" s="136"/>
      <c r="RA94" s="136"/>
      <c r="RB94" s="136"/>
      <c r="RC94" s="136"/>
      <c r="RD94" s="136"/>
      <c r="RE94" s="136"/>
      <c r="RF94" s="136"/>
      <c r="RG94" s="136"/>
      <c r="RH94" s="136"/>
      <c r="RI94" s="136"/>
      <c r="RJ94" s="136"/>
      <c r="RK94" s="136"/>
      <c r="RL94" s="136"/>
      <c r="RM94" s="136"/>
      <c r="RN94" s="136"/>
      <c r="RO94" s="136"/>
      <c r="RP94" s="136"/>
      <c r="RQ94" s="136"/>
      <c r="RR94" s="136"/>
      <c r="RS94" s="136"/>
      <c r="RT94" s="136"/>
      <c r="RU94" s="136"/>
      <c r="RV94" s="136"/>
      <c r="RW94" s="136"/>
      <c r="RX94" s="136"/>
      <c r="RY94" s="136"/>
      <c r="RZ94" s="136"/>
      <c r="SA94" s="136"/>
      <c r="SB94" s="136"/>
      <c r="SC94" s="136"/>
      <c r="SD94" s="136"/>
      <c r="SE94" s="136"/>
      <c r="SF94" s="136"/>
      <c r="SG94" s="136"/>
      <c r="SH94" s="136"/>
      <c r="SI94" s="136"/>
      <c r="SJ94" s="136"/>
      <c r="SK94" s="136"/>
      <c r="SL94" s="136"/>
      <c r="SM94" s="136"/>
      <c r="SN94" s="136"/>
      <c r="SO94" s="136"/>
      <c r="SP94" s="136"/>
      <c r="SQ94" s="136"/>
      <c r="SR94" s="136"/>
      <c r="SS94" s="136"/>
    </row>
    <row r="95" spans="14:513" s="135" customFormat="1" ht="14.5" x14ac:dyDescent="0.35"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  <c r="Y95" s="134"/>
      <c r="Z95" s="134"/>
      <c r="AA95" s="134"/>
      <c r="AB95" s="134"/>
      <c r="AC95" s="134"/>
      <c r="AD95" s="134"/>
      <c r="AE95" s="134"/>
      <c r="AF95" s="134"/>
      <c r="DO95" s="136"/>
      <c r="DP95" s="136"/>
      <c r="DQ95" s="136"/>
      <c r="DR95" s="136"/>
      <c r="DS95" s="136"/>
      <c r="DT95" s="136"/>
      <c r="DU95" s="136"/>
      <c r="DV95" s="136"/>
      <c r="DW95" s="136"/>
      <c r="DX95" s="136"/>
      <c r="DY95" s="136"/>
      <c r="DZ95" s="136"/>
      <c r="EA95" s="136"/>
      <c r="EB95" s="136"/>
      <c r="EC95" s="136"/>
      <c r="ED95" s="136"/>
      <c r="EE95" s="136"/>
      <c r="EF95" s="136"/>
      <c r="EG95" s="136"/>
      <c r="EH95" s="136"/>
      <c r="EI95" s="136"/>
      <c r="EJ95" s="136"/>
      <c r="EK95" s="136"/>
      <c r="EL95" s="136"/>
      <c r="EM95" s="136"/>
      <c r="EN95" s="136"/>
      <c r="EO95" s="136"/>
      <c r="EP95" s="136"/>
      <c r="EQ95" s="136"/>
      <c r="ER95" s="136"/>
      <c r="ES95" s="136"/>
      <c r="ET95" s="136"/>
      <c r="EU95" s="136"/>
      <c r="EV95" s="136"/>
      <c r="EW95" s="136"/>
      <c r="EX95" s="136"/>
      <c r="EY95" s="136"/>
      <c r="EZ95" s="136"/>
      <c r="FA95" s="136"/>
      <c r="FB95" s="136"/>
      <c r="FC95" s="136"/>
      <c r="FD95" s="136"/>
      <c r="FE95" s="136"/>
      <c r="FF95" s="136"/>
      <c r="FG95" s="136"/>
      <c r="FH95" s="136"/>
      <c r="FI95" s="136"/>
      <c r="FJ95" s="136"/>
      <c r="FK95" s="136"/>
      <c r="FL95" s="136"/>
      <c r="FM95" s="136"/>
      <c r="FN95" s="136"/>
      <c r="FO95" s="136"/>
      <c r="FP95" s="136"/>
      <c r="FQ95" s="136"/>
      <c r="FR95" s="136"/>
      <c r="FS95" s="136"/>
      <c r="FT95" s="136"/>
      <c r="FU95" s="136"/>
      <c r="FV95" s="136"/>
      <c r="FW95" s="136"/>
      <c r="FX95" s="136"/>
      <c r="FY95" s="136"/>
      <c r="FZ95" s="136"/>
      <c r="GA95" s="136"/>
      <c r="GB95" s="136"/>
      <c r="GC95" s="136"/>
      <c r="GD95" s="136"/>
      <c r="GE95" s="136"/>
      <c r="GF95" s="136"/>
      <c r="GG95" s="136"/>
      <c r="GH95" s="136"/>
      <c r="GI95" s="136"/>
      <c r="GJ95" s="136"/>
      <c r="GK95" s="136"/>
      <c r="GL95" s="136"/>
      <c r="GM95" s="136"/>
      <c r="GN95" s="136"/>
      <c r="GO95" s="136"/>
      <c r="GP95" s="136"/>
      <c r="GQ95" s="136"/>
      <c r="GR95" s="136"/>
      <c r="GS95" s="136"/>
      <c r="GT95" s="136"/>
      <c r="GU95" s="136"/>
      <c r="GV95" s="136"/>
      <c r="GW95" s="136"/>
      <c r="GX95" s="136"/>
      <c r="GY95" s="136"/>
      <c r="GZ95" s="136"/>
      <c r="HA95" s="136"/>
      <c r="HB95" s="136"/>
      <c r="HC95" s="136"/>
      <c r="HD95" s="136"/>
      <c r="HE95" s="136"/>
      <c r="HF95" s="136"/>
      <c r="HG95" s="136"/>
      <c r="HH95" s="136"/>
      <c r="HI95" s="136"/>
      <c r="HJ95" s="136"/>
      <c r="HK95" s="136"/>
      <c r="HL95" s="136"/>
      <c r="HM95" s="136"/>
      <c r="HN95" s="136"/>
      <c r="HO95" s="136"/>
      <c r="HP95" s="136"/>
      <c r="HQ95" s="136"/>
      <c r="HR95" s="136"/>
      <c r="HS95" s="136"/>
      <c r="HT95" s="136"/>
      <c r="HU95" s="136"/>
      <c r="HV95" s="136"/>
      <c r="HW95" s="136"/>
      <c r="HX95" s="136"/>
      <c r="HY95" s="136"/>
      <c r="HZ95" s="136"/>
      <c r="IA95" s="136"/>
      <c r="IB95" s="136"/>
      <c r="IC95" s="136"/>
      <c r="ID95" s="136"/>
      <c r="IE95" s="136"/>
      <c r="IF95" s="136"/>
      <c r="IG95" s="136"/>
      <c r="IH95" s="136"/>
      <c r="II95" s="136"/>
      <c r="IJ95" s="136"/>
      <c r="IK95" s="136"/>
      <c r="IL95" s="136"/>
      <c r="IM95" s="136"/>
      <c r="IN95" s="136"/>
      <c r="IO95" s="136"/>
      <c r="IP95" s="136"/>
      <c r="IQ95" s="136"/>
      <c r="IR95" s="136"/>
      <c r="IS95" s="136"/>
      <c r="IT95" s="136"/>
      <c r="IU95" s="136"/>
      <c r="IV95" s="136"/>
      <c r="IW95" s="136"/>
      <c r="IX95" s="136"/>
      <c r="IY95" s="136"/>
      <c r="IZ95" s="136"/>
      <c r="JA95" s="136"/>
      <c r="JB95" s="136"/>
      <c r="JC95" s="136"/>
      <c r="JD95" s="136"/>
      <c r="JE95" s="136"/>
      <c r="JF95" s="136"/>
      <c r="JG95" s="136"/>
      <c r="JH95" s="136"/>
      <c r="JI95" s="136"/>
      <c r="JJ95" s="136"/>
      <c r="JK95" s="136"/>
      <c r="JL95" s="136"/>
      <c r="JM95" s="136"/>
      <c r="JN95" s="136"/>
      <c r="JO95" s="136"/>
      <c r="JP95" s="136"/>
      <c r="JQ95" s="136"/>
      <c r="JR95" s="136"/>
      <c r="JS95" s="136"/>
      <c r="JT95" s="136"/>
      <c r="JU95" s="136"/>
      <c r="JV95" s="136"/>
      <c r="JW95" s="136"/>
      <c r="JX95" s="136"/>
      <c r="JY95" s="136"/>
      <c r="JZ95" s="136"/>
      <c r="KA95" s="136"/>
      <c r="KB95" s="136"/>
      <c r="KC95" s="136"/>
      <c r="KD95" s="136"/>
      <c r="KE95" s="136"/>
      <c r="KF95" s="136"/>
      <c r="KG95" s="136"/>
      <c r="KH95" s="136"/>
      <c r="KI95" s="136"/>
      <c r="KJ95" s="136"/>
      <c r="KK95" s="136"/>
      <c r="KL95" s="136"/>
      <c r="KM95" s="136"/>
      <c r="KN95" s="136"/>
      <c r="KO95" s="136"/>
      <c r="KP95" s="136"/>
      <c r="KQ95" s="136"/>
      <c r="KR95" s="136"/>
      <c r="KS95" s="136"/>
      <c r="KT95" s="136"/>
      <c r="KU95" s="136"/>
      <c r="KV95" s="136"/>
      <c r="KW95" s="136"/>
      <c r="KX95" s="136"/>
      <c r="KY95" s="136"/>
      <c r="KZ95" s="136"/>
      <c r="LA95" s="136"/>
      <c r="LB95" s="136"/>
      <c r="LC95" s="136"/>
      <c r="LD95" s="136"/>
      <c r="LE95" s="136"/>
      <c r="LF95" s="136"/>
      <c r="LG95" s="136"/>
      <c r="LH95" s="136"/>
      <c r="LI95" s="136"/>
      <c r="LJ95" s="136"/>
      <c r="LK95" s="136"/>
      <c r="LL95" s="136"/>
      <c r="LM95" s="136"/>
      <c r="LN95" s="136"/>
      <c r="LO95" s="136"/>
      <c r="LP95" s="136"/>
      <c r="LQ95" s="136"/>
      <c r="LR95" s="136"/>
      <c r="LS95" s="136"/>
      <c r="LT95" s="136"/>
      <c r="LU95" s="136"/>
      <c r="LV95" s="136"/>
      <c r="LW95" s="136"/>
      <c r="LX95" s="136"/>
      <c r="LY95" s="136"/>
      <c r="LZ95" s="136"/>
      <c r="MA95" s="136"/>
      <c r="MB95" s="136"/>
      <c r="MC95" s="136"/>
      <c r="MD95" s="136"/>
      <c r="ME95" s="136"/>
      <c r="MF95" s="136"/>
      <c r="MG95" s="136"/>
      <c r="MH95" s="136"/>
      <c r="MI95" s="136"/>
      <c r="MJ95" s="136"/>
      <c r="MK95" s="136"/>
      <c r="ML95" s="136"/>
      <c r="MM95" s="136"/>
      <c r="MN95" s="136"/>
      <c r="MO95" s="136"/>
      <c r="MP95" s="136"/>
      <c r="MQ95" s="136"/>
      <c r="MR95" s="136"/>
      <c r="MS95" s="136"/>
      <c r="MT95" s="136"/>
      <c r="MU95" s="136"/>
      <c r="MV95" s="136"/>
      <c r="MW95" s="136"/>
      <c r="MX95" s="136"/>
      <c r="MY95" s="136"/>
      <c r="MZ95" s="136"/>
      <c r="NA95" s="136"/>
      <c r="NB95" s="136"/>
      <c r="NC95" s="136"/>
      <c r="ND95" s="136"/>
      <c r="NE95" s="136"/>
      <c r="NF95" s="136"/>
      <c r="NG95" s="136"/>
      <c r="NH95" s="136"/>
      <c r="NI95" s="136"/>
      <c r="NJ95" s="136"/>
      <c r="NK95" s="136"/>
      <c r="NL95" s="136"/>
      <c r="NM95" s="136"/>
      <c r="NN95" s="136"/>
      <c r="NO95" s="136"/>
      <c r="NP95" s="136"/>
      <c r="NQ95" s="136"/>
      <c r="NR95" s="136"/>
      <c r="NS95" s="136"/>
      <c r="NT95" s="136"/>
      <c r="NU95" s="136"/>
      <c r="NV95" s="136"/>
      <c r="NW95" s="136"/>
      <c r="NX95" s="136"/>
      <c r="NY95" s="136"/>
      <c r="NZ95" s="136"/>
      <c r="OA95" s="136"/>
      <c r="OB95" s="136"/>
      <c r="OC95" s="136"/>
      <c r="OD95" s="136"/>
      <c r="OE95" s="136"/>
      <c r="OF95" s="136"/>
      <c r="OG95" s="136"/>
      <c r="OH95" s="136"/>
      <c r="OI95" s="136"/>
      <c r="OJ95" s="136"/>
      <c r="OK95" s="136"/>
      <c r="OL95" s="136"/>
      <c r="OM95" s="136"/>
      <c r="ON95" s="136"/>
      <c r="OO95" s="136"/>
      <c r="OP95" s="136"/>
      <c r="OQ95" s="136"/>
      <c r="OR95" s="136"/>
      <c r="OS95" s="136"/>
      <c r="OT95" s="136"/>
      <c r="OU95" s="136"/>
      <c r="OV95" s="136"/>
      <c r="OW95" s="136"/>
      <c r="OX95" s="136"/>
      <c r="OY95" s="136"/>
      <c r="OZ95" s="136"/>
      <c r="PA95" s="136"/>
      <c r="PB95" s="136"/>
      <c r="PC95" s="136"/>
      <c r="PD95" s="136"/>
      <c r="PE95" s="136"/>
      <c r="PF95" s="136"/>
      <c r="PG95" s="136"/>
      <c r="PH95" s="136"/>
      <c r="PI95" s="136"/>
      <c r="PJ95" s="136"/>
      <c r="PK95" s="136"/>
      <c r="PL95" s="136"/>
      <c r="PM95" s="136"/>
      <c r="PN95" s="136"/>
      <c r="PO95" s="136"/>
      <c r="PP95" s="136"/>
      <c r="PQ95" s="136"/>
      <c r="PR95" s="136"/>
      <c r="PS95" s="136"/>
      <c r="PT95" s="136"/>
      <c r="PU95" s="136"/>
      <c r="PV95" s="136"/>
      <c r="PW95" s="136"/>
      <c r="PX95" s="136"/>
      <c r="PY95" s="136"/>
      <c r="PZ95" s="136"/>
      <c r="QA95" s="136"/>
      <c r="QB95" s="136"/>
      <c r="QC95" s="136"/>
      <c r="QD95" s="136"/>
      <c r="QE95" s="136"/>
      <c r="QF95" s="136"/>
      <c r="QG95" s="136"/>
      <c r="QH95" s="136"/>
      <c r="QI95" s="136"/>
      <c r="QJ95" s="136"/>
      <c r="QK95" s="136"/>
      <c r="QL95" s="136"/>
      <c r="QM95" s="136"/>
      <c r="QN95" s="136"/>
      <c r="QO95" s="136"/>
      <c r="QP95" s="136"/>
      <c r="QQ95" s="136"/>
      <c r="QR95" s="136"/>
      <c r="QS95" s="136"/>
      <c r="QT95" s="136"/>
      <c r="QU95" s="136"/>
      <c r="QV95" s="136"/>
      <c r="QW95" s="136"/>
      <c r="QX95" s="136"/>
      <c r="QY95" s="136"/>
      <c r="QZ95" s="136"/>
      <c r="RA95" s="136"/>
      <c r="RB95" s="136"/>
      <c r="RC95" s="136"/>
      <c r="RD95" s="136"/>
      <c r="RE95" s="136"/>
      <c r="RF95" s="136"/>
      <c r="RG95" s="136"/>
      <c r="RH95" s="136"/>
      <c r="RI95" s="136"/>
      <c r="RJ95" s="136"/>
      <c r="RK95" s="136"/>
      <c r="RL95" s="136"/>
      <c r="RM95" s="136"/>
      <c r="RN95" s="136"/>
      <c r="RO95" s="136"/>
      <c r="RP95" s="136"/>
      <c r="RQ95" s="136"/>
      <c r="RR95" s="136"/>
      <c r="RS95" s="136"/>
      <c r="RT95" s="136"/>
      <c r="RU95" s="136"/>
      <c r="RV95" s="136"/>
      <c r="RW95" s="136"/>
      <c r="RX95" s="136"/>
      <c r="RY95" s="136"/>
      <c r="RZ95" s="136"/>
      <c r="SA95" s="136"/>
      <c r="SB95" s="136"/>
      <c r="SC95" s="136"/>
      <c r="SD95" s="136"/>
      <c r="SE95" s="136"/>
      <c r="SF95" s="136"/>
      <c r="SG95" s="136"/>
      <c r="SH95" s="136"/>
      <c r="SI95" s="136"/>
      <c r="SJ95" s="136"/>
      <c r="SK95" s="136"/>
      <c r="SL95" s="136"/>
      <c r="SM95" s="136"/>
      <c r="SN95" s="136"/>
      <c r="SO95" s="136"/>
      <c r="SP95" s="136"/>
      <c r="SQ95" s="136"/>
      <c r="SR95" s="136"/>
      <c r="SS95" s="136"/>
    </row>
    <row r="96" spans="14:513" s="135" customFormat="1" ht="14.5" x14ac:dyDescent="0.35"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  <c r="Y96" s="134"/>
      <c r="Z96" s="134"/>
      <c r="AA96" s="134"/>
      <c r="AB96" s="134"/>
      <c r="AC96" s="134"/>
      <c r="AD96" s="134"/>
      <c r="AE96" s="134"/>
      <c r="AF96" s="134"/>
      <c r="DO96" s="136"/>
      <c r="DP96" s="136"/>
      <c r="DQ96" s="136"/>
      <c r="DR96" s="136"/>
      <c r="DS96" s="136"/>
      <c r="DT96" s="136"/>
      <c r="DU96" s="136"/>
      <c r="DV96" s="136"/>
      <c r="DW96" s="136"/>
      <c r="DX96" s="136"/>
      <c r="DY96" s="136"/>
      <c r="DZ96" s="136"/>
      <c r="EA96" s="136"/>
      <c r="EB96" s="136"/>
      <c r="EC96" s="136"/>
      <c r="ED96" s="136"/>
      <c r="EE96" s="136"/>
      <c r="EF96" s="136"/>
      <c r="EG96" s="136"/>
      <c r="EH96" s="136"/>
      <c r="EI96" s="136"/>
      <c r="EJ96" s="136"/>
      <c r="EK96" s="136"/>
      <c r="EL96" s="136"/>
      <c r="EM96" s="136"/>
      <c r="EN96" s="136"/>
      <c r="EO96" s="136"/>
      <c r="EP96" s="136"/>
      <c r="EQ96" s="136"/>
      <c r="ER96" s="136"/>
      <c r="ES96" s="136"/>
      <c r="ET96" s="136"/>
      <c r="EU96" s="136"/>
      <c r="EV96" s="136"/>
      <c r="EW96" s="136"/>
      <c r="EX96" s="136"/>
      <c r="EY96" s="136"/>
      <c r="EZ96" s="136"/>
      <c r="FA96" s="136"/>
      <c r="FB96" s="136"/>
      <c r="FC96" s="136"/>
      <c r="FD96" s="136"/>
      <c r="FE96" s="136"/>
      <c r="FF96" s="136"/>
      <c r="FG96" s="136"/>
      <c r="FH96" s="136"/>
      <c r="FI96" s="136"/>
      <c r="FJ96" s="136"/>
      <c r="FK96" s="136"/>
      <c r="FL96" s="136"/>
      <c r="FM96" s="136"/>
      <c r="FN96" s="136"/>
      <c r="FO96" s="136"/>
      <c r="FP96" s="136"/>
      <c r="FQ96" s="136"/>
      <c r="FR96" s="136"/>
      <c r="FS96" s="136"/>
      <c r="FT96" s="136"/>
      <c r="FU96" s="136"/>
      <c r="FV96" s="136"/>
      <c r="FW96" s="136"/>
      <c r="FX96" s="136"/>
      <c r="FY96" s="136"/>
      <c r="FZ96" s="136"/>
      <c r="GA96" s="136"/>
      <c r="GB96" s="136"/>
      <c r="GC96" s="136"/>
      <c r="GD96" s="136"/>
      <c r="GE96" s="136"/>
      <c r="GF96" s="136"/>
      <c r="GG96" s="136"/>
      <c r="GH96" s="136"/>
      <c r="GI96" s="136"/>
      <c r="GJ96" s="136"/>
      <c r="GK96" s="136"/>
      <c r="GL96" s="136"/>
      <c r="GM96" s="136"/>
      <c r="GN96" s="136"/>
      <c r="GO96" s="136"/>
      <c r="GP96" s="136"/>
      <c r="GQ96" s="136"/>
      <c r="GR96" s="136"/>
      <c r="GS96" s="136"/>
      <c r="GT96" s="136"/>
      <c r="GU96" s="136"/>
      <c r="GV96" s="136"/>
      <c r="GW96" s="136"/>
      <c r="GX96" s="136"/>
      <c r="GY96" s="136"/>
      <c r="GZ96" s="136"/>
      <c r="HA96" s="136"/>
      <c r="HB96" s="136"/>
      <c r="HC96" s="136"/>
      <c r="HD96" s="136"/>
      <c r="HE96" s="136"/>
      <c r="HF96" s="136"/>
      <c r="HG96" s="136"/>
      <c r="HH96" s="136"/>
      <c r="HI96" s="136"/>
      <c r="HJ96" s="136"/>
      <c r="HK96" s="136"/>
      <c r="HL96" s="136"/>
      <c r="HM96" s="136"/>
      <c r="HN96" s="136"/>
      <c r="HO96" s="136"/>
      <c r="HP96" s="136"/>
      <c r="HQ96" s="136"/>
      <c r="HR96" s="136"/>
      <c r="HS96" s="136"/>
      <c r="HT96" s="136"/>
      <c r="HU96" s="136"/>
      <c r="HV96" s="136"/>
      <c r="HW96" s="136"/>
      <c r="HX96" s="136"/>
      <c r="HY96" s="136"/>
      <c r="HZ96" s="136"/>
      <c r="IA96" s="136"/>
      <c r="IB96" s="136"/>
      <c r="IC96" s="136"/>
      <c r="ID96" s="136"/>
      <c r="IE96" s="136"/>
      <c r="IF96" s="136"/>
      <c r="IG96" s="136"/>
      <c r="IH96" s="136"/>
      <c r="II96" s="136"/>
      <c r="IJ96" s="136"/>
      <c r="IK96" s="136"/>
      <c r="IL96" s="136"/>
      <c r="IM96" s="136"/>
      <c r="IN96" s="136"/>
      <c r="IO96" s="136"/>
      <c r="IP96" s="136"/>
      <c r="IQ96" s="136"/>
      <c r="IR96" s="136"/>
      <c r="IS96" s="136"/>
      <c r="IT96" s="136"/>
      <c r="IU96" s="136"/>
      <c r="IV96" s="136"/>
      <c r="IW96" s="136"/>
      <c r="IX96" s="136"/>
      <c r="IY96" s="136"/>
      <c r="IZ96" s="136"/>
      <c r="JA96" s="136"/>
      <c r="JB96" s="136"/>
      <c r="JC96" s="136"/>
      <c r="JD96" s="136"/>
      <c r="JE96" s="136"/>
      <c r="JF96" s="136"/>
      <c r="JG96" s="136"/>
      <c r="JH96" s="136"/>
      <c r="JI96" s="136"/>
      <c r="JJ96" s="136"/>
      <c r="JK96" s="136"/>
      <c r="JL96" s="136"/>
      <c r="JM96" s="136"/>
      <c r="JN96" s="136"/>
      <c r="JO96" s="136"/>
      <c r="JP96" s="136"/>
      <c r="JQ96" s="136"/>
      <c r="JR96" s="136"/>
      <c r="JS96" s="136"/>
      <c r="JT96" s="136"/>
      <c r="JU96" s="136"/>
      <c r="JV96" s="136"/>
      <c r="JW96" s="136"/>
      <c r="JX96" s="136"/>
      <c r="JY96" s="136"/>
      <c r="JZ96" s="136"/>
      <c r="KA96" s="136"/>
      <c r="KB96" s="136"/>
      <c r="KC96" s="136"/>
      <c r="KD96" s="136"/>
      <c r="KE96" s="136"/>
      <c r="KF96" s="136"/>
      <c r="KG96" s="136"/>
      <c r="KH96" s="136"/>
      <c r="KI96" s="136"/>
      <c r="KJ96" s="136"/>
      <c r="KK96" s="136"/>
      <c r="KL96" s="136"/>
      <c r="KM96" s="136"/>
      <c r="KN96" s="136"/>
      <c r="KO96" s="136"/>
      <c r="KP96" s="136"/>
      <c r="KQ96" s="136"/>
      <c r="KR96" s="136"/>
      <c r="KS96" s="136"/>
      <c r="KT96" s="136"/>
      <c r="KU96" s="136"/>
      <c r="KV96" s="136"/>
      <c r="KW96" s="136"/>
      <c r="KX96" s="136"/>
      <c r="KY96" s="136"/>
      <c r="KZ96" s="136"/>
      <c r="LA96" s="136"/>
      <c r="LB96" s="136"/>
      <c r="LC96" s="136"/>
      <c r="LD96" s="136"/>
      <c r="LE96" s="136"/>
      <c r="LF96" s="136"/>
      <c r="LG96" s="136"/>
      <c r="LH96" s="136"/>
      <c r="LI96" s="136"/>
      <c r="LJ96" s="136"/>
      <c r="LK96" s="136"/>
      <c r="LL96" s="136"/>
      <c r="LM96" s="136"/>
      <c r="LN96" s="136"/>
      <c r="LO96" s="136"/>
      <c r="LP96" s="136"/>
      <c r="LQ96" s="136"/>
      <c r="LR96" s="136"/>
      <c r="LS96" s="136"/>
      <c r="LT96" s="136"/>
      <c r="LU96" s="136"/>
      <c r="LV96" s="136"/>
      <c r="LW96" s="136"/>
      <c r="LX96" s="136"/>
      <c r="LY96" s="136"/>
      <c r="LZ96" s="136"/>
      <c r="MA96" s="136"/>
      <c r="MB96" s="136"/>
      <c r="MC96" s="136"/>
      <c r="MD96" s="136"/>
      <c r="ME96" s="136"/>
      <c r="MF96" s="136"/>
      <c r="MG96" s="136"/>
      <c r="MH96" s="136"/>
      <c r="MI96" s="136"/>
      <c r="MJ96" s="136"/>
      <c r="MK96" s="136"/>
      <c r="ML96" s="136"/>
      <c r="MM96" s="136"/>
      <c r="MN96" s="136"/>
      <c r="MO96" s="136"/>
      <c r="MP96" s="136"/>
      <c r="MQ96" s="136"/>
      <c r="MR96" s="136"/>
      <c r="MS96" s="136"/>
      <c r="MT96" s="136"/>
      <c r="MU96" s="136"/>
      <c r="MV96" s="136"/>
      <c r="MW96" s="136"/>
      <c r="MX96" s="136"/>
      <c r="MY96" s="136"/>
      <c r="MZ96" s="136"/>
      <c r="NA96" s="136"/>
      <c r="NB96" s="136"/>
      <c r="NC96" s="136"/>
      <c r="ND96" s="136"/>
      <c r="NE96" s="136"/>
      <c r="NF96" s="136"/>
      <c r="NG96" s="136"/>
      <c r="NH96" s="136"/>
      <c r="NI96" s="136"/>
      <c r="NJ96" s="136"/>
      <c r="NK96" s="136"/>
      <c r="NL96" s="136"/>
      <c r="NM96" s="136"/>
      <c r="NN96" s="136"/>
      <c r="NO96" s="136"/>
      <c r="NP96" s="136"/>
      <c r="NQ96" s="136"/>
      <c r="NR96" s="136"/>
      <c r="NS96" s="136"/>
      <c r="NT96" s="136"/>
      <c r="NU96" s="136"/>
      <c r="NV96" s="136"/>
      <c r="NW96" s="136"/>
      <c r="NX96" s="136"/>
      <c r="NY96" s="136"/>
      <c r="NZ96" s="136"/>
      <c r="OA96" s="136"/>
      <c r="OB96" s="136"/>
      <c r="OC96" s="136"/>
      <c r="OD96" s="136"/>
      <c r="OE96" s="136"/>
      <c r="OF96" s="136"/>
      <c r="OG96" s="136"/>
      <c r="OH96" s="136"/>
      <c r="OI96" s="136"/>
      <c r="OJ96" s="136"/>
      <c r="OK96" s="136"/>
      <c r="OL96" s="136"/>
      <c r="OM96" s="136"/>
      <c r="ON96" s="136"/>
      <c r="OO96" s="136"/>
      <c r="OP96" s="136"/>
      <c r="OQ96" s="136"/>
      <c r="OR96" s="136"/>
      <c r="OS96" s="136"/>
      <c r="OT96" s="136"/>
      <c r="OU96" s="136"/>
      <c r="OV96" s="136"/>
      <c r="OW96" s="136"/>
      <c r="OX96" s="136"/>
      <c r="OY96" s="136"/>
      <c r="OZ96" s="136"/>
      <c r="PA96" s="136"/>
      <c r="PB96" s="136"/>
      <c r="PC96" s="136"/>
      <c r="PD96" s="136"/>
      <c r="PE96" s="136"/>
      <c r="PF96" s="136"/>
      <c r="PG96" s="136"/>
      <c r="PH96" s="136"/>
      <c r="PI96" s="136"/>
      <c r="PJ96" s="136"/>
      <c r="PK96" s="136"/>
      <c r="PL96" s="136"/>
      <c r="PM96" s="136"/>
      <c r="PN96" s="136"/>
      <c r="PO96" s="136"/>
      <c r="PP96" s="136"/>
      <c r="PQ96" s="136"/>
      <c r="PR96" s="136"/>
      <c r="PS96" s="136"/>
      <c r="PT96" s="136"/>
      <c r="PU96" s="136"/>
      <c r="PV96" s="136"/>
      <c r="PW96" s="136"/>
      <c r="PX96" s="136"/>
      <c r="PY96" s="136"/>
      <c r="PZ96" s="136"/>
      <c r="QA96" s="136"/>
      <c r="QB96" s="136"/>
      <c r="QC96" s="136"/>
      <c r="QD96" s="136"/>
      <c r="QE96" s="136"/>
      <c r="QF96" s="136"/>
      <c r="QG96" s="136"/>
      <c r="QH96" s="136"/>
      <c r="QI96" s="136"/>
      <c r="QJ96" s="136"/>
      <c r="QK96" s="136"/>
      <c r="QL96" s="136"/>
      <c r="QM96" s="136"/>
      <c r="QN96" s="136"/>
      <c r="QO96" s="136"/>
      <c r="QP96" s="136"/>
      <c r="QQ96" s="136"/>
      <c r="QR96" s="136"/>
      <c r="QS96" s="136"/>
      <c r="QT96" s="136"/>
      <c r="QU96" s="136"/>
      <c r="QV96" s="136"/>
      <c r="QW96" s="136"/>
      <c r="QX96" s="136"/>
      <c r="QY96" s="136"/>
      <c r="QZ96" s="136"/>
      <c r="RA96" s="136"/>
      <c r="RB96" s="136"/>
      <c r="RC96" s="136"/>
      <c r="RD96" s="136"/>
      <c r="RE96" s="136"/>
      <c r="RF96" s="136"/>
      <c r="RG96" s="136"/>
      <c r="RH96" s="136"/>
      <c r="RI96" s="136"/>
      <c r="RJ96" s="136"/>
      <c r="RK96" s="136"/>
      <c r="RL96" s="136"/>
      <c r="RM96" s="136"/>
      <c r="RN96" s="136"/>
      <c r="RO96" s="136"/>
      <c r="RP96" s="136"/>
      <c r="RQ96" s="136"/>
      <c r="RR96" s="136"/>
      <c r="RS96" s="136"/>
      <c r="RT96" s="136"/>
      <c r="RU96" s="136"/>
      <c r="RV96" s="136"/>
      <c r="RW96" s="136"/>
      <c r="RX96" s="136"/>
      <c r="RY96" s="136"/>
      <c r="RZ96" s="136"/>
      <c r="SA96" s="136"/>
      <c r="SB96" s="136"/>
      <c r="SC96" s="136"/>
      <c r="SD96" s="136"/>
      <c r="SE96" s="136"/>
      <c r="SF96" s="136"/>
      <c r="SG96" s="136"/>
      <c r="SH96" s="136"/>
      <c r="SI96" s="136"/>
      <c r="SJ96" s="136"/>
      <c r="SK96" s="136"/>
      <c r="SL96" s="136"/>
      <c r="SM96" s="136"/>
      <c r="SN96" s="136"/>
      <c r="SO96" s="136"/>
      <c r="SP96" s="136"/>
      <c r="SQ96" s="136"/>
      <c r="SR96" s="136"/>
      <c r="SS96" s="136"/>
    </row>
    <row r="97" spans="14:513" s="135" customFormat="1" ht="14.5" x14ac:dyDescent="0.35"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  <c r="Y97" s="134"/>
      <c r="Z97" s="134"/>
      <c r="AA97" s="134"/>
      <c r="AB97" s="134"/>
      <c r="AC97" s="134"/>
      <c r="AD97" s="134"/>
      <c r="AE97" s="134"/>
      <c r="AF97" s="134"/>
      <c r="DO97" s="136"/>
      <c r="DP97" s="136"/>
      <c r="DQ97" s="136"/>
      <c r="DR97" s="136"/>
      <c r="DS97" s="136"/>
      <c r="DT97" s="136"/>
      <c r="DU97" s="136"/>
      <c r="DV97" s="136"/>
      <c r="DW97" s="136"/>
      <c r="DX97" s="136"/>
      <c r="DY97" s="136"/>
      <c r="DZ97" s="136"/>
      <c r="EA97" s="136"/>
      <c r="EB97" s="136"/>
      <c r="EC97" s="136"/>
      <c r="ED97" s="136"/>
      <c r="EE97" s="136"/>
      <c r="EF97" s="136"/>
      <c r="EG97" s="136"/>
      <c r="EH97" s="136"/>
      <c r="EI97" s="136"/>
      <c r="EJ97" s="136"/>
      <c r="EK97" s="136"/>
      <c r="EL97" s="136"/>
      <c r="EM97" s="136"/>
      <c r="EN97" s="136"/>
      <c r="EO97" s="136"/>
      <c r="EP97" s="136"/>
      <c r="EQ97" s="136"/>
      <c r="ER97" s="136"/>
      <c r="ES97" s="136"/>
      <c r="ET97" s="136"/>
      <c r="EU97" s="136"/>
      <c r="EV97" s="136"/>
      <c r="EW97" s="136"/>
      <c r="EX97" s="136"/>
      <c r="EY97" s="136"/>
      <c r="EZ97" s="136"/>
      <c r="FA97" s="136"/>
      <c r="FB97" s="136"/>
      <c r="FC97" s="136"/>
      <c r="FD97" s="136"/>
      <c r="FE97" s="136"/>
      <c r="FF97" s="136"/>
      <c r="FG97" s="136"/>
      <c r="FH97" s="136"/>
      <c r="FI97" s="136"/>
      <c r="FJ97" s="136"/>
      <c r="FK97" s="136"/>
      <c r="FL97" s="136"/>
      <c r="FM97" s="136"/>
      <c r="FN97" s="136"/>
      <c r="FO97" s="136"/>
      <c r="FP97" s="136"/>
      <c r="FQ97" s="136"/>
      <c r="FR97" s="136"/>
      <c r="FS97" s="136"/>
      <c r="FT97" s="136"/>
      <c r="FU97" s="136"/>
      <c r="FV97" s="136"/>
      <c r="FW97" s="136"/>
      <c r="FX97" s="136"/>
      <c r="FY97" s="136"/>
      <c r="FZ97" s="136"/>
      <c r="GA97" s="136"/>
      <c r="GB97" s="136"/>
      <c r="GC97" s="136"/>
      <c r="GD97" s="136"/>
      <c r="GE97" s="136"/>
      <c r="GF97" s="136"/>
      <c r="GG97" s="136"/>
      <c r="GH97" s="136"/>
      <c r="GI97" s="136"/>
      <c r="GJ97" s="136"/>
      <c r="GK97" s="136"/>
      <c r="GL97" s="136"/>
      <c r="GM97" s="136"/>
      <c r="GN97" s="136"/>
      <c r="GO97" s="136"/>
      <c r="GP97" s="136"/>
      <c r="GQ97" s="136"/>
      <c r="GR97" s="136"/>
      <c r="GS97" s="136"/>
      <c r="GT97" s="136"/>
      <c r="GU97" s="136"/>
      <c r="GV97" s="136"/>
      <c r="GW97" s="136"/>
      <c r="GX97" s="136"/>
      <c r="GY97" s="136"/>
      <c r="GZ97" s="136"/>
      <c r="HA97" s="136"/>
      <c r="HB97" s="136"/>
      <c r="HC97" s="136"/>
      <c r="HD97" s="136"/>
      <c r="HE97" s="136"/>
      <c r="HF97" s="136"/>
      <c r="HG97" s="136"/>
      <c r="HH97" s="136"/>
      <c r="HI97" s="136"/>
      <c r="HJ97" s="136"/>
      <c r="HK97" s="136"/>
      <c r="HL97" s="136"/>
      <c r="HM97" s="136"/>
      <c r="HN97" s="136"/>
      <c r="HO97" s="136"/>
      <c r="HP97" s="136"/>
      <c r="HQ97" s="136"/>
      <c r="HR97" s="136"/>
      <c r="HS97" s="136"/>
      <c r="HT97" s="136"/>
      <c r="HU97" s="136"/>
      <c r="HV97" s="136"/>
      <c r="HW97" s="136"/>
      <c r="HX97" s="136"/>
      <c r="HY97" s="136"/>
      <c r="HZ97" s="136"/>
      <c r="IA97" s="136"/>
      <c r="IB97" s="136"/>
      <c r="IC97" s="136"/>
      <c r="ID97" s="136"/>
      <c r="IE97" s="136"/>
      <c r="IF97" s="136"/>
      <c r="IG97" s="136"/>
      <c r="IH97" s="136"/>
      <c r="II97" s="136"/>
      <c r="IJ97" s="136"/>
      <c r="IK97" s="136"/>
      <c r="IL97" s="136"/>
      <c r="IM97" s="136"/>
      <c r="IN97" s="136"/>
      <c r="IO97" s="136"/>
      <c r="IP97" s="136"/>
      <c r="IQ97" s="136"/>
      <c r="IR97" s="136"/>
      <c r="IS97" s="136"/>
      <c r="IT97" s="136"/>
      <c r="IU97" s="136"/>
      <c r="IV97" s="136"/>
      <c r="IW97" s="136"/>
      <c r="IX97" s="136"/>
      <c r="IY97" s="136"/>
      <c r="IZ97" s="136"/>
      <c r="JA97" s="136"/>
      <c r="JB97" s="136"/>
      <c r="JC97" s="136"/>
      <c r="JD97" s="136"/>
      <c r="JE97" s="136"/>
      <c r="JF97" s="136"/>
      <c r="JG97" s="136"/>
      <c r="JH97" s="136"/>
      <c r="JI97" s="136"/>
      <c r="JJ97" s="136"/>
      <c r="JK97" s="136"/>
      <c r="JL97" s="136"/>
      <c r="JM97" s="136"/>
      <c r="JN97" s="136"/>
      <c r="JO97" s="136"/>
      <c r="JP97" s="136"/>
      <c r="JQ97" s="136"/>
      <c r="JR97" s="136"/>
      <c r="JS97" s="136"/>
      <c r="JT97" s="136"/>
      <c r="JU97" s="136"/>
      <c r="JV97" s="136"/>
      <c r="JW97" s="136"/>
      <c r="JX97" s="136"/>
      <c r="JY97" s="136"/>
      <c r="JZ97" s="136"/>
      <c r="KA97" s="136"/>
      <c r="KB97" s="136"/>
      <c r="KC97" s="136"/>
      <c r="KD97" s="136"/>
      <c r="KE97" s="136"/>
      <c r="KF97" s="136"/>
      <c r="KG97" s="136"/>
      <c r="KH97" s="136"/>
      <c r="KI97" s="136"/>
      <c r="KJ97" s="136"/>
      <c r="KK97" s="136"/>
      <c r="KL97" s="136"/>
      <c r="KM97" s="136"/>
      <c r="KN97" s="136"/>
      <c r="KO97" s="136"/>
      <c r="KP97" s="136"/>
      <c r="KQ97" s="136"/>
      <c r="KR97" s="136"/>
      <c r="KS97" s="136"/>
      <c r="KT97" s="136"/>
      <c r="KU97" s="136"/>
      <c r="KV97" s="136"/>
      <c r="KW97" s="136"/>
      <c r="KX97" s="136"/>
      <c r="KY97" s="136"/>
      <c r="KZ97" s="136"/>
      <c r="LA97" s="136"/>
      <c r="LB97" s="136"/>
      <c r="LC97" s="136"/>
      <c r="LD97" s="136"/>
      <c r="LE97" s="136"/>
      <c r="LF97" s="136"/>
      <c r="LG97" s="136"/>
      <c r="LH97" s="136"/>
      <c r="LI97" s="136"/>
      <c r="LJ97" s="136"/>
      <c r="LK97" s="136"/>
      <c r="LL97" s="136"/>
      <c r="LM97" s="136"/>
      <c r="LN97" s="136"/>
      <c r="LO97" s="136"/>
      <c r="LP97" s="136"/>
      <c r="LQ97" s="136"/>
      <c r="LR97" s="136"/>
      <c r="LS97" s="136"/>
      <c r="LT97" s="136"/>
      <c r="LU97" s="136"/>
      <c r="LV97" s="136"/>
      <c r="LW97" s="136"/>
      <c r="LX97" s="136"/>
      <c r="LY97" s="136"/>
      <c r="LZ97" s="136"/>
      <c r="MA97" s="136"/>
      <c r="MB97" s="136"/>
      <c r="MC97" s="136"/>
      <c r="MD97" s="136"/>
      <c r="ME97" s="136"/>
      <c r="MF97" s="136"/>
      <c r="MG97" s="136"/>
      <c r="MH97" s="136"/>
      <c r="MI97" s="136"/>
      <c r="MJ97" s="136"/>
      <c r="MK97" s="136"/>
      <c r="ML97" s="136"/>
      <c r="MM97" s="136"/>
      <c r="MN97" s="136"/>
      <c r="MO97" s="136"/>
      <c r="MP97" s="136"/>
      <c r="MQ97" s="136"/>
      <c r="MR97" s="136"/>
      <c r="MS97" s="136"/>
      <c r="MT97" s="136"/>
      <c r="MU97" s="136"/>
      <c r="MV97" s="136"/>
      <c r="MW97" s="136"/>
      <c r="MX97" s="136"/>
      <c r="MY97" s="136"/>
      <c r="MZ97" s="136"/>
      <c r="NA97" s="136"/>
      <c r="NB97" s="136"/>
      <c r="NC97" s="136"/>
      <c r="ND97" s="136"/>
      <c r="NE97" s="136"/>
      <c r="NF97" s="136"/>
      <c r="NG97" s="136"/>
      <c r="NH97" s="136"/>
      <c r="NI97" s="136"/>
      <c r="NJ97" s="136"/>
      <c r="NK97" s="136"/>
      <c r="NL97" s="136"/>
      <c r="NM97" s="136"/>
      <c r="NN97" s="136"/>
      <c r="NO97" s="136"/>
      <c r="NP97" s="136"/>
      <c r="NQ97" s="136"/>
      <c r="NR97" s="136"/>
      <c r="NS97" s="136"/>
      <c r="NT97" s="136"/>
      <c r="NU97" s="136"/>
      <c r="NV97" s="136"/>
      <c r="NW97" s="136"/>
      <c r="NX97" s="136"/>
      <c r="NY97" s="136"/>
      <c r="NZ97" s="136"/>
      <c r="OA97" s="136"/>
      <c r="OB97" s="136"/>
      <c r="OC97" s="136"/>
      <c r="OD97" s="136"/>
      <c r="OE97" s="136"/>
      <c r="OF97" s="136"/>
      <c r="OG97" s="136"/>
      <c r="OH97" s="136"/>
      <c r="OI97" s="136"/>
      <c r="OJ97" s="136"/>
      <c r="OK97" s="136"/>
      <c r="OL97" s="136"/>
      <c r="OM97" s="136"/>
      <c r="ON97" s="136"/>
      <c r="OO97" s="136"/>
      <c r="OP97" s="136"/>
      <c r="OQ97" s="136"/>
      <c r="OR97" s="136"/>
      <c r="OS97" s="136"/>
      <c r="OT97" s="136"/>
      <c r="OU97" s="136"/>
      <c r="OV97" s="136"/>
      <c r="OW97" s="136"/>
      <c r="OX97" s="136"/>
      <c r="OY97" s="136"/>
      <c r="OZ97" s="136"/>
      <c r="PA97" s="136"/>
      <c r="PB97" s="136"/>
      <c r="PC97" s="136"/>
      <c r="PD97" s="136"/>
      <c r="PE97" s="136"/>
      <c r="PF97" s="136"/>
      <c r="PG97" s="136"/>
      <c r="PH97" s="136"/>
      <c r="PI97" s="136"/>
      <c r="PJ97" s="136"/>
      <c r="PK97" s="136"/>
      <c r="PL97" s="136"/>
      <c r="PM97" s="136"/>
      <c r="PN97" s="136"/>
      <c r="PO97" s="136"/>
      <c r="PP97" s="136"/>
      <c r="PQ97" s="136"/>
      <c r="PR97" s="136"/>
      <c r="PS97" s="136"/>
      <c r="PT97" s="136"/>
      <c r="PU97" s="136"/>
      <c r="PV97" s="136"/>
      <c r="PW97" s="136"/>
      <c r="PX97" s="136"/>
      <c r="PY97" s="136"/>
      <c r="PZ97" s="136"/>
      <c r="QA97" s="136"/>
      <c r="QB97" s="136"/>
      <c r="QC97" s="136"/>
      <c r="QD97" s="136"/>
      <c r="QE97" s="136"/>
      <c r="QF97" s="136"/>
      <c r="QG97" s="136"/>
      <c r="QH97" s="136"/>
      <c r="QI97" s="136"/>
      <c r="QJ97" s="136"/>
      <c r="QK97" s="136"/>
      <c r="QL97" s="136"/>
      <c r="QM97" s="136"/>
      <c r="QN97" s="136"/>
      <c r="QO97" s="136"/>
      <c r="QP97" s="136"/>
      <c r="QQ97" s="136"/>
      <c r="QR97" s="136"/>
      <c r="QS97" s="136"/>
      <c r="QT97" s="136"/>
      <c r="QU97" s="136"/>
      <c r="QV97" s="136"/>
      <c r="QW97" s="136"/>
      <c r="QX97" s="136"/>
      <c r="QY97" s="136"/>
      <c r="QZ97" s="136"/>
      <c r="RA97" s="136"/>
      <c r="RB97" s="136"/>
      <c r="RC97" s="136"/>
      <c r="RD97" s="136"/>
      <c r="RE97" s="136"/>
      <c r="RF97" s="136"/>
      <c r="RG97" s="136"/>
      <c r="RH97" s="136"/>
      <c r="RI97" s="136"/>
      <c r="RJ97" s="136"/>
      <c r="RK97" s="136"/>
      <c r="RL97" s="136"/>
      <c r="RM97" s="136"/>
      <c r="RN97" s="136"/>
      <c r="RO97" s="136"/>
      <c r="RP97" s="136"/>
      <c r="RQ97" s="136"/>
      <c r="RR97" s="136"/>
      <c r="RS97" s="136"/>
      <c r="RT97" s="136"/>
      <c r="RU97" s="136"/>
      <c r="RV97" s="136"/>
      <c r="RW97" s="136"/>
      <c r="RX97" s="136"/>
      <c r="RY97" s="136"/>
      <c r="RZ97" s="136"/>
      <c r="SA97" s="136"/>
      <c r="SB97" s="136"/>
      <c r="SC97" s="136"/>
      <c r="SD97" s="136"/>
      <c r="SE97" s="136"/>
      <c r="SF97" s="136"/>
      <c r="SG97" s="136"/>
      <c r="SH97" s="136"/>
      <c r="SI97" s="136"/>
      <c r="SJ97" s="136"/>
      <c r="SK97" s="136"/>
      <c r="SL97" s="136"/>
      <c r="SM97" s="136"/>
      <c r="SN97" s="136"/>
      <c r="SO97" s="136"/>
      <c r="SP97" s="136"/>
      <c r="SQ97" s="136"/>
      <c r="SR97" s="136"/>
      <c r="SS97" s="136"/>
    </row>
    <row r="98" spans="14:513" s="135" customFormat="1" ht="14.5" x14ac:dyDescent="0.35"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  <c r="Y98" s="134"/>
      <c r="Z98" s="134"/>
      <c r="AA98" s="134"/>
      <c r="AB98" s="134"/>
      <c r="AC98" s="134"/>
      <c r="AD98" s="134"/>
      <c r="AE98" s="134"/>
      <c r="AF98" s="134"/>
      <c r="DO98" s="136"/>
      <c r="DP98" s="136"/>
      <c r="DQ98" s="136"/>
      <c r="DR98" s="136"/>
      <c r="DS98" s="136"/>
      <c r="DT98" s="136"/>
      <c r="DU98" s="136"/>
      <c r="DV98" s="136"/>
      <c r="DW98" s="136"/>
      <c r="DX98" s="136"/>
      <c r="DY98" s="136"/>
      <c r="DZ98" s="136"/>
      <c r="EA98" s="136"/>
      <c r="EB98" s="136"/>
      <c r="EC98" s="136"/>
      <c r="ED98" s="136"/>
      <c r="EE98" s="136"/>
      <c r="EF98" s="136"/>
      <c r="EG98" s="136"/>
      <c r="EH98" s="136"/>
      <c r="EI98" s="136"/>
      <c r="EJ98" s="136"/>
      <c r="EK98" s="136"/>
      <c r="EL98" s="136"/>
      <c r="EM98" s="136"/>
      <c r="EN98" s="136"/>
      <c r="EO98" s="136"/>
      <c r="EP98" s="136"/>
      <c r="EQ98" s="136"/>
      <c r="ER98" s="136"/>
      <c r="ES98" s="136"/>
      <c r="ET98" s="136"/>
      <c r="EU98" s="136"/>
      <c r="EV98" s="136"/>
      <c r="EW98" s="136"/>
      <c r="EX98" s="136"/>
      <c r="EY98" s="136"/>
      <c r="EZ98" s="136"/>
      <c r="FA98" s="136"/>
      <c r="FB98" s="136"/>
      <c r="FC98" s="136"/>
      <c r="FD98" s="136"/>
      <c r="FE98" s="136"/>
      <c r="FF98" s="136"/>
      <c r="FG98" s="136"/>
      <c r="FH98" s="136"/>
      <c r="FI98" s="136"/>
      <c r="FJ98" s="136"/>
      <c r="FK98" s="136"/>
      <c r="FL98" s="136"/>
      <c r="FM98" s="136"/>
      <c r="FN98" s="136"/>
      <c r="FO98" s="136"/>
      <c r="FP98" s="136"/>
      <c r="FQ98" s="136"/>
      <c r="FR98" s="136"/>
      <c r="FS98" s="136"/>
      <c r="FT98" s="136"/>
      <c r="FU98" s="136"/>
      <c r="FV98" s="136"/>
      <c r="FW98" s="136"/>
      <c r="FX98" s="136"/>
      <c r="FY98" s="136"/>
      <c r="FZ98" s="136"/>
      <c r="GA98" s="136"/>
      <c r="GB98" s="136"/>
      <c r="GC98" s="136"/>
      <c r="GD98" s="136"/>
      <c r="GE98" s="136"/>
      <c r="GF98" s="136"/>
      <c r="GG98" s="136"/>
      <c r="GH98" s="136"/>
      <c r="GI98" s="136"/>
      <c r="GJ98" s="136"/>
      <c r="GK98" s="136"/>
      <c r="GL98" s="136"/>
      <c r="GM98" s="136"/>
      <c r="GN98" s="136"/>
      <c r="GO98" s="136"/>
      <c r="GP98" s="136"/>
      <c r="GQ98" s="136"/>
      <c r="GR98" s="136"/>
      <c r="GS98" s="136"/>
      <c r="GT98" s="136"/>
      <c r="GU98" s="136"/>
      <c r="GV98" s="136"/>
      <c r="GW98" s="136"/>
      <c r="GX98" s="136"/>
      <c r="GY98" s="136"/>
      <c r="GZ98" s="136"/>
      <c r="HA98" s="136"/>
      <c r="HB98" s="136"/>
      <c r="HC98" s="136"/>
      <c r="HD98" s="136"/>
      <c r="HE98" s="136"/>
      <c r="HF98" s="136"/>
      <c r="HG98" s="136"/>
      <c r="HH98" s="136"/>
      <c r="HI98" s="136"/>
      <c r="HJ98" s="136"/>
      <c r="HK98" s="136"/>
      <c r="HL98" s="136"/>
      <c r="HM98" s="136"/>
      <c r="HN98" s="136"/>
      <c r="HO98" s="136"/>
      <c r="HP98" s="136"/>
      <c r="HQ98" s="136"/>
      <c r="HR98" s="136"/>
      <c r="HS98" s="136"/>
      <c r="HT98" s="136"/>
      <c r="HU98" s="136"/>
      <c r="HV98" s="136"/>
      <c r="HW98" s="136"/>
      <c r="HX98" s="136"/>
      <c r="HY98" s="136"/>
      <c r="HZ98" s="136"/>
      <c r="IA98" s="136"/>
      <c r="IB98" s="136"/>
      <c r="IC98" s="136"/>
      <c r="ID98" s="136"/>
      <c r="IE98" s="136"/>
      <c r="IF98" s="136"/>
      <c r="IG98" s="136"/>
      <c r="IH98" s="136"/>
      <c r="II98" s="136"/>
      <c r="IJ98" s="136"/>
      <c r="IK98" s="136"/>
      <c r="IL98" s="136"/>
      <c r="IM98" s="136"/>
      <c r="IN98" s="136"/>
      <c r="IO98" s="136"/>
      <c r="IP98" s="136"/>
      <c r="IQ98" s="136"/>
      <c r="IR98" s="136"/>
      <c r="IS98" s="136"/>
      <c r="IT98" s="136"/>
      <c r="IU98" s="136"/>
      <c r="IV98" s="136"/>
      <c r="IW98" s="136"/>
      <c r="IX98" s="136"/>
      <c r="IY98" s="136"/>
      <c r="IZ98" s="136"/>
      <c r="JA98" s="136"/>
      <c r="JB98" s="136"/>
      <c r="JC98" s="136"/>
      <c r="JD98" s="136"/>
      <c r="JE98" s="136"/>
      <c r="JF98" s="136"/>
      <c r="JG98" s="136"/>
      <c r="JH98" s="136"/>
      <c r="JI98" s="136"/>
      <c r="JJ98" s="136"/>
      <c r="JK98" s="136"/>
      <c r="JL98" s="136"/>
      <c r="JM98" s="136"/>
      <c r="JN98" s="136"/>
      <c r="JO98" s="136"/>
      <c r="JP98" s="136"/>
      <c r="JQ98" s="136"/>
      <c r="JR98" s="136"/>
      <c r="JS98" s="136"/>
      <c r="JT98" s="136"/>
      <c r="JU98" s="136"/>
      <c r="JV98" s="136"/>
      <c r="JW98" s="136"/>
      <c r="JX98" s="136"/>
      <c r="JY98" s="136"/>
      <c r="JZ98" s="136"/>
      <c r="KA98" s="136"/>
      <c r="KB98" s="136"/>
      <c r="KC98" s="136"/>
      <c r="KD98" s="136"/>
      <c r="KE98" s="136"/>
      <c r="KF98" s="136"/>
      <c r="KG98" s="136"/>
      <c r="KH98" s="136"/>
      <c r="KI98" s="136"/>
      <c r="KJ98" s="136"/>
      <c r="KK98" s="136"/>
      <c r="KL98" s="136"/>
      <c r="KM98" s="136"/>
      <c r="KN98" s="136"/>
      <c r="KO98" s="136"/>
      <c r="KP98" s="136"/>
      <c r="KQ98" s="136"/>
      <c r="KR98" s="136"/>
      <c r="KS98" s="136"/>
      <c r="KT98" s="136"/>
      <c r="KU98" s="136"/>
      <c r="KV98" s="136"/>
      <c r="KW98" s="136"/>
      <c r="KX98" s="136"/>
      <c r="KY98" s="136"/>
      <c r="KZ98" s="136"/>
      <c r="LA98" s="136"/>
      <c r="LB98" s="136"/>
      <c r="LC98" s="136"/>
      <c r="LD98" s="136"/>
      <c r="LE98" s="136"/>
      <c r="LF98" s="136"/>
      <c r="LG98" s="136"/>
      <c r="LH98" s="136"/>
      <c r="LI98" s="136"/>
      <c r="LJ98" s="136"/>
      <c r="LK98" s="136"/>
      <c r="LL98" s="136"/>
      <c r="LM98" s="136"/>
      <c r="LN98" s="136"/>
      <c r="LO98" s="136"/>
      <c r="LP98" s="136"/>
      <c r="LQ98" s="136"/>
      <c r="LR98" s="136"/>
      <c r="LS98" s="136"/>
      <c r="LT98" s="136"/>
      <c r="LU98" s="136"/>
      <c r="LV98" s="136"/>
      <c r="LW98" s="136"/>
      <c r="LX98" s="136"/>
      <c r="LY98" s="136"/>
      <c r="LZ98" s="136"/>
      <c r="MA98" s="136"/>
      <c r="MB98" s="136"/>
      <c r="MC98" s="136"/>
      <c r="MD98" s="136"/>
      <c r="ME98" s="136"/>
      <c r="MF98" s="136"/>
      <c r="MG98" s="136"/>
      <c r="MH98" s="136"/>
      <c r="MI98" s="136"/>
      <c r="MJ98" s="136"/>
      <c r="MK98" s="136"/>
      <c r="ML98" s="136"/>
      <c r="MM98" s="136"/>
      <c r="MN98" s="136"/>
      <c r="MO98" s="136"/>
      <c r="MP98" s="136"/>
      <c r="MQ98" s="136"/>
      <c r="MR98" s="136"/>
      <c r="MS98" s="136"/>
      <c r="MT98" s="136"/>
      <c r="MU98" s="136"/>
      <c r="MV98" s="136"/>
      <c r="MW98" s="136"/>
      <c r="MX98" s="136"/>
      <c r="MY98" s="136"/>
      <c r="MZ98" s="136"/>
      <c r="NA98" s="136"/>
      <c r="NB98" s="136"/>
      <c r="NC98" s="136"/>
      <c r="ND98" s="136"/>
      <c r="NE98" s="136"/>
      <c r="NF98" s="136"/>
      <c r="NG98" s="136"/>
      <c r="NH98" s="136"/>
      <c r="NI98" s="136"/>
      <c r="NJ98" s="136"/>
      <c r="NK98" s="136"/>
      <c r="NL98" s="136"/>
      <c r="NM98" s="136"/>
      <c r="NN98" s="136"/>
      <c r="NO98" s="136"/>
      <c r="NP98" s="136"/>
      <c r="NQ98" s="136"/>
      <c r="NR98" s="136"/>
      <c r="NS98" s="136"/>
      <c r="NT98" s="136"/>
      <c r="NU98" s="136"/>
      <c r="NV98" s="136"/>
      <c r="NW98" s="136"/>
      <c r="NX98" s="136"/>
      <c r="NY98" s="136"/>
      <c r="NZ98" s="136"/>
      <c r="OA98" s="136"/>
      <c r="OB98" s="136"/>
      <c r="OC98" s="136"/>
      <c r="OD98" s="136"/>
      <c r="OE98" s="136"/>
      <c r="OF98" s="136"/>
      <c r="OG98" s="136"/>
      <c r="OH98" s="136"/>
      <c r="OI98" s="136"/>
      <c r="OJ98" s="136"/>
      <c r="OK98" s="136"/>
      <c r="OL98" s="136"/>
      <c r="OM98" s="136"/>
      <c r="ON98" s="136"/>
      <c r="OO98" s="136"/>
      <c r="OP98" s="136"/>
      <c r="OQ98" s="136"/>
      <c r="OR98" s="136"/>
      <c r="OS98" s="136"/>
      <c r="OT98" s="136"/>
      <c r="OU98" s="136"/>
      <c r="OV98" s="136"/>
      <c r="OW98" s="136"/>
      <c r="OX98" s="136"/>
      <c r="OY98" s="136"/>
      <c r="OZ98" s="136"/>
      <c r="PA98" s="136"/>
      <c r="PB98" s="136"/>
      <c r="PC98" s="136"/>
      <c r="PD98" s="136"/>
      <c r="PE98" s="136"/>
      <c r="PF98" s="136"/>
      <c r="PG98" s="136"/>
      <c r="PH98" s="136"/>
      <c r="PI98" s="136"/>
      <c r="PJ98" s="136"/>
      <c r="PK98" s="136"/>
      <c r="PL98" s="136"/>
      <c r="PM98" s="136"/>
      <c r="PN98" s="136"/>
      <c r="PO98" s="136"/>
      <c r="PP98" s="136"/>
      <c r="PQ98" s="136"/>
      <c r="PR98" s="136"/>
      <c r="PS98" s="136"/>
      <c r="PT98" s="136"/>
      <c r="PU98" s="136"/>
      <c r="PV98" s="136"/>
      <c r="PW98" s="136"/>
      <c r="PX98" s="136"/>
      <c r="PY98" s="136"/>
      <c r="PZ98" s="136"/>
      <c r="QA98" s="136"/>
      <c r="QB98" s="136"/>
      <c r="QC98" s="136"/>
      <c r="QD98" s="136"/>
      <c r="QE98" s="136"/>
      <c r="QF98" s="136"/>
      <c r="QG98" s="136"/>
      <c r="QH98" s="136"/>
      <c r="QI98" s="136"/>
      <c r="QJ98" s="136"/>
      <c r="QK98" s="136"/>
      <c r="QL98" s="136"/>
      <c r="QM98" s="136"/>
      <c r="QN98" s="136"/>
      <c r="QO98" s="136"/>
      <c r="QP98" s="136"/>
      <c r="QQ98" s="136"/>
      <c r="QR98" s="136"/>
      <c r="QS98" s="136"/>
      <c r="QT98" s="136"/>
      <c r="QU98" s="136"/>
      <c r="QV98" s="136"/>
      <c r="QW98" s="136"/>
      <c r="QX98" s="136"/>
      <c r="QY98" s="136"/>
      <c r="QZ98" s="136"/>
      <c r="RA98" s="136"/>
      <c r="RB98" s="136"/>
      <c r="RC98" s="136"/>
      <c r="RD98" s="136"/>
      <c r="RE98" s="136"/>
      <c r="RF98" s="136"/>
      <c r="RG98" s="136"/>
      <c r="RH98" s="136"/>
      <c r="RI98" s="136"/>
      <c r="RJ98" s="136"/>
      <c r="RK98" s="136"/>
      <c r="RL98" s="136"/>
      <c r="RM98" s="136"/>
      <c r="RN98" s="136"/>
      <c r="RO98" s="136"/>
      <c r="RP98" s="136"/>
      <c r="RQ98" s="136"/>
      <c r="RR98" s="136"/>
      <c r="RS98" s="136"/>
      <c r="RT98" s="136"/>
      <c r="RU98" s="136"/>
      <c r="RV98" s="136"/>
      <c r="RW98" s="136"/>
      <c r="RX98" s="136"/>
      <c r="RY98" s="136"/>
      <c r="RZ98" s="136"/>
      <c r="SA98" s="136"/>
      <c r="SB98" s="136"/>
      <c r="SC98" s="136"/>
      <c r="SD98" s="136"/>
      <c r="SE98" s="136"/>
      <c r="SF98" s="136"/>
      <c r="SG98" s="136"/>
      <c r="SH98" s="136"/>
      <c r="SI98" s="136"/>
      <c r="SJ98" s="136"/>
      <c r="SK98" s="136"/>
      <c r="SL98" s="136"/>
      <c r="SM98" s="136"/>
      <c r="SN98" s="136"/>
      <c r="SO98" s="136"/>
      <c r="SP98" s="136"/>
      <c r="SQ98" s="136"/>
      <c r="SR98" s="136"/>
      <c r="SS98" s="136"/>
    </row>
    <row r="99" spans="14:513" s="135" customFormat="1" ht="14.5" x14ac:dyDescent="0.35"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  <c r="Y99" s="134"/>
      <c r="Z99" s="134"/>
      <c r="AA99" s="134"/>
      <c r="AB99" s="134"/>
      <c r="AC99" s="134"/>
      <c r="AD99" s="134"/>
      <c r="AE99" s="134"/>
      <c r="AF99" s="134"/>
      <c r="DO99" s="136"/>
      <c r="DP99" s="136"/>
      <c r="DQ99" s="136"/>
      <c r="DR99" s="136"/>
      <c r="DS99" s="136"/>
      <c r="DT99" s="136"/>
      <c r="DU99" s="136"/>
      <c r="DV99" s="136"/>
      <c r="DW99" s="136"/>
      <c r="DX99" s="136"/>
      <c r="DY99" s="136"/>
      <c r="DZ99" s="136"/>
      <c r="EA99" s="136"/>
      <c r="EB99" s="136"/>
      <c r="EC99" s="136"/>
      <c r="ED99" s="136"/>
      <c r="EE99" s="136"/>
      <c r="EF99" s="136"/>
      <c r="EG99" s="136"/>
      <c r="EH99" s="136"/>
      <c r="EI99" s="136"/>
      <c r="EJ99" s="136"/>
      <c r="EK99" s="136"/>
      <c r="EL99" s="136"/>
      <c r="EM99" s="136"/>
      <c r="EN99" s="136"/>
      <c r="EO99" s="136"/>
      <c r="EP99" s="136"/>
      <c r="EQ99" s="136"/>
      <c r="ER99" s="136"/>
      <c r="ES99" s="136"/>
      <c r="ET99" s="136"/>
      <c r="EU99" s="136"/>
      <c r="EV99" s="136"/>
      <c r="EW99" s="136"/>
      <c r="EX99" s="136"/>
      <c r="EY99" s="136"/>
      <c r="EZ99" s="136"/>
      <c r="FA99" s="136"/>
      <c r="FB99" s="136"/>
      <c r="FC99" s="136"/>
      <c r="FD99" s="136"/>
      <c r="FE99" s="136"/>
      <c r="FF99" s="136"/>
      <c r="FG99" s="136"/>
      <c r="FH99" s="136"/>
      <c r="FI99" s="136"/>
      <c r="FJ99" s="136"/>
      <c r="FK99" s="136"/>
      <c r="FL99" s="136"/>
      <c r="FM99" s="136"/>
      <c r="FN99" s="136"/>
      <c r="FO99" s="136"/>
      <c r="FP99" s="136"/>
      <c r="FQ99" s="136"/>
      <c r="FR99" s="136"/>
      <c r="FS99" s="136"/>
      <c r="FT99" s="136"/>
      <c r="FU99" s="136"/>
      <c r="FV99" s="136"/>
      <c r="FW99" s="136"/>
      <c r="FX99" s="136"/>
      <c r="FY99" s="136"/>
      <c r="FZ99" s="136"/>
      <c r="GA99" s="136"/>
      <c r="GB99" s="136"/>
      <c r="GC99" s="136"/>
      <c r="GD99" s="136"/>
      <c r="GE99" s="136"/>
      <c r="GF99" s="136"/>
      <c r="GG99" s="136"/>
      <c r="GH99" s="136"/>
      <c r="GI99" s="136"/>
      <c r="GJ99" s="136"/>
      <c r="GK99" s="136"/>
      <c r="GL99" s="136"/>
      <c r="GM99" s="136"/>
      <c r="GN99" s="136"/>
      <c r="GO99" s="136"/>
      <c r="GP99" s="136"/>
      <c r="GQ99" s="136"/>
      <c r="GR99" s="136"/>
      <c r="GS99" s="136"/>
      <c r="GT99" s="136"/>
      <c r="GU99" s="136"/>
      <c r="GV99" s="136"/>
      <c r="GW99" s="136"/>
      <c r="GX99" s="136"/>
      <c r="GY99" s="136"/>
      <c r="GZ99" s="136"/>
      <c r="HA99" s="136"/>
      <c r="HB99" s="136"/>
      <c r="HC99" s="136"/>
      <c r="HD99" s="136"/>
      <c r="HE99" s="136"/>
      <c r="HF99" s="136"/>
      <c r="HG99" s="136"/>
      <c r="HH99" s="136"/>
      <c r="HI99" s="136"/>
      <c r="HJ99" s="136"/>
      <c r="HK99" s="136"/>
      <c r="HL99" s="136"/>
      <c r="HM99" s="136"/>
      <c r="HN99" s="136"/>
      <c r="HO99" s="136"/>
      <c r="HP99" s="136"/>
      <c r="HQ99" s="136"/>
      <c r="HR99" s="136"/>
      <c r="HS99" s="136"/>
      <c r="HT99" s="136"/>
      <c r="HU99" s="136"/>
      <c r="HV99" s="136"/>
      <c r="HW99" s="136"/>
      <c r="HX99" s="136"/>
      <c r="HY99" s="136"/>
      <c r="HZ99" s="136"/>
      <c r="IA99" s="136"/>
      <c r="IB99" s="136"/>
      <c r="IC99" s="136"/>
      <c r="ID99" s="136"/>
      <c r="IE99" s="136"/>
      <c r="IF99" s="136"/>
      <c r="IG99" s="136"/>
      <c r="IH99" s="136"/>
      <c r="II99" s="136"/>
      <c r="IJ99" s="136"/>
      <c r="IK99" s="136"/>
      <c r="IL99" s="136"/>
      <c r="IM99" s="136"/>
      <c r="IN99" s="136"/>
      <c r="IO99" s="136"/>
      <c r="IP99" s="136"/>
      <c r="IQ99" s="136"/>
      <c r="IR99" s="136"/>
      <c r="IS99" s="136"/>
      <c r="IT99" s="136"/>
      <c r="IU99" s="136"/>
      <c r="IV99" s="136"/>
      <c r="IW99" s="136"/>
      <c r="IX99" s="136"/>
      <c r="IY99" s="136"/>
      <c r="IZ99" s="136"/>
      <c r="JA99" s="136"/>
      <c r="JB99" s="136"/>
      <c r="JC99" s="136"/>
      <c r="JD99" s="136"/>
      <c r="JE99" s="136"/>
      <c r="JF99" s="136"/>
      <c r="JG99" s="136"/>
      <c r="JH99" s="136"/>
      <c r="JI99" s="136"/>
      <c r="JJ99" s="136"/>
      <c r="JK99" s="136"/>
      <c r="JL99" s="136"/>
      <c r="JM99" s="136"/>
      <c r="JN99" s="136"/>
      <c r="JO99" s="136"/>
      <c r="JP99" s="136"/>
      <c r="JQ99" s="136"/>
      <c r="JR99" s="136"/>
      <c r="JS99" s="136"/>
      <c r="JT99" s="136"/>
      <c r="JU99" s="136"/>
      <c r="JV99" s="136"/>
      <c r="JW99" s="136"/>
      <c r="JX99" s="136"/>
      <c r="JY99" s="136"/>
      <c r="JZ99" s="136"/>
      <c r="KA99" s="136"/>
      <c r="KB99" s="136"/>
      <c r="KC99" s="136"/>
      <c r="KD99" s="136"/>
      <c r="KE99" s="136"/>
      <c r="KF99" s="136"/>
      <c r="KG99" s="136"/>
      <c r="KH99" s="136"/>
      <c r="KI99" s="136"/>
      <c r="KJ99" s="136"/>
      <c r="KK99" s="136"/>
      <c r="KL99" s="136"/>
      <c r="KM99" s="136"/>
      <c r="KN99" s="136"/>
      <c r="KO99" s="136"/>
      <c r="KP99" s="136"/>
      <c r="KQ99" s="136"/>
      <c r="KR99" s="136"/>
      <c r="KS99" s="136"/>
      <c r="KT99" s="136"/>
      <c r="KU99" s="136"/>
      <c r="KV99" s="136"/>
      <c r="KW99" s="136"/>
      <c r="KX99" s="136"/>
      <c r="KY99" s="136"/>
      <c r="KZ99" s="136"/>
      <c r="LA99" s="136"/>
      <c r="LB99" s="136"/>
      <c r="LC99" s="136"/>
      <c r="LD99" s="136"/>
      <c r="LE99" s="136"/>
      <c r="LF99" s="136"/>
      <c r="LG99" s="136"/>
      <c r="LH99" s="136"/>
      <c r="LI99" s="136"/>
      <c r="LJ99" s="136"/>
      <c r="LK99" s="136"/>
      <c r="LL99" s="136"/>
      <c r="LM99" s="136"/>
      <c r="LN99" s="136"/>
      <c r="LO99" s="136"/>
      <c r="LP99" s="136"/>
      <c r="LQ99" s="136"/>
      <c r="LR99" s="136"/>
      <c r="LS99" s="136"/>
      <c r="LT99" s="136"/>
      <c r="LU99" s="136"/>
      <c r="LV99" s="136"/>
      <c r="LW99" s="136"/>
      <c r="LX99" s="136"/>
      <c r="LY99" s="136"/>
      <c r="LZ99" s="136"/>
      <c r="MA99" s="136"/>
      <c r="MB99" s="136"/>
      <c r="MC99" s="136"/>
      <c r="MD99" s="136"/>
      <c r="ME99" s="136"/>
      <c r="MF99" s="136"/>
      <c r="MG99" s="136"/>
      <c r="MH99" s="136"/>
      <c r="MI99" s="136"/>
      <c r="MJ99" s="136"/>
      <c r="MK99" s="136"/>
      <c r="ML99" s="136"/>
      <c r="MM99" s="136"/>
      <c r="MN99" s="136"/>
      <c r="MO99" s="136"/>
      <c r="MP99" s="136"/>
      <c r="MQ99" s="136"/>
      <c r="MR99" s="136"/>
      <c r="MS99" s="136"/>
      <c r="MT99" s="136"/>
      <c r="MU99" s="136"/>
      <c r="MV99" s="136"/>
      <c r="MW99" s="136"/>
      <c r="MX99" s="136"/>
      <c r="MY99" s="136"/>
      <c r="MZ99" s="136"/>
      <c r="NA99" s="136"/>
      <c r="NB99" s="136"/>
      <c r="NC99" s="136"/>
      <c r="ND99" s="136"/>
      <c r="NE99" s="136"/>
      <c r="NF99" s="136"/>
      <c r="NG99" s="136"/>
      <c r="NH99" s="136"/>
      <c r="NI99" s="136"/>
      <c r="NJ99" s="136"/>
      <c r="NK99" s="136"/>
      <c r="NL99" s="136"/>
      <c r="NM99" s="136"/>
      <c r="NN99" s="136"/>
      <c r="NO99" s="136"/>
      <c r="NP99" s="136"/>
      <c r="NQ99" s="136"/>
      <c r="NR99" s="136"/>
      <c r="NS99" s="136"/>
      <c r="NT99" s="136"/>
      <c r="NU99" s="136"/>
      <c r="NV99" s="136"/>
      <c r="NW99" s="136"/>
      <c r="NX99" s="136"/>
      <c r="NY99" s="136"/>
      <c r="NZ99" s="136"/>
      <c r="OA99" s="136"/>
      <c r="OB99" s="136"/>
      <c r="OC99" s="136"/>
      <c r="OD99" s="136"/>
      <c r="OE99" s="136"/>
      <c r="OF99" s="136"/>
      <c r="OG99" s="136"/>
      <c r="OH99" s="136"/>
      <c r="OI99" s="136"/>
      <c r="OJ99" s="136"/>
      <c r="OK99" s="136"/>
      <c r="OL99" s="136"/>
      <c r="OM99" s="136"/>
      <c r="ON99" s="136"/>
      <c r="OO99" s="136"/>
      <c r="OP99" s="136"/>
      <c r="OQ99" s="136"/>
      <c r="OR99" s="136"/>
      <c r="OS99" s="136"/>
      <c r="OT99" s="136"/>
      <c r="OU99" s="136"/>
      <c r="OV99" s="136"/>
      <c r="OW99" s="136"/>
      <c r="OX99" s="136"/>
      <c r="OY99" s="136"/>
      <c r="OZ99" s="136"/>
      <c r="PA99" s="136"/>
      <c r="PB99" s="136"/>
      <c r="PC99" s="136"/>
      <c r="PD99" s="136"/>
      <c r="PE99" s="136"/>
      <c r="PF99" s="136"/>
      <c r="PG99" s="136"/>
      <c r="PH99" s="136"/>
      <c r="PI99" s="136"/>
      <c r="PJ99" s="136"/>
      <c r="PK99" s="136"/>
      <c r="PL99" s="136"/>
      <c r="PM99" s="136"/>
      <c r="PN99" s="136"/>
      <c r="PO99" s="136"/>
      <c r="PP99" s="136"/>
      <c r="PQ99" s="136"/>
      <c r="PR99" s="136"/>
      <c r="PS99" s="136"/>
      <c r="PT99" s="136"/>
      <c r="PU99" s="136"/>
      <c r="PV99" s="136"/>
      <c r="PW99" s="136"/>
      <c r="PX99" s="136"/>
      <c r="PY99" s="136"/>
      <c r="PZ99" s="136"/>
      <c r="QA99" s="136"/>
      <c r="QB99" s="136"/>
      <c r="QC99" s="136"/>
      <c r="QD99" s="136"/>
      <c r="QE99" s="136"/>
      <c r="QF99" s="136"/>
      <c r="QG99" s="136"/>
      <c r="QH99" s="136"/>
      <c r="QI99" s="136"/>
      <c r="QJ99" s="136"/>
      <c r="QK99" s="136"/>
      <c r="QL99" s="136"/>
      <c r="QM99" s="136"/>
      <c r="QN99" s="136"/>
      <c r="QO99" s="136"/>
      <c r="QP99" s="136"/>
      <c r="QQ99" s="136"/>
      <c r="QR99" s="136"/>
      <c r="QS99" s="136"/>
      <c r="QT99" s="136"/>
      <c r="QU99" s="136"/>
      <c r="QV99" s="136"/>
      <c r="QW99" s="136"/>
      <c r="QX99" s="136"/>
      <c r="QY99" s="136"/>
      <c r="QZ99" s="136"/>
      <c r="RA99" s="136"/>
      <c r="RB99" s="136"/>
      <c r="RC99" s="136"/>
      <c r="RD99" s="136"/>
      <c r="RE99" s="136"/>
      <c r="RF99" s="136"/>
      <c r="RG99" s="136"/>
      <c r="RH99" s="136"/>
      <c r="RI99" s="136"/>
      <c r="RJ99" s="136"/>
      <c r="RK99" s="136"/>
      <c r="RL99" s="136"/>
      <c r="RM99" s="136"/>
      <c r="RN99" s="136"/>
      <c r="RO99" s="136"/>
      <c r="RP99" s="136"/>
      <c r="RQ99" s="136"/>
      <c r="RR99" s="136"/>
      <c r="RS99" s="136"/>
      <c r="RT99" s="136"/>
      <c r="RU99" s="136"/>
      <c r="RV99" s="136"/>
      <c r="RW99" s="136"/>
      <c r="RX99" s="136"/>
      <c r="RY99" s="136"/>
      <c r="RZ99" s="136"/>
      <c r="SA99" s="136"/>
      <c r="SB99" s="136"/>
      <c r="SC99" s="136"/>
      <c r="SD99" s="136"/>
      <c r="SE99" s="136"/>
      <c r="SF99" s="136"/>
      <c r="SG99" s="136"/>
      <c r="SH99" s="136"/>
      <c r="SI99" s="136"/>
      <c r="SJ99" s="136"/>
      <c r="SK99" s="136"/>
      <c r="SL99" s="136"/>
      <c r="SM99" s="136"/>
      <c r="SN99" s="136"/>
      <c r="SO99" s="136"/>
      <c r="SP99" s="136"/>
      <c r="SQ99" s="136"/>
      <c r="SR99" s="136"/>
      <c r="SS99" s="136"/>
    </row>
    <row r="100" spans="14:513" s="135" customFormat="1" ht="14.5" x14ac:dyDescent="0.35"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/>
      <c r="AA100" s="134"/>
      <c r="AB100" s="134"/>
      <c r="AC100" s="134"/>
      <c r="AD100" s="134"/>
      <c r="AE100" s="134"/>
      <c r="AF100" s="134"/>
      <c r="DO100" s="136"/>
      <c r="DP100" s="136"/>
      <c r="DQ100" s="136"/>
      <c r="DR100" s="136"/>
      <c r="DS100" s="136"/>
      <c r="DT100" s="136"/>
      <c r="DU100" s="136"/>
      <c r="DV100" s="136"/>
      <c r="DW100" s="136"/>
      <c r="DX100" s="136"/>
      <c r="DY100" s="136"/>
      <c r="DZ100" s="136"/>
      <c r="EA100" s="136"/>
      <c r="EB100" s="136"/>
      <c r="EC100" s="136"/>
      <c r="ED100" s="136"/>
      <c r="EE100" s="136"/>
      <c r="EF100" s="136"/>
      <c r="EG100" s="136"/>
      <c r="EH100" s="136"/>
      <c r="EI100" s="136"/>
      <c r="EJ100" s="136"/>
      <c r="EK100" s="136"/>
      <c r="EL100" s="136"/>
      <c r="EM100" s="136"/>
      <c r="EN100" s="136"/>
      <c r="EO100" s="136"/>
      <c r="EP100" s="136"/>
      <c r="EQ100" s="136"/>
      <c r="ER100" s="136"/>
      <c r="ES100" s="136"/>
      <c r="ET100" s="136"/>
      <c r="EU100" s="136"/>
      <c r="EV100" s="136"/>
      <c r="EW100" s="136"/>
      <c r="EX100" s="136"/>
      <c r="EY100" s="136"/>
      <c r="EZ100" s="136"/>
      <c r="FA100" s="136"/>
      <c r="FB100" s="136"/>
      <c r="FC100" s="136"/>
      <c r="FD100" s="136"/>
      <c r="FE100" s="136"/>
      <c r="FF100" s="136"/>
      <c r="FG100" s="136"/>
      <c r="FH100" s="136"/>
      <c r="FI100" s="136"/>
      <c r="FJ100" s="136"/>
      <c r="FK100" s="136"/>
      <c r="FL100" s="136"/>
      <c r="FM100" s="136"/>
      <c r="FN100" s="136"/>
      <c r="FO100" s="136"/>
      <c r="FP100" s="136"/>
      <c r="FQ100" s="136"/>
      <c r="FR100" s="136"/>
      <c r="FS100" s="136"/>
      <c r="FT100" s="136"/>
      <c r="FU100" s="136"/>
      <c r="FV100" s="136"/>
      <c r="FW100" s="136"/>
      <c r="FX100" s="136"/>
      <c r="FY100" s="136"/>
      <c r="FZ100" s="136"/>
      <c r="GA100" s="136"/>
      <c r="GB100" s="136"/>
      <c r="GC100" s="136"/>
      <c r="GD100" s="136"/>
      <c r="GE100" s="136"/>
      <c r="GF100" s="136"/>
      <c r="GG100" s="136"/>
      <c r="GH100" s="136"/>
      <c r="GI100" s="136"/>
      <c r="GJ100" s="136"/>
      <c r="GK100" s="136"/>
      <c r="GL100" s="136"/>
      <c r="GM100" s="136"/>
      <c r="GN100" s="136"/>
      <c r="GO100" s="136"/>
      <c r="GP100" s="136"/>
      <c r="GQ100" s="136"/>
      <c r="GR100" s="136"/>
      <c r="GS100" s="136"/>
      <c r="GT100" s="136"/>
      <c r="GU100" s="136"/>
      <c r="GV100" s="136"/>
      <c r="GW100" s="136"/>
      <c r="GX100" s="136"/>
      <c r="GY100" s="136"/>
      <c r="GZ100" s="136"/>
      <c r="HA100" s="136"/>
      <c r="HB100" s="136"/>
      <c r="HC100" s="136"/>
      <c r="HD100" s="136"/>
      <c r="HE100" s="136"/>
      <c r="HF100" s="136"/>
      <c r="HG100" s="136"/>
      <c r="HH100" s="136"/>
      <c r="HI100" s="136"/>
      <c r="HJ100" s="136"/>
      <c r="HK100" s="136"/>
      <c r="HL100" s="136"/>
      <c r="HM100" s="136"/>
      <c r="HN100" s="136"/>
      <c r="HO100" s="136"/>
      <c r="HP100" s="136"/>
      <c r="HQ100" s="136"/>
      <c r="HR100" s="136"/>
      <c r="HS100" s="136"/>
      <c r="HT100" s="136"/>
      <c r="HU100" s="136"/>
      <c r="HV100" s="136"/>
      <c r="HW100" s="136"/>
      <c r="HX100" s="136"/>
      <c r="HY100" s="136"/>
      <c r="HZ100" s="136"/>
      <c r="IA100" s="136"/>
      <c r="IB100" s="136"/>
      <c r="IC100" s="136"/>
      <c r="ID100" s="136"/>
      <c r="IE100" s="136"/>
      <c r="IF100" s="136"/>
      <c r="IG100" s="136"/>
      <c r="IH100" s="136"/>
      <c r="II100" s="136"/>
      <c r="IJ100" s="136"/>
      <c r="IK100" s="136"/>
      <c r="IL100" s="136"/>
      <c r="IM100" s="136"/>
      <c r="IN100" s="136"/>
      <c r="IO100" s="136"/>
      <c r="IP100" s="136"/>
      <c r="IQ100" s="136"/>
      <c r="IR100" s="136"/>
      <c r="IS100" s="136"/>
      <c r="IT100" s="136"/>
      <c r="IU100" s="136"/>
      <c r="IV100" s="136"/>
      <c r="IW100" s="136"/>
      <c r="IX100" s="136"/>
      <c r="IY100" s="136"/>
      <c r="IZ100" s="136"/>
      <c r="JA100" s="136"/>
      <c r="JB100" s="136"/>
      <c r="JC100" s="136"/>
      <c r="JD100" s="136"/>
      <c r="JE100" s="136"/>
      <c r="JF100" s="136"/>
      <c r="JG100" s="136"/>
      <c r="JH100" s="136"/>
      <c r="JI100" s="136"/>
      <c r="JJ100" s="136"/>
      <c r="JK100" s="136"/>
      <c r="JL100" s="136"/>
      <c r="JM100" s="136"/>
      <c r="JN100" s="136"/>
      <c r="JO100" s="136"/>
      <c r="JP100" s="136"/>
      <c r="JQ100" s="136"/>
      <c r="JR100" s="136"/>
      <c r="JS100" s="136"/>
      <c r="JT100" s="136"/>
      <c r="JU100" s="136"/>
      <c r="JV100" s="136"/>
      <c r="JW100" s="136"/>
      <c r="JX100" s="136"/>
      <c r="JY100" s="136"/>
      <c r="JZ100" s="136"/>
      <c r="KA100" s="136"/>
      <c r="KB100" s="136"/>
      <c r="KC100" s="136"/>
      <c r="KD100" s="136"/>
      <c r="KE100" s="136"/>
      <c r="KF100" s="136"/>
      <c r="KG100" s="136"/>
      <c r="KH100" s="136"/>
      <c r="KI100" s="136"/>
      <c r="KJ100" s="136"/>
      <c r="KK100" s="136"/>
      <c r="KL100" s="136"/>
      <c r="KM100" s="136"/>
      <c r="KN100" s="136"/>
      <c r="KO100" s="136"/>
      <c r="KP100" s="136"/>
      <c r="KQ100" s="136"/>
      <c r="KR100" s="136"/>
      <c r="KS100" s="136"/>
      <c r="KT100" s="136"/>
      <c r="KU100" s="136"/>
      <c r="KV100" s="136"/>
      <c r="KW100" s="136"/>
      <c r="KX100" s="136"/>
      <c r="KY100" s="136"/>
      <c r="KZ100" s="136"/>
      <c r="LA100" s="136"/>
      <c r="LB100" s="136"/>
      <c r="LC100" s="136"/>
      <c r="LD100" s="136"/>
      <c r="LE100" s="136"/>
      <c r="LF100" s="136"/>
      <c r="LG100" s="136"/>
      <c r="LH100" s="136"/>
      <c r="LI100" s="136"/>
      <c r="LJ100" s="136"/>
      <c r="LK100" s="136"/>
      <c r="LL100" s="136"/>
      <c r="LM100" s="136"/>
      <c r="LN100" s="136"/>
      <c r="LO100" s="136"/>
      <c r="LP100" s="136"/>
      <c r="LQ100" s="136"/>
      <c r="LR100" s="136"/>
      <c r="LS100" s="136"/>
      <c r="LT100" s="136"/>
      <c r="LU100" s="136"/>
      <c r="LV100" s="136"/>
      <c r="LW100" s="136"/>
      <c r="LX100" s="136"/>
      <c r="LY100" s="136"/>
      <c r="LZ100" s="136"/>
      <c r="MA100" s="136"/>
      <c r="MB100" s="136"/>
      <c r="MC100" s="136"/>
      <c r="MD100" s="136"/>
      <c r="ME100" s="136"/>
      <c r="MF100" s="136"/>
      <c r="MG100" s="136"/>
      <c r="MH100" s="136"/>
      <c r="MI100" s="136"/>
      <c r="MJ100" s="136"/>
      <c r="MK100" s="136"/>
      <c r="ML100" s="136"/>
      <c r="MM100" s="136"/>
      <c r="MN100" s="136"/>
      <c r="MO100" s="136"/>
      <c r="MP100" s="136"/>
      <c r="MQ100" s="136"/>
      <c r="MR100" s="136"/>
      <c r="MS100" s="136"/>
      <c r="MT100" s="136"/>
      <c r="MU100" s="136"/>
      <c r="MV100" s="136"/>
      <c r="MW100" s="136"/>
      <c r="MX100" s="136"/>
      <c r="MY100" s="136"/>
      <c r="MZ100" s="136"/>
      <c r="NA100" s="136"/>
      <c r="NB100" s="136"/>
      <c r="NC100" s="136"/>
      <c r="ND100" s="136"/>
      <c r="NE100" s="136"/>
      <c r="NF100" s="136"/>
      <c r="NG100" s="136"/>
      <c r="NH100" s="136"/>
      <c r="NI100" s="136"/>
      <c r="NJ100" s="136"/>
      <c r="NK100" s="136"/>
      <c r="NL100" s="136"/>
      <c r="NM100" s="136"/>
      <c r="NN100" s="136"/>
      <c r="NO100" s="136"/>
      <c r="NP100" s="136"/>
      <c r="NQ100" s="136"/>
      <c r="NR100" s="136"/>
      <c r="NS100" s="136"/>
      <c r="NT100" s="136"/>
      <c r="NU100" s="136"/>
      <c r="NV100" s="136"/>
      <c r="NW100" s="136"/>
      <c r="NX100" s="136"/>
      <c r="NY100" s="136"/>
      <c r="NZ100" s="136"/>
      <c r="OA100" s="136"/>
      <c r="OB100" s="136"/>
      <c r="OC100" s="136"/>
      <c r="OD100" s="136"/>
      <c r="OE100" s="136"/>
      <c r="OF100" s="136"/>
      <c r="OG100" s="136"/>
      <c r="OH100" s="136"/>
      <c r="OI100" s="136"/>
      <c r="OJ100" s="136"/>
      <c r="OK100" s="136"/>
      <c r="OL100" s="136"/>
      <c r="OM100" s="136"/>
      <c r="ON100" s="136"/>
      <c r="OO100" s="136"/>
      <c r="OP100" s="136"/>
      <c r="OQ100" s="136"/>
      <c r="OR100" s="136"/>
      <c r="OS100" s="136"/>
      <c r="OT100" s="136"/>
      <c r="OU100" s="136"/>
      <c r="OV100" s="136"/>
      <c r="OW100" s="136"/>
      <c r="OX100" s="136"/>
      <c r="OY100" s="136"/>
      <c r="OZ100" s="136"/>
      <c r="PA100" s="136"/>
      <c r="PB100" s="136"/>
      <c r="PC100" s="136"/>
      <c r="PD100" s="136"/>
      <c r="PE100" s="136"/>
      <c r="PF100" s="136"/>
      <c r="PG100" s="136"/>
      <c r="PH100" s="136"/>
      <c r="PI100" s="136"/>
      <c r="PJ100" s="136"/>
      <c r="PK100" s="136"/>
      <c r="PL100" s="136"/>
      <c r="PM100" s="136"/>
      <c r="PN100" s="136"/>
      <c r="PO100" s="136"/>
      <c r="PP100" s="136"/>
      <c r="PQ100" s="136"/>
      <c r="PR100" s="136"/>
      <c r="PS100" s="136"/>
      <c r="PT100" s="136"/>
      <c r="PU100" s="136"/>
      <c r="PV100" s="136"/>
      <c r="PW100" s="136"/>
      <c r="PX100" s="136"/>
      <c r="PY100" s="136"/>
      <c r="PZ100" s="136"/>
      <c r="QA100" s="136"/>
      <c r="QB100" s="136"/>
      <c r="QC100" s="136"/>
      <c r="QD100" s="136"/>
      <c r="QE100" s="136"/>
      <c r="QF100" s="136"/>
      <c r="QG100" s="136"/>
      <c r="QH100" s="136"/>
      <c r="QI100" s="136"/>
      <c r="QJ100" s="136"/>
      <c r="QK100" s="136"/>
      <c r="QL100" s="136"/>
      <c r="QM100" s="136"/>
      <c r="QN100" s="136"/>
      <c r="QO100" s="136"/>
      <c r="QP100" s="136"/>
      <c r="QQ100" s="136"/>
      <c r="QR100" s="136"/>
      <c r="QS100" s="136"/>
      <c r="QT100" s="136"/>
      <c r="QU100" s="136"/>
      <c r="QV100" s="136"/>
      <c r="QW100" s="136"/>
      <c r="QX100" s="136"/>
      <c r="QY100" s="136"/>
      <c r="QZ100" s="136"/>
      <c r="RA100" s="136"/>
      <c r="RB100" s="136"/>
      <c r="RC100" s="136"/>
      <c r="RD100" s="136"/>
      <c r="RE100" s="136"/>
      <c r="RF100" s="136"/>
      <c r="RG100" s="136"/>
      <c r="RH100" s="136"/>
      <c r="RI100" s="136"/>
      <c r="RJ100" s="136"/>
      <c r="RK100" s="136"/>
      <c r="RL100" s="136"/>
      <c r="RM100" s="136"/>
      <c r="RN100" s="136"/>
      <c r="RO100" s="136"/>
      <c r="RP100" s="136"/>
      <c r="RQ100" s="136"/>
      <c r="RR100" s="136"/>
      <c r="RS100" s="136"/>
      <c r="RT100" s="136"/>
      <c r="RU100" s="136"/>
      <c r="RV100" s="136"/>
      <c r="RW100" s="136"/>
      <c r="RX100" s="136"/>
      <c r="RY100" s="136"/>
      <c r="RZ100" s="136"/>
      <c r="SA100" s="136"/>
      <c r="SB100" s="136"/>
      <c r="SC100" s="136"/>
      <c r="SD100" s="136"/>
      <c r="SE100" s="136"/>
      <c r="SF100" s="136"/>
      <c r="SG100" s="136"/>
      <c r="SH100" s="136"/>
      <c r="SI100" s="136"/>
      <c r="SJ100" s="136"/>
      <c r="SK100" s="136"/>
      <c r="SL100" s="136"/>
      <c r="SM100" s="136"/>
      <c r="SN100" s="136"/>
      <c r="SO100" s="136"/>
      <c r="SP100" s="136"/>
      <c r="SQ100" s="136"/>
      <c r="SR100" s="136"/>
      <c r="SS100" s="136"/>
    </row>
    <row r="101" spans="14:513" s="135" customFormat="1" ht="14.5" x14ac:dyDescent="0.35"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  <c r="Y101" s="134"/>
      <c r="Z101" s="134"/>
      <c r="AA101" s="134"/>
      <c r="AB101" s="134"/>
      <c r="AC101" s="134"/>
      <c r="AD101" s="134"/>
      <c r="AE101" s="134"/>
      <c r="AF101" s="134"/>
      <c r="DO101" s="136"/>
      <c r="DP101" s="136"/>
      <c r="DQ101" s="136"/>
      <c r="DR101" s="136"/>
      <c r="DS101" s="136"/>
      <c r="DT101" s="136"/>
      <c r="DU101" s="136"/>
      <c r="DV101" s="136"/>
      <c r="DW101" s="136"/>
      <c r="DX101" s="136"/>
      <c r="DY101" s="136"/>
      <c r="DZ101" s="136"/>
      <c r="EA101" s="136"/>
      <c r="EB101" s="136"/>
      <c r="EC101" s="136"/>
      <c r="ED101" s="136"/>
      <c r="EE101" s="136"/>
      <c r="EF101" s="136"/>
      <c r="EG101" s="136"/>
      <c r="EH101" s="136"/>
      <c r="EI101" s="136"/>
      <c r="EJ101" s="136"/>
      <c r="EK101" s="136"/>
      <c r="EL101" s="136"/>
      <c r="EM101" s="136"/>
      <c r="EN101" s="136"/>
      <c r="EO101" s="136"/>
      <c r="EP101" s="136"/>
      <c r="EQ101" s="136"/>
      <c r="ER101" s="136"/>
      <c r="ES101" s="136"/>
      <c r="ET101" s="136"/>
      <c r="EU101" s="136"/>
      <c r="EV101" s="136"/>
      <c r="EW101" s="136"/>
      <c r="EX101" s="136"/>
      <c r="EY101" s="136"/>
      <c r="EZ101" s="136"/>
      <c r="FA101" s="136"/>
      <c r="FB101" s="136"/>
      <c r="FC101" s="136"/>
      <c r="FD101" s="136"/>
      <c r="FE101" s="136"/>
      <c r="FF101" s="136"/>
      <c r="FG101" s="136"/>
      <c r="FH101" s="136"/>
      <c r="FI101" s="136"/>
      <c r="FJ101" s="136"/>
      <c r="FK101" s="136"/>
      <c r="FL101" s="136"/>
      <c r="FM101" s="136"/>
      <c r="FN101" s="136"/>
      <c r="FO101" s="136"/>
      <c r="FP101" s="136"/>
      <c r="FQ101" s="136"/>
      <c r="FR101" s="136"/>
      <c r="FS101" s="136"/>
      <c r="FT101" s="136"/>
      <c r="FU101" s="136"/>
      <c r="FV101" s="136"/>
      <c r="FW101" s="136"/>
      <c r="FX101" s="136"/>
      <c r="FY101" s="136"/>
      <c r="FZ101" s="136"/>
      <c r="GA101" s="136"/>
      <c r="GB101" s="136"/>
      <c r="GC101" s="136"/>
      <c r="GD101" s="136"/>
      <c r="GE101" s="136"/>
      <c r="GF101" s="136"/>
      <c r="GG101" s="136"/>
      <c r="GH101" s="136"/>
      <c r="GI101" s="136"/>
      <c r="GJ101" s="136"/>
      <c r="GK101" s="136"/>
      <c r="GL101" s="136"/>
      <c r="GM101" s="136"/>
      <c r="GN101" s="136"/>
      <c r="GO101" s="136"/>
      <c r="GP101" s="136"/>
      <c r="GQ101" s="136"/>
      <c r="GR101" s="136"/>
      <c r="GS101" s="136"/>
      <c r="GT101" s="136"/>
      <c r="GU101" s="136"/>
      <c r="GV101" s="136"/>
      <c r="GW101" s="136"/>
      <c r="GX101" s="136"/>
      <c r="GY101" s="136"/>
      <c r="GZ101" s="136"/>
      <c r="HA101" s="136"/>
      <c r="HB101" s="136"/>
      <c r="HC101" s="136"/>
      <c r="HD101" s="136"/>
      <c r="HE101" s="136"/>
      <c r="HF101" s="136"/>
      <c r="HG101" s="136"/>
      <c r="HH101" s="136"/>
      <c r="HI101" s="136"/>
      <c r="HJ101" s="136"/>
      <c r="HK101" s="136"/>
      <c r="HL101" s="136"/>
      <c r="HM101" s="136"/>
      <c r="HN101" s="136"/>
      <c r="HO101" s="136"/>
      <c r="HP101" s="136"/>
      <c r="HQ101" s="136"/>
      <c r="HR101" s="136"/>
      <c r="HS101" s="136"/>
      <c r="HT101" s="136"/>
      <c r="HU101" s="136"/>
      <c r="HV101" s="136"/>
      <c r="HW101" s="136"/>
      <c r="HX101" s="136"/>
      <c r="HY101" s="136"/>
      <c r="HZ101" s="136"/>
      <c r="IA101" s="136"/>
      <c r="IB101" s="136"/>
      <c r="IC101" s="136"/>
      <c r="ID101" s="136"/>
      <c r="IE101" s="136"/>
      <c r="IF101" s="136"/>
      <c r="IG101" s="136"/>
      <c r="IH101" s="136"/>
      <c r="II101" s="136"/>
      <c r="IJ101" s="136"/>
      <c r="IK101" s="136"/>
      <c r="IL101" s="136"/>
      <c r="IM101" s="136"/>
      <c r="IN101" s="136"/>
      <c r="IO101" s="136"/>
      <c r="IP101" s="136"/>
      <c r="IQ101" s="136"/>
      <c r="IR101" s="136"/>
      <c r="IS101" s="136"/>
      <c r="IT101" s="136"/>
      <c r="IU101" s="136"/>
      <c r="IV101" s="136"/>
      <c r="IW101" s="136"/>
      <c r="IX101" s="136"/>
      <c r="IY101" s="136"/>
      <c r="IZ101" s="136"/>
      <c r="JA101" s="136"/>
      <c r="JB101" s="136"/>
      <c r="JC101" s="136"/>
      <c r="JD101" s="136"/>
      <c r="JE101" s="136"/>
      <c r="JF101" s="136"/>
      <c r="JG101" s="136"/>
      <c r="JH101" s="136"/>
      <c r="JI101" s="136"/>
      <c r="JJ101" s="136"/>
      <c r="JK101" s="136"/>
      <c r="JL101" s="136"/>
      <c r="JM101" s="136"/>
      <c r="JN101" s="136"/>
      <c r="JO101" s="136"/>
      <c r="JP101" s="136"/>
      <c r="JQ101" s="136"/>
      <c r="JR101" s="136"/>
      <c r="JS101" s="136"/>
      <c r="JT101" s="136"/>
      <c r="JU101" s="136"/>
      <c r="JV101" s="136"/>
      <c r="JW101" s="136"/>
      <c r="JX101" s="136"/>
      <c r="JY101" s="136"/>
      <c r="JZ101" s="136"/>
      <c r="KA101" s="136"/>
      <c r="KB101" s="136"/>
      <c r="KC101" s="136"/>
      <c r="KD101" s="136"/>
      <c r="KE101" s="136"/>
      <c r="KF101" s="136"/>
      <c r="KG101" s="136"/>
      <c r="KH101" s="136"/>
      <c r="KI101" s="136"/>
      <c r="KJ101" s="136"/>
      <c r="KK101" s="136"/>
      <c r="KL101" s="136"/>
      <c r="KM101" s="136"/>
      <c r="KN101" s="136"/>
      <c r="KO101" s="136"/>
      <c r="KP101" s="136"/>
      <c r="KQ101" s="136"/>
      <c r="KR101" s="136"/>
      <c r="KS101" s="136"/>
      <c r="KT101" s="136"/>
      <c r="KU101" s="136"/>
      <c r="KV101" s="136"/>
      <c r="KW101" s="136"/>
      <c r="KX101" s="136"/>
      <c r="KY101" s="136"/>
      <c r="KZ101" s="136"/>
      <c r="LA101" s="136"/>
      <c r="LB101" s="136"/>
      <c r="LC101" s="136"/>
      <c r="LD101" s="136"/>
      <c r="LE101" s="136"/>
      <c r="LF101" s="136"/>
      <c r="LG101" s="136"/>
      <c r="LH101" s="136"/>
      <c r="LI101" s="136"/>
      <c r="LJ101" s="136"/>
      <c r="LK101" s="136"/>
      <c r="LL101" s="136"/>
      <c r="LM101" s="136"/>
      <c r="LN101" s="136"/>
      <c r="LO101" s="136"/>
      <c r="LP101" s="136"/>
      <c r="LQ101" s="136"/>
      <c r="LR101" s="136"/>
      <c r="LS101" s="136"/>
      <c r="LT101" s="136"/>
      <c r="LU101" s="136"/>
      <c r="LV101" s="136"/>
      <c r="LW101" s="136"/>
      <c r="LX101" s="136"/>
      <c r="LY101" s="136"/>
      <c r="LZ101" s="136"/>
      <c r="MA101" s="136"/>
      <c r="MB101" s="136"/>
      <c r="MC101" s="136"/>
      <c r="MD101" s="136"/>
      <c r="ME101" s="136"/>
      <c r="MF101" s="136"/>
      <c r="MG101" s="136"/>
      <c r="MH101" s="136"/>
      <c r="MI101" s="136"/>
      <c r="MJ101" s="136"/>
      <c r="MK101" s="136"/>
      <c r="ML101" s="136"/>
      <c r="MM101" s="136"/>
      <c r="MN101" s="136"/>
      <c r="MO101" s="136"/>
      <c r="MP101" s="136"/>
      <c r="MQ101" s="136"/>
      <c r="MR101" s="136"/>
      <c r="MS101" s="136"/>
      <c r="MT101" s="136"/>
      <c r="MU101" s="136"/>
      <c r="MV101" s="136"/>
      <c r="MW101" s="136"/>
      <c r="MX101" s="136"/>
      <c r="MY101" s="136"/>
      <c r="MZ101" s="136"/>
      <c r="NA101" s="136"/>
      <c r="NB101" s="136"/>
      <c r="NC101" s="136"/>
      <c r="ND101" s="136"/>
      <c r="NE101" s="136"/>
      <c r="NF101" s="136"/>
      <c r="NG101" s="136"/>
      <c r="NH101" s="136"/>
      <c r="NI101" s="136"/>
      <c r="NJ101" s="136"/>
      <c r="NK101" s="136"/>
      <c r="NL101" s="136"/>
      <c r="NM101" s="136"/>
      <c r="NN101" s="136"/>
      <c r="NO101" s="136"/>
      <c r="NP101" s="136"/>
      <c r="NQ101" s="136"/>
      <c r="NR101" s="136"/>
      <c r="NS101" s="136"/>
      <c r="NT101" s="136"/>
      <c r="NU101" s="136"/>
      <c r="NV101" s="136"/>
      <c r="NW101" s="136"/>
      <c r="NX101" s="136"/>
      <c r="NY101" s="136"/>
      <c r="NZ101" s="136"/>
      <c r="OA101" s="136"/>
      <c r="OB101" s="136"/>
      <c r="OC101" s="136"/>
      <c r="OD101" s="136"/>
      <c r="OE101" s="136"/>
      <c r="OF101" s="136"/>
      <c r="OG101" s="136"/>
      <c r="OH101" s="136"/>
      <c r="OI101" s="136"/>
      <c r="OJ101" s="136"/>
      <c r="OK101" s="136"/>
      <c r="OL101" s="136"/>
      <c r="OM101" s="136"/>
      <c r="ON101" s="136"/>
      <c r="OO101" s="136"/>
      <c r="OP101" s="136"/>
      <c r="OQ101" s="136"/>
      <c r="OR101" s="136"/>
      <c r="OS101" s="136"/>
      <c r="OT101" s="136"/>
      <c r="OU101" s="136"/>
      <c r="OV101" s="136"/>
      <c r="OW101" s="136"/>
      <c r="OX101" s="136"/>
      <c r="OY101" s="136"/>
      <c r="OZ101" s="136"/>
      <c r="PA101" s="136"/>
      <c r="PB101" s="136"/>
      <c r="PC101" s="136"/>
      <c r="PD101" s="136"/>
      <c r="PE101" s="136"/>
      <c r="PF101" s="136"/>
      <c r="PG101" s="136"/>
      <c r="PH101" s="136"/>
      <c r="PI101" s="136"/>
      <c r="PJ101" s="136"/>
      <c r="PK101" s="136"/>
      <c r="PL101" s="136"/>
      <c r="PM101" s="136"/>
      <c r="PN101" s="136"/>
      <c r="PO101" s="136"/>
      <c r="PP101" s="136"/>
      <c r="PQ101" s="136"/>
      <c r="PR101" s="136"/>
      <c r="PS101" s="136"/>
      <c r="PT101" s="136"/>
      <c r="PU101" s="136"/>
      <c r="PV101" s="136"/>
      <c r="PW101" s="136"/>
      <c r="PX101" s="136"/>
      <c r="PY101" s="136"/>
      <c r="PZ101" s="136"/>
      <c r="QA101" s="136"/>
      <c r="QB101" s="136"/>
      <c r="QC101" s="136"/>
      <c r="QD101" s="136"/>
      <c r="QE101" s="136"/>
      <c r="QF101" s="136"/>
      <c r="QG101" s="136"/>
      <c r="QH101" s="136"/>
      <c r="QI101" s="136"/>
      <c r="QJ101" s="136"/>
      <c r="QK101" s="136"/>
      <c r="QL101" s="136"/>
      <c r="QM101" s="136"/>
      <c r="QN101" s="136"/>
      <c r="QO101" s="136"/>
      <c r="QP101" s="136"/>
      <c r="QQ101" s="136"/>
      <c r="QR101" s="136"/>
      <c r="QS101" s="136"/>
      <c r="QT101" s="136"/>
      <c r="QU101" s="136"/>
      <c r="QV101" s="136"/>
      <c r="QW101" s="136"/>
      <c r="QX101" s="136"/>
      <c r="QY101" s="136"/>
      <c r="QZ101" s="136"/>
      <c r="RA101" s="136"/>
      <c r="RB101" s="136"/>
      <c r="RC101" s="136"/>
      <c r="RD101" s="136"/>
      <c r="RE101" s="136"/>
      <c r="RF101" s="136"/>
      <c r="RG101" s="136"/>
      <c r="RH101" s="136"/>
      <c r="RI101" s="136"/>
      <c r="RJ101" s="136"/>
      <c r="RK101" s="136"/>
      <c r="RL101" s="136"/>
      <c r="RM101" s="136"/>
      <c r="RN101" s="136"/>
      <c r="RO101" s="136"/>
      <c r="RP101" s="136"/>
      <c r="RQ101" s="136"/>
      <c r="RR101" s="136"/>
      <c r="RS101" s="136"/>
      <c r="RT101" s="136"/>
      <c r="RU101" s="136"/>
      <c r="RV101" s="136"/>
      <c r="RW101" s="136"/>
      <c r="RX101" s="136"/>
      <c r="RY101" s="136"/>
      <c r="RZ101" s="136"/>
      <c r="SA101" s="136"/>
      <c r="SB101" s="136"/>
      <c r="SC101" s="136"/>
      <c r="SD101" s="136"/>
      <c r="SE101" s="136"/>
      <c r="SF101" s="136"/>
      <c r="SG101" s="136"/>
      <c r="SH101" s="136"/>
      <c r="SI101" s="136"/>
      <c r="SJ101" s="136"/>
      <c r="SK101" s="136"/>
      <c r="SL101" s="136"/>
      <c r="SM101" s="136"/>
      <c r="SN101" s="136"/>
      <c r="SO101" s="136"/>
      <c r="SP101" s="136"/>
      <c r="SQ101" s="136"/>
      <c r="SR101" s="136"/>
      <c r="SS101" s="136"/>
    </row>
    <row r="102" spans="14:513" s="135" customFormat="1" ht="14.5" x14ac:dyDescent="0.35"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/>
      <c r="AA102" s="134"/>
      <c r="AB102" s="134"/>
      <c r="AC102" s="134"/>
      <c r="AD102" s="134"/>
      <c r="AE102" s="134"/>
      <c r="AF102" s="134"/>
      <c r="DO102" s="136"/>
      <c r="DP102" s="136"/>
      <c r="DQ102" s="136"/>
      <c r="DR102" s="136"/>
      <c r="DS102" s="136"/>
      <c r="DT102" s="136"/>
      <c r="DU102" s="136"/>
      <c r="DV102" s="136"/>
      <c r="DW102" s="136"/>
      <c r="DX102" s="136"/>
      <c r="DY102" s="136"/>
      <c r="DZ102" s="136"/>
      <c r="EA102" s="136"/>
      <c r="EB102" s="136"/>
      <c r="EC102" s="136"/>
      <c r="ED102" s="136"/>
      <c r="EE102" s="136"/>
      <c r="EF102" s="136"/>
      <c r="EG102" s="136"/>
      <c r="EH102" s="136"/>
      <c r="EI102" s="136"/>
      <c r="EJ102" s="136"/>
      <c r="EK102" s="136"/>
      <c r="EL102" s="136"/>
      <c r="EM102" s="136"/>
      <c r="EN102" s="136"/>
      <c r="EO102" s="136"/>
      <c r="EP102" s="136"/>
      <c r="EQ102" s="136"/>
      <c r="ER102" s="136"/>
      <c r="ES102" s="136"/>
      <c r="ET102" s="136"/>
      <c r="EU102" s="136"/>
      <c r="EV102" s="136"/>
      <c r="EW102" s="136"/>
      <c r="EX102" s="136"/>
      <c r="EY102" s="136"/>
      <c r="EZ102" s="136"/>
      <c r="FA102" s="136"/>
      <c r="FB102" s="136"/>
      <c r="FC102" s="136"/>
      <c r="FD102" s="136"/>
      <c r="FE102" s="136"/>
      <c r="FF102" s="136"/>
      <c r="FG102" s="136"/>
      <c r="FH102" s="136"/>
      <c r="FI102" s="136"/>
      <c r="FJ102" s="136"/>
      <c r="FK102" s="136"/>
      <c r="FL102" s="136"/>
      <c r="FM102" s="136"/>
      <c r="FN102" s="136"/>
      <c r="FO102" s="136"/>
      <c r="FP102" s="136"/>
      <c r="FQ102" s="136"/>
      <c r="FR102" s="136"/>
      <c r="FS102" s="136"/>
      <c r="FT102" s="136"/>
      <c r="FU102" s="136"/>
      <c r="FV102" s="136"/>
      <c r="FW102" s="136"/>
      <c r="FX102" s="136"/>
      <c r="FY102" s="136"/>
      <c r="FZ102" s="136"/>
      <c r="GA102" s="136"/>
      <c r="GB102" s="136"/>
      <c r="GC102" s="136"/>
      <c r="GD102" s="136"/>
      <c r="GE102" s="136"/>
      <c r="GF102" s="136"/>
      <c r="GG102" s="136"/>
      <c r="GH102" s="136"/>
      <c r="GI102" s="136"/>
      <c r="GJ102" s="136"/>
      <c r="GK102" s="136"/>
      <c r="GL102" s="136"/>
      <c r="GM102" s="136"/>
      <c r="GN102" s="136"/>
      <c r="GO102" s="136"/>
      <c r="GP102" s="136"/>
      <c r="GQ102" s="136"/>
      <c r="GR102" s="136"/>
      <c r="GS102" s="136"/>
      <c r="GT102" s="136"/>
      <c r="GU102" s="136"/>
      <c r="GV102" s="136"/>
      <c r="GW102" s="136"/>
      <c r="GX102" s="136"/>
      <c r="GY102" s="136"/>
      <c r="GZ102" s="136"/>
      <c r="HA102" s="136"/>
      <c r="HB102" s="136"/>
      <c r="HC102" s="136"/>
      <c r="HD102" s="136"/>
      <c r="HE102" s="136"/>
      <c r="HF102" s="136"/>
      <c r="HG102" s="136"/>
      <c r="HH102" s="136"/>
      <c r="HI102" s="136"/>
      <c r="HJ102" s="136"/>
      <c r="HK102" s="136"/>
      <c r="HL102" s="136"/>
      <c r="HM102" s="136"/>
      <c r="HN102" s="136"/>
      <c r="HO102" s="136"/>
      <c r="HP102" s="136"/>
      <c r="HQ102" s="136"/>
      <c r="HR102" s="136"/>
      <c r="HS102" s="136"/>
      <c r="HT102" s="136"/>
      <c r="HU102" s="136"/>
      <c r="HV102" s="136"/>
      <c r="HW102" s="136"/>
      <c r="HX102" s="136"/>
      <c r="HY102" s="136"/>
      <c r="HZ102" s="136"/>
      <c r="IA102" s="136"/>
      <c r="IB102" s="136"/>
      <c r="IC102" s="136"/>
      <c r="ID102" s="136"/>
      <c r="IE102" s="136"/>
      <c r="IF102" s="136"/>
      <c r="IG102" s="136"/>
      <c r="IH102" s="136"/>
      <c r="II102" s="136"/>
      <c r="IJ102" s="136"/>
      <c r="IK102" s="136"/>
      <c r="IL102" s="136"/>
      <c r="IM102" s="136"/>
      <c r="IN102" s="136"/>
      <c r="IO102" s="136"/>
      <c r="IP102" s="136"/>
      <c r="IQ102" s="136"/>
      <c r="IR102" s="136"/>
      <c r="IS102" s="136"/>
      <c r="IT102" s="136"/>
      <c r="IU102" s="136"/>
      <c r="IV102" s="136"/>
      <c r="IW102" s="136"/>
      <c r="IX102" s="136"/>
      <c r="IY102" s="136"/>
      <c r="IZ102" s="136"/>
      <c r="JA102" s="136"/>
      <c r="JB102" s="136"/>
      <c r="JC102" s="136"/>
      <c r="JD102" s="136"/>
      <c r="JE102" s="136"/>
      <c r="JF102" s="136"/>
      <c r="JG102" s="136"/>
      <c r="JH102" s="136"/>
      <c r="JI102" s="136"/>
      <c r="JJ102" s="136"/>
      <c r="JK102" s="136"/>
      <c r="JL102" s="136"/>
      <c r="JM102" s="136"/>
      <c r="JN102" s="136"/>
      <c r="JO102" s="136"/>
      <c r="JP102" s="136"/>
      <c r="JQ102" s="136"/>
      <c r="JR102" s="136"/>
      <c r="JS102" s="136"/>
      <c r="JT102" s="136"/>
      <c r="JU102" s="136"/>
      <c r="JV102" s="136"/>
      <c r="JW102" s="136"/>
      <c r="JX102" s="136"/>
      <c r="JY102" s="136"/>
      <c r="JZ102" s="136"/>
      <c r="KA102" s="136"/>
      <c r="KB102" s="136"/>
      <c r="KC102" s="136"/>
      <c r="KD102" s="136"/>
      <c r="KE102" s="136"/>
      <c r="KF102" s="136"/>
      <c r="KG102" s="136"/>
      <c r="KH102" s="136"/>
      <c r="KI102" s="136"/>
      <c r="KJ102" s="136"/>
      <c r="KK102" s="136"/>
      <c r="KL102" s="136"/>
      <c r="KM102" s="136"/>
      <c r="KN102" s="136"/>
      <c r="KO102" s="136"/>
      <c r="KP102" s="136"/>
      <c r="KQ102" s="136"/>
      <c r="KR102" s="136"/>
      <c r="KS102" s="136"/>
      <c r="KT102" s="136"/>
      <c r="KU102" s="136"/>
      <c r="KV102" s="136"/>
      <c r="KW102" s="136"/>
      <c r="KX102" s="136"/>
      <c r="KY102" s="136"/>
      <c r="KZ102" s="136"/>
      <c r="LA102" s="136"/>
      <c r="LB102" s="136"/>
      <c r="LC102" s="136"/>
      <c r="LD102" s="136"/>
      <c r="LE102" s="136"/>
      <c r="LF102" s="136"/>
      <c r="LG102" s="136"/>
      <c r="LH102" s="136"/>
      <c r="LI102" s="136"/>
      <c r="LJ102" s="136"/>
      <c r="LK102" s="136"/>
      <c r="LL102" s="136"/>
      <c r="LM102" s="136"/>
      <c r="LN102" s="136"/>
      <c r="LO102" s="136"/>
      <c r="LP102" s="136"/>
      <c r="LQ102" s="136"/>
      <c r="LR102" s="136"/>
      <c r="LS102" s="136"/>
      <c r="LT102" s="136"/>
      <c r="LU102" s="136"/>
      <c r="LV102" s="136"/>
      <c r="LW102" s="136"/>
      <c r="LX102" s="136"/>
      <c r="LY102" s="136"/>
      <c r="LZ102" s="136"/>
      <c r="MA102" s="136"/>
      <c r="MB102" s="136"/>
      <c r="MC102" s="136"/>
      <c r="MD102" s="136"/>
      <c r="ME102" s="136"/>
      <c r="MF102" s="136"/>
      <c r="MG102" s="136"/>
      <c r="MH102" s="136"/>
      <c r="MI102" s="136"/>
      <c r="MJ102" s="136"/>
      <c r="MK102" s="136"/>
      <c r="ML102" s="136"/>
      <c r="MM102" s="136"/>
      <c r="MN102" s="136"/>
      <c r="MO102" s="136"/>
      <c r="MP102" s="136"/>
      <c r="MQ102" s="136"/>
      <c r="MR102" s="136"/>
      <c r="MS102" s="136"/>
      <c r="MT102" s="136"/>
      <c r="MU102" s="136"/>
      <c r="MV102" s="136"/>
      <c r="MW102" s="136"/>
      <c r="MX102" s="136"/>
      <c r="MY102" s="136"/>
      <c r="MZ102" s="136"/>
      <c r="NA102" s="136"/>
      <c r="NB102" s="136"/>
      <c r="NC102" s="136"/>
      <c r="ND102" s="136"/>
      <c r="NE102" s="136"/>
      <c r="NF102" s="136"/>
      <c r="NG102" s="136"/>
      <c r="NH102" s="136"/>
      <c r="NI102" s="136"/>
      <c r="NJ102" s="136"/>
      <c r="NK102" s="136"/>
      <c r="NL102" s="136"/>
      <c r="NM102" s="136"/>
      <c r="NN102" s="136"/>
      <c r="NO102" s="136"/>
      <c r="NP102" s="136"/>
      <c r="NQ102" s="136"/>
      <c r="NR102" s="136"/>
      <c r="NS102" s="136"/>
      <c r="NT102" s="136"/>
      <c r="NU102" s="136"/>
      <c r="NV102" s="136"/>
      <c r="NW102" s="136"/>
      <c r="NX102" s="136"/>
      <c r="NY102" s="136"/>
      <c r="NZ102" s="136"/>
      <c r="OA102" s="136"/>
      <c r="OB102" s="136"/>
      <c r="OC102" s="136"/>
      <c r="OD102" s="136"/>
      <c r="OE102" s="136"/>
      <c r="OF102" s="136"/>
      <c r="OG102" s="136"/>
      <c r="OH102" s="136"/>
      <c r="OI102" s="136"/>
      <c r="OJ102" s="136"/>
      <c r="OK102" s="136"/>
      <c r="OL102" s="136"/>
      <c r="OM102" s="136"/>
      <c r="ON102" s="136"/>
      <c r="OO102" s="136"/>
      <c r="OP102" s="136"/>
      <c r="OQ102" s="136"/>
      <c r="OR102" s="136"/>
      <c r="OS102" s="136"/>
      <c r="OT102" s="136"/>
      <c r="OU102" s="136"/>
      <c r="OV102" s="136"/>
      <c r="OW102" s="136"/>
      <c r="OX102" s="136"/>
      <c r="OY102" s="136"/>
      <c r="OZ102" s="136"/>
      <c r="PA102" s="136"/>
      <c r="PB102" s="136"/>
      <c r="PC102" s="136"/>
      <c r="PD102" s="136"/>
      <c r="PE102" s="136"/>
      <c r="PF102" s="136"/>
      <c r="PG102" s="136"/>
      <c r="PH102" s="136"/>
      <c r="PI102" s="136"/>
      <c r="PJ102" s="136"/>
      <c r="PK102" s="136"/>
      <c r="PL102" s="136"/>
      <c r="PM102" s="136"/>
      <c r="PN102" s="136"/>
      <c r="PO102" s="136"/>
      <c r="PP102" s="136"/>
      <c r="PQ102" s="136"/>
      <c r="PR102" s="136"/>
      <c r="PS102" s="136"/>
      <c r="PT102" s="136"/>
      <c r="PU102" s="136"/>
      <c r="PV102" s="136"/>
      <c r="PW102" s="136"/>
      <c r="PX102" s="136"/>
      <c r="PY102" s="136"/>
      <c r="PZ102" s="136"/>
      <c r="QA102" s="136"/>
      <c r="QB102" s="136"/>
      <c r="QC102" s="136"/>
      <c r="QD102" s="136"/>
      <c r="QE102" s="136"/>
      <c r="QF102" s="136"/>
      <c r="QG102" s="136"/>
      <c r="QH102" s="136"/>
      <c r="QI102" s="136"/>
      <c r="QJ102" s="136"/>
      <c r="QK102" s="136"/>
      <c r="QL102" s="136"/>
      <c r="QM102" s="136"/>
      <c r="QN102" s="136"/>
      <c r="QO102" s="136"/>
      <c r="QP102" s="136"/>
      <c r="QQ102" s="136"/>
      <c r="QR102" s="136"/>
      <c r="QS102" s="136"/>
      <c r="QT102" s="136"/>
      <c r="QU102" s="136"/>
      <c r="QV102" s="136"/>
      <c r="QW102" s="136"/>
      <c r="QX102" s="136"/>
      <c r="QY102" s="136"/>
      <c r="QZ102" s="136"/>
      <c r="RA102" s="136"/>
      <c r="RB102" s="136"/>
      <c r="RC102" s="136"/>
      <c r="RD102" s="136"/>
      <c r="RE102" s="136"/>
      <c r="RF102" s="136"/>
      <c r="RG102" s="136"/>
      <c r="RH102" s="136"/>
      <c r="RI102" s="136"/>
      <c r="RJ102" s="136"/>
      <c r="RK102" s="136"/>
      <c r="RL102" s="136"/>
      <c r="RM102" s="136"/>
      <c r="RN102" s="136"/>
      <c r="RO102" s="136"/>
      <c r="RP102" s="136"/>
      <c r="RQ102" s="136"/>
      <c r="RR102" s="136"/>
      <c r="RS102" s="136"/>
      <c r="RT102" s="136"/>
      <c r="RU102" s="136"/>
      <c r="RV102" s="136"/>
      <c r="RW102" s="136"/>
      <c r="RX102" s="136"/>
      <c r="RY102" s="136"/>
      <c r="RZ102" s="136"/>
      <c r="SA102" s="136"/>
      <c r="SB102" s="136"/>
      <c r="SC102" s="136"/>
      <c r="SD102" s="136"/>
      <c r="SE102" s="136"/>
      <c r="SF102" s="136"/>
      <c r="SG102" s="136"/>
      <c r="SH102" s="136"/>
      <c r="SI102" s="136"/>
      <c r="SJ102" s="136"/>
      <c r="SK102" s="136"/>
      <c r="SL102" s="136"/>
      <c r="SM102" s="136"/>
      <c r="SN102" s="136"/>
      <c r="SO102" s="136"/>
      <c r="SP102" s="136"/>
      <c r="SQ102" s="136"/>
      <c r="SR102" s="136"/>
      <c r="SS102" s="136"/>
    </row>
    <row r="103" spans="14:513" s="135" customFormat="1" ht="14.5" x14ac:dyDescent="0.35"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DO103" s="136"/>
      <c r="DP103" s="136"/>
      <c r="DQ103" s="136"/>
      <c r="DR103" s="136"/>
      <c r="DS103" s="136"/>
      <c r="DT103" s="136"/>
      <c r="DU103" s="136"/>
      <c r="DV103" s="136"/>
      <c r="DW103" s="136"/>
      <c r="DX103" s="136"/>
      <c r="DY103" s="136"/>
      <c r="DZ103" s="136"/>
      <c r="EA103" s="136"/>
      <c r="EB103" s="136"/>
      <c r="EC103" s="136"/>
      <c r="ED103" s="136"/>
      <c r="EE103" s="136"/>
      <c r="EF103" s="136"/>
      <c r="EG103" s="136"/>
      <c r="EH103" s="136"/>
      <c r="EI103" s="136"/>
      <c r="EJ103" s="136"/>
      <c r="EK103" s="136"/>
      <c r="EL103" s="136"/>
      <c r="EM103" s="136"/>
      <c r="EN103" s="136"/>
      <c r="EO103" s="136"/>
      <c r="EP103" s="136"/>
      <c r="EQ103" s="136"/>
      <c r="ER103" s="136"/>
      <c r="ES103" s="136"/>
      <c r="ET103" s="136"/>
      <c r="EU103" s="136"/>
      <c r="EV103" s="136"/>
      <c r="EW103" s="136"/>
      <c r="EX103" s="136"/>
      <c r="EY103" s="136"/>
      <c r="EZ103" s="136"/>
      <c r="FA103" s="136"/>
      <c r="FB103" s="136"/>
      <c r="FC103" s="136"/>
      <c r="FD103" s="136"/>
      <c r="FE103" s="136"/>
      <c r="FF103" s="136"/>
      <c r="FG103" s="136"/>
      <c r="FH103" s="136"/>
      <c r="FI103" s="136"/>
      <c r="FJ103" s="136"/>
      <c r="FK103" s="136"/>
      <c r="FL103" s="136"/>
      <c r="FM103" s="136"/>
      <c r="FN103" s="136"/>
      <c r="FO103" s="136"/>
      <c r="FP103" s="136"/>
      <c r="FQ103" s="136"/>
      <c r="FR103" s="136"/>
      <c r="FS103" s="136"/>
      <c r="FT103" s="136"/>
      <c r="FU103" s="136"/>
      <c r="FV103" s="136"/>
      <c r="FW103" s="136"/>
      <c r="FX103" s="136"/>
      <c r="FY103" s="136"/>
      <c r="FZ103" s="136"/>
      <c r="GA103" s="136"/>
      <c r="GB103" s="136"/>
      <c r="GC103" s="136"/>
      <c r="GD103" s="136"/>
      <c r="GE103" s="136"/>
      <c r="GF103" s="136"/>
      <c r="GG103" s="136"/>
      <c r="GH103" s="136"/>
      <c r="GI103" s="136"/>
      <c r="GJ103" s="136"/>
      <c r="GK103" s="136"/>
      <c r="GL103" s="136"/>
      <c r="GM103" s="136"/>
      <c r="GN103" s="136"/>
      <c r="GO103" s="136"/>
      <c r="GP103" s="136"/>
      <c r="GQ103" s="136"/>
      <c r="GR103" s="136"/>
      <c r="GS103" s="136"/>
      <c r="GT103" s="136"/>
      <c r="GU103" s="136"/>
      <c r="GV103" s="136"/>
      <c r="GW103" s="136"/>
      <c r="GX103" s="136"/>
      <c r="GY103" s="136"/>
      <c r="GZ103" s="136"/>
      <c r="HA103" s="136"/>
      <c r="HB103" s="136"/>
      <c r="HC103" s="136"/>
      <c r="HD103" s="136"/>
      <c r="HE103" s="136"/>
      <c r="HF103" s="136"/>
      <c r="HG103" s="136"/>
      <c r="HH103" s="136"/>
      <c r="HI103" s="136"/>
      <c r="HJ103" s="136"/>
      <c r="HK103" s="136"/>
      <c r="HL103" s="136"/>
      <c r="HM103" s="136"/>
      <c r="HN103" s="136"/>
      <c r="HO103" s="136"/>
      <c r="HP103" s="136"/>
      <c r="HQ103" s="136"/>
      <c r="HR103" s="136"/>
      <c r="HS103" s="136"/>
      <c r="HT103" s="136"/>
      <c r="HU103" s="136"/>
      <c r="HV103" s="136"/>
      <c r="HW103" s="136"/>
      <c r="HX103" s="136"/>
      <c r="HY103" s="136"/>
      <c r="HZ103" s="136"/>
      <c r="IA103" s="136"/>
      <c r="IB103" s="136"/>
      <c r="IC103" s="136"/>
      <c r="ID103" s="136"/>
      <c r="IE103" s="136"/>
      <c r="IF103" s="136"/>
      <c r="IG103" s="136"/>
      <c r="IH103" s="136"/>
      <c r="II103" s="136"/>
      <c r="IJ103" s="136"/>
      <c r="IK103" s="136"/>
      <c r="IL103" s="136"/>
      <c r="IM103" s="136"/>
      <c r="IN103" s="136"/>
      <c r="IO103" s="136"/>
      <c r="IP103" s="136"/>
      <c r="IQ103" s="136"/>
      <c r="IR103" s="136"/>
      <c r="IS103" s="136"/>
      <c r="IT103" s="136"/>
      <c r="IU103" s="136"/>
      <c r="IV103" s="136"/>
      <c r="IW103" s="136"/>
      <c r="IX103" s="136"/>
      <c r="IY103" s="136"/>
      <c r="IZ103" s="136"/>
      <c r="JA103" s="136"/>
      <c r="JB103" s="136"/>
      <c r="JC103" s="136"/>
      <c r="JD103" s="136"/>
      <c r="JE103" s="136"/>
      <c r="JF103" s="136"/>
      <c r="JG103" s="136"/>
      <c r="JH103" s="136"/>
      <c r="JI103" s="136"/>
      <c r="JJ103" s="136"/>
      <c r="JK103" s="136"/>
      <c r="JL103" s="136"/>
      <c r="JM103" s="136"/>
      <c r="JN103" s="136"/>
      <c r="JO103" s="136"/>
      <c r="JP103" s="136"/>
      <c r="JQ103" s="136"/>
      <c r="JR103" s="136"/>
      <c r="JS103" s="136"/>
      <c r="JT103" s="136"/>
      <c r="JU103" s="136"/>
      <c r="JV103" s="136"/>
      <c r="JW103" s="136"/>
      <c r="JX103" s="136"/>
      <c r="JY103" s="136"/>
      <c r="JZ103" s="136"/>
      <c r="KA103" s="136"/>
      <c r="KB103" s="136"/>
      <c r="KC103" s="136"/>
      <c r="KD103" s="136"/>
      <c r="KE103" s="136"/>
      <c r="KF103" s="136"/>
      <c r="KG103" s="136"/>
      <c r="KH103" s="136"/>
      <c r="KI103" s="136"/>
      <c r="KJ103" s="136"/>
      <c r="KK103" s="136"/>
      <c r="KL103" s="136"/>
      <c r="KM103" s="136"/>
      <c r="KN103" s="136"/>
      <c r="KO103" s="136"/>
      <c r="KP103" s="136"/>
      <c r="KQ103" s="136"/>
      <c r="KR103" s="136"/>
      <c r="KS103" s="136"/>
      <c r="KT103" s="136"/>
      <c r="KU103" s="136"/>
      <c r="KV103" s="136"/>
      <c r="KW103" s="136"/>
      <c r="KX103" s="136"/>
      <c r="KY103" s="136"/>
      <c r="KZ103" s="136"/>
      <c r="LA103" s="136"/>
      <c r="LB103" s="136"/>
      <c r="LC103" s="136"/>
      <c r="LD103" s="136"/>
      <c r="LE103" s="136"/>
      <c r="LF103" s="136"/>
      <c r="LG103" s="136"/>
      <c r="LH103" s="136"/>
      <c r="LI103" s="136"/>
      <c r="LJ103" s="136"/>
      <c r="LK103" s="136"/>
      <c r="LL103" s="136"/>
      <c r="LM103" s="136"/>
      <c r="LN103" s="136"/>
      <c r="LO103" s="136"/>
      <c r="LP103" s="136"/>
      <c r="LQ103" s="136"/>
      <c r="LR103" s="136"/>
      <c r="LS103" s="136"/>
      <c r="LT103" s="136"/>
      <c r="LU103" s="136"/>
      <c r="LV103" s="136"/>
      <c r="LW103" s="136"/>
      <c r="LX103" s="136"/>
      <c r="LY103" s="136"/>
      <c r="LZ103" s="136"/>
      <c r="MA103" s="136"/>
      <c r="MB103" s="136"/>
      <c r="MC103" s="136"/>
      <c r="MD103" s="136"/>
      <c r="ME103" s="136"/>
      <c r="MF103" s="136"/>
      <c r="MG103" s="136"/>
      <c r="MH103" s="136"/>
      <c r="MI103" s="136"/>
      <c r="MJ103" s="136"/>
      <c r="MK103" s="136"/>
      <c r="ML103" s="136"/>
      <c r="MM103" s="136"/>
      <c r="MN103" s="136"/>
      <c r="MO103" s="136"/>
      <c r="MP103" s="136"/>
      <c r="MQ103" s="136"/>
      <c r="MR103" s="136"/>
      <c r="MS103" s="136"/>
      <c r="MT103" s="136"/>
      <c r="MU103" s="136"/>
      <c r="MV103" s="136"/>
      <c r="MW103" s="136"/>
      <c r="MX103" s="136"/>
      <c r="MY103" s="136"/>
      <c r="MZ103" s="136"/>
      <c r="NA103" s="136"/>
      <c r="NB103" s="136"/>
      <c r="NC103" s="136"/>
      <c r="ND103" s="136"/>
      <c r="NE103" s="136"/>
      <c r="NF103" s="136"/>
      <c r="NG103" s="136"/>
      <c r="NH103" s="136"/>
      <c r="NI103" s="136"/>
      <c r="NJ103" s="136"/>
      <c r="NK103" s="136"/>
      <c r="NL103" s="136"/>
      <c r="NM103" s="136"/>
      <c r="NN103" s="136"/>
      <c r="NO103" s="136"/>
      <c r="NP103" s="136"/>
      <c r="NQ103" s="136"/>
      <c r="NR103" s="136"/>
      <c r="NS103" s="136"/>
      <c r="NT103" s="136"/>
      <c r="NU103" s="136"/>
      <c r="NV103" s="136"/>
      <c r="NW103" s="136"/>
      <c r="NX103" s="136"/>
      <c r="NY103" s="136"/>
      <c r="NZ103" s="136"/>
      <c r="OA103" s="136"/>
      <c r="OB103" s="136"/>
      <c r="OC103" s="136"/>
      <c r="OD103" s="136"/>
      <c r="OE103" s="136"/>
      <c r="OF103" s="136"/>
      <c r="OG103" s="136"/>
      <c r="OH103" s="136"/>
      <c r="OI103" s="136"/>
      <c r="OJ103" s="136"/>
      <c r="OK103" s="136"/>
      <c r="OL103" s="136"/>
      <c r="OM103" s="136"/>
      <c r="ON103" s="136"/>
      <c r="OO103" s="136"/>
      <c r="OP103" s="136"/>
      <c r="OQ103" s="136"/>
      <c r="OR103" s="136"/>
      <c r="OS103" s="136"/>
      <c r="OT103" s="136"/>
      <c r="OU103" s="136"/>
      <c r="OV103" s="136"/>
      <c r="OW103" s="136"/>
      <c r="OX103" s="136"/>
      <c r="OY103" s="136"/>
      <c r="OZ103" s="136"/>
      <c r="PA103" s="136"/>
      <c r="PB103" s="136"/>
      <c r="PC103" s="136"/>
      <c r="PD103" s="136"/>
      <c r="PE103" s="136"/>
      <c r="PF103" s="136"/>
      <c r="PG103" s="136"/>
      <c r="PH103" s="136"/>
      <c r="PI103" s="136"/>
      <c r="PJ103" s="136"/>
      <c r="PK103" s="136"/>
      <c r="PL103" s="136"/>
      <c r="PM103" s="136"/>
      <c r="PN103" s="136"/>
      <c r="PO103" s="136"/>
      <c r="PP103" s="136"/>
      <c r="PQ103" s="136"/>
      <c r="PR103" s="136"/>
      <c r="PS103" s="136"/>
      <c r="PT103" s="136"/>
      <c r="PU103" s="136"/>
      <c r="PV103" s="136"/>
      <c r="PW103" s="136"/>
      <c r="PX103" s="136"/>
      <c r="PY103" s="136"/>
      <c r="PZ103" s="136"/>
      <c r="QA103" s="136"/>
      <c r="QB103" s="136"/>
      <c r="QC103" s="136"/>
      <c r="QD103" s="136"/>
      <c r="QE103" s="136"/>
      <c r="QF103" s="136"/>
      <c r="QG103" s="136"/>
      <c r="QH103" s="136"/>
      <c r="QI103" s="136"/>
      <c r="QJ103" s="136"/>
      <c r="QK103" s="136"/>
      <c r="QL103" s="136"/>
      <c r="QM103" s="136"/>
      <c r="QN103" s="136"/>
      <c r="QO103" s="136"/>
      <c r="QP103" s="136"/>
      <c r="QQ103" s="136"/>
      <c r="QR103" s="136"/>
      <c r="QS103" s="136"/>
      <c r="QT103" s="136"/>
      <c r="QU103" s="136"/>
      <c r="QV103" s="136"/>
      <c r="QW103" s="136"/>
      <c r="QX103" s="136"/>
      <c r="QY103" s="136"/>
      <c r="QZ103" s="136"/>
      <c r="RA103" s="136"/>
      <c r="RB103" s="136"/>
      <c r="RC103" s="136"/>
      <c r="RD103" s="136"/>
      <c r="RE103" s="136"/>
      <c r="RF103" s="136"/>
      <c r="RG103" s="136"/>
      <c r="RH103" s="136"/>
      <c r="RI103" s="136"/>
      <c r="RJ103" s="136"/>
      <c r="RK103" s="136"/>
      <c r="RL103" s="136"/>
      <c r="RM103" s="136"/>
      <c r="RN103" s="136"/>
      <c r="RO103" s="136"/>
      <c r="RP103" s="136"/>
      <c r="RQ103" s="136"/>
      <c r="RR103" s="136"/>
      <c r="RS103" s="136"/>
      <c r="RT103" s="136"/>
      <c r="RU103" s="136"/>
      <c r="RV103" s="136"/>
      <c r="RW103" s="136"/>
      <c r="RX103" s="136"/>
      <c r="RY103" s="136"/>
      <c r="RZ103" s="136"/>
      <c r="SA103" s="136"/>
      <c r="SB103" s="136"/>
      <c r="SC103" s="136"/>
      <c r="SD103" s="136"/>
      <c r="SE103" s="136"/>
      <c r="SF103" s="136"/>
      <c r="SG103" s="136"/>
      <c r="SH103" s="136"/>
      <c r="SI103" s="136"/>
      <c r="SJ103" s="136"/>
      <c r="SK103" s="136"/>
      <c r="SL103" s="136"/>
      <c r="SM103" s="136"/>
      <c r="SN103" s="136"/>
      <c r="SO103" s="136"/>
      <c r="SP103" s="136"/>
      <c r="SQ103" s="136"/>
      <c r="SR103" s="136"/>
      <c r="SS103" s="136"/>
    </row>
    <row r="104" spans="14:513" s="135" customFormat="1" ht="14.5" x14ac:dyDescent="0.35"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/>
      <c r="AA104" s="134"/>
      <c r="AB104" s="134"/>
      <c r="AC104" s="134"/>
      <c r="AD104" s="134"/>
      <c r="AE104" s="134"/>
      <c r="AF104" s="134"/>
      <c r="DO104" s="136"/>
      <c r="DP104" s="136"/>
      <c r="DQ104" s="136"/>
      <c r="DR104" s="136"/>
      <c r="DS104" s="136"/>
      <c r="DT104" s="136"/>
      <c r="DU104" s="136"/>
      <c r="DV104" s="136"/>
      <c r="DW104" s="136"/>
      <c r="DX104" s="136"/>
      <c r="DY104" s="136"/>
      <c r="DZ104" s="136"/>
      <c r="EA104" s="136"/>
      <c r="EB104" s="136"/>
      <c r="EC104" s="136"/>
      <c r="ED104" s="136"/>
      <c r="EE104" s="136"/>
      <c r="EF104" s="136"/>
      <c r="EG104" s="136"/>
      <c r="EH104" s="136"/>
      <c r="EI104" s="136"/>
      <c r="EJ104" s="136"/>
      <c r="EK104" s="136"/>
      <c r="EL104" s="136"/>
      <c r="EM104" s="136"/>
      <c r="EN104" s="136"/>
      <c r="EO104" s="136"/>
      <c r="EP104" s="136"/>
      <c r="EQ104" s="136"/>
      <c r="ER104" s="136"/>
      <c r="ES104" s="136"/>
      <c r="ET104" s="136"/>
      <c r="EU104" s="136"/>
      <c r="EV104" s="136"/>
      <c r="EW104" s="136"/>
      <c r="EX104" s="136"/>
      <c r="EY104" s="136"/>
      <c r="EZ104" s="136"/>
      <c r="FA104" s="136"/>
      <c r="FB104" s="136"/>
      <c r="FC104" s="136"/>
      <c r="FD104" s="136"/>
      <c r="FE104" s="136"/>
      <c r="FF104" s="136"/>
      <c r="FG104" s="136"/>
      <c r="FH104" s="136"/>
      <c r="FI104" s="136"/>
      <c r="FJ104" s="136"/>
      <c r="FK104" s="136"/>
      <c r="FL104" s="136"/>
      <c r="FM104" s="136"/>
      <c r="FN104" s="136"/>
      <c r="FO104" s="136"/>
      <c r="FP104" s="136"/>
      <c r="FQ104" s="136"/>
      <c r="FR104" s="136"/>
      <c r="FS104" s="136"/>
      <c r="FT104" s="136"/>
      <c r="FU104" s="136"/>
      <c r="FV104" s="136"/>
      <c r="FW104" s="136"/>
      <c r="FX104" s="136"/>
      <c r="FY104" s="136"/>
      <c r="FZ104" s="136"/>
      <c r="GA104" s="136"/>
      <c r="GB104" s="136"/>
      <c r="GC104" s="136"/>
      <c r="GD104" s="136"/>
      <c r="GE104" s="136"/>
      <c r="GF104" s="136"/>
      <c r="GG104" s="136"/>
      <c r="GH104" s="136"/>
      <c r="GI104" s="136"/>
      <c r="GJ104" s="136"/>
      <c r="GK104" s="136"/>
      <c r="GL104" s="136"/>
      <c r="GM104" s="136"/>
      <c r="GN104" s="136"/>
      <c r="GO104" s="136"/>
      <c r="GP104" s="136"/>
      <c r="GQ104" s="136"/>
      <c r="GR104" s="136"/>
      <c r="GS104" s="136"/>
      <c r="GT104" s="136"/>
      <c r="GU104" s="136"/>
      <c r="GV104" s="136"/>
      <c r="GW104" s="136"/>
      <c r="GX104" s="136"/>
      <c r="GY104" s="136"/>
      <c r="GZ104" s="136"/>
      <c r="HA104" s="136"/>
      <c r="HB104" s="136"/>
      <c r="HC104" s="136"/>
      <c r="HD104" s="136"/>
      <c r="HE104" s="136"/>
      <c r="HF104" s="136"/>
      <c r="HG104" s="136"/>
      <c r="HH104" s="136"/>
      <c r="HI104" s="136"/>
      <c r="HJ104" s="136"/>
      <c r="HK104" s="136"/>
      <c r="HL104" s="136"/>
      <c r="HM104" s="136"/>
      <c r="HN104" s="136"/>
      <c r="HO104" s="136"/>
      <c r="HP104" s="136"/>
      <c r="HQ104" s="136"/>
      <c r="HR104" s="136"/>
      <c r="HS104" s="136"/>
      <c r="HT104" s="136"/>
      <c r="HU104" s="136"/>
      <c r="HV104" s="136"/>
      <c r="HW104" s="136"/>
      <c r="HX104" s="136"/>
      <c r="HY104" s="136"/>
      <c r="HZ104" s="136"/>
      <c r="IA104" s="136"/>
      <c r="IB104" s="136"/>
      <c r="IC104" s="136"/>
      <c r="ID104" s="136"/>
      <c r="IE104" s="136"/>
      <c r="IF104" s="136"/>
      <c r="IG104" s="136"/>
      <c r="IH104" s="136"/>
      <c r="II104" s="136"/>
      <c r="IJ104" s="136"/>
      <c r="IK104" s="136"/>
      <c r="IL104" s="136"/>
      <c r="IM104" s="136"/>
      <c r="IN104" s="136"/>
      <c r="IO104" s="136"/>
      <c r="IP104" s="136"/>
      <c r="IQ104" s="136"/>
      <c r="IR104" s="136"/>
      <c r="IS104" s="136"/>
      <c r="IT104" s="136"/>
      <c r="IU104" s="136"/>
      <c r="IV104" s="136"/>
      <c r="IW104" s="136"/>
      <c r="IX104" s="136"/>
      <c r="IY104" s="136"/>
      <c r="IZ104" s="136"/>
      <c r="JA104" s="136"/>
      <c r="JB104" s="136"/>
      <c r="JC104" s="136"/>
      <c r="JD104" s="136"/>
      <c r="JE104" s="136"/>
      <c r="JF104" s="136"/>
      <c r="JG104" s="136"/>
      <c r="JH104" s="136"/>
      <c r="JI104" s="136"/>
      <c r="JJ104" s="136"/>
      <c r="JK104" s="136"/>
      <c r="JL104" s="136"/>
      <c r="JM104" s="136"/>
      <c r="JN104" s="136"/>
      <c r="JO104" s="136"/>
      <c r="JP104" s="136"/>
      <c r="JQ104" s="136"/>
      <c r="JR104" s="136"/>
      <c r="JS104" s="136"/>
      <c r="JT104" s="136"/>
      <c r="JU104" s="136"/>
      <c r="JV104" s="136"/>
      <c r="JW104" s="136"/>
      <c r="JX104" s="136"/>
      <c r="JY104" s="136"/>
      <c r="JZ104" s="136"/>
      <c r="KA104" s="136"/>
      <c r="KB104" s="136"/>
      <c r="KC104" s="136"/>
      <c r="KD104" s="136"/>
      <c r="KE104" s="136"/>
      <c r="KF104" s="136"/>
      <c r="KG104" s="136"/>
      <c r="KH104" s="136"/>
      <c r="KI104" s="136"/>
      <c r="KJ104" s="136"/>
      <c r="KK104" s="136"/>
      <c r="KL104" s="136"/>
      <c r="KM104" s="136"/>
      <c r="KN104" s="136"/>
      <c r="KO104" s="136"/>
      <c r="KP104" s="136"/>
      <c r="KQ104" s="136"/>
      <c r="KR104" s="136"/>
      <c r="KS104" s="136"/>
      <c r="KT104" s="136"/>
      <c r="KU104" s="136"/>
      <c r="KV104" s="136"/>
      <c r="KW104" s="136"/>
      <c r="KX104" s="136"/>
      <c r="KY104" s="136"/>
      <c r="KZ104" s="136"/>
      <c r="LA104" s="136"/>
      <c r="LB104" s="136"/>
      <c r="LC104" s="136"/>
      <c r="LD104" s="136"/>
      <c r="LE104" s="136"/>
      <c r="LF104" s="136"/>
      <c r="LG104" s="136"/>
      <c r="LH104" s="136"/>
      <c r="LI104" s="136"/>
      <c r="LJ104" s="136"/>
      <c r="LK104" s="136"/>
      <c r="LL104" s="136"/>
      <c r="LM104" s="136"/>
      <c r="LN104" s="136"/>
      <c r="LO104" s="136"/>
      <c r="LP104" s="136"/>
      <c r="LQ104" s="136"/>
      <c r="LR104" s="136"/>
      <c r="LS104" s="136"/>
      <c r="LT104" s="136"/>
      <c r="LU104" s="136"/>
      <c r="LV104" s="136"/>
      <c r="LW104" s="136"/>
      <c r="LX104" s="136"/>
      <c r="LY104" s="136"/>
      <c r="LZ104" s="136"/>
      <c r="MA104" s="136"/>
      <c r="MB104" s="136"/>
      <c r="MC104" s="136"/>
      <c r="MD104" s="136"/>
      <c r="ME104" s="136"/>
      <c r="MF104" s="136"/>
      <c r="MG104" s="136"/>
      <c r="MH104" s="136"/>
      <c r="MI104" s="136"/>
      <c r="MJ104" s="136"/>
      <c r="MK104" s="136"/>
      <c r="ML104" s="136"/>
      <c r="MM104" s="136"/>
      <c r="MN104" s="136"/>
      <c r="MO104" s="136"/>
      <c r="MP104" s="136"/>
      <c r="MQ104" s="136"/>
      <c r="MR104" s="136"/>
      <c r="MS104" s="136"/>
      <c r="MT104" s="136"/>
      <c r="MU104" s="136"/>
      <c r="MV104" s="136"/>
      <c r="MW104" s="136"/>
      <c r="MX104" s="136"/>
      <c r="MY104" s="136"/>
      <c r="MZ104" s="136"/>
      <c r="NA104" s="136"/>
      <c r="NB104" s="136"/>
      <c r="NC104" s="136"/>
      <c r="ND104" s="136"/>
      <c r="NE104" s="136"/>
      <c r="NF104" s="136"/>
      <c r="NG104" s="136"/>
      <c r="NH104" s="136"/>
      <c r="NI104" s="136"/>
      <c r="NJ104" s="136"/>
      <c r="NK104" s="136"/>
      <c r="NL104" s="136"/>
      <c r="NM104" s="136"/>
      <c r="NN104" s="136"/>
      <c r="NO104" s="136"/>
      <c r="NP104" s="136"/>
      <c r="NQ104" s="136"/>
      <c r="NR104" s="136"/>
      <c r="NS104" s="136"/>
      <c r="NT104" s="136"/>
      <c r="NU104" s="136"/>
      <c r="NV104" s="136"/>
      <c r="NW104" s="136"/>
      <c r="NX104" s="136"/>
      <c r="NY104" s="136"/>
      <c r="NZ104" s="136"/>
      <c r="OA104" s="136"/>
      <c r="OB104" s="136"/>
      <c r="OC104" s="136"/>
      <c r="OD104" s="136"/>
      <c r="OE104" s="136"/>
      <c r="OF104" s="136"/>
      <c r="OG104" s="136"/>
      <c r="OH104" s="136"/>
      <c r="OI104" s="136"/>
      <c r="OJ104" s="136"/>
      <c r="OK104" s="136"/>
      <c r="OL104" s="136"/>
      <c r="OM104" s="136"/>
      <c r="ON104" s="136"/>
      <c r="OO104" s="136"/>
      <c r="OP104" s="136"/>
      <c r="OQ104" s="136"/>
      <c r="OR104" s="136"/>
      <c r="OS104" s="136"/>
      <c r="OT104" s="136"/>
      <c r="OU104" s="136"/>
      <c r="OV104" s="136"/>
      <c r="OW104" s="136"/>
      <c r="OX104" s="136"/>
      <c r="OY104" s="136"/>
      <c r="OZ104" s="136"/>
      <c r="PA104" s="136"/>
      <c r="PB104" s="136"/>
      <c r="PC104" s="136"/>
      <c r="PD104" s="136"/>
      <c r="PE104" s="136"/>
      <c r="PF104" s="136"/>
      <c r="PG104" s="136"/>
      <c r="PH104" s="136"/>
      <c r="PI104" s="136"/>
      <c r="PJ104" s="136"/>
      <c r="PK104" s="136"/>
      <c r="PL104" s="136"/>
      <c r="PM104" s="136"/>
      <c r="PN104" s="136"/>
      <c r="PO104" s="136"/>
      <c r="PP104" s="136"/>
      <c r="PQ104" s="136"/>
      <c r="PR104" s="136"/>
      <c r="PS104" s="136"/>
      <c r="PT104" s="136"/>
      <c r="PU104" s="136"/>
      <c r="PV104" s="136"/>
      <c r="PW104" s="136"/>
      <c r="PX104" s="136"/>
      <c r="PY104" s="136"/>
      <c r="PZ104" s="136"/>
      <c r="QA104" s="136"/>
      <c r="QB104" s="136"/>
      <c r="QC104" s="136"/>
      <c r="QD104" s="136"/>
      <c r="QE104" s="136"/>
      <c r="QF104" s="136"/>
      <c r="QG104" s="136"/>
      <c r="QH104" s="136"/>
      <c r="QI104" s="136"/>
      <c r="QJ104" s="136"/>
      <c r="QK104" s="136"/>
      <c r="QL104" s="136"/>
      <c r="QM104" s="136"/>
      <c r="QN104" s="136"/>
      <c r="QO104" s="136"/>
      <c r="QP104" s="136"/>
      <c r="QQ104" s="136"/>
      <c r="QR104" s="136"/>
      <c r="QS104" s="136"/>
      <c r="QT104" s="136"/>
      <c r="QU104" s="136"/>
      <c r="QV104" s="136"/>
      <c r="QW104" s="136"/>
      <c r="QX104" s="136"/>
      <c r="QY104" s="136"/>
      <c r="QZ104" s="136"/>
      <c r="RA104" s="136"/>
      <c r="RB104" s="136"/>
      <c r="RC104" s="136"/>
      <c r="RD104" s="136"/>
      <c r="RE104" s="136"/>
      <c r="RF104" s="136"/>
      <c r="RG104" s="136"/>
      <c r="RH104" s="136"/>
      <c r="RI104" s="136"/>
      <c r="RJ104" s="136"/>
      <c r="RK104" s="136"/>
      <c r="RL104" s="136"/>
      <c r="RM104" s="136"/>
      <c r="RN104" s="136"/>
      <c r="RO104" s="136"/>
      <c r="RP104" s="136"/>
      <c r="RQ104" s="136"/>
      <c r="RR104" s="136"/>
      <c r="RS104" s="136"/>
      <c r="RT104" s="136"/>
      <c r="RU104" s="136"/>
      <c r="RV104" s="136"/>
      <c r="RW104" s="136"/>
      <c r="RX104" s="136"/>
      <c r="RY104" s="136"/>
      <c r="RZ104" s="136"/>
      <c r="SA104" s="136"/>
      <c r="SB104" s="136"/>
      <c r="SC104" s="136"/>
      <c r="SD104" s="136"/>
      <c r="SE104" s="136"/>
      <c r="SF104" s="136"/>
      <c r="SG104" s="136"/>
      <c r="SH104" s="136"/>
      <c r="SI104" s="136"/>
      <c r="SJ104" s="136"/>
      <c r="SK104" s="136"/>
      <c r="SL104" s="136"/>
      <c r="SM104" s="136"/>
      <c r="SN104" s="136"/>
      <c r="SO104" s="136"/>
      <c r="SP104" s="136"/>
      <c r="SQ104" s="136"/>
      <c r="SR104" s="136"/>
      <c r="SS104" s="136"/>
    </row>
    <row r="105" spans="14:513" s="135" customFormat="1" ht="14.5" x14ac:dyDescent="0.35"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  <c r="Y105" s="134"/>
      <c r="Z105" s="134"/>
      <c r="AA105" s="134"/>
      <c r="AB105" s="134"/>
      <c r="AC105" s="134"/>
      <c r="AD105" s="134"/>
      <c r="AE105" s="134"/>
      <c r="AF105" s="134"/>
      <c r="DO105" s="136"/>
      <c r="DP105" s="136"/>
      <c r="DQ105" s="136"/>
      <c r="DR105" s="136"/>
      <c r="DS105" s="136"/>
      <c r="DT105" s="136"/>
      <c r="DU105" s="136"/>
      <c r="DV105" s="136"/>
      <c r="DW105" s="136"/>
      <c r="DX105" s="136"/>
      <c r="DY105" s="136"/>
      <c r="DZ105" s="136"/>
      <c r="EA105" s="136"/>
      <c r="EB105" s="136"/>
      <c r="EC105" s="136"/>
      <c r="ED105" s="136"/>
      <c r="EE105" s="136"/>
      <c r="EF105" s="136"/>
      <c r="EG105" s="136"/>
      <c r="EH105" s="136"/>
      <c r="EI105" s="136"/>
      <c r="EJ105" s="136"/>
      <c r="EK105" s="136"/>
      <c r="EL105" s="136"/>
      <c r="EM105" s="136"/>
      <c r="EN105" s="136"/>
      <c r="EO105" s="136"/>
      <c r="EP105" s="136"/>
      <c r="EQ105" s="136"/>
      <c r="ER105" s="136"/>
      <c r="ES105" s="136"/>
      <c r="ET105" s="136"/>
      <c r="EU105" s="136"/>
      <c r="EV105" s="136"/>
      <c r="EW105" s="136"/>
      <c r="EX105" s="136"/>
      <c r="EY105" s="136"/>
      <c r="EZ105" s="136"/>
      <c r="FA105" s="136"/>
      <c r="FB105" s="136"/>
      <c r="FC105" s="136"/>
      <c r="FD105" s="136"/>
      <c r="FE105" s="136"/>
      <c r="FF105" s="136"/>
      <c r="FG105" s="136"/>
      <c r="FH105" s="136"/>
      <c r="FI105" s="136"/>
      <c r="FJ105" s="136"/>
      <c r="FK105" s="136"/>
      <c r="FL105" s="136"/>
      <c r="FM105" s="136"/>
      <c r="FN105" s="136"/>
      <c r="FO105" s="136"/>
      <c r="FP105" s="136"/>
      <c r="FQ105" s="136"/>
      <c r="FR105" s="136"/>
      <c r="FS105" s="136"/>
      <c r="FT105" s="136"/>
      <c r="FU105" s="136"/>
      <c r="FV105" s="136"/>
      <c r="FW105" s="136"/>
      <c r="FX105" s="136"/>
      <c r="FY105" s="136"/>
      <c r="FZ105" s="136"/>
      <c r="GA105" s="136"/>
      <c r="GB105" s="136"/>
      <c r="GC105" s="136"/>
      <c r="GD105" s="136"/>
      <c r="GE105" s="136"/>
      <c r="GF105" s="136"/>
      <c r="GG105" s="136"/>
      <c r="GH105" s="136"/>
      <c r="GI105" s="136"/>
      <c r="GJ105" s="136"/>
      <c r="GK105" s="136"/>
      <c r="GL105" s="136"/>
      <c r="GM105" s="136"/>
      <c r="GN105" s="136"/>
      <c r="GO105" s="136"/>
      <c r="GP105" s="136"/>
      <c r="GQ105" s="136"/>
      <c r="GR105" s="136"/>
      <c r="GS105" s="136"/>
      <c r="GT105" s="136"/>
      <c r="GU105" s="136"/>
      <c r="GV105" s="136"/>
      <c r="GW105" s="136"/>
      <c r="GX105" s="136"/>
      <c r="GY105" s="136"/>
      <c r="GZ105" s="136"/>
      <c r="HA105" s="136"/>
      <c r="HB105" s="136"/>
      <c r="HC105" s="136"/>
      <c r="HD105" s="136"/>
      <c r="HE105" s="136"/>
      <c r="HF105" s="136"/>
      <c r="HG105" s="136"/>
      <c r="HH105" s="136"/>
      <c r="HI105" s="136"/>
      <c r="HJ105" s="136"/>
      <c r="HK105" s="136"/>
      <c r="HL105" s="136"/>
      <c r="HM105" s="136"/>
      <c r="HN105" s="136"/>
      <c r="HO105" s="136"/>
      <c r="HP105" s="136"/>
      <c r="HQ105" s="136"/>
      <c r="HR105" s="136"/>
      <c r="HS105" s="136"/>
      <c r="HT105" s="136"/>
      <c r="HU105" s="136"/>
      <c r="HV105" s="136"/>
      <c r="HW105" s="136"/>
      <c r="HX105" s="136"/>
      <c r="HY105" s="136"/>
      <c r="HZ105" s="136"/>
      <c r="IA105" s="136"/>
      <c r="IB105" s="136"/>
      <c r="IC105" s="136"/>
      <c r="ID105" s="136"/>
      <c r="IE105" s="136"/>
      <c r="IF105" s="136"/>
      <c r="IG105" s="136"/>
      <c r="IH105" s="136"/>
      <c r="II105" s="136"/>
      <c r="IJ105" s="136"/>
      <c r="IK105" s="136"/>
      <c r="IL105" s="136"/>
      <c r="IM105" s="136"/>
      <c r="IN105" s="136"/>
      <c r="IO105" s="136"/>
      <c r="IP105" s="136"/>
      <c r="IQ105" s="136"/>
      <c r="IR105" s="136"/>
      <c r="IS105" s="136"/>
      <c r="IT105" s="136"/>
      <c r="IU105" s="136"/>
      <c r="IV105" s="136"/>
      <c r="IW105" s="136"/>
      <c r="IX105" s="136"/>
      <c r="IY105" s="136"/>
      <c r="IZ105" s="136"/>
      <c r="JA105" s="136"/>
      <c r="JB105" s="136"/>
      <c r="JC105" s="136"/>
      <c r="JD105" s="136"/>
      <c r="JE105" s="136"/>
      <c r="JF105" s="136"/>
      <c r="JG105" s="136"/>
      <c r="JH105" s="136"/>
      <c r="JI105" s="136"/>
      <c r="JJ105" s="136"/>
      <c r="JK105" s="136"/>
      <c r="JL105" s="136"/>
      <c r="JM105" s="136"/>
      <c r="JN105" s="136"/>
      <c r="JO105" s="136"/>
      <c r="JP105" s="136"/>
      <c r="JQ105" s="136"/>
      <c r="JR105" s="136"/>
      <c r="JS105" s="136"/>
      <c r="JT105" s="136"/>
      <c r="JU105" s="136"/>
      <c r="JV105" s="136"/>
      <c r="JW105" s="136"/>
      <c r="JX105" s="136"/>
      <c r="JY105" s="136"/>
      <c r="JZ105" s="136"/>
      <c r="KA105" s="136"/>
      <c r="KB105" s="136"/>
      <c r="KC105" s="136"/>
      <c r="KD105" s="136"/>
      <c r="KE105" s="136"/>
      <c r="KF105" s="136"/>
      <c r="KG105" s="136"/>
      <c r="KH105" s="136"/>
      <c r="KI105" s="136"/>
      <c r="KJ105" s="136"/>
      <c r="KK105" s="136"/>
      <c r="KL105" s="136"/>
      <c r="KM105" s="136"/>
      <c r="KN105" s="136"/>
      <c r="KO105" s="136"/>
      <c r="KP105" s="136"/>
      <c r="KQ105" s="136"/>
      <c r="KR105" s="136"/>
      <c r="KS105" s="136"/>
      <c r="KT105" s="136"/>
      <c r="KU105" s="136"/>
      <c r="KV105" s="136"/>
      <c r="KW105" s="136"/>
      <c r="KX105" s="136"/>
      <c r="KY105" s="136"/>
      <c r="KZ105" s="136"/>
      <c r="LA105" s="136"/>
      <c r="LB105" s="136"/>
      <c r="LC105" s="136"/>
      <c r="LD105" s="136"/>
      <c r="LE105" s="136"/>
      <c r="LF105" s="136"/>
      <c r="LG105" s="136"/>
      <c r="LH105" s="136"/>
      <c r="LI105" s="136"/>
      <c r="LJ105" s="136"/>
      <c r="LK105" s="136"/>
      <c r="LL105" s="136"/>
      <c r="LM105" s="136"/>
      <c r="LN105" s="136"/>
      <c r="LO105" s="136"/>
      <c r="LP105" s="136"/>
      <c r="LQ105" s="136"/>
      <c r="LR105" s="136"/>
      <c r="LS105" s="136"/>
      <c r="LT105" s="136"/>
      <c r="LU105" s="136"/>
      <c r="LV105" s="136"/>
      <c r="LW105" s="136"/>
      <c r="LX105" s="136"/>
      <c r="LY105" s="136"/>
      <c r="LZ105" s="136"/>
      <c r="MA105" s="136"/>
      <c r="MB105" s="136"/>
      <c r="MC105" s="136"/>
      <c r="MD105" s="136"/>
      <c r="ME105" s="136"/>
      <c r="MF105" s="136"/>
      <c r="MG105" s="136"/>
      <c r="MH105" s="136"/>
      <c r="MI105" s="136"/>
      <c r="MJ105" s="136"/>
      <c r="MK105" s="136"/>
      <c r="ML105" s="136"/>
      <c r="MM105" s="136"/>
      <c r="MN105" s="136"/>
      <c r="MO105" s="136"/>
      <c r="MP105" s="136"/>
      <c r="MQ105" s="136"/>
      <c r="MR105" s="136"/>
      <c r="MS105" s="136"/>
      <c r="MT105" s="136"/>
      <c r="MU105" s="136"/>
      <c r="MV105" s="136"/>
      <c r="MW105" s="136"/>
      <c r="MX105" s="136"/>
      <c r="MY105" s="136"/>
      <c r="MZ105" s="136"/>
      <c r="NA105" s="136"/>
      <c r="NB105" s="136"/>
      <c r="NC105" s="136"/>
      <c r="ND105" s="136"/>
      <c r="NE105" s="136"/>
      <c r="NF105" s="136"/>
      <c r="NG105" s="136"/>
      <c r="NH105" s="136"/>
      <c r="NI105" s="136"/>
      <c r="NJ105" s="136"/>
      <c r="NK105" s="136"/>
      <c r="NL105" s="136"/>
      <c r="NM105" s="136"/>
      <c r="NN105" s="136"/>
      <c r="NO105" s="136"/>
      <c r="NP105" s="136"/>
      <c r="NQ105" s="136"/>
      <c r="NR105" s="136"/>
      <c r="NS105" s="136"/>
      <c r="NT105" s="136"/>
      <c r="NU105" s="136"/>
      <c r="NV105" s="136"/>
      <c r="NW105" s="136"/>
      <c r="NX105" s="136"/>
      <c r="NY105" s="136"/>
      <c r="NZ105" s="136"/>
      <c r="OA105" s="136"/>
      <c r="OB105" s="136"/>
      <c r="OC105" s="136"/>
      <c r="OD105" s="136"/>
      <c r="OE105" s="136"/>
      <c r="OF105" s="136"/>
      <c r="OG105" s="136"/>
      <c r="OH105" s="136"/>
      <c r="OI105" s="136"/>
      <c r="OJ105" s="136"/>
      <c r="OK105" s="136"/>
      <c r="OL105" s="136"/>
      <c r="OM105" s="136"/>
      <c r="ON105" s="136"/>
      <c r="OO105" s="136"/>
      <c r="OP105" s="136"/>
      <c r="OQ105" s="136"/>
      <c r="OR105" s="136"/>
      <c r="OS105" s="136"/>
      <c r="OT105" s="136"/>
      <c r="OU105" s="136"/>
      <c r="OV105" s="136"/>
      <c r="OW105" s="136"/>
      <c r="OX105" s="136"/>
      <c r="OY105" s="136"/>
      <c r="OZ105" s="136"/>
      <c r="PA105" s="136"/>
      <c r="PB105" s="136"/>
      <c r="PC105" s="136"/>
      <c r="PD105" s="136"/>
      <c r="PE105" s="136"/>
      <c r="PF105" s="136"/>
      <c r="PG105" s="136"/>
      <c r="PH105" s="136"/>
      <c r="PI105" s="136"/>
      <c r="PJ105" s="136"/>
      <c r="PK105" s="136"/>
      <c r="PL105" s="136"/>
      <c r="PM105" s="136"/>
      <c r="PN105" s="136"/>
      <c r="PO105" s="136"/>
      <c r="PP105" s="136"/>
      <c r="PQ105" s="136"/>
      <c r="PR105" s="136"/>
      <c r="PS105" s="136"/>
      <c r="PT105" s="136"/>
      <c r="PU105" s="136"/>
      <c r="PV105" s="136"/>
      <c r="PW105" s="136"/>
      <c r="PX105" s="136"/>
      <c r="PY105" s="136"/>
      <c r="PZ105" s="136"/>
      <c r="QA105" s="136"/>
      <c r="QB105" s="136"/>
      <c r="QC105" s="136"/>
      <c r="QD105" s="136"/>
      <c r="QE105" s="136"/>
      <c r="QF105" s="136"/>
      <c r="QG105" s="136"/>
      <c r="QH105" s="136"/>
      <c r="QI105" s="136"/>
      <c r="QJ105" s="136"/>
      <c r="QK105" s="136"/>
      <c r="QL105" s="136"/>
      <c r="QM105" s="136"/>
      <c r="QN105" s="136"/>
      <c r="QO105" s="136"/>
      <c r="QP105" s="136"/>
      <c r="QQ105" s="136"/>
      <c r="QR105" s="136"/>
      <c r="QS105" s="136"/>
      <c r="QT105" s="136"/>
      <c r="QU105" s="136"/>
      <c r="QV105" s="136"/>
      <c r="QW105" s="136"/>
      <c r="QX105" s="136"/>
      <c r="QY105" s="136"/>
      <c r="QZ105" s="136"/>
      <c r="RA105" s="136"/>
      <c r="RB105" s="136"/>
      <c r="RC105" s="136"/>
      <c r="RD105" s="136"/>
      <c r="RE105" s="136"/>
      <c r="RF105" s="136"/>
      <c r="RG105" s="136"/>
      <c r="RH105" s="136"/>
      <c r="RI105" s="136"/>
      <c r="RJ105" s="136"/>
      <c r="RK105" s="136"/>
      <c r="RL105" s="136"/>
      <c r="RM105" s="136"/>
      <c r="RN105" s="136"/>
      <c r="RO105" s="136"/>
      <c r="RP105" s="136"/>
      <c r="RQ105" s="136"/>
      <c r="RR105" s="136"/>
      <c r="RS105" s="136"/>
      <c r="RT105" s="136"/>
      <c r="RU105" s="136"/>
      <c r="RV105" s="136"/>
      <c r="RW105" s="136"/>
      <c r="RX105" s="136"/>
      <c r="RY105" s="136"/>
      <c r="RZ105" s="136"/>
      <c r="SA105" s="136"/>
      <c r="SB105" s="136"/>
      <c r="SC105" s="136"/>
      <c r="SD105" s="136"/>
      <c r="SE105" s="136"/>
      <c r="SF105" s="136"/>
      <c r="SG105" s="136"/>
      <c r="SH105" s="136"/>
      <c r="SI105" s="136"/>
      <c r="SJ105" s="136"/>
      <c r="SK105" s="136"/>
      <c r="SL105" s="136"/>
      <c r="SM105" s="136"/>
      <c r="SN105" s="136"/>
      <c r="SO105" s="136"/>
      <c r="SP105" s="136"/>
      <c r="SQ105" s="136"/>
      <c r="SR105" s="136"/>
      <c r="SS105" s="136"/>
    </row>
    <row r="106" spans="14:513" s="135" customFormat="1" ht="14.5" x14ac:dyDescent="0.35"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/>
      <c r="AA106" s="134"/>
      <c r="AB106" s="134"/>
      <c r="AC106" s="134"/>
      <c r="AD106" s="134"/>
      <c r="AE106" s="134"/>
      <c r="AF106" s="134"/>
      <c r="DO106" s="136"/>
      <c r="DP106" s="136"/>
      <c r="DQ106" s="136"/>
      <c r="DR106" s="136"/>
      <c r="DS106" s="136"/>
      <c r="DT106" s="136"/>
      <c r="DU106" s="136"/>
      <c r="DV106" s="136"/>
      <c r="DW106" s="136"/>
      <c r="DX106" s="136"/>
      <c r="DY106" s="136"/>
      <c r="DZ106" s="136"/>
      <c r="EA106" s="136"/>
      <c r="EB106" s="136"/>
      <c r="EC106" s="136"/>
      <c r="ED106" s="136"/>
      <c r="EE106" s="136"/>
      <c r="EF106" s="136"/>
      <c r="EG106" s="136"/>
      <c r="EH106" s="136"/>
      <c r="EI106" s="136"/>
      <c r="EJ106" s="136"/>
      <c r="EK106" s="136"/>
      <c r="EL106" s="136"/>
      <c r="EM106" s="136"/>
      <c r="EN106" s="136"/>
      <c r="EO106" s="136"/>
      <c r="EP106" s="136"/>
      <c r="EQ106" s="136"/>
      <c r="ER106" s="136"/>
      <c r="ES106" s="136"/>
      <c r="ET106" s="136"/>
      <c r="EU106" s="136"/>
      <c r="EV106" s="136"/>
      <c r="EW106" s="136"/>
      <c r="EX106" s="136"/>
      <c r="EY106" s="136"/>
      <c r="EZ106" s="136"/>
      <c r="FA106" s="136"/>
      <c r="FB106" s="136"/>
      <c r="FC106" s="136"/>
      <c r="FD106" s="136"/>
      <c r="FE106" s="136"/>
      <c r="FF106" s="136"/>
      <c r="FG106" s="136"/>
      <c r="FH106" s="136"/>
      <c r="FI106" s="136"/>
      <c r="FJ106" s="136"/>
      <c r="FK106" s="136"/>
      <c r="FL106" s="136"/>
      <c r="FM106" s="136"/>
      <c r="FN106" s="136"/>
      <c r="FO106" s="136"/>
      <c r="FP106" s="136"/>
      <c r="FQ106" s="136"/>
      <c r="FR106" s="136"/>
      <c r="FS106" s="136"/>
      <c r="FT106" s="136"/>
      <c r="FU106" s="136"/>
      <c r="FV106" s="136"/>
      <c r="FW106" s="136"/>
      <c r="FX106" s="136"/>
      <c r="FY106" s="136"/>
      <c r="FZ106" s="136"/>
      <c r="GA106" s="136"/>
      <c r="GB106" s="136"/>
      <c r="GC106" s="136"/>
      <c r="GD106" s="136"/>
      <c r="GE106" s="136"/>
      <c r="GF106" s="136"/>
      <c r="GG106" s="136"/>
      <c r="GH106" s="136"/>
      <c r="GI106" s="136"/>
      <c r="GJ106" s="136"/>
      <c r="GK106" s="136"/>
      <c r="GL106" s="136"/>
      <c r="GM106" s="136"/>
      <c r="GN106" s="136"/>
      <c r="GO106" s="136"/>
      <c r="GP106" s="136"/>
      <c r="GQ106" s="136"/>
      <c r="GR106" s="136"/>
      <c r="GS106" s="136"/>
      <c r="GT106" s="136"/>
      <c r="GU106" s="136"/>
      <c r="GV106" s="136"/>
      <c r="GW106" s="136"/>
      <c r="GX106" s="136"/>
      <c r="GY106" s="136"/>
      <c r="GZ106" s="136"/>
      <c r="HA106" s="136"/>
      <c r="HB106" s="136"/>
      <c r="HC106" s="136"/>
      <c r="HD106" s="136"/>
      <c r="HE106" s="136"/>
      <c r="HF106" s="136"/>
      <c r="HG106" s="136"/>
      <c r="HH106" s="136"/>
      <c r="HI106" s="136"/>
      <c r="HJ106" s="136"/>
      <c r="HK106" s="136"/>
      <c r="HL106" s="136"/>
      <c r="HM106" s="136"/>
      <c r="HN106" s="136"/>
      <c r="HO106" s="136"/>
      <c r="HP106" s="136"/>
      <c r="HQ106" s="136"/>
      <c r="HR106" s="136"/>
      <c r="HS106" s="136"/>
      <c r="HT106" s="136"/>
      <c r="HU106" s="136"/>
      <c r="HV106" s="136"/>
      <c r="HW106" s="136"/>
      <c r="HX106" s="136"/>
      <c r="HY106" s="136"/>
      <c r="HZ106" s="136"/>
      <c r="IA106" s="136"/>
      <c r="IB106" s="136"/>
      <c r="IC106" s="136"/>
      <c r="ID106" s="136"/>
      <c r="IE106" s="136"/>
      <c r="IF106" s="136"/>
      <c r="IG106" s="136"/>
      <c r="IH106" s="136"/>
      <c r="II106" s="136"/>
      <c r="IJ106" s="136"/>
      <c r="IK106" s="136"/>
      <c r="IL106" s="136"/>
      <c r="IM106" s="136"/>
      <c r="IN106" s="136"/>
      <c r="IO106" s="136"/>
      <c r="IP106" s="136"/>
      <c r="IQ106" s="136"/>
      <c r="IR106" s="136"/>
      <c r="IS106" s="136"/>
      <c r="IT106" s="136"/>
      <c r="IU106" s="136"/>
      <c r="IV106" s="136"/>
      <c r="IW106" s="136"/>
      <c r="IX106" s="136"/>
      <c r="IY106" s="136"/>
      <c r="IZ106" s="136"/>
      <c r="JA106" s="136"/>
      <c r="JB106" s="136"/>
      <c r="JC106" s="136"/>
      <c r="JD106" s="136"/>
      <c r="JE106" s="136"/>
      <c r="JF106" s="136"/>
      <c r="JG106" s="136"/>
      <c r="JH106" s="136"/>
      <c r="JI106" s="136"/>
      <c r="JJ106" s="136"/>
      <c r="JK106" s="136"/>
      <c r="JL106" s="136"/>
      <c r="JM106" s="136"/>
      <c r="JN106" s="136"/>
      <c r="JO106" s="136"/>
      <c r="JP106" s="136"/>
      <c r="JQ106" s="136"/>
      <c r="JR106" s="136"/>
      <c r="JS106" s="136"/>
      <c r="JT106" s="136"/>
      <c r="JU106" s="136"/>
      <c r="JV106" s="136"/>
      <c r="JW106" s="136"/>
      <c r="JX106" s="136"/>
      <c r="JY106" s="136"/>
      <c r="JZ106" s="136"/>
      <c r="KA106" s="136"/>
      <c r="KB106" s="136"/>
      <c r="KC106" s="136"/>
      <c r="KD106" s="136"/>
      <c r="KE106" s="136"/>
      <c r="KF106" s="136"/>
      <c r="KG106" s="136"/>
      <c r="KH106" s="136"/>
      <c r="KI106" s="136"/>
      <c r="KJ106" s="136"/>
      <c r="KK106" s="136"/>
      <c r="KL106" s="136"/>
      <c r="KM106" s="136"/>
      <c r="KN106" s="136"/>
      <c r="KO106" s="136"/>
      <c r="KP106" s="136"/>
      <c r="KQ106" s="136"/>
      <c r="KR106" s="136"/>
      <c r="KS106" s="136"/>
      <c r="KT106" s="136"/>
      <c r="KU106" s="136"/>
      <c r="KV106" s="136"/>
      <c r="KW106" s="136"/>
      <c r="KX106" s="136"/>
      <c r="KY106" s="136"/>
      <c r="KZ106" s="136"/>
      <c r="LA106" s="136"/>
      <c r="LB106" s="136"/>
      <c r="LC106" s="136"/>
      <c r="LD106" s="136"/>
      <c r="LE106" s="136"/>
      <c r="LF106" s="136"/>
      <c r="LG106" s="136"/>
      <c r="LH106" s="136"/>
      <c r="LI106" s="136"/>
      <c r="LJ106" s="136"/>
      <c r="LK106" s="136"/>
      <c r="LL106" s="136"/>
      <c r="LM106" s="136"/>
      <c r="LN106" s="136"/>
      <c r="LO106" s="136"/>
      <c r="LP106" s="136"/>
      <c r="LQ106" s="136"/>
      <c r="LR106" s="136"/>
      <c r="LS106" s="136"/>
      <c r="LT106" s="136"/>
      <c r="LU106" s="136"/>
      <c r="LV106" s="136"/>
      <c r="LW106" s="136"/>
      <c r="LX106" s="136"/>
      <c r="LY106" s="136"/>
      <c r="LZ106" s="136"/>
      <c r="MA106" s="136"/>
      <c r="MB106" s="136"/>
      <c r="MC106" s="136"/>
      <c r="MD106" s="136"/>
      <c r="ME106" s="136"/>
      <c r="MF106" s="136"/>
      <c r="MG106" s="136"/>
      <c r="MH106" s="136"/>
      <c r="MI106" s="136"/>
      <c r="MJ106" s="136"/>
      <c r="MK106" s="136"/>
      <c r="ML106" s="136"/>
      <c r="MM106" s="136"/>
      <c r="MN106" s="136"/>
      <c r="MO106" s="136"/>
      <c r="MP106" s="136"/>
      <c r="MQ106" s="136"/>
      <c r="MR106" s="136"/>
      <c r="MS106" s="136"/>
      <c r="MT106" s="136"/>
      <c r="MU106" s="136"/>
      <c r="MV106" s="136"/>
      <c r="MW106" s="136"/>
      <c r="MX106" s="136"/>
      <c r="MY106" s="136"/>
      <c r="MZ106" s="136"/>
      <c r="NA106" s="136"/>
      <c r="NB106" s="136"/>
      <c r="NC106" s="136"/>
      <c r="ND106" s="136"/>
      <c r="NE106" s="136"/>
      <c r="NF106" s="136"/>
      <c r="NG106" s="136"/>
      <c r="NH106" s="136"/>
      <c r="NI106" s="136"/>
      <c r="NJ106" s="136"/>
      <c r="NK106" s="136"/>
      <c r="NL106" s="136"/>
      <c r="NM106" s="136"/>
      <c r="NN106" s="136"/>
      <c r="NO106" s="136"/>
      <c r="NP106" s="136"/>
      <c r="NQ106" s="136"/>
      <c r="NR106" s="136"/>
      <c r="NS106" s="136"/>
      <c r="NT106" s="136"/>
      <c r="NU106" s="136"/>
      <c r="NV106" s="136"/>
      <c r="NW106" s="136"/>
      <c r="NX106" s="136"/>
      <c r="NY106" s="136"/>
      <c r="NZ106" s="136"/>
      <c r="OA106" s="136"/>
      <c r="OB106" s="136"/>
      <c r="OC106" s="136"/>
      <c r="OD106" s="136"/>
      <c r="OE106" s="136"/>
      <c r="OF106" s="136"/>
      <c r="OG106" s="136"/>
      <c r="OH106" s="136"/>
      <c r="OI106" s="136"/>
      <c r="OJ106" s="136"/>
      <c r="OK106" s="136"/>
      <c r="OL106" s="136"/>
      <c r="OM106" s="136"/>
      <c r="ON106" s="136"/>
      <c r="OO106" s="136"/>
      <c r="OP106" s="136"/>
      <c r="OQ106" s="136"/>
      <c r="OR106" s="136"/>
      <c r="OS106" s="136"/>
      <c r="OT106" s="136"/>
      <c r="OU106" s="136"/>
      <c r="OV106" s="136"/>
      <c r="OW106" s="136"/>
      <c r="OX106" s="136"/>
      <c r="OY106" s="136"/>
      <c r="OZ106" s="136"/>
      <c r="PA106" s="136"/>
      <c r="PB106" s="136"/>
      <c r="PC106" s="136"/>
      <c r="PD106" s="136"/>
      <c r="PE106" s="136"/>
      <c r="PF106" s="136"/>
      <c r="PG106" s="136"/>
      <c r="PH106" s="136"/>
      <c r="PI106" s="136"/>
      <c r="PJ106" s="136"/>
      <c r="PK106" s="136"/>
      <c r="PL106" s="136"/>
      <c r="PM106" s="136"/>
      <c r="PN106" s="136"/>
      <c r="PO106" s="136"/>
      <c r="PP106" s="136"/>
      <c r="PQ106" s="136"/>
      <c r="PR106" s="136"/>
      <c r="PS106" s="136"/>
      <c r="PT106" s="136"/>
      <c r="PU106" s="136"/>
      <c r="PV106" s="136"/>
      <c r="PW106" s="136"/>
      <c r="PX106" s="136"/>
      <c r="PY106" s="136"/>
      <c r="PZ106" s="136"/>
      <c r="QA106" s="136"/>
      <c r="QB106" s="136"/>
      <c r="QC106" s="136"/>
      <c r="QD106" s="136"/>
      <c r="QE106" s="136"/>
      <c r="QF106" s="136"/>
      <c r="QG106" s="136"/>
      <c r="QH106" s="136"/>
      <c r="QI106" s="136"/>
      <c r="QJ106" s="136"/>
      <c r="QK106" s="136"/>
      <c r="QL106" s="136"/>
      <c r="QM106" s="136"/>
      <c r="QN106" s="136"/>
      <c r="QO106" s="136"/>
      <c r="QP106" s="136"/>
      <c r="QQ106" s="136"/>
      <c r="QR106" s="136"/>
      <c r="QS106" s="136"/>
      <c r="QT106" s="136"/>
      <c r="QU106" s="136"/>
      <c r="QV106" s="136"/>
      <c r="QW106" s="136"/>
      <c r="QX106" s="136"/>
      <c r="QY106" s="136"/>
      <c r="QZ106" s="136"/>
      <c r="RA106" s="136"/>
      <c r="RB106" s="136"/>
      <c r="RC106" s="136"/>
      <c r="RD106" s="136"/>
      <c r="RE106" s="136"/>
      <c r="RF106" s="136"/>
      <c r="RG106" s="136"/>
      <c r="RH106" s="136"/>
      <c r="RI106" s="136"/>
      <c r="RJ106" s="136"/>
      <c r="RK106" s="136"/>
      <c r="RL106" s="136"/>
      <c r="RM106" s="136"/>
      <c r="RN106" s="136"/>
      <c r="RO106" s="136"/>
      <c r="RP106" s="136"/>
      <c r="RQ106" s="136"/>
      <c r="RR106" s="136"/>
      <c r="RS106" s="136"/>
      <c r="RT106" s="136"/>
      <c r="RU106" s="136"/>
      <c r="RV106" s="136"/>
      <c r="RW106" s="136"/>
      <c r="RX106" s="136"/>
      <c r="RY106" s="136"/>
      <c r="RZ106" s="136"/>
      <c r="SA106" s="136"/>
      <c r="SB106" s="136"/>
      <c r="SC106" s="136"/>
      <c r="SD106" s="136"/>
      <c r="SE106" s="136"/>
      <c r="SF106" s="136"/>
      <c r="SG106" s="136"/>
      <c r="SH106" s="136"/>
      <c r="SI106" s="136"/>
      <c r="SJ106" s="136"/>
      <c r="SK106" s="136"/>
      <c r="SL106" s="136"/>
      <c r="SM106" s="136"/>
      <c r="SN106" s="136"/>
      <c r="SO106" s="136"/>
      <c r="SP106" s="136"/>
      <c r="SQ106" s="136"/>
      <c r="SR106" s="136"/>
      <c r="SS106" s="136"/>
    </row>
    <row r="107" spans="14:513" s="135" customFormat="1" ht="14.5" x14ac:dyDescent="0.35"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DO107" s="136"/>
      <c r="DP107" s="136"/>
      <c r="DQ107" s="136"/>
      <c r="DR107" s="136"/>
      <c r="DS107" s="136"/>
      <c r="DT107" s="136"/>
      <c r="DU107" s="136"/>
      <c r="DV107" s="136"/>
      <c r="DW107" s="136"/>
      <c r="DX107" s="136"/>
      <c r="DY107" s="136"/>
      <c r="DZ107" s="136"/>
      <c r="EA107" s="136"/>
      <c r="EB107" s="136"/>
      <c r="EC107" s="136"/>
      <c r="ED107" s="136"/>
      <c r="EE107" s="136"/>
      <c r="EF107" s="136"/>
      <c r="EG107" s="136"/>
      <c r="EH107" s="136"/>
      <c r="EI107" s="136"/>
      <c r="EJ107" s="136"/>
      <c r="EK107" s="136"/>
      <c r="EL107" s="136"/>
      <c r="EM107" s="136"/>
      <c r="EN107" s="136"/>
      <c r="EO107" s="136"/>
      <c r="EP107" s="136"/>
      <c r="EQ107" s="136"/>
      <c r="ER107" s="136"/>
      <c r="ES107" s="136"/>
      <c r="ET107" s="136"/>
      <c r="EU107" s="136"/>
      <c r="EV107" s="136"/>
      <c r="EW107" s="136"/>
      <c r="EX107" s="136"/>
      <c r="EY107" s="136"/>
      <c r="EZ107" s="136"/>
      <c r="FA107" s="136"/>
      <c r="FB107" s="136"/>
      <c r="FC107" s="136"/>
      <c r="FD107" s="136"/>
      <c r="FE107" s="136"/>
      <c r="FF107" s="136"/>
      <c r="FG107" s="136"/>
      <c r="FH107" s="136"/>
      <c r="FI107" s="136"/>
      <c r="FJ107" s="136"/>
      <c r="FK107" s="136"/>
      <c r="FL107" s="136"/>
      <c r="FM107" s="136"/>
      <c r="FN107" s="136"/>
      <c r="FO107" s="136"/>
      <c r="FP107" s="136"/>
      <c r="FQ107" s="136"/>
      <c r="FR107" s="136"/>
      <c r="FS107" s="136"/>
      <c r="FT107" s="136"/>
      <c r="FU107" s="136"/>
      <c r="FV107" s="136"/>
      <c r="FW107" s="136"/>
      <c r="FX107" s="136"/>
      <c r="FY107" s="136"/>
      <c r="FZ107" s="136"/>
      <c r="GA107" s="136"/>
      <c r="GB107" s="136"/>
      <c r="GC107" s="136"/>
      <c r="GD107" s="136"/>
      <c r="GE107" s="136"/>
      <c r="GF107" s="136"/>
      <c r="GG107" s="136"/>
      <c r="GH107" s="136"/>
      <c r="GI107" s="136"/>
      <c r="GJ107" s="136"/>
      <c r="GK107" s="136"/>
      <c r="GL107" s="136"/>
      <c r="GM107" s="136"/>
      <c r="GN107" s="136"/>
      <c r="GO107" s="136"/>
      <c r="GP107" s="136"/>
      <c r="GQ107" s="136"/>
      <c r="GR107" s="136"/>
      <c r="GS107" s="136"/>
      <c r="GT107" s="136"/>
      <c r="GU107" s="136"/>
      <c r="GV107" s="136"/>
      <c r="GW107" s="136"/>
      <c r="GX107" s="136"/>
      <c r="GY107" s="136"/>
      <c r="GZ107" s="136"/>
      <c r="HA107" s="136"/>
      <c r="HB107" s="136"/>
      <c r="HC107" s="136"/>
      <c r="HD107" s="136"/>
      <c r="HE107" s="136"/>
      <c r="HF107" s="136"/>
      <c r="HG107" s="136"/>
      <c r="HH107" s="136"/>
      <c r="HI107" s="136"/>
      <c r="HJ107" s="136"/>
      <c r="HK107" s="136"/>
      <c r="HL107" s="136"/>
      <c r="HM107" s="136"/>
      <c r="HN107" s="136"/>
      <c r="HO107" s="136"/>
      <c r="HP107" s="136"/>
      <c r="HQ107" s="136"/>
      <c r="HR107" s="136"/>
      <c r="HS107" s="136"/>
      <c r="HT107" s="136"/>
      <c r="HU107" s="136"/>
      <c r="HV107" s="136"/>
      <c r="HW107" s="136"/>
      <c r="HX107" s="136"/>
      <c r="HY107" s="136"/>
      <c r="HZ107" s="136"/>
      <c r="IA107" s="136"/>
      <c r="IB107" s="136"/>
      <c r="IC107" s="136"/>
      <c r="ID107" s="136"/>
      <c r="IE107" s="136"/>
      <c r="IF107" s="136"/>
      <c r="IG107" s="136"/>
      <c r="IH107" s="136"/>
      <c r="II107" s="136"/>
      <c r="IJ107" s="136"/>
      <c r="IK107" s="136"/>
      <c r="IL107" s="136"/>
      <c r="IM107" s="136"/>
      <c r="IN107" s="136"/>
      <c r="IO107" s="136"/>
      <c r="IP107" s="136"/>
      <c r="IQ107" s="136"/>
      <c r="IR107" s="136"/>
      <c r="IS107" s="136"/>
      <c r="IT107" s="136"/>
      <c r="IU107" s="136"/>
      <c r="IV107" s="136"/>
      <c r="IW107" s="136"/>
      <c r="IX107" s="136"/>
      <c r="IY107" s="136"/>
      <c r="IZ107" s="136"/>
      <c r="JA107" s="136"/>
      <c r="JB107" s="136"/>
      <c r="JC107" s="136"/>
      <c r="JD107" s="136"/>
      <c r="JE107" s="136"/>
      <c r="JF107" s="136"/>
      <c r="JG107" s="136"/>
      <c r="JH107" s="136"/>
      <c r="JI107" s="136"/>
      <c r="JJ107" s="136"/>
      <c r="JK107" s="136"/>
      <c r="JL107" s="136"/>
      <c r="JM107" s="136"/>
      <c r="JN107" s="136"/>
      <c r="JO107" s="136"/>
      <c r="JP107" s="136"/>
      <c r="JQ107" s="136"/>
      <c r="JR107" s="136"/>
      <c r="JS107" s="136"/>
      <c r="JT107" s="136"/>
      <c r="JU107" s="136"/>
      <c r="JV107" s="136"/>
      <c r="JW107" s="136"/>
      <c r="JX107" s="136"/>
      <c r="JY107" s="136"/>
      <c r="JZ107" s="136"/>
      <c r="KA107" s="136"/>
      <c r="KB107" s="136"/>
      <c r="KC107" s="136"/>
      <c r="KD107" s="136"/>
      <c r="KE107" s="136"/>
      <c r="KF107" s="136"/>
      <c r="KG107" s="136"/>
      <c r="KH107" s="136"/>
      <c r="KI107" s="136"/>
      <c r="KJ107" s="136"/>
      <c r="KK107" s="136"/>
      <c r="KL107" s="136"/>
      <c r="KM107" s="136"/>
      <c r="KN107" s="136"/>
      <c r="KO107" s="136"/>
      <c r="KP107" s="136"/>
      <c r="KQ107" s="136"/>
      <c r="KR107" s="136"/>
      <c r="KS107" s="136"/>
      <c r="KT107" s="136"/>
      <c r="KU107" s="136"/>
      <c r="KV107" s="136"/>
      <c r="KW107" s="136"/>
      <c r="KX107" s="136"/>
      <c r="KY107" s="136"/>
      <c r="KZ107" s="136"/>
      <c r="LA107" s="136"/>
      <c r="LB107" s="136"/>
      <c r="LC107" s="136"/>
      <c r="LD107" s="136"/>
      <c r="LE107" s="136"/>
      <c r="LF107" s="136"/>
      <c r="LG107" s="136"/>
      <c r="LH107" s="136"/>
      <c r="LI107" s="136"/>
      <c r="LJ107" s="136"/>
      <c r="LK107" s="136"/>
      <c r="LL107" s="136"/>
      <c r="LM107" s="136"/>
      <c r="LN107" s="136"/>
      <c r="LO107" s="136"/>
      <c r="LP107" s="136"/>
      <c r="LQ107" s="136"/>
      <c r="LR107" s="136"/>
      <c r="LS107" s="136"/>
      <c r="LT107" s="136"/>
      <c r="LU107" s="136"/>
      <c r="LV107" s="136"/>
      <c r="LW107" s="136"/>
      <c r="LX107" s="136"/>
      <c r="LY107" s="136"/>
      <c r="LZ107" s="136"/>
      <c r="MA107" s="136"/>
      <c r="MB107" s="136"/>
      <c r="MC107" s="136"/>
      <c r="MD107" s="136"/>
      <c r="ME107" s="136"/>
      <c r="MF107" s="136"/>
      <c r="MG107" s="136"/>
      <c r="MH107" s="136"/>
      <c r="MI107" s="136"/>
      <c r="MJ107" s="136"/>
      <c r="MK107" s="136"/>
      <c r="ML107" s="136"/>
      <c r="MM107" s="136"/>
      <c r="MN107" s="136"/>
      <c r="MO107" s="136"/>
      <c r="MP107" s="136"/>
      <c r="MQ107" s="136"/>
      <c r="MR107" s="136"/>
      <c r="MS107" s="136"/>
      <c r="MT107" s="136"/>
      <c r="MU107" s="136"/>
      <c r="MV107" s="136"/>
      <c r="MW107" s="136"/>
      <c r="MX107" s="136"/>
      <c r="MY107" s="136"/>
      <c r="MZ107" s="136"/>
      <c r="NA107" s="136"/>
      <c r="NB107" s="136"/>
      <c r="NC107" s="136"/>
      <c r="ND107" s="136"/>
      <c r="NE107" s="136"/>
      <c r="NF107" s="136"/>
      <c r="NG107" s="136"/>
      <c r="NH107" s="136"/>
      <c r="NI107" s="136"/>
      <c r="NJ107" s="136"/>
      <c r="NK107" s="136"/>
      <c r="NL107" s="136"/>
      <c r="NM107" s="136"/>
      <c r="NN107" s="136"/>
      <c r="NO107" s="136"/>
      <c r="NP107" s="136"/>
      <c r="NQ107" s="136"/>
      <c r="NR107" s="136"/>
      <c r="NS107" s="136"/>
      <c r="NT107" s="136"/>
      <c r="NU107" s="136"/>
      <c r="NV107" s="136"/>
      <c r="NW107" s="136"/>
      <c r="NX107" s="136"/>
      <c r="NY107" s="136"/>
      <c r="NZ107" s="136"/>
      <c r="OA107" s="136"/>
      <c r="OB107" s="136"/>
      <c r="OC107" s="136"/>
      <c r="OD107" s="136"/>
      <c r="OE107" s="136"/>
      <c r="OF107" s="136"/>
      <c r="OG107" s="136"/>
      <c r="OH107" s="136"/>
      <c r="OI107" s="136"/>
      <c r="OJ107" s="136"/>
      <c r="OK107" s="136"/>
      <c r="OL107" s="136"/>
      <c r="OM107" s="136"/>
      <c r="ON107" s="136"/>
      <c r="OO107" s="136"/>
      <c r="OP107" s="136"/>
      <c r="OQ107" s="136"/>
      <c r="OR107" s="136"/>
      <c r="OS107" s="136"/>
      <c r="OT107" s="136"/>
      <c r="OU107" s="136"/>
      <c r="OV107" s="136"/>
      <c r="OW107" s="136"/>
      <c r="OX107" s="136"/>
      <c r="OY107" s="136"/>
      <c r="OZ107" s="136"/>
      <c r="PA107" s="136"/>
      <c r="PB107" s="136"/>
      <c r="PC107" s="136"/>
      <c r="PD107" s="136"/>
      <c r="PE107" s="136"/>
      <c r="PF107" s="136"/>
      <c r="PG107" s="136"/>
      <c r="PH107" s="136"/>
      <c r="PI107" s="136"/>
      <c r="PJ107" s="136"/>
      <c r="PK107" s="136"/>
      <c r="PL107" s="136"/>
      <c r="PM107" s="136"/>
      <c r="PN107" s="136"/>
      <c r="PO107" s="136"/>
      <c r="PP107" s="136"/>
      <c r="PQ107" s="136"/>
      <c r="PR107" s="136"/>
      <c r="PS107" s="136"/>
      <c r="PT107" s="136"/>
      <c r="PU107" s="136"/>
      <c r="PV107" s="136"/>
      <c r="PW107" s="136"/>
      <c r="PX107" s="136"/>
      <c r="PY107" s="136"/>
      <c r="PZ107" s="136"/>
      <c r="QA107" s="136"/>
      <c r="QB107" s="136"/>
      <c r="QC107" s="136"/>
      <c r="QD107" s="136"/>
      <c r="QE107" s="136"/>
      <c r="QF107" s="136"/>
      <c r="QG107" s="136"/>
      <c r="QH107" s="136"/>
      <c r="QI107" s="136"/>
      <c r="QJ107" s="136"/>
      <c r="QK107" s="136"/>
      <c r="QL107" s="136"/>
      <c r="QM107" s="136"/>
      <c r="QN107" s="136"/>
      <c r="QO107" s="136"/>
      <c r="QP107" s="136"/>
      <c r="QQ107" s="136"/>
      <c r="QR107" s="136"/>
      <c r="QS107" s="136"/>
      <c r="QT107" s="136"/>
      <c r="QU107" s="136"/>
      <c r="QV107" s="136"/>
      <c r="QW107" s="136"/>
      <c r="QX107" s="136"/>
      <c r="QY107" s="136"/>
      <c r="QZ107" s="136"/>
      <c r="RA107" s="136"/>
      <c r="RB107" s="136"/>
      <c r="RC107" s="136"/>
      <c r="RD107" s="136"/>
      <c r="RE107" s="136"/>
      <c r="RF107" s="136"/>
      <c r="RG107" s="136"/>
      <c r="RH107" s="136"/>
      <c r="RI107" s="136"/>
      <c r="RJ107" s="136"/>
      <c r="RK107" s="136"/>
      <c r="RL107" s="136"/>
      <c r="RM107" s="136"/>
      <c r="RN107" s="136"/>
      <c r="RO107" s="136"/>
      <c r="RP107" s="136"/>
      <c r="RQ107" s="136"/>
      <c r="RR107" s="136"/>
      <c r="RS107" s="136"/>
      <c r="RT107" s="136"/>
      <c r="RU107" s="136"/>
      <c r="RV107" s="136"/>
      <c r="RW107" s="136"/>
      <c r="RX107" s="136"/>
      <c r="RY107" s="136"/>
      <c r="RZ107" s="136"/>
      <c r="SA107" s="136"/>
      <c r="SB107" s="136"/>
      <c r="SC107" s="136"/>
      <c r="SD107" s="136"/>
      <c r="SE107" s="136"/>
      <c r="SF107" s="136"/>
      <c r="SG107" s="136"/>
      <c r="SH107" s="136"/>
      <c r="SI107" s="136"/>
      <c r="SJ107" s="136"/>
      <c r="SK107" s="136"/>
      <c r="SL107" s="136"/>
      <c r="SM107" s="136"/>
      <c r="SN107" s="136"/>
      <c r="SO107" s="136"/>
      <c r="SP107" s="136"/>
      <c r="SQ107" s="136"/>
      <c r="SR107" s="136"/>
      <c r="SS107" s="136"/>
    </row>
    <row r="108" spans="14:513" s="135" customFormat="1" ht="14.5" x14ac:dyDescent="0.35"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/>
      <c r="AA108" s="134"/>
      <c r="AB108" s="134"/>
      <c r="AC108" s="134"/>
      <c r="AD108" s="134"/>
      <c r="AE108" s="134"/>
      <c r="AF108" s="134"/>
      <c r="DO108" s="136"/>
      <c r="DP108" s="136"/>
      <c r="DQ108" s="136"/>
      <c r="DR108" s="136"/>
      <c r="DS108" s="136"/>
      <c r="DT108" s="136"/>
      <c r="DU108" s="136"/>
      <c r="DV108" s="136"/>
      <c r="DW108" s="136"/>
      <c r="DX108" s="136"/>
      <c r="DY108" s="136"/>
      <c r="DZ108" s="136"/>
      <c r="EA108" s="136"/>
      <c r="EB108" s="136"/>
      <c r="EC108" s="136"/>
      <c r="ED108" s="136"/>
      <c r="EE108" s="136"/>
      <c r="EF108" s="136"/>
      <c r="EG108" s="136"/>
      <c r="EH108" s="136"/>
      <c r="EI108" s="136"/>
      <c r="EJ108" s="136"/>
      <c r="EK108" s="136"/>
      <c r="EL108" s="136"/>
      <c r="EM108" s="136"/>
      <c r="EN108" s="136"/>
      <c r="EO108" s="136"/>
      <c r="EP108" s="136"/>
      <c r="EQ108" s="136"/>
      <c r="ER108" s="136"/>
      <c r="ES108" s="136"/>
      <c r="ET108" s="136"/>
      <c r="EU108" s="136"/>
      <c r="EV108" s="136"/>
      <c r="EW108" s="136"/>
      <c r="EX108" s="136"/>
      <c r="EY108" s="136"/>
      <c r="EZ108" s="136"/>
      <c r="FA108" s="136"/>
      <c r="FB108" s="136"/>
      <c r="FC108" s="136"/>
      <c r="FD108" s="136"/>
      <c r="FE108" s="136"/>
      <c r="FF108" s="136"/>
      <c r="FG108" s="136"/>
      <c r="FH108" s="136"/>
      <c r="FI108" s="136"/>
      <c r="FJ108" s="136"/>
      <c r="FK108" s="136"/>
      <c r="FL108" s="136"/>
      <c r="FM108" s="136"/>
      <c r="FN108" s="136"/>
      <c r="FO108" s="136"/>
      <c r="FP108" s="136"/>
      <c r="FQ108" s="136"/>
      <c r="FR108" s="136"/>
      <c r="FS108" s="136"/>
      <c r="FT108" s="136"/>
      <c r="FU108" s="136"/>
      <c r="FV108" s="136"/>
      <c r="FW108" s="136"/>
      <c r="FX108" s="136"/>
      <c r="FY108" s="136"/>
      <c r="FZ108" s="136"/>
      <c r="GA108" s="136"/>
      <c r="GB108" s="136"/>
      <c r="GC108" s="136"/>
      <c r="GD108" s="136"/>
      <c r="GE108" s="136"/>
      <c r="GF108" s="136"/>
      <c r="GG108" s="136"/>
      <c r="GH108" s="136"/>
      <c r="GI108" s="136"/>
      <c r="GJ108" s="136"/>
      <c r="GK108" s="136"/>
      <c r="GL108" s="136"/>
      <c r="GM108" s="136"/>
      <c r="GN108" s="136"/>
      <c r="GO108" s="136"/>
      <c r="GP108" s="136"/>
      <c r="GQ108" s="136"/>
      <c r="GR108" s="136"/>
      <c r="GS108" s="136"/>
      <c r="GT108" s="136"/>
      <c r="GU108" s="136"/>
      <c r="GV108" s="136"/>
      <c r="GW108" s="136"/>
      <c r="GX108" s="136"/>
      <c r="GY108" s="136"/>
      <c r="GZ108" s="136"/>
      <c r="HA108" s="136"/>
      <c r="HB108" s="136"/>
      <c r="HC108" s="136"/>
      <c r="HD108" s="136"/>
      <c r="HE108" s="136"/>
      <c r="HF108" s="136"/>
      <c r="HG108" s="136"/>
      <c r="HH108" s="136"/>
      <c r="HI108" s="136"/>
      <c r="HJ108" s="136"/>
      <c r="HK108" s="136"/>
      <c r="HL108" s="136"/>
      <c r="HM108" s="136"/>
      <c r="HN108" s="136"/>
      <c r="HO108" s="136"/>
      <c r="HP108" s="136"/>
      <c r="HQ108" s="136"/>
      <c r="HR108" s="136"/>
      <c r="HS108" s="136"/>
      <c r="HT108" s="136"/>
      <c r="HU108" s="136"/>
      <c r="HV108" s="136"/>
      <c r="HW108" s="136"/>
      <c r="HX108" s="136"/>
      <c r="HY108" s="136"/>
      <c r="HZ108" s="136"/>
      <c r="IA108" s="136"/>
      <c r="IB108" s="136"/>
      <c r="IC108" s="136"/>
      <c r="ID108" s="136"/>
      <c r="IE108" s="136"/>
      <c r="IF108" s="136"/>
      <c r="IG108" s="136"/>
      <c r="IH108" s="136"/>
      <c r="II108" s="136"/>
      <c r="IJ108" s="136"/>
      <c r="IK108" s="136"/>
      <c r="IL108" s="136"/>
      <c r="IM108" s="136"/>
      <c r="IN108" s="136"/>
      <c r="IO108" s="136"/>
      <c r="IP108" s="136"/>
      <c r="IQ108" s="136"/>
      <c r="IR108" s="136"/>
      <c r="IS108" s="136"/>
      <c r="IT108" s="136"/>
      <c r="IU108" s="136"/>
      <c r="IV108" s="136"/>
      <c r="IW108" s="136"/>
      <c r="IX108" s="136"/>
      <c r="IY108" s="136"/>
      <c r="IZ108" s="136"/>
      <c r="JA108" s="136"/>
      <c r="JB108" s="136"/>
      <c r="JC108" s="136"/>
      <c r="JD108" s="136"/>
      <c r="JE108" s="136"/>
      <c r="JF108" s="136"/>
      <c r="JG108" s="136"/>
      <c r="JH108" s="136"/>
      <c r="JI108" s="136"/>
      <c r="JJ108" s="136"/>
      <c r="JK108" s="136"/>
      <c r="JL108" s="136"/>
      <c r="JM108" s="136"/>
      <c r="JN108" s="136"/>
      <c r="JO108" s="136"/>
      <c r="JP108" s="136"/>
      <c r="JQ108" s="136"/>
      <c r="JR108" s="136"/>
      <c r="JS108" s="136"/>
      <c r="JT108" s="136"/>
      <c r="JU108" s="136"/>
      <c r="JV108" s="136"/>
      <c r="JW108" s="136"/>
      <c r="JX108" s="136"/>
      <c r="JY108" s="136"/>
      <c r="JZ108" s="136"/>
      <c r="KA108" s="136"/>
      <c r="KB108" s="136"/>
      <c r="KC108" s="136"/>
      <c r="KD108" s="136"/>
      <c r="KE108" s="136"/>
      <c r="KF108" s="136"/>
      <c r="KG108" s="136"/>
      <c r="KH108" s="136"/>
      <c r="KI108" s="136"/>
      <c r="KJ108" s="136"/>
      <c r="KK108" s="136"/>
      <c r="KL108" s="136"/>
      <c r="KM108" s="136"/>
      <c r="KN108" s="136"/>
      <c r="KO108" s="136"/>
      <c r="KP108" s="136"/>
      <c r="KQ108" s="136"/>
      <c r="KR108" s="136"/>
      <c r="KS108" s="136"/>
      <c r="KT108" s="136"/>
      <c r="KU108" s="136"/>
      <c r="KV108" s="136"/>
      <c r="KW108" s="136"/>
      <c r="KX108" s="136"/>
      <c r="KY108" s="136"/>
      <c r="KZ108" s="136"/>
      <c r="LA108" s="136"/>
      <c r="LB108" s="136"/>
      <c r="LC108" s="136"/>
      <c r="LD108" s="136"/>
      <c r="LE108" s="136"/>
      <c r="LF108" s="136"/>
      <c r="LG108" s="136"/>
      <c r="LH108" s="136"/>
      <c r="LI108" s="136"/>
      <c r="LJ108" s="136"/>
      <c r="LK108" s="136"/>
      <c r="LL108" s="136"/>
      <c r="LM108" s="136"/>
      <c r="LN108" s="136"/>
      <c r="LO108" s="136"/>
      <c r="LP108" s="136"/>
      <c r="LQ108" s="136"/>
      <c r="LR108" s="136"/>
      <c r="LS108" s="136"/>
      <c r="LT108" s="136"/>
      <c r="LU108" s="136"/>
      <c r="LV108" s="136"/>
      <c r="LW108" s="136"/>
      <c r="LX108" s="136"/>
      <c r="LY108" s="136"/>
      <c r="LZ108" s="136"/>
      <c r="MA108" s="136"/>
      <c r="MB108" s="136"/>
      <c r="MC108" s="136"/>
      <c r="MD108" s="136"/>
      <c r="ME108" s="136"/>
      <c r="MF108" s="136"/>
      <c r="MG108" s="136"/>
      <c r="MH108" s="136"/>
      <c r="MI108" s="136"/>
      <c r="MJ108" s="136"/>
      <c r="MK108" s="136"/>
      <c r="ML108" s="136"/>
      <c r="MM108" s="136"/>
      <c r="MN108" s="136"/>
      <c r="MO108" s="136"/>
      <c r="MP108" s="136"/>
      <c r="MQ108" s="136"/>
      <c r="MR108" s="136"/>
      <c r="MS108" s="136"/>
      <c r="MT108" s="136"/>
      <c r="MU108" s="136"/>
      <c r="MV108" s="136"/>
      <c r="MW108" s="136"/>
      <c r="MX108" s="136"/>
      <c r="MY108" s="136"/>
      <c r="MZ108" s="136"/>
      <c r="NA108" s="136"/>
      <c r="NB108" s="136"/>
      <c r="NC108" s="136"/>
      <c r="ND108" s="136"/>
      <c r="NE108" s="136"/>
      <c r="NF108" s="136"/>
      <c r="NG108" s="136"/>
      <c r="NH108" s="136"/>
      <c r="NI108" s="136"/>
      <c r="NJ108" s="136"/>
      <c r="NK108" s="136"/>
      <c r="NL108" s="136"/>
      <c r="NM108" s="136"/>
      <c r="NN108" s="136"/>
      <c r="NO108" s="136"/>
      <c r="NP108" s="136"/>
      <c r="NQ108" s="136"/>
      <c r="NR108" s="136"/>
      <c r="NS108" s="136"/>
      <c r="NT108" s="136"/>
      <c r="NU108" s="136"/>
      <c r="NV108" s="136"/>
      <c r="NW108" s="136"/>
      <c r="NX108" s="136"/>
      <c r="NY108" s="136"/>
      <c r="NZ108" s="136"/>
      <c r="OA108" s="136"/>
      <c r="OB108" s="136"/>
      <c r="OC108" s="136"/>
      <c r="OD108" s="136"/>
      <c r="OE108" s="136"/>
      <c r="OF108" s="136"/>
      <c r="OG108" s="136"/>
      <c r="OH108" s="136"/>
      <c r="OI108" s="136"/>
      <c r="OJ108" s="136"/>
      <c r="OK108" s="136"/>
      <c r="OL108" s="136"/>
      <c r="OM108" s="136"/>
      <c r="ON108" s="136"/>
      <c r="OO108" s="136"/>
      <c r="OP108" s="136"/>
      <c r="OQ108" s="136"/>
      <c r="OR108" s="136"/>
      <c r="OS108" s="136"/>
      <c r="OT108" s="136"/>
      <c r="OU108" s="136"/>
      <c r="OV108" s="136"/>
      <c r="OW108" s="136"/>
      <c r="OX108" s="136"/>
      <c r="OY108" s="136"/>
      <c r="OZ108" s="136"/>
      <c r="PA108" s="136"/>
      <c r="PB108" s="136"/>
      <c r="PC108" s="136"/>
      <c r="PD108" s="136"/>
      <c r="PE108" s="136"/>
      <c r="PF108" s="136"/>
      <c r="PG108" s="136"/>
      <c r="PH108" s="136"/>
      <c r="PI108" s="136"/>
      <c r="PJ108" s="136"/>
      <c r="PK108" s="136"/>
      <c r="PL108" s="136"/>
      <c r="PM108" s="136"/>
      <c r="PN108" s="136"/>
      <c r="PO108" s="136"/>
      <c r="PP108" s="136"/>
      <c r="PQ108" s="136"/>
      <c r="PR108" s="136"/>
      <c r="PS108" s="136"/>
      <c r="PT108" s="136"/>
      <c r="PU108" s="136"/>
      <c r="PV108" s="136"/>
      <c r="PW108" s="136"/>
      <c r="PX108" s="136"/>
      <c r="PY108" s="136"/>
      <c r="PZ108" s="136"/>
      <c r="QA108" s="136"/>
      <c r="QB108" s="136"/>
      <c r="QC108" s="136"/>
      <c r="QD108" s="136"/>
      <c r="QE108" s="136"/>
      <c r="QF108" s="136"/>
      <c r="QG108" s="136"/>
      <c r="QH108" s="136"/>
      <c r="QI108" s="136"/>
      <c r="QJ108" s="136"/>
      <c r="QK108" s="136"/>
      <c r="QL108" s="136"/>
      <c r="QM108" s="136"/>
      <c r="QN108" s="136"/>
      <c r="QO108" s="136"/>
      <c r="QP108" s="136"/>
      <c r="QQ108" s="136"/>
      <c r="QR108" s="136"/>
      <c r="QS108" s="136"/>
      <c r="QT108" s="136"/>
      <c r="QU108" s="136"/>
      <c r="QV108" s="136"/>
      <c r="QW108" s="136"/>
      <c r="QX108" s="136"/>
      <c r="QY108" s="136"/>
      <c r="QZ108" s="136"/>
      <c r="RA108" s="136"/>
      <c r="RB108" s="136"/>
      <c r="RC108" s="136"/>
      <c r="RD108" s="136"/>
      <c r="RE108" s="136"/>
      <c r="RF108" s="136"/>
      <c r="RG108" s="136"/>
      <c r="RH108" s="136"/>
      <c r="RI108" s="136"/>
      <c r="RJ108" s="136"/>
      <c r="RK108" s="136"/>
      <c r="RL108" s="136"/>
      <c r="RM108" s="136"/>
      <c r="RN108" s="136"/>
      <c r="RO108" s="136"/>
      <c r="RP108" s="136"/>
      <c r="RQ108" s="136"/>
      <c r="RR108" s="136"/>
      <c r="RS108" s="136"/>
      <c r="RT108" s="136"/>
      <c r="RU108" s="136"/>
      <c r="RV108" s="136"/>
      <c r="RW108" s="136"/>
      <c r="RX108" s="136"/>
      <c r="RY108" s="136"/>
      <c r="RZ108" s="136"/>
      <c r="SA108" s="136"/>
      <c r="SB108" s="136"/>
      <c r="SC108" s="136"/>
      <c r="SD108" s="136"/>
      <c r="SE108" s="136"/>
      <c r="SF108" s="136"/>
      <c r="SG108" s="136"/>
      <c r="SH108" s="136"/>
      <c r="SI108" s="136"/>
      <c r="SJ108" s="136"/>
      <c r="SK108" s="136"/>
      <c r="SL108" s="136"/>
      <c r="SM108" s="136"/>
      <c r="SN108" s="136"/>
      <c r="SO108" s="136"/>
      <c r="SP108" s="136"/>
      <c r="SQ108" s="136"/>
      <c r="SR108" s="136"/>
      <c r="SS108" s="136"/>
    </row>
    <row r="109" spans="14:513" s="135" customFormat="1" ht="14.5" x14ac:dyDescent="0.35"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  <c r="Y109" s="134"/>
      <c r="Z109" s="134"/>
      <c r="AA109" s="134"/>
      <c r="AB109" s="134"/>
      <c r="AC109" s="134"/>
      <c r="AD109" s="134"/>
      <c r="AE109" s="134"/>
      <c r="AF109" s="134"/>
      <c r="DO109" s="136"/>
      <c r="DP109" s="136"/>
      <c r="DQ109" s="136"/>
      <c r="DR109" s="136"/>
      <c r="DS109" s="136"/>
      <c r="DT109" s="136"/>
      <c r="DU109" s="136"/>
      <c r="DV109" s="136"/>
      <c r="DW109" s="136"/>
      <c r="DX109" s="136"/>
      <c r="DY109" s="136"/>
      <c r="DZ109" s="136"/>
      <c r="EA109" s="136"/>
      <c r="EB109" s="136"/>
      <c r="EC109" s="136"/>
      <c r="ED109" s="136"/>
      <c r="EE109" s="136"/>
      <c r="EF109" s="136"/>
      <c r="EG109" s="136"/>
      <c r="EH109" s="136"/>
      <c r="EI109" s="136"/>
      <c r="EJ109" s="136"/>
      <c r="EK109" s="136"/>
      <c r="EL109" s="136"/>
      <c r="EM109" s="136"/>
      <c r="EN109" s="136"/>
      <c r="EO109" s="136"/>
      <c r="EP109" s="136"/>
      <c r="EQ109" s="136"/>
      <c r="ER109" s="136"/>
      <c r="ES109" s="136"/>
      <c r="ET109" s="136"/>
      <c r="EU109" s="136"/>
      <c r="EV109" s="136"/>
      <c r="EW109" s="136"/>
      <c r="EX109" s="136"/>
      <c r="EY109" s="136"/>
      <c r="EZ109" s="136"/>
      <c r="FA109" s="136"/>
      <c r="FB109" s="136"/>
      <c r="FC109" s="136"/>
      <c r="FD109" s="136"/>
      <c r="FE109" s="136"/>
      <c r="FF109" s="136"/>
      <c r="FG109" s="136"/>
      <c r="FH109" s="136"/>
      <c r="FI109" s="136"/>
      <c r="FJ109" s="136"/>
      <c r="FK109" s="136"/>
      <c r="FL109" s="136"/>
      <c r="FM109" s="136"/>
      <c r="FN109" s="136"/>
      <c r="FO109" s="136"/>
      <c r="FP109" s="136"/>
      <c r="FQ109" s="136"/>
      <c r="FR109" s="136"/>
      <c r="FS109" s="136"/>
      <c r="FT109" s="136"/>
      <c r="FU109" s="136"/>
      <c r="FV109" s="136"/>
      <c r="FW109" s="136"/>
      <c r="FX109" s="136"/>
      <c r="FY109" s="136"/>
      <c r="FZ109" s="136"/>
      <c r="GA109" s="136"/>
      <c r="GB109" s="136"/>
      <c r="GC109" s="136"/>
      <c r="GD109" s="136"/>
      <c r="GE109" s="136"/>
      <c r="GF109" s="136"/>
      <c r="GG109" s="136"/>
      <c r="GH109" s="136"/>
      <c r="GI109" s="136"/>
      <c r="GJ109" s="136"/>
      <c r="GK109" s="136"/>
      <c r="GL109" s="136"/>
      <c r="GM109" s="136"/>
      <c r="GN109" s="136"/>
      <c r="GO109" s="136"/>
      <c r="GP109" s="136"/>
      <c r="GQ109" s="136"/>
      <c r="GR109" s="136"/>
      <c r="GS109" s="136"/>
      <c r="GT109" s="136"/>
      <c r="GU109" s="136"/>
      <c r="GV109" s="136"/>
      <c r="GW109" s="136"/>
      <c r="GX109" s="136"/>
      <c r="GY109" s="136"/>
      <c r="GZ109" s="136"/>
      <c r="HA109" s="136"/>
      <c r="HB109" s="136"/>
      <c r="HC109" s="136"/>
      <c r="HD109" s="136"/>
      <c r="HE109" s="136"/>
      <c r="HF109" s="136"/>
      <c r="HG109" s="136"/>
      <c r="HH109" s="136"/>
      <c r="HI109" s="136"/>
      <c r="HJ109" s="136"/>
      <c r="HK109" s="136"/>
      <c r="HL109" s="136"/>
      <c r="HM109" s="136"/>
      <c r="HN109" s="136"/>
      <c r="HO109" s="136"/>
      <c r="HP109" s="136"/>
      <c r="HQ109" s="136"/>
      <c r="HR109" s="136"/>
      <c r="HS109" s="136"/>
      <c r="HT109" s="136"/>
      <c r="HU109" s="136"/>
      <c r="HV109" s="136"/>
      <c r="HW109" s="136"/>
      <c r="HX109" s="136"/>
      <c r="HY109" s="136"/>
      <c r="HZ109" s="136"/>
      <c r="IA109" s="136"/>
      <c r="IB109" s="136"/>
      <c r="IC109" s="136"/>
      <c r="ID109" s="136"/>
      <c r="IE109" s="136"/>
      <c r="IF109" s="136"/>
      <c r="IG109" s="136"/>
      <c r="IH109" s="136"/>
      <c r="II109" s="136"/>
      <c r="IJ109" s="136"/>
      <c r="IK109" s="136"/>
      <c r="IL109" s="136"/>
      <c r="IM109" s="136"/>
      <c r="IN109" s="136"/>
      <c r="IO109" s="136"/>
      <c r="IP109" s="136"/>
      <c r="IQ109" s="136"/>
      <c r="IR109" s="136"/>
      <c r="IS109" s="136"/>
      <c r="IT109" s="136"/>
      <c r="IU109" s="136"/>
      <c r="IV109" s="136"/>
      <c r="IW109" s="136"/>
      <c r="IX109" s="136"/>
      <c r="IY109" s="136"/>
      <c r="IZ109" s="136"/>
      <c r="JA109" s="136"/>
      <c r="JB109" s="136"/>
      <c r="JC109" s="136"/>
      <c r="JD109" s="136"/>
      <c r="JE109" s="136"/>
      <c r="JF109" s="136"/>
      <c r="JG109" s="136"/>
      <c r="JH109" s="136"/>
      <c r="JI109" s="136"/>
      <c r="JJ109" s="136"/>
      <c r="JK109" s="136"/>
      <c r="JL109" s="136"/>
      <c r="JM109" s="136"/>
      <c r="JN109" s="136"/>
      <c r="JO109" s="136"/>
      <c r="JP109" s="136"/>
      <c r="JQ109" s="136"/>
      <c r="JR109" s="136"/>
      <c r="JS109" s="136"/>
      <c r="JT109" s="136"/>
      <c r="JU109" s="136"/>
      <c r="JV109" s="136"/>
      <c r="JW109" s="136"/>
      <c r="JX109" s="136"/>
      <c r="JY109" s="136"/>
      <c r="JZ109" s="136"/>
      <c r="KA109" s="136"/>
      <c r="KB109" s="136"/>
      <c r="KC109" s="136"/>
      <c r="KD109" s="136"/>
      <c r="KE109" s="136"/>
      <c r="KF109" s="136"/>
      <c r="KG109" s="136"/>
      <c r="KH109" s="136"/>
      <c r="KI109" s="136"/>
      <c r="KJ109" s="136"/>
      <c r="KK109" s="136"/>
      <c r="KL109" s="136"/>
      <c r="KM109" s="136"/>
      <c r="KN109" s="136"/>
      <c r="KO109" s="136"/>
      <c r="KP109" s="136"/>
      <c r="KQ109" s="136"/>
      <c r="KR109" s="136"/>
      <c r="KS109" s="136"/>
      <c r="KT109" s="136"/>
      <c r="KU109" s="136"/>
      <c r="KV109" s="136"/>
      <c r="KW109" s="136"/>
      <c r="KX109" s="136"/>
      <c r="KY109" s="136"/>
      <c r="KZ109" s="136"/>
      <c r="LA109" s="136"/>
      <c r="LB109" s="136"/>
      <c r="LC109" s="136"/>
      <c r="LD109" s="136"/>
      <c r="LE109" s="136"/>
      <c r="LF109" s="136"/>
      <c r="LG109" s="136"/>
      <c r="LH109" s="136"/>
      <c r="LI109" s="136"/>
      <c r="LJ109" s="136"/>
      <c r="LK109" s="136"/>
      <c r="LL109" s="136"/>
      <c r="LM109" s="136"/>
      <c r="LN109" s="136"/>
      <c r="LO109" s="136"/>
      <c r="LP109" s="136"/>
      <c r="LQ109" s="136"/>
      <c r="LR109" s="136"/>
      <c r="LS109" s="136"/>
      <c r="LT109" s="136"/>
      <c r="LU109" s="136"/>
      <c r="LV109" s="136"/>
      <c r="LW109" s="136"/>
      <c r="LX109" s="136"/>
      <c r="LY109" s="136"/>
      <c r="LZ109" s="136"/>
      <c r="MA109" s="136"/>
      <c r="MB109" s="136"/>
      <c r="MC109" s="136"/>
      <c r="MD109" s="136"/>
      <c r="ME109" s="136"/>
      <c r="MF109" s="136"/>
      <c r="MG109" s="136"/>
      <c r="MH109" s="136"/>
      <c r="MI109" s="136"/>
      <c r="MJ109" s="136"/>
      <c r="MK109" s="136"/>
      <c r="ML109" s="136"/>
      <c r="MM109" s="136"/>
      <c r="MN109" s="136"/>
      <c r="MO109" s="136"/>
      <c r="MP109" s="136"/>
      <c r="MQ109" s="136"/>
      <c r="MR109" s="136"/>
      <c r="MS109" s="136"/>
      <c r="MT109" s="136"/>
      <c r="MU109" s="136"/>
      <c r="MV109" s="136"/>
      <c r="MW109" s="136"/>
      <c r="MX109" s="136"/>
      <c r="MY109" s="136"/>
      <c r="MZ109" s="136"/>
      <c r="NA109" s="136"/>
      <c r="NB109" s="136"/>
      <c r="NC109" s="136"/>
      <c r="ND109" s="136"/>
      <c r="NE109" s="136"/>
      <c r="NF109" s="136"/>
      <c r="NG109" s="136"/>
      <c r="NH109" s="136"/>
      <c r="NI109" s="136"/>
      <c r="NJ109" s="136"/>
      <c r="NK109" s="136"/>
      <c r="NL109" s="136"/>
      <c r="NM109" s="136"/>
      <c r="NN109" s="136"/>
      <c r="NO109" s="136"/>
      <c r="NP109" s="136"/>
      <c r="NQ109" s="136"/>
      <c r="NR109" s="136"/>
      <c r="NS109" s="136"/>
      <c r="NT109" s="136"/>
      <c r="NU109" s="136"/>
      <c r="NV109" s="136"/>
      <c r="NW109" s="136"/>
      <c r="NX109" s="136"/>
      <c r="NY109" s="136"/>
      <c r="NZ109" s="136"/>
      <c r="OA109" s="136"/>
      <c r="OB109" s="136"/>
      <c r="OC109" s="136"/>
      <c r="OD109" s="136"/>
      <c r="OE109" s="136"/>
      <c r="OF109" s="136"/>
      <c r="OG109" s="136"/>
      <c r="OH109" s="136"/>
      <c r="OI109" s="136"/>
      <c r="OJ109" s="136"/>
      <c r="OK109" s="136"/>
      <c r="OL109" s="136"/>
      <c r="OM109" s="136"/>
      <c r="ON109" s="136"/>
      <c r="OO109" s="136"/>
      <c r="OP109" s="136"/>
      <c r="OQ109" s="136"/>
      <c r="OR109" s="136"/>
      <c r="OS109" s="136"/>
      <c r="OT109" s="136"/>
      <c r="OU109" s="136"/>
      <c r="OV109" s="136"/>
      <c r="OW109" s="136"/>
      <c r="OX109" s="136"/>
      <c r="OY109" s="136"/>
      <c r="OZ109" s="136"/>
      <c r="PA109" s="136"/>
      <c r="PB109" s="136"/>
      <c r="PC109" s="136"/>
      <c r="PD109" s="136"/>
      <c r="PE109" s="136"/>
      <c r="PF109" s="136"/>
      <c r="PG109" s="136"/>
      <c r="PH109" s="136"/>
      <c r="PI109" s="136"/>
      <c r="PJ109" s="136"/>
      <c r="PK109" s="136"/>
      <c r="PL109" s="136"/>
      <c r="PM109" s="136"/>
      <c r="PN109" s="136"/>
      <c r="PO109" s="136"/>
      <c r="PP109" s="136"/>
      <c r="PQ109" s="136"/>
      <c r="PR109" s="136"/>
      <c r="PS109" s="136"/>
      <c r="PT109" s="136"/>
      <c r="PU109" s="136"/>
      <c r="PV109" s="136"/>
      <c r="PW109" s="136"/>
      <c r="PX109" s="136"/>
      <c r="PY109" s="136"/>
      <c r="PZ109" s="136"/>
      <c r="QA109" s="136"/>
      <c r="QB109" s="136"/>
      <c r="QC109" s="136"/>
      <c r="QD109" s="136"/>
      <c r="QE109" s="136"/>
      <c r="QF109" s="136"/>
      <c r="QG109" s="136"/>
      <c r="QH109" s="136"/>
      <c r="QI109" s="136"/>
      <c r="QJ109" s="136"/>
      <c r="QK109" s="136"/>
      <c r="QL109" s="136"/>
      <c r="QM109" s="136"/>
      <c r="QN109" s="136"/>
      <c r="QO109" s="136"/>
      <c r="QP109" s="136"/>
      <c r="QQ109" s="136"/>
      <c r="QR109" s="136"/>
      <c r="QS109" s="136"/>
      <c r="QT109" s="136"/>
      <c r="QU109" s="136"/>
      <c r="QV109" s="136"/>
      <c r="QW109" s="136"/>
      <c r="QX109" s="136"/>
      <c r="QY109" s="136"/>
      <c r="QZ109" s="136"/>
      <c r="RA109" s="136"/>
      <c r="RB109" s="136"/>
      <c r="RC109" s="136"/>
      <c r="RD109" s="136"/>
      <c r="RE109" s="136"/>
      <c r="RF109" s="136"/>
      <c r="RG109" s="136"/>
      <c r="RH109" s="136"/>
      <c r="RI109" s="136"/>
      <c r="RJ109" s="136"/>
      <c r="RK109" s="136"/>
      <c r="RL109" s="136"/>
      <c r="RM109" s="136"/>
      <c r="RN109" s="136"/>
      <c r="RO109" s="136"/>
      <c r="RP109" s="136"/>
      <c r="RQ109" s="136"/>
      <c r="RR109" s="136"/>
      <c r="RS109" s="136"/>
      <c r="RT109" s="136"/>
      <c r="RU109" s="136"/>
      <c r="RV109" s="136"/>
      <c r="RW109" s="136"/>
      <c r="RX109" s="136"/>
      <c r="RY109" s="136"/>
      <c r="RZ109" s="136"/>
      <c r="SA109" s="136"/>
      <c r="SB109" s="136"/>
      <c r="SC109" s="136"/>
      <c r="SD109" s="136"/>
      <c r="SE109" s="136"/>
      <c r="SF109" s="136"/>
      <c r="SG109" s="136"/>
      <c r="SH109" s="136"/>
      <c r="SI109" s="136"/>
      <c r="SJ109" s="136"/>
      <c r="SK109" s="136"/>
      <c r="SL109" s="136"/>
      <c r="SM109" s="136"/>
      <c r="SN109" s="136"/>
      <c r="SO109" s="136"/>
      <c r="SP109" s="136"/>
      <c r="SQ109" s="136"/>
      <c r="SR109" s="136"/>
      <c r="SS109" s="136"/>
    </row>
    <row r="110" spans="14:513" s="135" customFormat="1" ht="14.5" x14ac:dyDescent="0.35"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/>
      <c r="AA110" s="134"/>
      <c r="AB110" s="134"/>
      <c r="AC110" s="134"/>
      <c r="AD110" s="134"/>
      <c r="AE110" s="134"/>
      <c r="AF110" s="134"/>
      <c r="DO110" s="136"/>
      <c r="DP110" s="136"/>
      <c r="DQ110" s="136"/>
      <c r="DR110" s="136"/>
      <c r="DS110" s="136"/>
      <c r="DT110" s="136"/>
      <c r="DU110" s="136"/>
      <c r="DV110" s="136"/>
      <c r="DW110" s="136"/>
      <c r="DX110" s="136"/>
      <c r="DY110" s="136"/>
      <c r="DZ110" s="136"/>
      <c r="EA110" s="136"/>
      <c r="EB110" s="136"/>
      <c r="EC110" s="136"/>
      <c r="ED110" s="136"/>
      <c r="EE110" s="136"/>
      <c r="EF110" s="136"/>
      <c r="EG110" s="136"/>
      <c r="EH110" s="136"/>
      <c r="EI110" s="136"/>
      <c r="EJ110" s="136"/>
      <c r="EK110" s="136"/>
      <c r="EL110" s="136"/>
      <c r="EM110" s="136"/>
      <c r="EN110" s="136"/>
      <c r="EO110" s="136"/>
      <c r="EP110" s="136"/>
      <c r="EQ110" s="136"/>
      <c r="ER110" s="136"/>
      <c r="ES110" s="136"/>
      <c r="ET110" s="136"/>
      <c r="EU110" s="136"/>
      <c r="EV110" s="136"/>
      <c r="EW110" s="136"/>
      <c r="EX110" s="136"/>
      <c r="EY110" s="136"/>
      <c r="EZ110" s="136"/>
      <c r="FA110" s="136"/>
      <c r="FB110" s="136"/>
      <c r="FC110" s="136"/>
      <c r="FD110" s="136"/>
      <c r="FE110" s="136"/>
      <c r="FF110" s="136"/>
      <c r="FG110" s="136"/>
      <c r="FH110" s="136"/>
      <c r="FI110" s="136"/>
      <c r="FJ110" s="136"/>
      <c r="FK110" s="136"/>
      <c r="FL110" s="136"/>
      <c r="FM110" s="136"/>
      <c r="FN110" s="136"/>
      <c r="FO110" s="136"/>
      <c r="FP110" s="136"/>
      <c r="FQ110" s="136"/>
      <c r="FR110" s="136"/>
      <c r="FS110" s="136"/>
      <c r="FT110" s="136"/>
      <c r="FU110" s="136"/>
      <c r="FV110" s="136"/>
      <c r="FW110" s="136"/>
      <c r="FX110" s="136"/>
      <c r="FY110" s="136"/>
      <c r="FZ110" s="136"/>
      <c r="GA110" s="136"/>
      <c r="GB110" s="136"/>
      <c r="GC110" s="136"/>
      <c r="GD110" s="136"/>
      <c r="GE110" s="136"/>
      <c r="GF110" s="136"/>
      <c r="GG110" s="136"/>
      <c r="GH110" s="136"/>
      <c r="GI110" s="136"/>
      <c r="GJ110" s="136"/>
      <c r="GK110" s="136"/>
      <c r="GL110" s="136"/>
      <c r="GM110" s="136"/>
      <c r="GN110" s="136"/>
      <c r="GO110" s="136"/>
      <c r="GP110" s="136"/>
      <c r="GQ110" s="136"/>
      <c r="GR110" s="136"/>
      <c r="GS110" s="136"/>
      <c r="GT110" s="136"/>
      <c r="GU110" s="136"/>
      <c r="GV110" s="136"/>
      <c r="GW110" s="136"/>
      <c r="GX110" s="136"/>
      <c r="GY110" s="136"/>
      <c r="GZ110" s="136"/>
      <c r="HA110" s="136"/>
      <c r="HB110" s="136"/>
      <c r="HC110" s="136"/>
      <c r="HD110" s="136"/>
      <c r="HE110" s="136"/>
      <c r="HF110" s="136"/>
      <c r="HG110" s="136"/>
      <c r="HH110" s="136"/>
      <c r="HI110" s="136"/>
      <c r="HJ110" s="136"/>
      <c r="HK110" s="136"/>
      <c r="HL110" s="136"/>
      <c r="HM110" s="136"/>
      <c r="HN110" s="136"/>
      <c r="HO110" s="136"/>
      <c r="HP110" s="136"/>
      <c r="HQ110" s="136"/>
      <c r="HR110" s="136"/>
      <c r="HS110" s="136"/>
      <c r="HT110" s="136"/>
      <c r="HU110" s="136"/>
      <c r="HV110" s="136"/>
      <c r="HW110" s="136"/>
      <c r="HX110" s="136"/>
      <c r="HY110" s="136"/>
      <c r="HZ110" s="136"/>
      <c r="IA110" s="136"/>
      <c r="IB110" s="136"/>
      <c r="IC110" s="136"/>
      <c r="ID110" s="136"/>
      <c r="IE110" s="136"/>
      <c r="IF110" s="136"/>
      <c r="IG110" s="136"/>
      <c r="IH110" s="136"/>
      <c r="II110" s="136"/>
      <c r="IJ110" s="136"/>
      <c r="IK110" s="136"/>
      <c r="IL110" s="136"/>
      <c r="IM110" s="136"/>
      <c r="IN110" s="136"/>
      <c r="IO110" s="136"/>
      <c r="IP110" s="136"/>
      <c r="IQ110" s="136"/>
      <c r="IR110" s="136"/>
      <c r="IS110" s="136"/>
      <c r="IT110" s="136"/>
      <c r="IU110" s="136"/>
      <c r="IV110" s="136"/>
      <c r="IW110" s="136"/>
      <c r="IX110" s="136"/>
      <c r="IY110" s="136"/>
      <c r="IZ110" s="136"/>
      <c r="JA110" s="136"/>
      <c r="JB110" s="136"/>
      <c r="JC110" s="136"/>
      <c r="JD110" s="136"/>
      <c r="JE110" s="136"/>
      <c r="JF110" s="136"/>
      <c r="JG110" s="136"/>
      <c r="JH110" s="136"/>
      <c r="JI110" s="136"/>
      <c r="JJ110" s="136"/>
      <c r="JK110" s="136"/>
      <c r="JL110" s="136"/>
      <c r="JM110" s="136"/>
      <c r="JN110" s="136"/>
      <c r="JO110" s="136"/>
      <c r="JP110" s="136"/>
      <c r="JQ110" s="136"/>
      <c r="JR110" s="136"/>
      <c r="JS110" s="136"/>
      <c r="JT110" s="136"/>
      <c r="JU110" s="136"/>
      <c r="JV110" s="136"/>
      <c r="JW110" s="136"/>
      <c r="JX110" s="136"/>
      <c r="JY110" s="136"/>
      <c r="JZ110" s="136"/>
      <c r="KA110" s="136"/>
      <c r="KB110" s="136"/>
      <c r="KC110" s="136"/>
      <c r="KD110" s="136"/>
      <c r="KE110" s="136"/>
      <c r="KF110" s="136"/>
      <c r="KG110" s="136"/>
      <c r="KH110" s="136"/>
      <c r="KI110" s="136"/>
      <c r="KJ110" s="136"/>
      <c r="KK110" s="136"/>
      <c r="KL110" s="136"/>
      <c r="KM110" s="136"/>
      <c r="KN110" s="136"/>
      <c r="KO110" s="136"/>
      <c r="KP110" s="136"/>
      <c r="KQ110" s="136"/>
      <c r="KR110" s="136"/>
      <c r="KS110" s="136"/>
      <c r="KT110" s="136"/>
      <c r="KU110" s="136"/>
      <c r="KV110" s="136"/>
      <c r="KW110" s="136"/>
      <c r="KX110" s="136"/>
      <c r="KY110" s="136"/>
      <c r="KZ110" s="136"/>
      <c r="LA110" s="136"/>
      <c r="LB110" s="136"/>
      <c r="LC110" s="136"/>
      <c r="LD110" s="136"/>
      <c r="LE110" s="136"/>
      <c r="LF110" s="136"/>
      <c r="LG110" s="136"/>
      <c r="LH110" s="136"/>
      <c r="LI110" s="136"/>
      <c r="LJ110" s="136"/>
      <c r="LK110" s="136"/>
      <c r="LL110" s="136"/>
      <c r="LM110" s="136"/>
      <c r="LN110" s="136"/>
      <c r="LO110" s="136"/>
      <c r="LP110" s="136"/>
      <c r="LQ110" s="136"/>
      <c r="LR110" s="136"/>
      <c r="LS110" s="136"/>
      <c r="LT110" s="136"/>
      <c r="LU110" s="136"/>
      <c r="LV110" s="136"/>
      <c r="LW110" s="136"/>
      <c r="LX110" s="136"/>
      <c r="LY110" s="136"/>
      <c r="LZ110" s="136"/>
      <c r="MA110" s="136"/>
      <c r="MB110" s="136"/>
      <c r="MC110" s="136"/>
      <c r="MD110" s="136"/>
      <c r="ME110" s="136"/>
      <c r="MF110" s="136"/>
      <c r="MG110" s="136"/>
      <c r="MH110" s="136"/>
      <c r="MI110" s="136"/>
      <c r="MJ110" s="136"/>
      <c r="MK110" s="136"/>
      <c r="ML110" s="136"/>
      <c r="MM110" s="136"/>
      <c r="MN110" s="136"/>
      <c r="MO110" s="136"/>
      <c r="MP110" s="136"/>
      <c r="MQ110" s="136"/>
      <c r="MR110" s="136"/>
      <c r="MS110" s="136"/>
      <c r="MT110" s="136"/>
      <c r="MU110" s="136"/>
      <c r="MV110" s="136"/>
      <c r="MW110" s="136"/>
      <c r="MX110" s="136"/>
      <c r="MY110" s="136"/>
      <c r="MZ110" s="136"/>
      <c r="NA110" s="136"/>
      <c r="NB110" s="136"/>
      <c r="NC110" s="136"/>
      <c r="ND110" s="136"/>
      <c r="NE110" s="136"/>
      <c r="NF110" s="136"/>
      <c r="NG110" s="136"/>
      <c r="NH110" s="136"/>
      <c r="NI110" s="136"/>
      <c r="NJ110" s="136"/>
      <c r="NK110" s="136"/>
      <c r="NL110" s="136"/>
      <c r="NM110" s="136"/>
      <c r="NN110" s="136"/>
      <c r="NO110" s="136"/>
      <c r="NP110" s="136"/>
      <c r="NQ110" s="136"/>
      <c r="NR110" s="136"/>
      <c r="NS110" s="136"/>
      <c r="NT110" s="136"/>
      <c r="NU110" s="136"/>
      <c r="NV110" s="136"/>
      <c r="NW110" s="136"/>
      <c r="NX110" s="136"/>
      <c r="NY110" s="136"/>
      <c r="NZ110" s="136"/>
      <c r="OA110" s="136"/>
      <c r="OB110" s="136"/>
      <c r="OC110" s="136"/>
      <c r="OD110" s="136"/>
      <c r="OE110" s="136"/>
      <c r="OF110" s="136"/>
      <c r="OG110" s="136"/>
      <c r="OH110" s="136"/>
      <c r="OI110" s="136"/>
      <c r="OJ110" s="136"/>
      <c r="OK110" s="136"/>
      <c r="OL110" s="136"/>
      <c r="OM110" s="136"/>
      <c r="ON110" s="136"/>
      <c r="OO110" s="136"/>
      <c r="OP110" s="136"/>
      <c r="OQ110" s="136"/>
      <c r="OR110" s="136"/>
      <c r="OS110" s="136"/>
      <c r="OT110" s="136"/>
      <c r="OU110" s="136"/>
      <c r="OV110" s="136"/>
      <c r="OW110" s="136"/>
      <c r="OX110" s="136"/>
      <c r="OY110" s="136"/>
      <c r="OZ110" s="136"/>
      <c r="PA110" s="136"/>
      <c r="PB110" s="136"/>
      <c r="PC110" s="136"/>
      <c r="PD110" s="136"/>
      <c r="PE110" s="136"/>
      <c r="PF110" s="136"/>
      <c r="PG110" s="136"/>
      <c r="PH110" s="136"/>
      <c r="PI110" s="136"/>
      <c r="PJ110" s="136"/>
      <c r="PK110" s="136"/>
      <c r="PL110" s="136"/>
      <c r="PM110" s="136"/>
      <c r="PN110" s="136"/>
      <c r="PO110" s="136"/>
      <c r="PP110" s="136"/>
      <c r="PQ110" s="136"/>
      <c r="PR110" s="136"/>
      <c r="PS110" s="136"/>
      <c r="PT110" s="136"/>
      <c r="PU110" s="136"/>
      <c r="PV110" s="136"/>
      <c r="PW110" s="136"/>
      <c r="PX110" s="136"/>
      <c r="PY110" s="136"/>
      <c r="PZ110" s="136"/>
      <c r="QA110" s="136"/>
      <c r="QB110" s="136"/>
      <c r="QC110" s="136"/>
      <c r="QD110" s="136"/>
      <c r="QE110" s="136"/>
      <c r="QF110" s="136"/>
      <c r="QG110" s="136"/>
      <c r="QH110" s="136"/>
      <c r="QI110" s="136"/>
      <c r="QJ110" s="136"/>
      <c r="QK110" s="136"/>
      <c r="QL110" s="136"/>
      <c r="QM110" s="136"/>
      <c r="QN110" s="136"/>
      <c r="QO110" s="136"/>
      <c r="QP110" s="136"/>
      <c r="QQ110" s="136"/>
      <c r="QR110" s="136"/>
      <c r="QS110" s="136"/>
      <c r="QT110" s="136"/>
      <c r="QU110" s="136"/>
      <c r="QV110" s="136"/>
      <c r="QW110" s="136"/>
      <c r="QX110" s="136"/>
      <c r="QY110" s="136"/>
      <c r="QZ110" s="136"/>
      <c r="RA110" s="136"/>
      <c r="RB110" s="136"/>
      <c r="RC110" s="136"/>
      <c r="RD110" s="136"/>
      <c r="RE110" s="136"/>
      <c r="RF110" s="136"/>
      <c r="RG110" s="136"/>
      <c r="RH110" s="136"/>
      <c r="RI110" s="136"/>
      <c r="RJ110" s="136"/>
      <c r="RK110" s="136"/>
      <c r="RL110" s="136"/>
      <c r="RM110" s="136"/>
      <c r="RN110" s="136"/>
      <c r="RO110" s="136"/>
      <c r="RP110" s="136"/>
      <c r="RQ110" s="136"/>
      <c r="RR110" s="136"/>
      <c r="RS110" s="136"/>
      <c r="RT110" s="136"/>
      <c r="RU110" s="136"/>
      <c r="RV110" s="136"/>
      <c r="RW110" s="136"/>
      <c r="RX110" s="136"/>
      <c r="RY110" s="136"/>
      <c r="RZ110" s="136"/>
      <c r="SA110" s="136"/>
      <c r="SB110" s="136"/>
      <c r="SC110" s="136"/>
      <c r="SD110" s="136"/>
      <c r="SE110" s="136"/>
      <c r="SF110" s="136"/>
      <c r="SG110" s="136"/>
      <c r="SH110" s="136"/>
      <c r="SI110" s="136"/>
      <c r="SJ110" s="136"/>
      <c r="SK110" s="136"/>
      <c r="SL110" s="136"/>
      <c r="SM110" s="136"/>
      <c r="SN110" s="136"/>
      <c r="SO110" s="136"/>
      <c r="SP110" s="136"/>
      <c r="SQ110" s="136"/>
      <c r="SR110" s="136"/>
      <c r="SS110" s="136"/>
    </row>
    <row r="111" spans="14:513" s="135" customFormat="1" ht="14.5" x14ac:dyDescent="0.35"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  <c r="Y111" s="134"/>
      <c r="Z111" s="134"/>
      <c r="AA111" s="134"/>
      <c r="AB111" s="134"/>
      <c r="AC111" s="134"/>
      <c r="AD111" s="134"/>
      <c r="AE111" s="134"/>
      <c r="AF111" s="134"/>
      <c r="DO111" s="136"/>
      <c r="DP111" s="136"/>
      <c r="DQ111" s="136"/>
      <c r="DR111" s="136"/>
      <c r="DS111" s="136"/>
      <c r="DT111" s="136"/>
      <c r="DU111" s="136"/>
      <c r="DV111" s="136"/>
      <c r="DW111" s="136"/>
      <c r="DX111" s="136"/>
      <c r="DY111" s="136"/>
      <c r="DZ111" s="136"/>
      <c r="EA111" s="136"/>
      <c r="EB111" s="136"/>
      <c r="EC111" s="136"/>
      <c r="ED111" s="136"/>
      <c r="EE111" s="136"/>
      <c r="EF111" s="136"/>
      <c r="EG111" s="136"/>
      <c r="EH111" s="136"/>
      <c r="EI111" s="136"/>
      <c r="EJ111" s="136"/>
      <c r="EK111" s="136"/>
      <c r="EL111" s="136"/>
      <c r="EM111" s="136"/>
      <c r="EN111" s="136"/>
      <c r="EO111" s="136"/>
      <c r="EP111" s="136"/>
      <c r="EQ111" s="136"/>
      <c r="ER111" s="136"/>
      <c r="ES111" s="136"/>
      <c r="ET111" s="136"/>
      <c r="EU111" s="136"/>
      <c r="EV111" s="136"/>
      <c r="EW111" s="136"/>
      <c r="EX111" s="136"/>
      <c r="EY111" s="136"/>
      <c r="EZ111" s="136"/>
      <c r="FA111" s="136"/>
      <c r="FB111" s="136"/>
      <c r="FC111" s="136"/>
      <c r="FD111" s="136"/>
      <c r="FE111" s="136"/>
      <c r="FF111" s="136"/>
      <c r="FG111" s="136"/>
      <c r="FH111" s="136"/>
      <c r="FI111" s="136"/>
      <c r="FJ111" s="136"/>
      <c r="FK111" s="136"/>
      <c r="FL111" s="136"/>
      <c r="FM111" s="136"/>
      <c r="FN111" s="136"/>
      <c r="FO111" s="136"/>
      <c r="FP111" s="136"/>
      <c r="FQ111" s="136"/>
      <c r="FR111" s="136"/>
      <c r="FS111" s="136"/>
      <c r="FT111" s="136"/>
      <c r="FU111" s="136"/>
      <c r="FV111" s="136"/>
      <c r="FW111" s="136"/>
      <c r="FX111" s="136"/>
      <c r="FY111" s="136"/>
      <c r="FZ111" s="136"/>
      <c r="GA111" s="136"/>
      <c r="GB111" s="136"/>
      <c r="GC111" s="136"/>
      <c r="GD111" s="136"/>
      <c r="GE111" s="136"/>
      <c r="GF111" s="136"/>
      <c r="GG111" s="136"/>
      <c r="GH111" s="136"/>
      <c r="GI111" s="136"/>
      <c r="GJ111" s="136"/>
      <c r="GK111" s="136"/>
      <c r="GL111" s="136"/>
      <c r="GM111" s="136"/>
      <c r="GN111" s="136"/>
      <c r="GO111" s="136"/>
      <c r="GP111" s="136"/>
      <c r="GQ111" s="136"/>
      <c r="GR111" s="136"/>
      <c r="GS111" s="136"/>
      <c r="GT111" s="136"/>
      <c r="GU111" s="136"/>
      <c r="GV111" s="136"/>
      <c r="GW111" s="136"/>
      <c r="GX111" s="136"/>
      <c r="GY111" s="136"/>
      <c r="GZ111" s="136"/>
      <c r="HA111" s="136"/>
      <c r="HB111" s="136"/>
      <c r="HC111" s="136"/>
      <c r="HD111" s="136"/>
      <c r="HE111" s="136"/>
      <c r="HF111" s="136"/>
      <c r="HG111" s="136"/>
      <c r="HH111" s="136"/>
      <c r="HI111" s="136"/>
      <c r="HJ111" s="136"/>
      <c r="HK111" s="136"/>
      <c r="HL111" s="136"/>
      <c r="HM111" s="136"/>
      <c r="HN111" s="136"/>
      <c r="HO111" s="136"/>
      <c r="HP111" s="136"/>
      <c r="HQ111" s="136"/>
      <c r="HR111" s="136"/>
      <c r="HS111" s="136"/>
      <c r="HT111" s="136"/>
      <c r="HU111" s="136"/>
      <c r="HV111" s="136"/>
      <c r="HW111" s="136"/>
      <c r="HX111" s="136"/>
      <c r="HY111" s="136"/>
      <c r="HZ111" s="136"/>
      <c r="IA111" s="136"/>
      <c r="IB111" s="136"/>
      <c r="IC111" s="136"/>
      <c r="ID111" s="136"/>
      <c r="IE111" s="136"/>
      <c r="IF111" s="136"/>
      <c r="IG111" s="136"/>
      <c r="IH111" s="136"/>
      <c r="II111" s="136"/>
      <c r="IJ111" s="136"/>
      <c r="IK111" s="136"/>
      <c r="IL111" s="136"/>
      <c r="IM111" s="136"/>
      <c r="IN111" s="136"/>
      <c r="IO111" s="136"/>
      <c r="IP111" s="136"/>
      <c r="IQ111" s="136"/>
      <c r="IR111" s="136"/>
      <c r="IS111" s="136"/>
      <c r="IT111" s="136"/>
      <c r="IU111" s="136"/>
      <c r="IV111" s="136"/>
      <c r="IW111" s="136"/>
      <c r="IX111" s="136"/>
      <c r="IY111" s="136"/>
      <c r="IZ111" s="136"/>
      <c r="JA111" s="136"/>
      <c r="JB111" s="136"/>
      <c r="JC111" s="136"/>
      <c r="JD111" s="136"/>
      <c r="JE111" s="136"/>
      <c r="JF111" s="136"/>
      <c r="JG111" s="136"/>
      <c r="JH111" s="136"/>
      <c r="JI111" s="136"/>
      <c r="JJ111" s="136"/>
      <c r="JK111" s="136"/>
      <c r="JL111" s="136"/>
      <c r="JM111" s="136"/>
      <c r="JN111" s="136"/>
      <c r="JO111" s="136"/>
      <c r="JP111" s="136"/>
      <c r="JQ111" s="136"/>
      <c r="JR111" s="136"/>
      <c r="JS111" s="136"/>
      <c r="JT111" s="136"/>
      <c r="JU111" s="136"/>
      <c r="JV111" s="136"/>
      <c r="JW111" s="136"/>
      <c r="JX111" s="136"/>
      <c r="JY111" s="136"/>
      <c r="JZ111" s="136"/>
      <c r="KA111" s="136"/>
      <c r="KB111" s="136"/>
      <c r="KC111" s="136"/>
      <c r="KD111" s="136"/>
      <c r="KE111" s="136"/>
      <c r="KF111" s="136"/>
      <c r="KG111" s="136"/>
      <c r="KH111" s="136"/>
      <c r="KI111" s="136"/>
      <c r="KJ111" s="136"/>
      <c r="KK111" s="136"/>
      <c r="KL111" s="136"/>
      <c r="KM111" s="136"/>
      <c r="KN111" s="136"/>
      <c r="KO111" s="136"/>
      <c r="KP111" s="136"/>
      <c r="KQ111" s="136"/>
      <c r="KR111" s="136"/>
      <c r="KS111" s="136"/>
      <c r="KT111" s="136"/>
      <c r="KU111" s="136"/>
      <c r="KV111" s="136"/>
      <c r="KW111" s="136"/>
      <c r="KX111" s="136"/>
      <c r="KY111" s="136"/>
      <c r="KZ111" s="136"/>
      <c r="LA111" s="136"/>
      <c r="LB111" s="136"/>
      <c r="LC111" s="136"/>
      <c r="LD111" s="136"/>
      <c r="LE111" s="136"/>
      <c r="LF111" s="136"/>
      <c r="LG111" s="136"/>
      <c r="LH111" s="136"/>
      <c r="LI111" s="136"/>
      <c r="LJ111" s="136"/>
      <c r="LK111" s="136"/>
      <c r="LL111" s="136"/>
      <c r="LM111" s="136"/>
      <c r="LN111" s="136"/>
      <c r="LO111" s="136"/>
      <c r="LP111" s="136"/>
      <c r="LQ111" s="136"/>
      <c r="LR111" s="136"/>
      <c r="LS111" s="136"/>
      <c r="LT111" s="136"/>
      <c r="LU111" s="136"/>
      <c r="LV111" s="136"/>
      <c r="LW111" s="136"/>
      <c r="LX111" s="136"/>
      <c r="LY111" s="136"/>
      <c r="LZ111" s="136"/>
      <c r="MA111" s="136"/>
      <c r="MB111" s="136"/>
      <c r="MC111" s="136"/>
      <c r="MD111" s="136"/>
      <c r="ME111" s="136"/>
      <c r="MF111" s="136"/>
      <c r="MG111" s="136"/>
      <c r="MH111" s="136"/>
      <c r="MI111" s="136"/>
      <c r="MJ111" s="136"/>
      <c r="MK111" s="136"/>
      <c r="ML111" s="136"/>
      <c r="MM111" s="136"/>
      <c r="MN111" s="136"/>
      <c r="MO111" s="136"/>
      <c r="MP111" s="136"/>
      <c r="MQ111" s="136"/>
      <c r="MR111" s="136"/>
      <c r="MS111" s="136"/>
      <c r="MT111" s="136"/>
      <c r="MU111" s="136"/>
      <c r="MV111" s="136"/>
      <c r="MW111" s="136"/>
      <c r="MX111" s="136"/>
      <c r="MY111" s="136"/>
      <c r="MZ111" s="136"/>
      <c r="NA111" s="136"/>
      <c r="NB111" s="136"/>
      <c r="NC111" s="136"/>
      <c r="ND111" s="136"/>
      <c r="NE111" s="136"/>
      <c r="NF111" s="136"/>
      <c r="NG111" s="136"/>
      <c r="NH111" s="136"/>
      <c r="NI111" s="136"/>
      <c r="NJ111" s="136"/>
      <c r="NK111" s="136"/>
      <c r="NL111" s="136"/>
      <c r="NM111" s="136"/>
      <c r="NN111" s="136"/>
      <c r="NO111" s="136"/>
      <c r="NP111" s="136"/>
      <c r="NQ111" s="136"/>
      <c r="NR111" s="136"/>
      <c r="NS111" s="136"/>
      <c r="NT111" s="136"/>
      <c r="NU111" s="136"/>
      <c r="NV111" s="136"/>
      <c r="NW111" s="136"/>
      <c r="NX111" s="136"/>
      <c r="NY111" s="136"/>
      <c r="NZ111" s="136"/>
      <c r="OA111" s="136"/>
      <c r="OB111" s="136"/>
      <c r="OC111" s="136"/>
      <c r="OD111" s="136"/>
      <c r="OE111" s="136"/>
      <c r="OF111" s="136"/>
      <c r="OG111" s="136"/>
      <c r="OH111" s="136"/>
      <c r="OI111" s="136"/>
      <c r="OJ111" s="136"/>
      <c r="OK111" s="136"/>
      <c r="OL111" s="136"/>
      <c r="OM111" s="136"/>
      <c r="ON111" s="136"/>
      <c r="OO111" s="136"/>
      <c r="OP111" s="136"/>
      <c r="OQ111" s="136"/>
      <c r="OR111" s="136"/>
      <c r="OS111" s="136"/>
      <c r="OT111" s="136"/>
      <c r="OU111" s="136"/>
      <c r="OV111" s="136"/>
      <c r="OW111" s="136"/>
      <c r="OX111" s="136"/>
      <c r="OY111" s="136"/>
      <c r="OZ111" s="136"/>
      <c r="PA111" s="136"/>
      <c r="PB111" s="136"/>
      <c r="PC111" s="136"/>
      <c r="PD111" s="136"/>
      <c r="PE111" s="136"/>
      <c r="PF111" s="136"/>
      <c r="PG111" s="136"/>
      <c r="PH111" s="136"/>
      <c r="PI111" s="136"/>
      <c r="PJ111" s="136"/>
      <c r="PK111" s="136"/>
      <c r="PL111" s="136"/>
      <c r="PM111" s="136"/>
      <c r="PN111" s="136"/>
      <c r="PO111" s="136"/>
      <c r="PP111" s="136"/>
      <c r="PQ111" s="136"/>
      <c r="PR111" s="136"/>
      <c r="PS111" s="136"/>
      <c r="PT111" s="136"/>
      <c r="PU111" s="136"/>
      <c r="PV111" s="136"/>
      <c r="PW111" s="136"/>
      <c r="PX111" s="136"/>
      <c r="PY111" s="136"/>
      <c r="PZ111" s="136"/>
      <c r="QA111" s="136"/>
      <c r="QB111" s="136"/>
      <c r="QC111" s="136"/>
      <c r="QD111" s="136"/>
      <c r="QE111" s="136"/>
      <c r="QF111" s="136"/>
      <c r="QG111" s="136"/>
      <c r="QH111" s="136"/>
      <c r="QI111" s="136"/>
      <c r="QJ111" s="136"/>
      <c r="QK111" s="136"/>
      <c r="QL111" s="136"/>
      <c r="QM111" s="136"/>
      <c r="QN111" s="136"/>
      <c r="QO111" s="136"/>
      <c r="QP111" s="136"/>
      <c r="QQ111" s="136"/>
      <c r="QR111" s="136"/>
      <c r="QS111" s="136"/>
      <c r="QT111" s="136"/>
      <c r="QU111" s="136"/>
      <c r="QV111" s="136"/>
      <c r="QW111" s="136"/>
      <c r="QX111" s="136"/>
      <c r="QY111" s="136"/>
      <c r="QZ111" s="136"/>
      <c r="RA111" s="136"/>
      <c r="RB111" s="136"/>
      <c r="RC111" s="136"/>
      <c r="RD111" s="136"/>
      <c r="RE111" s="136"/>
      <c r="RF111" s="136"/>
      <c r="RG111" s="136"/>
      <c r="RH111" s="136"/>
      <c r="RI111" s="136"/>
      <c r="RJ111" s="136"/>
      <c r="RK111" s="136"/>
      <c r="RL111" s="136"/>
      <c r="RM111" s="136"/>
      <c r="RN111" s="136"/>
      <c r="RO111" s="136"/>
      <c r="RP111" s="136"/>
      <c r="RQ111" s="136"/>
      <c r="RR111" s="136"/>
      <c r="RS111" s="136"/>
      <c r="RT111" s="136"/>
      <c r="RU111" s="136"/>
      <c r="RV111" s="136"/>
      <c r="RW111" s="136"/>
      <c r="RX111" s="136"/>
      <c r="RY111" s="136"/>
      <c r="RZ111" s="136"/>
      <c r="SA111" s="136"/>
      <c r="SB111" s="136"/>
      <c r="SC111" s="136"/>
      <c r="SD111" s="136"/>
      <c r="SE111" s="136"/>
      <c r="SF111" s="136"/>
      <c r="SG111" s="136"/>
      <c r="SH111" s="136"/>
      <c r="SI111" s="136"/>
      <c r="SJ111" s="136"/>
      <c r="SK111" s="136"/>
      <c r="SL111" s="136"/>
      <c r="SM111" s="136"/>
      <c r="SN111" s="136"/>
      <c r="SO111" s="136"/>
      <c r="SP111" s="136"/>
      <c r="SQ111" s="136"/>
      <c r="SR111" s="136"/>
      <c r="SS111" s="136"/>
    </row>
    <row r="112" spans="14:513" s="135" customFormat="1" ht="14.5" x14ac:dyDescent="0.35"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/>
      <c r="AA112" s="134"/>
      <c r="AB112" s="134"/>
      <c r="AC112" s="134"/>
      <c r="AD112" s="134"/>
      <c r="AE112" s="134"/>
      <c r="AF112" s="134"/>
      <c r="DO112" s="136"/>
      <c r="DP112" s="136"/>
      <c r="DQ112" s="136"/>
      <c r="DR112" s="136"/>
      <c r="DS112" s="136"/>
      <c r="DT112" s="136"/>
      <c r="DU112" s="136"/>
      <c r="DV112" s="136"/>
      <c r="DW112" s="136"/>
      <c r="DX112" s="136"/>
      <c r="DY112" s="136"/>
      <c r="DZ112" s="136"/>
      <c r="EA112" s="136"/>
      <c r="EB112" s="136"/>
      <c r="EC112" s="136"/>
      <c r="ED112" s="136"/>
      <c r="EE112" s="136"/>
      <c r="EF112" s="136"/>
      <c r="EG112" s="136"/>
      <c r="EH112" s="136"/>
      <c r="EI112" s="136"/>
      <c r="EJ112" s="136"/>
      <c r="EK112" s="136"/>
      <c r="EL112" s="136"/>
      <c r="EM112" s="136"/>
      <c r="EN112" s="136"/>
      <c r="EO112" s="136"/>
      <c r="EP112" s="136"/>
      <c r="EQ112" s="136"/>
      <c r="ER112" s="136"/>
      <c r="ES112" s="136"/>
      <c r="ET112" s="136"/>
      <c r="EU112" s="136"/>
      <c r="EV112" s="136"/>
      <c r="EW112" s="136"/>
      <c r="EX112" s="136"/>
      <c r="EY112" s="136"/>
      <c r="EZ112" s="136"/>
      <c r="FA112" s="136"/>
      <c r="FB112" s="136"/>
      <c r="FC112" s="136"/>
      <c r="FD112" s="136"/>
      <c r="FE112" s="136"/>
      <c r="FF112" s="136"/>
      <c r="FG112" s="136"/>
      <c r="FH112" s="136"/>
      <c r="FI112" s="136"/>
      <c r="FJ112" s="136"/>
      <c r="FK112" s="136"/>
      <c r="FL112" s="136"/>
      <c r="FM112" s="136"/>
      <c r="FN112" s="136"/>
      <c r="FO112" s="136"/>
      <c r="FP112" s="136"/>
      <c r="FQ112" s="136"/>
      <c r="FR112" s="136"/>
      <c r="FS112" s="136"/>
      <c r="FT112" s="136"/>
      <c r="FU112" s="136"/>
      <c r="FV112" s="136"/>
      <c r="FW112" s="136"/>
      <c r="FX112" s="136"/>
      <c r="FY112" s="136"/>
      <c r="FZ112" s="136"/>
      <c r="GA112" s="136"/>
      <c r="GB112" s="136"/>
      <c r="GC112" s="136"/>
      <c r="GD112" s="136"/>
      <c r="GE112" s="136"/>
      <c r="GF112" s="136"/>
      <c r="GG112" s="136"/>
      <c r="GH112" s="136"/>
      <c r="GI112" s="136"/>
      <c r="GJ112" s="136"/>
      <c r="GK112" s="136"/>
      <c r="GL112" s="136"/>
      <c r="GM112" s="136"/>
      <c r="GN112" s="136"/>
      <c r="GO112" s="136"/>
      <c r="GP112" s="136"/>
      <c r="GQ112" s="136"/>
      <c r="GR112" s="136"/>
      <c r="GS112" s="136"/>
      <c r="GT112" s="136"/>
      <c r="GU112" s="136"/>
      <c r="GV112" s="136"/>
      <c r="GW112" s="136"/>
      <c r="GX112" s="136"/>
      <c r="GY112" s="136"/>
      <c r="GZ112" s="136"/>
      <c r="HA112" s="136"/>
      <c r="HB112" s="136"/>
      <c r="HC112" s="136"/>
      <c r="HD112" s="136"/>
      <c r="HE112" s="136"/>
      <c r="HF112" s="136"/>
      <c r="HG112" s="136"/>
      <c r="HH112" s="136"/>
      <c r="HI112" s="136"/>
      <c r="HJ112" s="136"/>
      <c r="HK112" s="136"/>
      <c r="HL112" s="136"/>
      <c r="HM112" s="136"/>
      <c r="HN112" s="136"/>
      <c r="HO112" s="136"/>
      <c r="HP112" s="136"/>
      <c r="HQ112" s="136"/>
      <c r="HR112" s="136"/>
      <c r="HS112" s="136"/>
      <c r="HT112" s="136"/>
      <c r="HU112" s="136"/>
      <c r="HV112" s="136"/>
      <c r="HW112" s="136"/>
      <c r="HX112" s="136"/>
      <c r="HY112" s="136"/>
      <c r="HZ112" s="136"/>
      <c r="IA112" s="136"/>
      <c r="IB112" s="136"/>
      <c r="IC112" s="136"/>
      <c r="ID112" s="136"/>
      <c r="IE112" s="136"/>
      <c r="IF112" s="136"/>
      <c r="IG112" s="136"/>
      <c r="IH112" s="136"/>
      <c r="II112" s="136"/>
      <c r="IJ112" s="136"/>
      <c r="IK112" s="136"/>
      <c r="IL112" s="136"/>
      <c r="IM112" s="136"/>
      <c r="IN112" s="136"/>
      <c r="IO112" s="136"/>
      <c r="IP112" s="136"/>
      <c r="IQ112" s="136"/>
      <c r="IR112" s="136"/>
      <c r="IS112" s="136"/>
      <c r="IT112" s="136"/>
      <c r="IU112" s="136"/>
      <c r="IV112" s="136"/>
      <c r="IW112" s="136"/>
      <c r="IX112" s="136"/>
      <c r="IY112" s="136"/>
      <c r="IZ112" s="136"/>
      <c r="JA112" s="136"/>
      <c r="JB112" s="136"/>
      <c r="JC112" s="136"/>
      <c r="JD112" s="136"/>
      <c r="JE112" s="136"/>
      <c r="JF112" s="136"/>
      <c r="JG112" s="136"/>
      <c r="JH112" s="136"/>
      <c r="JI112" s="136"/>
      <c r="JJ112" s="136"/>
      <c r="JK112" s="136"/>
      <c r="JL112" s="136"/>
      <c r="JM112" s="136"/>
      <c r="JN112" s="136"/>
      <c r="JO112" s="136"/>
      <c r="JP112" s="136"/>
      <c r="JQ112" s="136"/>
      <c r="JR112" s="136"/>
      <c r="JS112" s="136"/>
      <c r="JT112" s="136"/>
      <c r="JU112" s="136"/>
      <c r="JV112" s="136"/>
      <c r="JW112" s="136"/>
      <c r="JX112" s="136"/>
      <c r="JY112" s="136"/>
      <c r="JZ112" s="136"/>
      <c r="KA112" s="136"/>
      <c r="KB112" s="136"/>
      <c r="KC112" s="136"/>
      <c r="KD112" s="136"/>
      <c r="KE112" s="136"/>
      <c r="KF112" s="136"/>
      <c r="KG112" s="136"/>
      <c r="KH112" s="136"/>
      <c r="KI112" s="136"/>
      <c r="KJ112" s="136"/>
      <c r="KK112" s="136"/>
      <c r="KL112" s="136"/>
      <c r="KM112" s="136"/>
      <c r="KN112" s="136"/>
      <c r="KO112" s="136"/>
      <c r="KP112" s="136"/>
      <c r="KQ112" s="136"/>
      <c r="KR112" s="136"/>
      <c r="KS112" s="136"/>
      <c r="KT112" s="136"/>
      <c r="KU112" s="136"/>
      <c r="KV112" s="136"/>
      <c r="KW112" s="136"/>
      <c r="KX112" s="136"/>
      <c r="KY112" s="136"/>
      <c r="KZ112" s="136"/>
      <c r="LA112" s="136"/>
      <c r="LB112" s="136"/>
      <c r="LC112" s="136"/>
      <c r="LD112" s="136"/>
      <c r="LE112" s="136"/>
      <c r="LF112" s="136"/>
      <c r="LG112" s="136"/>
      <c r="LH112" s="136"/>
      <c r="LI112" s="136"/>
      <c r="LJ112" s="136"/>
      <c r="LK112" s="136"/>
      <c r="LL112" s="136"/>
      <c r="LM112" s="136"/>
      <c r="LN112" s="136"/>
      <c r="LO112" s="136"/>
      <c r="LP112" s="136"/>
      <c r="LQ112" s="136"/>
      <c r="LR112" s="136"/>
      <c r="LS112" s="136"/>
      <c r="LT112" s="136"/>
      <c r="LU112" s="136"/>
      <c r="LV112" s="136"/>
      <c r="LW112" s="136"/>
      <c r="LX112" s="136"/>
      <c r="LY112" s="136"/>
      <c r="LZ112" s="136"/>
      <c r="MA112" s="136"/>
      <c r="MB112" s="136"/>
      <c r="MC112" s="136"/>
      <c r="MD112" s="136"/>
      <c r="ME112" s="136"/>
      <c r="MF112" s="136"/>
      <c r="MG112" s="136"/>
      <c r="MH112" s="136"/>
      <c r="MI112" s="136"/>
      <c r="MJ112" s="136"/>
      <c r="MK112" s="136"/>
      <c r="ML112" s="136"/>
      <c r="MM112" s="136"/>
      <c r="MN112" s="136"/>
      <c r="MO112" s="136"/>
      <c r="MP112" s="136"/>
      <c r="MQ112" s="136"/>
      <c r="MR112" s="136"/>
      <c r="MS112" s="136"/>
      <c r="MT112" s="136"/>
      <c r="MU112" s="136"/>
      <c r="MV112" s="136"/>
      <c r="MW112" s="136"/>
      <c r="MX112" s="136"/>
      <c r="MY112" s="136"/>
      <c r="MZ112" s="136"/>
      <c r="NA112" s="136"/>
      <c r="NB112" s="136"/>
      <c r="NC112" s="136"/>
      <c r="ND112" s="136"/>
      <c r="NE112" s="136"/>
      <c r="NF112" s="136"/>
      <c r="NG112" s="136"/>
      <c r="NH112" s="136"/>
      <c r="NI112" s="136"/>
      <c r="NJ112" s="136"/>
      <c r="NK112" s="136"/>
      <c r="NL112" s="136"/>
      <c r="NM112" s="136"/>
      <c r="NN112" s="136"/>
      <c r="NO112" s="136"/>
      <c r="NP112" s="136"/>
      <c r="NQ112" s="136"/>
      <c r="NR112" s="136"/>
      <c r="NS112" s="136"/>
      <c r="NT112" s="136"/>
      <c r="NU112" s="136"/>
      <c r="NV112" s="136"/>
      <c r="NW112" s="136"/>
      <c r="NX112" s="136"/>
      <c r="NY112" s="136"/>
      <c r="NZ112" s="136"/>
      <c r="OA112" s="136"/>
      <c r="OB112" s="136"/>
      <c r="OC112" s="136"/>
      <c r="OD112" s="136"/>
      <c r="OE112" s="136"/>
      <c r="OF112" s="136"/>
      <c r="OG112" s="136"/>
      <c r="OH112" s="136"/>
      <c r="OI112" s="136"/>
      <c r="OJ112" s="136"/>
      <c r="OK112" s="136"/>
      <c r="OL112" s="136"/>
      <c r="OM112" s="136"/>
      <c r="ON112" s="136"/>
      <c r="OO112" s="136"/>
      <c r="OP112" s="136"/>
      <c r="OQ112" s="136"/>
      <c r="OR112" s="136"/>
      <c r="OS112" s="136"/>
      <c r="OT112" s="136"/>
      <c r="OU112" s="136"/>
      <c r="OV112" s="136"/>
      <c r="OW112" s="136"/>
      <c r="OX112" s="136"/>
      <c r="OY112" s="136"/>
      <c r="OZ112" s="136"/>
      <c r="PA112" s="136"/>
      <c r="PB112" s="136"/>
      <c r="PC112" s="136"/>
      <c r="PD112" s="136"/>
      <c r="PE112" s="136"/>
      <c r="PF112" s="136"/>
      <c r="PG112" s="136"/>
      <c r="PH112" s="136"/>
      <c r="PI112" s="136"/>
      <c r="PJ112" s="136"/>
      <c r="PK112" s="136"/>
      <c r="PL112" s="136"/>
      <c r="PM112" s="136"/>
      <c r="PN112" s="136"/>
      <c r="PO112" s="136"/>
      <c r="PP112" s="136"/>
      <c r="PQ112" s="136"/>
      <c r="PR112" s="136"/>
      <c r="PS112" s="136"/>
      <c r="PT112" s="136"/>
      <c r="PU112" s="136"/>
      <c r="PV112" s="136"/>
      <c r="PW112" s="136"/>
      <c r="PX112" s="136"/>
      <c r="PY112" s="136"/>
      <c r="PZ112" s="136"/>
      <c r="QA112" s="136"/>
      <c r="QB112" s="136"/>
      <c r="QC112" s="136"/>
      <c r="QD112" s="136"/>
      <c r="QE112" s="136"/>
      <c r="QF112" s="136"/>
      <c r="QG112" s="136"/>
      <c r="QH112" s="136"/>
      <c r="QI112" s="136"/>
      <c r="QJ112" s="136"/>
      <c r="QK112" s="136"/>
      <c r="QL112" s="136"/>
      <c r="QM112" s="136"/>
      <c r="QN112" s="136"/>
      <c r="QO112" s="136"/>
      <c r="QP112" s="136"/>
      <c r="QQ112" s="136"/>
      <c r="QR112" s="136"/>
      <c r="QS112" s="136"/>
      <c r="QT112" s="136"/>
      <c r="QU112" s="136"/>
      <c r="QV112" s="136"/>
      <c r="QW112" s="136"/>
      <c r="QX112" s="136"/>
      <c r="QY112" s="136"/>
      <c r="QZ112" s="136"/>
      <c r="RA112" s="136"/>
      <c r="RB112" s="136"/>
      <c r="RC112" s="136"/>
      <c r="RD112" s="136"/>
      <c r="RE112" s="136"/>
      <c r="RF112" s="136"/>
      <c r="RG112" s="136"/>
      <c r="RH112" s="136"/>
      <c r="RI112" s="136"/>
      <c r="RJ112" s="136"/>
      <c r="RK112" s="136"/>
      <c r="RL112" s="136"/>
      <c r="RM112" s="136"/>
      <c r="RN112" s="136"/>
      <c r="RO112" s="136"/>
      <c r="RP112" s="136"/>
      <c r="RQ112" s="136"/>
      <c r="RR112" s="136"/>
      <c r="RS112" s="136"/>
      <c r="RT112" s="136"/>
      <c r="RU112" s="136"/>
      <c r="RV112" s="136"/>
      <c r="RW112" s="136"/>
      <c r="RX112" s="136"/>
      <c r="RY112" s="136"/>
      <c r="RZ112" s="136"/>
      <c r="SA112" s="136"/>
      <c r="SB112" s="136"/>
      <c r="SC112" s="136"/>
      <c r="SD112" s="136"/>
      <c r="SE112" s="136"/>
      <c r="SF112" s="136"/>
      <c r="SG112" s="136"/>
      <c r="SH112" s="136"/>
      <c r="SI112" s="136"/>
      <c r="SJ112" s="136"/>
      <c r="SK112" s="136"/>
      <c r="SL112" s="136"/>
      <c r="SM112" s="136"/>
      <c r="SN112" s="136"/>
      <c r="SO112" s="136"/>
      <c r="SP112" s="136"/>
      <c r="SQ112" s="136"/>
      <c r="SR112" s="136"/>
      <c r="SS112" s="136"/>
    </row>
    <row r="113" spans="14:513" s="135" customFormat="1" ht="14.5" x14ac:dyDescent="0.35"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4"/>
      <c r="AC113" s="134"/>
      <c r="AD113" s="134"/>
      <c r="AE113" s="134"/>
      <c r="AF113" s="134"/>
      <c r="DO113" s="136"/>
      <c r="DP113" s="136"/>
      <c r="DQ113" s="136"/>
      <c r="DR113" s="136"/>
      <c r="DS113" s="136"/>
      <c r="DT113" s="136"/>
      <c r="DU113" s="136"/>
      <c r="DV113" s="136"/>
      <c r="DW113" s="136"/>
      <c r="DX113" s="136"/>
      <c r="DY113" s="136"/>
      <c r="DZ113" s="136"/>
      <c r="EA113" s="136"/>
      <c r="EB113" s="136"/>
      <c r="EC113" s="136"/>
      <c r="ED113" s="136"/>
      <c r="EE113" s="136"/>
      <c r="EF113" s="136"/>
      <c r="EG113" s="136"/>
      <c r="EH113" s="136"/>
      <c r="EI113" s="136"/>
      <c r="EJ113" s="136"/>
      <c r="EK113" s="136"/>
      <c r="EL113" s="136"/>
      <c r="EM113" s="136"/>
      <c r="EN113" s="136"/>
      <c r="EO113" s="136"/>
      <c r="EP113" s="136"/>
      <c r="EQ113" s="136"/>
      <c r="ER113" s="136"/>
      <c r="ES113" s="136"/>
      <c r="ET113" s="136"/>
      <c r="EU113" s="136"/>
      <c r="EV113" s="136"/>
      <c r="EW113" s="136"/>
      <c r="EX113" s="136"/>
      <c r="EY113" s="136"/>
      <c r="EZ113" s="136"/>
      <c r="FA113" s="136"/>
      <c r="FB113" s="136"/>
      <c r="FC113" s="136"/>
      <c r="FD113" s="136"/>
      <c r="FE113" s="136"/>
      <c r="FF113" s="136"/>
      <c r="FG113" s="136"/>
      <c r="FH113" s="136"/>
      <c r="FI113" s="136"/>
      <c r="FJ113" s="136"/>
      <c r="FK113" s="136"/>
      <c r="FL113" s="136"/>
      <c r="FM113" s="136"/>
      <c r="FN113" s="136"/>
      <c r="FO113" s="136"/>
      <c r="FP113" s="136"/>
      <c r="FQ113" s="136"/>
      <c r="FR113" s="136"/>
      <c r="FS113" s="136"/>
      <c r="FT113" s="136"/>
      <c r="FU113" s="136"/>
      <c r="FV113" s="136"/>
      <c r="FW113" s="136"/>
      <c r="FX113" s="136"/>
      <c r="FY113" s="136"/>
      <c r="FZ113" s="136"/>
      <c r="GA113" s="136"/>
      <c r="GB113" s="136"/>
      <c r="GC113" s="136"/>
      <c r="GD113" s="136"/>
      <c r="GE113" s="136"/>
      <c r="GF113" s="136"/>
      <c r="GG113" s="136"/>
      <c r="GH113" s="136"/>
      <c r="GI113" s="136"/>
      <c r="GJ113" s="136"/>
      <c r="GK113" s="136"/>
      <c r="GL113" s="136"/>
      <c r="GM113" s="136"/>
      <c r="GN113" s="136"/>
      <c r="GO113" s="136"/>
      <c r="GP113" s="136"/>
      <c r="GQ113" s="136"/>
      <c r="GR113" s="136"/>
      <c r="GS113" s="136"/>
      <c r="GT113" s="136"/>
      <c r="GU113" s="136"/>
      <c r="GV113" s="136"/>
      <c r="GW113" s="136"/>
      <c r="GX113" s="136"/>
      <c r="GY113" s="136"/>
      <c r="GZ113" s="136"/>
      <c r="HA113" s="136"/>
      <c r="HB113" s="136"/>
      <c r="HC113" s="136"/>
      <c r="HD113" s="136"/>
      <c r="HE113" s="136"/>
      <c r="HF113" s="136"/>
      <c r="HG113" s="136"/>
      <c r="HH113" s="136"/>
      <c r="HI113" s="136"/>
      <c r="HJ113" s="136"/>
      <c r="HK113" s="136"/>
      <c r="HL113" s="136"/>
      <c r="HM113" s="136"/>
      <c r="HN113" s="136"/>
      <c r="HO113" s="136"/>
      <c r="HP113" s="136"/>
      <c r="HQ113" s="136"/>
      <c r="HR113" s="136"/>
      <c r="HS113" s="136"/>
      <c r="HT113" s="136"/>
      <c r="HU113" s="136"/>
      <c r="HV113" s="136"/>
      <c r="HW113" s="136"/>
      <c r="HX113" s="136"/>
      <c r="HY113" s="136"/>
      <c r="HZ113" s="136"/>
      <c r="IA113" s="136"/>
      <c r="IB113" s="136"/>
      <c r="IC113" s="136"/>
      <c r="ID113" s="136"/>
      <c r="IE113" s="136"/>
      <c r="IF113" s="136"/>
      <c r="IG113" s="136"/>
      <c r="IH113" s="136"/>
      <c r="II113" s="136"/>
      <c r="IJ113" s="136"/>
      <c r="IK113" s="136"/>
      <c r="IL113" s="136"/>
      <c r="IM113" s="136"/>
      <c r="IN113" s="136"/>
      <c r="IO113" s="136"/>
      <c r="IP113" s="136"/>
      <c r="IQ113" s="136"/>
      <c r="IR113" s="136"/>
      <c r="IS113" s="136"/>
      <c r="IT113" s="136"/>
      <c r="IU113" s="136"/>
      <c r="IV113" s="136"/>
      <c r="IW113" s="136"/>
      <c r="IX113" s="136"/>
      <c r="IY113" s="136"/>
      <c r="IZ113" s="136"/>
      <c r="JA113" s="136"/>
      <c r="JB113" s="136"/>
      <c r="JC113" s="136"/>
      <c r="JD113" s="136"/>
      <c r="JE113" s="136"/>
      <c r="JF113" s="136"/>
      <c r="JG113" s="136"/>
      <c r="JH113" s="136"/>
      <c r="JI113" s="136"/>
      <c r="JJ113" s="136"/>
      <c r="JK113" s="136"/>
      <c r="JL113" s="136"/>
      <c r="JM113" s="136"/>
      <c r="JN113" s="136"/>
      <c r="JO113" s="136"/>
      <c r="JP113" s="136"/>
      <c r="JQ113" s="136"/>
      <c r="JR113" s="136"/>
      <c r="JS113" s="136"/>
      <c r="JT113" s="136"/>
      <c r="JU113" s="136"/>
      <c r="JV113" s="136"/>
      <c r="JW113" s="136"/>
      <c r="JX113" s="136"/>
      <c r="JY113" s="136"/>
      <c r="JZ113" s="136"/>
      <c r="KA113" s="136"/>
      <c r="KB113" s="136"/>
      <c r="KC113" s="136"/>
      <c r="KD113" s="136"/>
      <c r="KE113" s="136"/>
      <c r="KF113" s="136"/>
      <c r="KG113" s="136"/>
      <c r="KH113" s="136"/>
      <c r="KI113" s="136"/>
      <c r="KJ113" s="136"/>
      <c r="KK113" s="136"/>
      <c r="KL113" s="136"/>
      <c r="KM113" s="136"/>
      <c r="KN113" s="136"/>
      <c r="KO113" s="136"/>
      <c r="KP113" s="136"/>
      <c r="KQ113" s="136"/>
      <c r="KR113" s="136"/>
      <c r="KS113" s="136"/>
      <c r="KT113" s="136"/>
      <c r="KU113" s="136"/>
      <c r="KV113" s="136"/>
      <c r="KW113" s="136"/>
      <c r="KX113" s="136"/>
      <c r="KY113" s="136"/>
      <c r="KZ113" s="136"/>
      <c r="LA113" s="136"/>
      <c r="LB113" s="136"/>
      <c r="LC113" s="136"/>
      <c r="LD113" s="136"/>
      <c r="LE113" s="136"/>
      <c r="LF113" s="136"/>
      <c r="LG113" s="136"/>
      <c r="LH113" s="136"/>
      <c r="LI113" s="136"/>
      <c r="LJ113" s="136"/>
      <c r="LK113" s="136"/>
      <c r="LL113" s="136"/>
      <c r="LM113" s="136"/>
      <c r="LN113" s="136"/>
      <c r="LO113" s="136"/>
      <c r="LP113" s="136"/>
      <c r="LQ113" s="136"/>
      <c r="LR113" s="136"/>
      <c r="LS113" s="136"/>
      <c r="LT113" s="136"/>
      <c r="LU113" s="136"/>
      <c r="LV113" s="136"/>
      <c r="LW113" s="136"/>
      <c r="LX113" s="136"/>
      <c r="LY113" s="136"/>
      <c r="LZ113" s="136"/>
      <c r="MA113" s="136"/>
      <c r="MB113" s="136"/>
      <c r="MC113" s="136"/>
      <c r="MD113" s="136"/>
      <c r="ME113" s="136"/>
      <c r="MF113" s="136"/>
      <c r="MG113" s="136"/>
      <c r="MH113" s="136"/>
      <c r="MI113" s="136"/>
      <c r="MJ113" s="136"/>
      <c r="MK113" s="136"/>
      <c r="ML113" s="136"/>
      <c r="MM113" s="136"/>
      <c r="MN113" s="136"/>
      <c r="MO113" s="136"/>
      <c r="MP113" s="136"/>
      <c r="MQ113" s="136"/>
      <c r="MR113" s="136"/>
      <c r="MS113" s="136"/>
      <c r="MT113" s="136"/>
      <c r="MU113" s="136"/>
      <c r="MV113" s="136"/>
      <c r="MW113" s="136"/>
      <c r="MX113" s="136"/>
      <c r="MY113" s="136"/>
      <c r="MZ113" s="136"/>
      <c r="NA113" s="136"/>
      <c r="NB113" s="136"/>
      <c r="NC113" s="136"/>
      <c r="ND113" s="136"/>
      <c r="NE113" s="136"/>
      <c r="NF113" s="136"/>
      <c r="NG113" s="136"/>
      <c r="NH113" s="136"/>
      <c r="NI113" s="136"/>
      <c r="NJ113" s="136"/>
      <c r="NK113" s="136"/>
      <c r="NL113" s="136"/>
      <c r="NM113" s="136"/>
      <c r="NN113" s="136"/>
      <c r="NO113" s="136"/>
      <c r="NP113" s="136"/>
      <c r="NQ113" s="136"/>
      <c r="NR113" s="136"/>
      <c r="NS113" s="136"/>
      <c r="NT113" s="136"/>
      <c r="NU113" s="136"/>
      <c r="NV113" s="136"/>
      <c r="NW113" s="136"/>
      <c r="NX113" s="136"/>
      <c r="NY113" s="136"/>
      <c r="NZ113" s="136"/>
      <c r="OA113" s="136"/>
      <c r="OB113" s="136"/>
      <c r="OC113" s="136"/>
      <c r="OD113" s="136"/>
      <c r="OE113" s="136"/>
      <c r="OF113" s="136"/>
      <c r="OG113" s="136"/>
      <c r="OH113" s="136"/>
      <c r="OI113" s="136"/>
      <c r="OJ113" s="136"/>
      <c r="OK113" s="136"/>
      <c r="OL113" s="136"/>
      <c r="OM113" s="136"/>
      <c r="ON113" s="136"/>
      <c r="OO113" s="136"/>
      <c r="OP113" s="136"/>
      <c r="OQ113" s="136"/>
      <c r="OR113" s="136"/>
      <c r="OS113" s="136"/>
      <c r="OT113" s="136"/>
      <c r="OU113" s="136"/>
      <c r="OV113" s="136"/>
      <c r="OW113" s="136"/>
      <c r="OX113" s="136"/>
      <c r="OY113" s="136"/>
      <c r="OZ113" s="136"/>
      <c r="PA113" s="136"/>
      <c r="PB113" s="136"/>
      <c r="PC113" s="136"/>
      <c r="PD113" s="136"/>
      <c r="PE113" s="136"/>
      <c r="PF113" s="136"/>
      <c r="PG113" s="136"/>
      <c r="PH113" s="136"/>
      <c r="PI113" s="136"/>
      <c r="PJ113" s="136"/>
      <c r="PK113" s="136"/>
      <c r="PL113" s="136"/>
      <c r="PM113" s="136"/>
      <c r="PN113" s="136"/>
      <c r="PO113" s="136"/>
      <c r="PP113" s="136"/>
      <c r="PQ113" s="136"/>
      <c r="PR113" s="136"/>
      <c r="PS113" s="136"/>
      <c r="PT113" s="136"/>
      <c r="PU113" s="136"/>
      <c r="PV113" s="136"/>
      <c r="PW113" s="136"/>
      <c r="PX113" s="136"/>
      <c r="PY113" s="136"/>
      <c r="PZ113" s="136"/>
      <c r="QA113" s="136"/>
      <c r="QB113" s="136"/>
      <c r="QC113" s="136"/>
      <c r="QD113" s="136"/>
      <c r="QE113" s="136"/>
      <c r="QF113" s="136"/>
      <c r="QG113" s="136"/>
      <c r="QH113" s="136"/>
      <c r="QI113" s="136"/>
      <c r="QJ113" s="136"/>
      <c r="QK113" s="136"/>
      <c r="QL113" s="136"/>
      <c r="QM113" s="136"/>
      <c r="QN113" s="136"/>
      <c r="QO113" s="136"/>
      <c r="QP113" s="136"/>
      <c r="QQ113" s="136"/>
      <c r="QR113" s="136"/>
      <c r="QS113" s="136"/>
      <c r="QT113" s="136"/>
      <c r="QU113" s="136"/>
      <c r="QV113" s="136"/>
      <c r="QW113" s="136"/>
      <c r="QX113" s="136"/>
      <c r="QY113" s="136"/>
      <c r="QZ113" s="136"/>
      <c r="RA113" s="136"/>
      <c r="RB113" s="136"/>
      <c r="RC113" s="136"/>
      <c r="RD113" s="136"/>
      <c r="RE113" s="136"/>
      <c r="RF113" s="136"/>
      <c r="RG113" s="136"/>
      <c r="RH113" s="136"/>
      <c r="RI113" s="136"/>
      <c r="RJ113" s="136"/>
      <c r="RK113" s="136"/>
      <c r="RL113" s="136"/>
      <c r="RM113" s="136"/>
      <c r="RN113" s="136"/>
      <c r="RO113" s="136"/>
      <c r="RP113" s="136"/>
      <c r="RQ113" s="136"/>
      <c r="RR113" s="136"/>
      <c r="RS113" s="136"/>
      <c r="RT113" s="136"/>
      <c r="RU113" s="136"/>
      <c r="RV113" s="136"/>
      <c r="RW113" s="136"/>
      <c r="RX113" s="136"/>
      <c r="RY113" s="136"/>
      <c r="RZ113" s="136"/>
      <c r="SA113" s="136"/>
      <c r="SB113" s="136"/>
      <c r="SC113" s="136"/>
      <c r="SD113" s="136"/>
      <c r="SE113" s="136"/>
      <c r="SF113" s="136"/>
      <c r="SG113" s="136"/>
      <c r="SH113" s="136"/>
      <c r="SI113" s="136"/>
      <c r="SJ113" s="136"/>
      <c r="SK113" s="136"/>
      <c r="SL113" s="136"/>
      <c r="SM113" s="136"/>
      <c r="SN113" s="136"/>
      <c r="SO113" s="136"/>
      <c r="SP113" s="136"/>
      <c r="SQ113" s="136"/>
      <c r="SR113" s="136"/>
      <c r="SS113" s="136"/>
    </row>
    <row r="114" spans="14:513" s="135" customFormat="1" ht="14.5" x14ac:dyDescent="0.35"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  <c r="Y114" s="134"/>
      <c r="Z114" s="134"/>
      <c r="AA114" s="134"/>
      <c r="AB114" s="134"/>
      <c r="AC114" s="134"/>
      <c r="AD114" s="134"/>
      <c r="AE114" s="134"/>
      <c r="AF114" s="134"/>
      <c r="DO114" s="136"/>
      <c r="DP114" s="136"/>
      <c r="DQ114" s="136"/>
      <c r="DR114" s="136"/>
      <c r="DS114" s="136"/>
      <c r="DT114" s="136"/>
      <c r="DU114" s="136"/>
      <c r="DV114" s="136"/>
      <c r="DW114" s="136"/>
      <c r="DX114" s="136"/>
      <c r="DY114" s="136"/>
      <c r="DZ114" s="136"/>
      <c r="EA114" s="136"/>
      <c r="EB114" s="136"/>
      <c r="EC114" s="136"/>
      <c r="ED114" s="136"/>
      <c r="EE114" s="136"/>
      <c r="EF114" s="136"/>
      <c r="EG114" s="136"/>
      <c r="EH114" s="136"/>
      <c r="EI114" s="136"/>
      <c r="EJ114" s="136"/>
      <c r="EK114" s="136"/>
      <c r="EL114" s="136"/>
      <c r="EM114" s="136"/>
      <c r="EN114" s="136"/>
      <c r="EO114" s="136"/>
      <c r="EP114" s="136"/>
      <c r="EQ114" s="136"/>
      <c r="ER114" s="136"/>
      <c r="ES114" s="136"/>
      <c r="ET114" s="136"/>
      <c r="EU114" s="136"/>
      <c r="EV114" s="136"/>
      <c r="EW114" s="136"/>
      <c r="EX114" s="136"/>
      <c r="EY114" s="136"/>
      <c r="EZ114" s="136"/>
      <c r="FA114" s="136"/>
      <c r="FB114" s="136"/>
      <c r="FC114" s="136"/>
      <c r="FD114" s="136"/>
      <c r="FE114" s="136"/>
      <c r="FF114" s="136"/>
      <c r="FG114" s="136"/>
      <c r="FH114" s="136"/>
      <c r="FI114" s="136"/>
      <c r="FJ114" s="136"/>
      <c r="FK114" s="136"/>
      <c r="FL114" s="136"/>
      <c r="FM114" s="136"/>
      <c r="FN114" s="136"/>
      <c r="FO114" s="136"/>
      <c r="FP114" s="136"/>
      <c r="FQ114" s="136"/>
      <c r="FR114" s="136"/>
      <c r="FS114" s="136"/>
      <c r="FT114" s="136"/>
      <c r="FU114" s="136"/>
      <c r="FV114" s="136"/>
      <c r="FW114" s="136"/>
      <c r="FX114" s="136"/>
      <c r="FY114" s="136"/>
      <c r="FZ114" s="136"/>
      <c r="GA114" s="136"/>
      <c r="GB114" s="136"/>
      <c r="GC114" s="136"/>
      <c r="GD114" s="136"/>
      <c r="GE114" s="136"/>
      <c r="GF114" s="136"/>
      <c r="GG114" s="136"/>
      <c r="GH114" s="136"/>
      <c r="GI114" s="136"/>
      <c r="GJ114" s="136"/>
      <c r="GK114" s="136"/>
      <c r="GL114" s="136"/>
      <c r="GM114" s="136"/>
      <c r="GN114" s="136"/>
      <c r="GO114" s="136"/>
      <c r="GP114" s="136"/>
      <c r="GQ114" s="136"/>
      <c r="GR114" s="136"/>
      <c r="GS114" s="136"/>
      <c r="GT114" s="136"/>
      <c r="GU114" s="136"/>
      <c r="GV114" s="136"/>
      <c r="GW114" s="136"/>
      <c r="GX114" s="136"/>
      <c r="GY114" s="136"/>
      <c r="GZ114" s="136"/>
      <c r="HA114" s="136"/>
      <c r="HB114" s="136"/>
      <c r="HC114" s="136"/>
      <c r="HD114" s="136"/>
      <c r="HE114" s="136"/>
      <c r="HF114" s="136"/>
      <c r="HG114" s="136"/>
      <c r="HH114" s="136"/>
      <c r="HI114" s="136"/>
      <c r="HJ114" s="136"/>
      <c r="HK114" s="136"/>
      <c r="HL114" s="136"/>
      <c r="HM114" s="136"/>
      <c r="HN114" s="136"/>
      <c r="HO114" s="136"/>
      <c r="HP114" s="136"/>
      <c r="HQ114" s="136"/>
      <c r="HR114" s="136"/>
      <c r="HS114" s="136"/>
      <c r="HT114" s="136"/>
      <c r="HU114" s="136"/>
      <c r="HV114" s="136"/>
      <c r="HW114" s="136"/>
      <c r="HX114" s="136"/>
      <c r="HY114" s="136"/>
      <c r="HZ114" s="136"/>
      <c r="IA114" s="136"/>
      <c r="IB114" s="136"/>
      <c r="IC114" s="136"/>
      <c r="ID114" s="136"/>
      <c r="IE114" s="136"/>
      <c r="IF114" s="136"/>
      <c r="IG114" s="136"/>
      <c r="IH114" s="136"/>
      <c r="II114" s="136"/>
      <c r="IJ114" s="136"/>
      <c r="IK114" s="136"/>
      <c r="IL114" s="136"/>
      <c r="IM114" s="136"/>
      <c r="IN114" s="136"/>
      <c r="IO114" s="136"/>
      <c r="IP114" s="136"/>
      <c r="IQ114" s="136"/>
      <c r="IR114" s="136"/>
      <c r="IS114" s="136"/>
      <c r="IT114" s="136"/>
      <c r="IU114" s="136"/>
      <c r="IV114" s="136"/>
      <c r="IW114" s="136"/>
      <c r="IX114" s="136"/>
      <c r="IY114" s="136"/>
      <c r="IZ114" s="136"/>
      <c r="JA114" s="136"/>
      <c r="JB114" s="136"/>
      <c r="JC114" s="136"/>
      <c r="JD114" s="136"/>
      <c r="JE114" s="136"/>
      <c r="JF114" s="136"/>
      <c r="JG114" s="136"/>
      <c r="JH114" s="136"/>
      <c r="JI114" s="136"/>
      <c r="JJ114" s="136"/>
      <c r="JK114" s="136"/>
      <c r="JL114" s="136"/>
      <c r="JM114" s="136"/>
      <c r="JN114" s="136"/>
      <c r="JO114" s="136"/>
      <c r="JP114" s="136"/>
      <c r="JQ114" s="136"/>
      <c r="JR114" s="136"/>
      <c r="JS114" s="136"/>
      <c r="JT114" s="136"/>
      <c r="JU114" s="136"/>
      <c r="JV114" s="136"/>
      <c r="JW114" s="136"/>
      <c r="JX114" s="136"/>
      <c r="JY114" s="136"/>
      <c r="JZ114" s="136"/>
      <c r="KA114" s="136"/>
      <c r="KB114" s="136"/>
      <c r="KC114" s="136"/>
      <c r="KD114" s="136"/>
      <c r="KE114" s="136"/>
      <c r="KF114" s="136"/>
      <c r="KG114" s="136"/>
      <c r="KH114" s="136"/>
      <c r="KI114" s="136"/>
      <c r="KJ114" s="136"/>
      <c r="KK114" s="136"/>
      <c r="KL114" s="136"/>
      <c r="KM114" s="136"/>
      <c r="KN114" s="136"/>
      <c r="KO114" s="136"/>
      <c r="KP114" s="136"/>
      <c r="KQ114" s="136"/>
      <c r="KR114" s="136"/>
      <c r="KS114" s="136"/>
      <c r="KT114" s="136"/>
      <c r="KU114" s="136"/>
      <c r="KV114" s="136"/>
      <c r="KW114" s="136"/>
      <c r="KX114" s="136"/>
      <c r="KY114" s="136"/>
      <c r="KZ114" s="136"/>
      <c r="LA114" s="136"/>
      <c r="LB114" s="136"/>
      <c r="LC114" s="136"/>
      <c r="LD114" s="136"/>
      <c r="LE114" s="136"/>
      <c r="LF114" s="136"/>
      <c r="LG114" s="136"/>
      <c r="LH114" s="136"/>
      <c r="LI114" s="136"/>
      <c r="LJ114" s="136"/>
      <c r="LK114" s="136"/>
      <c r="LL114" s="136"/>
      <c r="LM114" s="136"/>
      <c r="LN114" s="136"/>
      <c r="LO114" s="136"/>
      <c r="LP114" s="136"/>
      <c r="LQ114" s="136"/>
      <c r="LR114" s="136"/>
      <c r="LS114" s="136"/>
      <c r="LT114" s="136"/>
      <c r="LU114" s="136"/>
      <c r="LV114" s="136"/>
      <c r="LW114" s="136"/>
      <c r="LX114" s="136"/>
      <c r="LY114" s="136"/>
      <c r="LZ114" s="136"/>
      <c r="MA114" s="136"/>
      <c r="MB114" s="136"/>
      <c r="MC114" s="136"/>
      <c r="MD114" s="136"/>
      <c r="ME114" s="136"/>
      <c r="MF114" s="136"/>
      <c r="MG114" s="136"/>
      <c r="MH114" s="136"/>
      <c r="MI114" s="136"/>
      <c r="MJ114" s="136"/>
      <c r="MK114" s="136"/>
      <c r="ML114" s="136"/>
      <c r="MM114" s="136"/>
      <c r="MN114" s="136"/>
      <c r="MO114" s="136"/>
      <c r="MP114" s="136"/>
      <c r="MQ114" s="136"/>
      <c r="MR114" s="136"/>
      <c r="MS114" s="136"/>
      <c r="MT114" s="136"/>
      <c r="MU114" s="136"/>
      <c r="MV114" s="136"/>
      <c r="MW114" s="136"/>
      <c r="MX114" s="136"/>
      <c r="MY114" s="136"/>
      <c r="MZ114" s="136"/>
      <c r="NA114" s="136"/>
      <c r="NB114" s="136"/>
      <c r="NC114" s="136"/>
      <c r="ND114" s="136"/>
      <c r="NE114" s="136"/>
      <c r="NF114" s="136"/>
      <c r="NG114" s="136"/>
      <c r="NH114" s="136"/>
      <c r="NI114" s="136"/>
      <c r="NJ114" s="136"/>
      <c r="NK114" s="136"/>
      <c r="NL114" s="136"/>
      <c r="NM114" s="136"/>
      <c r="NN114" s="136"/>
      <c r="NO114" s="136"/>
      <c r="NP114" s="136"/>
      <c r="NQ114" s="136"/>
      <c r="NR114" s="136"/>
      <c r="NS114" s="136"/>
      <c r="NT114" s="136"/>
      <c r="NU114" s="136"/>
      <c r="NV114" s="136"/>
      <c r="NW114" s="136"/>
      <c r="NX114" s="136"/>
      <c r="NY114" s="136"/>
      <c r="NZ114" s="136"/>
      <c r="OA114" s="136"/>
      <c r="OB114" s="136"/>
      <c r="OC114" s="136"/>
      <c r="OD114" s="136"/>
      <c r="OE114" s="136"/>
      <c r="OF114" s="136"/>
      <c r="OG114" s="136"/>
      <c r="OH114" s="136"/>
      <c r="OI114" s="136"/>
      <c r="OJ114" s="136"/>
      <c r="OK114" s="136"/>
      <c r="OL114" s="136"/>
      <c r="OM114" s="136"/>
      <c r="ON114" s="136"/>
      <c r="OO114" s="136"/>
      <c r="OP114" s="136"/>
      <c r="OQ114" s="136"/>
      <c r="OR114" s="136"/>
      <c r="OS114" s="136"/>
      <c r="OT114" s="136"/>
      <c r="OU114" s="136"/>
      <c r="OV114" s="136"/>
      <c r="OW114" s="136"/>
      <c r="OX114" s="136"/>
      <c r="OY114" s="136"/>
      <c r="OZ114" s="136"/>
      <c r="PA114" s="136"/>
      <c r="PB114" s="136"/>
      <c r="PC114" s="136"/>
      <c r="PD114" s="136"/>
      <c r="PE114" s="136"/>
      <c r="PF114" s="136"/>
      <c r="PG114" s="136"/>
      <c r="PH114" s="136"/>
      <c r="PI114" s="136"/>
      <c r="PJ114" s="136"/>
      <c r="PK114" s="136"/>
      <c r="PL114" s="136"/>
      <c r="PM114" s="136"/>
      <c r="PN114" s="136"/>
      <c r="PO114" s="136"/>
      <c r="PP114" s="136"/>
      <c r="PQ114" s="136"/>
      <c r="PR114" s="136"/>
      <c r="PS114" s="136"/>
      <c r="PT114" s="136"/>
      <c r="PU114" s="136"/>
      <c r="PV114" s="136"/>
      <c r="PW114" s="136"/>
      <c r="PX114" s="136"/>
      <c r="PY114" s="136"/>
      <c r="PZ114" s="136"/>
      <c r="QA114" s="136"/>
      <c r="QB114" s="136"/>
      <c r="QC114" s="136"/>
      <c r="QD114" s="136"/>
      <c r="QE114" s="136"/>
      <c r="QF114" s="136"/>
      <c r="QG114" s="136"/>
      <c r="QH114" s="136"/>
      <c r="QI114" s="136"/>
      <c r="QJ114" s="136"/>
      <c r="QK114" s="136"/>
      <c r="QL114" s="136"/>
      <c r="QM114" s="136"/>
      <c r="QN114" s="136"/>
      <c r="QO114" s="136"/>
      <c r="QP114" s="136"/>
      <c r="QQ114" s="136"/>
      <c r="QR114" s="136"/>
      <c r="QS114" s="136"/>
      <c r="QT114" s="136"/>
      <c r="QU114" s="136"/>
      <c r="QV114" s="136"/>
      <c r="QW114" s="136"/>
      <c r="QX114" s="136"/>
      <c r="QY114" s="136"/>
      <c r="QZ114" s="136"/>
      <c r="RA114" s="136"/>
      <c r="RB114" s="136"/>
      <c r="RC114" s="136"/>
      <c r="RD114" s="136"/>
      <c r="RE114" s="136"/>
      <c r="RF114" s="136"/>
      <c r="RG114" s="136"/>
      <c r="RH114" s="136"/>
      <c r="RI114" s="136"/>
      <c r="RJ114" s="136"/>
      <c r="RK114" s="136"/>
      <c r="RL114" s="136"/>
      <c r="RM114" s="136"/>
      <c r="RN114" s="136"/>
      <c r="RO114" s="136"/>
      <c r="RP114" s="136"/>
      <c r="RQ114" s="136"/>
      <c r="RR114" s="136"/>
      <c r="RS114" s="136"/>
      <c r="RT114" s="136"/>
      <c r="RU114" s="136"/>
      <c r="RV114" s="136"/>
      <c r="RW114" s="136"/>
      <c r="RX114" s="136"/>
      <c r="RY114" s="136"/>
      <c r="RZ114" s="136"/>
      <c r="SA114" s="136"/>
      <c r="SB114" s="136"/>
      <c r="SC114" s="136"/>
      <c r="SD114" s="136"/>
      <c r="SE114" s="136"/>
      <c r="SF114" s="136"/>
      <c r="SG114" s="136"/>
      <c r="SH114" s="136"/>
      <c r="SI114" s="136"/>
      <c r="SJ114" s="136"/>
      <c r="SK114" s="136"/>
      <c r="SL114" s="136"/>
      <c r="SM114" s="136"/>
      <c r="SN114" s="136"/>
      <c r="SO114" s="136"/>
      <c r="SP114" s="136"/>
      <c r="SQ114" s="136"/>
      <c r="SR114" s="136"/>
      <c r="SS114" s="136"/>
    </row>
    <row r="115" spans="14:513" s="135" customFormat="1" ht="14.5" x14ac:dyDescent="0.35"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  <c r="Y115" s="134"/>
      <c r="Z115" s="134"/>
      <c r="AA115" s="134"/>
      <c r="AB115" s="134"/>
      <c r="AC115" s="134"/>
      <c r="AD115" s="134"/>
      <c r="AE115" s="134"/>
      <c r="AF115" s="134"/>
      <c r="DO115" s="136"/>
      <c r="DP115" s="136"/>
      <c r="DQ115" s="136"/>
      <c r="DR115" s="136"/>
      <c r="DS115" s="136"/>
      <c r="DT115" s="136"/>
      <c r="DU115" s="136"/>
      <c r="DV115" s="136"/>
      <c r="DW115" s="136"/>
      <c r="DX115" s="136"/>
      <c r="DY115" s="136"/>
      <c r="DZ115" s="136"/>
      <c r="EA115" s="136"/>
      <c r="EB115" s="136"/>
      <c r="EC115" s="136"/>
      <c r="ED115" s="136"/>
      <c r="EE115" s="136"/>
      <c r="EF115" s="136"/>
      <c r="EG115" s="136"/>
      <c r="EH115" s="136"/>
      <c r="EI115" s="136"/>
      <c r="EJ115" s="136"/>
      <c r="EK115" s="136"/>
      <c r="EL115" s="136"/>
      <c r="EM115" s="136"/>
      <c r="EN115" s="136"/>
      <c r="EO115" s="136"/>
      <c r="EP115" s="136"/>
      <c r="EQ115" s="136"/>
      <c r="ER115" s="136"/>
      <c r="ES115" s="136"/>
      <c r="ET115" s="136"/>
      <c r="EU115" s="136"/>
      <c r="EV115" s="136"/>
      <c r="EW115" s="136"/>
      <c r="EX115" s="136"/>
      <c r="EY115" s="136"/>
      <c r="EZ115" s="136"/>
      <c r="FA115" s="136"/>
      <c r="FB115" s="136"/>
      <c r="FC115" s="136"/>
      <c r="FD115" s="136"/>
      <c r="FE115" s="136"/>
      <c r="FF115" s="136"/>
      <c r="FG115" s="136"/>
      <c r="FH115" s="136"/>
      <c r="FI115" s="136"/>
      <c r="FJ115" s="136"/>
      <c r="FK115" s="136"/>
      <c r="FL115" s="136"/>
      <c r="FM115" s="136"/>
      <c r="FN115" s="136"/>
      <c r="FO115" s="136"/>
      <c r="FP115" s="136"/>
      <c r="FQ115" s="136"/>
      <c r="FR115" s="136"/>
      <c r="FS115" s="136"/>
      <c r="FT115" s="136"/>
      <c r="FU115" s="136"/>
      <c r="FV115" s="136"/>
      <c r="FW115" s="136"/>
      <c r="FX115" s="136"/>
      <c r="FY115" s="136"/>
      <c r="FZ115" s="136"/>
      <c r="GA115" s="136"/>
      <c r="GB115" s="136"/>
      <c r="GC115" s="136"/>
      <c r="GD115" s="136"/>
      <c r="GE115" s="136"/>
      <c r="GF115" s="136"/>
      <c r="GG115" s="136"/>
      <c r="GH115" s="136"/>
      <c r="GI115" s="136"/>
      <c r="GJ115" s="136"/>
      <c r="GK115" s="136"/>
      <c r="GL115" s="136"/>
      <c r="GM115" s="136"/>
      <c r="GN115" s="136"/>
      <c r="GO115" s="136"/>
      <c r="GP115" s="136"/>
      <c r="GQ115" s="136"/>
      <c r="GR115" s="136"/>
      <c r="GS115" s="136"/>
      <c r="GT115" s="136"/>
      <c r="GU115" s="136"/>
      <c r="GV115" s="136"/>
      <c r="GW115" s="136"/>
      <c r="GX115" s="136"/>
      <c r="GY115" s="136"/>
      <c r="GZ115" s="136"/>
      <c r="HA115" s="136"/>
      <c r="HB115" s="136"/>
      <c r="HC115" s="136"/>
      <c r="HD115" s="136"/>
      <c r="HE115" s="136"/>
      <c r="HF115" s="136"/>
      <c r="HG115" s="136"/>
      <c r="HH115" s="136"/>
      <c r="HI115" s="136"/>
      <c r="HJ115" s="136"/>
      <c r="HK115" s="136"/>
      <c r="HL115" s="136"/>
      <c r="HM115" s="136"/>
      <c r="HN115" s="136"/>
      <c r="HO115" s="136"/>
      <c r="HP115" s="136"/>
      <c r="HQ115" s="136"/>
      <c r="HR115" s="136"/>
      <c r="HS115" s="136"/>
      <c r="HT115" s="136"/>
      <c r="HU115" s="136"/>
      <c r="HV115" s="136"/>
      <c r="HW115" s="136"/>
      <c r="HX115" s="136"/>
      <c r="HY115" s="136"/>
      <c r="HZ115" s="136"/>
      <c r="IA115" s="136"/>
      <c r="IB115" s="136"/>
      <c r="IC115" s="136"/>
      <c r="ID115" s="136"/>
      <c r="IE115" s="136"/>
      <c r="IF115" s="136"/>
      <c r="IG115" s="136"/>
      <c r="IH115" s="136"/>
      <c r="II115" s="136"/>
      <c r="IJ115" s="136"/>
      <c r="IK115" s="136"/>
      <c r="IL115" s="136"/>
      <c r="IM115" s="136"/>
      <c r="IN115" s="136"/>
      <c r="IO115" s="136"/>
      <c r="IP115" s="136"/>
      <c r="IQ115" s="136"/>
      <c r="IR115" s="136"/>
      <c r="IS115" s="136"/>
      <c r="IT115" s="136"/>
      <c r="IU115" s="136"/>
      <c r="IV115" s="136"/>
      <c r="IW115" s="136"/>
      <c r="IX115" s="136"/>
      <c r="IY115" s="136"/>
      <c r="IZ115" s="136"/>
      <c r="JA115" s="136"/>
      <c r="JB115" s="136"/>
      <c r="JC115" s="136"/>
      <c r="JD115" s="136"/>
      <c r="JE115" s="136"/>
      <c r="JF115" s="136"/>
      <c r="JG115" s="136"/>
      <c r="JH115" s="136"/>
      <c r="JI115" s="136"/>
      <c r="JJ115" s="136"/>
      <c r="JK115" s="136"/>
      <c r="JL115" s="136"/>
      <c r="JM115" s="136"/>
      <c r="JN115" s="136"/>
      <c r="JO115" s="136"/>
      <c r="JP115" s="136"/>
      <c r="JQ115" s="136"/>
      <c r="JR115" s="136"/>
      <c r="JS115" s="136"/>
      <c r="JT115" s="136"/>
      <c r="JU115" s="136"/>
      <c r="JV115" s="136"/>
      <c r="JW115" s="136"/>
      <c r="JX115" s="136"/>
      <c r="JY115" s="136"/>
      <c r="JZ115" s="136"/>
      <c r="KA115" s="136"/>
      <c r="KB115" s="136"/>
      <c r="KC115" s="136"/>
      <c r="KD115" s="136"/>
      <c r="KE115" s="136"/>
      <c r="KF115" s="136"/>
      <c r="KG115" s="136"/>
      <c r="KH115" s="136"/>
      <c r="KI115" s="136"/>
      <c r="KJ115" s="136"/>
      <c r="KK115" s="136"/>
      <c r="KL115" s="136"/>
      <c r="KM115" s="136"/>
      <c r="KN115" s="136"/>
      <c r="KO115" s="136"/>
      <c r="KP115" s="136"/>
      <c r="KQ115" s="136"/>
      <c r="KR115" s="136"/>
      <c r="KS115" s="136"/>
      <c r="KT115" s="136"/>
      <c r="KU115" s="136"/>
      <c r="KV115" s="136"/>
      <c r="KW115" s="136"/>
      <c r="KX115" s="136"/>
      <c r="KY115" s="136"/>
      <c r="KZ115" s="136"/>
      <c r="LA115" s="136"/>
      <c r="LB115" s="136"/>
      <c r="LC115" s="136"/>
      <c r="LD115" s="136"/>
      <c r="LE115" s="136"/>
      <c r="LF115" s="136"/>
      <c r="LG115" s="136"/>
      <c r="LH115" s="136"/>
      <c r="LI115" s="136"/>
      <c r="LJ115" s="136"/>
      <c r="LK115" s="136"/>
      <c r="LL115" s="136"/>
      <c r="LM115" s="136"/>
      <c r="LN115" s="136"/>
      <c r="LO115" s="136"/>
      <c r="LP115" s="136"/>
      <c r="LQ115" s="136"/>
      <c r="LR115" s="136"/>
      <c r="LS115" s="136"/>
      <c r="LT115" s="136"/>
      <c r="LU115" s="136"/>
      <c r="LV115" s="136"/>
      <c r="LW115" s="136"/>
      <c r="LX115" s="136"/>
      <c r="LY115" s="136"/>
      <c r="LZ115" s="136"/>
      <c r="MA115" s="136"/>
      <c r="MB115" s="136"/>
      <c r="MC115" s="136"/>
      <c r="MD115" s="136"/>
      <c r="ME115" s="136"/>
      <c r="MF115" s="136"/>
      <c r="MG115" s="136"/>
      <c r="MH115" s="136"/>
      <c r="MI115" s="136"/>
      <c r="MJ115" s="136"/>
      <c r="MK115" s="136"/>
      <c r="ML115" s="136"/>
      <c r="MM115" s="136"/>
      <c r="MN115" s="136"/>
      <c r="MO115" s="136"/>
      <c r="MP115" s="136"/>
      <c r="MQ115" s="136"/>
      <c r="MR115" s="136"/>
      <c r="MS115" s="136"/>
      <c r="MT115" s="136"/>
      <c r="MU115" s="136"/>
      <c r="MV115" s="136"/>
      <c r="MW115" s="136"/>
      <c r="MX115" s="136"/>
      <c r="MY115" s="136"/>
      <c r="MZ115" s="136"/>
      <c r="NA115" s="136"/>
      <c r="NB115" s="136"/>
      <c r="NC115" s="136"/>
      <c r="ND115" s="136"/>
      <c r="NE115" s="136"/>
      <c r="NF115" s="136"/>
      <c r="NG115" s="136"/>
      <c r="NH115" s="136"/>
      <c r="NI115" s="136"/>
      <c r="NJ115" s="136"/>
      <c r="NK115" s="136"/>
      <c r="NL115" s="136"/>
      <c r="NM115" s="136"/>
      <c r="NN115" s="136"/>
      <c r="NO115" s="136"/>
      <c r="NP115" s="136"/>
      <c r="NQ115" s="136"/>
      <c r="NR115" s="136"/>
      <c r="NS115" s="136"/>
      <c r="NT115" s="136"/>
      <c r="NU115" s="136"/>
      <c r="NV115" s="136"/>
      <c r="NW115" s="136"/>
      <c r="NX115" s="136"/>
      <c r="NY115" s="136"/>
      <c r="NZ115" s="136"/>
      <c r="OA115" s="136"/>
      <c r="OB115" s="136"/>
      <c r="OC115" s="136"/>
      <c r="OD115" s="136"/>
      <c r="OE115" s="136"/>
      <c r="OF115" s="136"/>
      <c r="OG115" s="136"/>
      <c r="OH115" s="136"/>
      <c r="OI115" s="136"/>
      <c r="OJ115" s="136"/>
      <c r="OK115" s="136"/>
      <c r="OL115" s="136"/>
      <c r="OM115" s="136"/>
      <c r="ON115" s="136"/>
      <c r="OO115" s="136"/>
      <c r="OP115" s="136"/>
      <c r="OQ115" s="136"/>
      <c r="OR115" s="136"/>
      <c r="OS115" s="136"/>
      <c r="OT115" s="136"/>
      <c r="OU115" s="136"/>
      <c r="OV115" s="136"/>
      <c r="OW115" s="136"/>
      <c r="OX115" s="136"/>
      <c r="OY115" s="136"/>
      <c r="OZ115" s="136"/>
      <c r="PA115" s="136"/>
      <c r="PB115" s="136"/>
      <c r="PC115" s="136"/>
      <c r="PD115" s="136"/>
      <c r="PE115" s="136"/>
      <c r="PF115" s="136"/>
      <c r="PG115" s="136"/>
      <c r="PH115" s="136"/>
      <c r="PI115" s="136"/>
      <c r="PJ115" s="136"/>
      <c r="PK115" s="136"/>
      <c r="PL115" s="136"/>
      <c r="PM115" s="136"/>
      <c r="PN115" s="136"/>
      <c r="PO115" s="136"/>
      <c r="PP115" s="136"/>
      <c r="PQ115" s="136"/>
      <c r="PR115" s="136"/>
      <c r="PS115" s="136"/>
      <c r="PT115" s="136"/>
      <c r="PU115" s="136"/>
      <c r="PV115" s="136"/>
      <c r="PW115" s="136"/>
      <c r="PX115" s="136"/>
      <c r="PY115" s="136"/>
      <c r="PZ115" s="136"/>
      <c r="QA115" s="136"/>
      <c r="QB115" s="136"/>
      <c r="QC115" s="136"/>
      <c r="QD115" s="136"/>
      <c r="QE115" s="136"/>
      <c r="QF115" s="136"/>
      <c r="QG115" s="136"/>
      <c r="QH115" s="136"/>
      <c r="QI115" s="136"/>
      <c r="QJ115" s="136"/>
      <c r="QK115" s="136"/>
      <c r="QL115" s="136"/>
      <c r="QM115" s="136"/>
      <c r="QN115" s="136"/>
      <c r="QO115" s="136"/>
      <c r="QP115" s="136"/>
      <c r="QQ115" s="136"/>
      <c r="QR115" s="136"/>
      <c r="QS115" s="136"/>
      <c r="QT115" s="136"/>
      <c r="QU115" s="136"/>
      <c r="QV115" s="136"/>
      <c r="QW115" s="136"/>
      <c r="QX115" s="136"/>
      <c r="QY115" s="136"/>
      <c r="QZ115" s="136"/>
      <c r="RA115" s="136"/>
      <c r="RB115" s="136"/>
      <c r="RC115" s="136"/>
      <c r="RD115" s="136"/>
      <c r="RE115" s="136"/>
      <c r="RF115" s="136"/>
      <c r="RG115" s="136"/>
      <c r="RH115" s="136"/>
      <c r="RI115" s="136"/>
      <c r="RJ115" s="136"/>
      <c r="RK115" s="136"/>
      <c r="RL115" s="136"/>
      <c r="RM115" s="136"/>
      <c r="RN115" s="136"/>
      <c r="RO115" s="136"/>
      <c r="RP115" s="136"/>
      <c r="RQ115" s="136"/>
      <c r="RR115" s="136"/>
      <c r="RS115" s="136"/>
      <c r="RT115" s="136"/>
      <c r="RU115" s="136"/>
      <c r="RV115" s="136"/>
      <c r="RW115" s="136"/>
      <c r="RX115" s="136"/>
      <c r="RY115" s="136"/>
      <c r="RZ115" s="136"/>
      <c r="SA115" s="136"/>
      <c r="SB115" s="136"/>
      <c r="SC115" s="136"/>
      <c r="SD115" s="136"/>
      <c r="SE115" s="136"/>
      <c r="SF115" s="136"/>
      <c r="SG115" s="136"/>
      <c r="SH115" s="136"/>
      <c r="SI115" s="136"/>
      <c r="SJ115" s="136"/>
      <c r="SK115" s="136"/>
      <c r="SL115" s="136"/>
      <c r="SM115" s="136"/>
      <c r="SN115" s="136"/>
      <c r="SO115" s="136"/>
      <c r="SP115" s="136"/>
      <c r="SQ115" s="136"/>
      <c r="SR115" s="136"/>
      <c r="SS115" s="136"/>
    </row>
    <row r="116" spans="14:513" s="135" customFormat="1" ht="14.5" x14ac:dyDescent="0.35"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  <c r="Y116" s="134"/>
      <c r="Z116" s="134"/>
      <c r="AA116" s="134"/>
      <c r="AB116" s="134"/>
      <c r="AC116" s="134"/>
      <c r="AD116" s="134"/>
      <c r="AE116" s="134"/>
      <c r="AF116" s="134"/>
      <c r="DO116" s="136"/>
      <c r="DP116" s="136"/>
      <c r="DQ116" s="136"/>
      <c r="DR116" s="136"/>
      <c r="DS116" s="136"/>
      <c r="DT116" s="136"/>
      <c r="DU116" s="136"/>
      <c r="DV116" s="136"/>
      <c r="DW116" s="136"/>
      <c r="DX116" s="136"/>
      <c r="DY116" s="136"/>
      <c r="DZ116" s="136"/>
      <c r="EA116" s="136"/>
      <c r="EB116" s="136"/>
      <c r="EC116" s="136"/>
      <c r="ED116" s="136"/>
      <c r="EE116" s="136"/>
      <c r="EF116" s="136"/>
      <c r="EG116" s="136"/>
      <c r="EH116" s="136"/>
      <c r="EI116" s="136"/>
      <c r="EJ116" s="136"/>
      <c r="EK116" s="136"/>
      <c r="EL116" s="136"/>
      <c r="EM116" s="136"/>
      <c r="EN116" s="136"/>
      <c r="EO116" s="136"/>
      <c r="EP116" s="136"/>
      <c r="EQ116" s="136"/>
      <c r="ER116" s="136"/>
      <c r="ES116" s="136"/>
      <c r="ET116" s="136"/>
      <c r="EU116" s="136"/>
      <c r="EV116" s="136"/>
      <c r="EW116" s="136"/>
      <c r="EX116" s="136"/>
      <c r="EY116" s="136"/>
      <c r="EZ116" s="136"/>
      <c r="FA116" s="136"/>
      <c r="FB116" s="136"/>
      <c r="FC116" s="136"/>
      <c r="FD116" s="136"/>
      <c r="FE116" s="136"/>
      <c r="FF116" s="136"/>
      <c r="FG116" s="136"/>
      <c r="FH116" s="136"/>
      <c r="FI116" s="136"/>
      <c r="FJ116" s="136"/>
      <c r="FK116" s="136"/>
      <c r="FL116" s="136"/>
      <c r="FM116" s="136"/>
      <c r="FN116" s="136"/>
      <c r="FO116" s="136"/>
      <c r="FP116" s="136"/>
      <c r="FQ116" s="136"/>
      <c r="FR116" s="136"/>
      <c r="FS116" s="136"/>
      <c r="FT116" s="136"/>
      <c r="FU116" s="136"/>
      <c r="FV116" s="136"/>
      <c r="FW116" s="136"/>
      <c r="FX116" s="136"/>
      <c r="FY116" s="136"/>
      <c r="FZ116" s="136"/>
      <c r="GA116" s="136"/>
      <c r="GB116" s="136"/>
      <c r="GC116" s="136"/>
      <c r="GD116" s="136"/>
      <c r="GE116" s="136"/>
      <c r="GF116" s="136"/>
      <c r="GG116" s="136"/>
      <c r="GH116" s="136"/>
      <c r="GI116" s="136"/>
      <c r="GJ116" s="136"/>
      <c r="GK116" s="136"/>
      <c r="GL116" s="136"/>
      <c r="GM116" s="136"/>
      <c r="GN116" s="136"/>
      <c r="GO116" s="136"/>
      <c r="GP116" s="136"/>
      <c r="GQ116" s="136"/>
      <c r="GR116" s="136"/>
      <c r="GS116" s="136"/>
      <c r="GT116" s="136"/>
      <c r="GU116" s="136"/>
      <c r="GV116" s="136"/>
      <c r="GW116" s="136"/>
      <c r="GX116" s="136"/>
      <c r="GY116" s="136"/>
      <c r="GZ116" s="136"/>
      <c r="HA116" s="136"/>
      <c r="HB116" s="136"/>
      <c r="HC116" s="136"/>
      <c r="HD116" s="136"/>
      <c r="HE116" s="136"/>
      <c r="HF116" s="136"/>
      <c r="HG116" s="136"/>
      <c r="HH116" s="136"/>
      <c r="HI116" s="136"/>
      <c r="HJ116" s="136"/>
      <c r="HK116" s="136"/>
      <c r="HL116" s="136"/>
      <c r="HM116" s="136"/>
      <c r="HN116" s="136"/>
      <c r="HO116" s="136"/>
      <c r="HP116" s="136"/>
      <c r="HQ116" s="136"/>
      <c r="HR116" s="136"/>
      <c r="HS116" s="136"/>
      <c r="HT116" s="136"/>
      <c r="HU116" s="136"/>
      <c r="HV116" s="136"/>
      <c r="HW116" s="136"/>
      <c r="HX116" s="136"/>
      <c r="HY116" s="136"/>
      <c r="HZ116" s="136"/>
      <c r="IA116" s="136"/>
      <c r="IB116" s="136"/>
      <c r="IC116" s="136"/>
      <c r="ID116" s="136"/>
      <c r="IE116" s="136"/>
      <c r="IF116" s="136"/>
      <c r="IG116" s="136"/>
      <c r="IH116" s="136"/>
      <c r="II116" s="136"/>
      <c r="IJ116" s="136"/>
      <c r="IK116" s="136"/>
      <c r="IL116" s="136"/>
      <c r="IM116" s="136"/>
      <c r="IN116" s="136"/>
      <c r="IO116" s="136"/>
      <c r="IP116" s="136"/>
      <c r="IQ116" s="136"/>
      <c r="IR116" s="136"/>
      <c r="IS116" s="136"/>
      <c r="IT116" s="136"/>
      <c r="IU116" s="136"/>
      <c r="IV116" s="136"/>
      <c r="IW116" s="136"/>
      <c r="IX116" s="136"/>
      <c r="IY116" s="136"/>
      <c r="IZ116" s="136"/>
      <c r="JA116" s="136"/>
      <c r="JB116" s="136"/>
      <c r="JC116" s="136"/>
      <c r="JD116" s="136"/>
      <c r="JE116" s="136"/>
      <c r="JF116" s="136"/>
      <c r="JG116" s="136"/>
      <c r="JH116" s="136"/>
      <c r="JI116" s="136"/>
      <c r="JJ116" s="136"/>
      <c r="JK116" s="136"/>
      <c r="JL116" s="136"/>
      <c r="JM116" s="136"/>
      <c r="JN116" s="136"/>
      <c r="JO116" s="136"/>
      <c r="JP116" s="136"/>
      <c r="JQ116" s="136"/>
      <c r="JR116" s="136"/>
      <c r="JS116" s="136"/>
      <c r="JT116" s="136"/>
      <c r="JU116" s="136"/>
      <c r="JV116" s="136"/>
      <c r="JW116" s="136"/>
      <c r="JX116" s="136"/>
      <c r="JY116" s="136"/>
      <c r="JZ116" s="136"/>
      <c r="KA116" s="136"/>
      <c r="KB116" s="136"/>
      <c r="KC116" s="136"/>
      <c r="KD116" s="136"/>
      <c r="KE116" s="136"/>
      <c r="KF116" s="136"/>
      <c r="KG116" s="136"/>
      <c r="KH116" s="136"/>
      <c r="KI116" s="136"/>
      <c r="KJ116" s="136"/>
      <c r="KK116" s="136"/>
      <c r="KL116" s="136"/>
      <c r="KM116" s="136"/>
      <c r="KN116" s="136"/>
      <c r="KO116" s="136"/>
      <c r="KP116" s="136"/>
      <c r="KQ116" s="136"/>
      <c r="KR116" s="136"/>
      <c r="KS116" s="136"/>
      <c r="KT116" s="136"/>
      <c r="KU116" s="136"/>
      <c r="KV116" s="136"/>
      <c r="KW116" s="136"/>
      <c r="KX116" s="136"/>
      <c r="KY116" s="136"/>
      <c r="KZ116" s="136"/>
      <c r="LA116" s="136"/>
      <c r="LB116" s="136"/>
      <c r="LC116" s="136"/>
      <c r="LD116" s="136"/>
      <c r="LE116" s="136"/>
      <c r="LF116" s="136"/>
      <c r="LG116" s="136"/>
      <c r="LH116" s="136"/>
      <c r="LI116" s="136"/>
      <c r="LJ116" s="136"/>
      <c r="LK116" s="136"/>
      <c r="LL116" s="136"/>
      <c r="LM116" s="136"/>
      <c r="LN116" s="136"/>
      <c r="LO116" s="136"/>
      <c r="LP116" s="136"/>
      <c r="LQ116" s="136"/>
      <c r="LR116" s="136"/>
      <c r="LS116" s="136"/>
      <c r="LT116" s="136"/>
      <c r="LU116" s="136"/>
      <c r="LV116" s="136"/>
      <c r="LW116" s="136"/>
      <c r="LX116" s="136"/>
      <c r="LY116" s="136"/>
      <c r="LZ116" s="136"/>
      <c r="MA116" s="136"/>
      <c r="MB116" s="136"/>
      <c r="MC116" s="136"/>
      <c r="MD116" s="136"/>
      <c r="ME116" s="136"/>
      <c r="MF116" s="136"/>
      <c r="MG116" s="136"/>
      <c r="MH116" s="136"/>
      <c r="MI116" s="136"/>
      <c r="MJ116" s="136"/>
      <c r="MK116" s="136"/>
      <c r="ML116" s="136"/>
      <c r="MM116" s="136"/>
      <c r="MN116" s="136"/>
      <c r="MO116" s="136"/>
      <c r="MP116" s="136"/>
      <c r="MQ116" s="136"/>
      <c r="MR116" s="136"/>
      <c r="MS116" s="136"/>
      <c r="MT116" s="136"/>
      <c r="MU116" s="136"/>
      <c r="MV116" s="136"/>
      <c r="MW116" s="136"/>
      <c r="MX116" s="136"/>
      <c r="MY116" s="136"/>
      <c r="MZ116" s="136"/>
      <c r="NA116" s="136"/>
      <c r="NB116" s="136"/>
      <c r="NC116" s="136"/>
      <c r="ND116" s="136"/>
      <c r="NE116" s="136"/>
      <c r="NF116" s="136"/>
      <c r="NG116" s="136"/>
      <c r="NH116" s="136"/>
      <c r="NI116" s="136"/>
      <c r="NJ116" s="136"/>
      <c r="NK116" s="136"/>
      <c r="NL116" s="136"/>
      <c r="NM116" s="136"/>
      <c r="NN116" s="136"/>
      <c r="NO116" s="136"/>
      <c r="NP116" s="136"/>
      <c r="NQ116" s="136"/>
      <c r="NR116" s="136"/>
      <c r="NS116" s="136"/>
      <c r="NT116" s="136"/>
      <c r="NU116" s="136"/>
      <c r="NV116" s="136"/>
      <c r="NW116" s="136"/>
      <c r="NX116" s="136"/>
      <c r="NY116" s="136"/>
      <c r="NZ116" s="136"/>
      <c r="OA116" s="136"/>
      <c r="OB116" s="136"/>
      <c r="OC116" s="136"/>
      <c r="OD116" s="136"/>
      <c r="OE116" s="136"/>
      <c r="OF116" s="136"/>
      <c r="OG116" s="136"/>
      <c r="OH116" s="136"/>
      <c r="OI116" s="136"/>
      <c r="OJ116" s="136"/>
      <c r="OK116" s="136"/>
      <c r="OL116" s="136"/>
      <c r="OM116" s="136"/>
      <c r="ON116" s="136"/>
      <c r="OO116" s="136"/>
      <c r="OP116" s="136"/>
      <c r="OQ116" s="136"/>
      <c r="OR116" s="136"/>
      <c r="OS116" s="136"/>
      <c r="OT116" s="136"/>
      <c r="OU116" s="136"/>
      <c r="OV116" s="136"/>
      <c r="OW116" s="136"/>
      <c r="OX116" s="136"/>
      <c r="OY116" s="136"/>
      <c r="OZ116" s="136"/>
      <c r="PA116" s="136"/>
      <c r="PB116" s="136"/>
      <c r="PC116" s="136"/>
      <c r="PD116" s="136"/>
      <c r="PE116" s="136"/>
      <c r="PF116" s="136"/>
      <c r="PG116" s="136"/>
      <c r="PH116" s="136"/>
      <c r="PI116" s="136"/>
      <c r="PJ116" s="136"/>
      <c r="PK116" s="136"/>
      <c r="PL116" s="136"/>
      <c r="PM116" s="136"/>
      <c r="PN116" s="136"/>
      <c r="PO116" s="136"/>
      <c r="PP116" s="136"/>
      <c r="PQ116" s="136"/>
      <c r="PR116" s="136"/>
      <c r="PS116" s="136"/>
      <c r="PT116" s="136"/>
      <c r="PU116" s="136"/>
      <c r="PV116" s="136"/>
      <c r="PW116" s="136"/>
      <c r="PX116" s="136"/>
      <c r="PY116" s="136"/>
      <c r="PZ116" s="136"/>
      <c r="QA116" s="136"/>
      <c r="QB116" s="136"/>
      <c r="QC116" s="136"/>
      <c r="QD116" s="136"/>
      <c r="QE116" s="136"/>
      <c r="QF116" s="136"/>
      <c r="QG116" s="136"/>
      <c r="QH116" s="136"/>
      <c r="QI116" s="136"/>
      <c r="QJ116" s="136"/>
      <c r="QK116" s="136"/>
      <c r="QL116" s="136"/>
      <c r="QM116" s="136"/>
      <c r="QN116" s="136"/>
      <c r="QO116" s="136"/>
      <c r="QP116" s="136"/>
      <c r="QQ116" s="136"/>
      <c r="QR116" s="136"/>
      <c r="QS116" s="136"/>
      <c r="QT116" s="136"/>
      <c r="QU116" s="136"/>
      <c r="QV116" s="136"/>
      <c r="QW116" s="136"/>
      <c r="QX116" s="136"/>
      <c r="QY116" s="136"/>
      <c r="QZ116" s="136"/>
      <c r="RA116" s="136"/>
      <c r="RB116" s="136"/>
      <c r="RC116" s="136"/>
      <c r="RD116" s="136"/>
      <c r="RE116" s="136"/>
      <c r="RF116" s="136"/>
      <c r="RG116" s="136"/>
      <c r="RH116" s="136"/>
      <c r="RI116" s="136"/>
      <c r="RJ116" s="136"/>
      <c r="RK116" s="136"/>
      <c r="RL116" s="136"/>
      <c r="RM116" s="136"/>
      <c r="RN116" s="136"/>
      <c r="RO116" s="136"/>
      <c r="RP116" s="136"/>
      <c r="RQ116" s="136"/>
      <c r="RR116" s="136"/>
      <c r="RS116" s="136"/>
      <c r="RT116" s="136"/>
      <c r="RU116" s="136"/>
      <c r="RV116" s="136"/>
      <c r="RW116" s="136"/>
      <c r="RX116" s="136"/>
      <c r="RY116" s="136"/>
      <c r="RZ116" s="136"/>
      <c r="SA116" s="136"/>
      <c r="SB116" s="136"/>
      <c r="SC116" s="136"/>
      <c r="SD116" s="136"/>
      <c r="SE116" s="136"/>
      <c r="SF116" s="136"/>
      <c r="SG116" s="136"/>
      <c r="SH116" s="136"/>
      <c r="SI116" s="136"/>
      <c r="SJ116" s="136"/>
      <c r="SK116" s="136"/>
      <c r="SL116" s="136"/>
      <c r="SM116" s="136"/>
      <c r="SN116" s="136"/>
      <c r="SO116" s="136"/>
      <c r="SP116" s="136"/>
      <c r="SQ116" s="136"/>
      <c r="SR116" s="136"/>
      <c r="SS116" s="136"/>
    </row>
    <row r="117" spans="14:513" s="135" customFormat="1" ht="14.5" x14ac:dyDescent="0.35"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  <c r="DO117" s="136"/>
      <c r="DP117" s="136"/>
      <c r="DQ117" s="136"/>
      <c r="DR117" s="136"/>
      <c r="DS117" s="136"/>
      <c r="DT117" s="136"/>
      <c r="DU117" s="136"/>
      <c r="DV117" s="136"/>
      <c r="DW117" s="136"/>
      <c r="DX117" s="136"/>
      <c r="DY117" s="136"/>
      <c r="DZ117" s="136"/>
      <c r="EA117" s="136"/>
      <c r="EB117" s="136"/>
      <c r="EC117" s="136"/>
      <c r="ED117" s="136"/>
      <c r="EE117" s="136"/>
      <c r="EF117" s="136"/>
      <c r="EG117" s="136"/>
      <c r="EH117" s="136"/>
      <c r="EI117" s="136"/>
      <c r="EJ117" s="136"/>
      <c r="EK117" s="136"/>
      <c r="EL117" s="136"/>
      <c r="EM117" s="136"/>
      <c r="EN117" s="136"/>
      <c r="EO117" s="136"/>
      <c r="EP117" s="136"/>
      <c r="EQ117" s="136"/>
      <c r="ER117" s="136"/>
      <c r="ES117" s="136"/>
      <c r="ET117" s="136"/>
      <c r="EU117" s="136"/>
      <c r="EV117" s="136"/>
      <c r="EW117" s="136"/>
      <c r="EX117" s="136"/>
      <c r="EY117" s="136"/>
      <c r="EZ117" s="136"/>
      <c r="FA117" s="136"/>
      <c r="FB117" s="136"/>
      <c r="FC117" s="136"/>
      <c r="FD117" s="136"/>
      <c r="FE117" s="136"/>
      <c r="FF117" s="136"/>
      <c r="FG117" s="136"/>
      <c r="FH117" s="136"/>
      <c r="FI117" s="136"/>
      <c r="FJ117" s="136"/>
      <c r="FK117" s="136"/>
      <c r="FL117" s="136"/>
      <c r="FM117" s="136"/>
      <c r="FN117" s="136"/>
      <c r="FO117" s="136"/>
      <c r="FP117" s="136"/>
      <c r="FQ117" s="136"/>
      <c r="FR117" s="136"/>
      <c r="FS117" s="136"/>
      <c r="FT117" s="136"/>
      <c r="FU117" s="136"/>
      <c r="FV117" s="136"/>
      <c r="FW117" s="136"/>
      <c r="FX117" s="136"/>
      <c r="FY117" s="136"/>
      <c r="FZ117" s="136"/>
      <c r="GA117" s="136"/>
      <c r="GB117" s="136"/>
      <c r="GC117" s="136"/>
      <c r="GD117" s="136"/>
      <c r="GE117" s="136"/>
      <c r="GF117" s="136"/>
      <c r="GG117" s="136"/>
      <c r="GH117" s="136"/>
      <c r="GI117" s="136"/>
      <c r="GJ117" s="136"/>
      <c r="GK117" s="136"/>
      <c r="GL117" s="136"/>
      <c r="GM117" s="136"/>
      <c r="GN117" s="136"/>
      <c r="GO117" s="136"/>
      <c r="GP117" s="136"/>
      <c r="GQ117" s="136"/>
      <c r="GR117" s="136"/>
      <c r="GS117" s="136"/>
      <c r="GT117" s="136"/>
      <c r="GU117" s="136"/>
      <c r="GV117" s="136"/>
      <c r="GW117" s="136"/>
      <c r="GX117" s="136"/>
      <c r="GY117" s="136"/>
      <c r="GZ117" s="136"/>
      <c r="HA117" s="136"/>
      <c r="HB117" s="136"/>
      <c r="HC117" s="136"/>
      <c r="HD117" s="136"/>
      <c r="HE117" s="136"/>
      <c r="HF117" s="136"/>
      <c r="HG117" s="136"/>
      <c r="HH117" s="136"/>
      <c r="HI117" s="136"/>
      <c r="HJ117" s="136"/>
      <c r="HK117" s="136"/>
      <c r="HL117" s="136"/>
      <c r="HM117" s="136"/>
      <c r="HN117" s="136"/>
      <c r="HO117" s="136"/>
      <c r="HP117" s="136"/>
      <c r="HQ117" s="136"/>
      <c r="HR117" s="136"/>
      <c r="HS117" s="136"/>
      <c r="HT117" s="136"/>
      <c r="HU117" s="136"/>
      <c r="HV117" s="136"/>
      <c r="HW117" s="136"/>
      <c r="HX117" s="136"/>
      <c r="HY117" s="136"/>
      <c r="HZ117" s="136"/>
      <c r="IA117" s="136"/>
      <c r="IB117" s="136"/>
      <c r="IC117" s="136"/>
      <c r="ID117" s="136"/>
      <c r="IE117" s="136"/>
      <c r="IF117" s="136"/>
      <c r="IG117" s="136"/>
      <c r="IH117" s="136"/>
      <c r="II117" s="136"/>
      <c r="IJ117" s="136"/>
      <c r="IK117" s="136"/>
      <c r="IL117" s="136"/>
      <c r="IM117" s="136"/>
      <c r="IN117" s="136"/>
      <c r="IO117" s="136"/>
      <c r="IP117" s="136"/>
      <c r="IQ117" s="136"/>
      <c r="IR117" s="136"/>
      <c r="IS117" s="136"/>
      <c r="IT117" s="136"/>
      <c r="IU117" s="136"/>
      <c r="IV117" s="136"/>
      <c r="IW117" s="136"/>
      <c r="IX117" s="136"/>
      <c r="IY117" s="136"/>
      <c r="IZ117" s="136"/>
      <c r="JA117" s="136"/>
      <c r="JB117" s="136"/>
      <c r="JC117" s="136"/>
      <c r="JD117" s="136"/>
      <c r="JE117" s="136"/>
      <c r="JF117" s="136"/>
      <c r="JG117" s="136"/>
      <c r="JH117" s="136"/>
      <c r="JI117" s="136"/>
      <c r="JJ117" s="136"/>
      <c r="JK117" s="136"/>
      <c r="JL117" s="136"/>
      <c r="JM117" s="136"/>
      <c r="JN117" s="136"/>
      <c r="JO117" s="136"/>
      <c r="JP117" s="136"/>
      <c r="JQ117" s="136"/>
      <c r="JR117" s="136"/>
      <c r="JS117" s="136"/>
      <c r="JT117" s="136"/>
      <c r="JU117" s="136"/>
      <c r="JV117" s="136"/>
      <c r="JW117" s="136"/>
      <c r="JX117" s="136"/>
      <c r="JY117" s="136"/>
      <c r="JZ117" s="136"/>
      <c r="KA117" s="136"/>
      <c r="KB117" s="136"/>
      <c r="KC117" s="136"/>
      <c r="KD117" s="136"/>
      <c r="KE117" s="136"/>
      <c r="KF117" s="136"/>
      <c r="KG117" s="136"/>
      <c r="KH117" s="136"/>
      <c r="KI117" s="136"/>
      <c r="KJ117" s="136"/>
      <c r="KK117" s="136"/>
      <c r="KL117" s="136"/>
      <c r="KM117" s="136"/>
      <c r="KN117" s="136"/>
      <c r="KO117" s="136"/>
      <c r="KP117" s="136"/>
      <c r="KQ117" s="136"/>
      <c r="KR117" s="136"/>
      <c r="KS117" s="136"/>
      <c r="KT117" s="136"/>
      <c r="KU117" s="136"/>
      <c r="KV117" s="136"/>
      <c r="KW117" s="136"/>
      <c r="KX117" s="136"/>
      <c r="KY117" s="136"/>
      <c r="KZ117" s="136"/>
      <c r="LA117" s="136"/>
      <c r="LB117" s="136"/>
      <c r="LC117" s="136"/>
      <c r="LD117" s="136"/>
      <c r="LE117" s="136"/>
      <c r="LF117" s="136"/>
      <c r="LG117" s="136"/>
      <c r="LH117" s="136"/>
      <c r="LI117" s="136"/>
      <c r="LJ117" s="136"/>
      <c r="LK117" s="136"/>
      <c r="LL117" s="136"/>
      <c r="LM117" s="136"/>
      <c r="LN117" s="136"/>
      <c r="LO117" s="136"/>
      <c r="LP117" s="136"/>
      <c r="LQ117" s="136"/>
      <c r="LR117" s="136"/>
      <c r="LS117" s="136"/>
      <c r="LT117" s="136"/>
      <c r="LU117" s="136"/>
      <c r="LV117" s="136"/>
      <c r="LW117" s="136"/>
      <c r="LX117" s="136"/>
      <c r="LY117" s="136"/>
      <c r="LZ117" s="136"/>
      <c r="MA117" s="136"/>
      <c r="MB117" s="136"/>
      <c r="MC117" s="136"/>
      <c r="MD117" s="136"/>
      <c r="ME117" s="136"/>
      <c r="MF117" s="136"/>
      <c r="MG117" s="136"/>
      <c r="MH117" s="136"/>
      <c r="MI117" s="136"/>
      <c r="MJ117" s="136"/>
      <c r="MK117" s="136"/>
      <c r="ML117" s="136"/>
      <c r="MM117" s="136"/>
      <c r="MN117" s="136"/>
      <c r="MO117" s="136"/>
      <c r="MP117" s="136"/>
      <c r="MQ117" s="136"/>
      <c r="MR117" s="136"/>
      <c r="MS117" s="136"/>
      <c r="MT117" s="136"/>
      <c r="MU117" s="136"/>
      <c r="MV117" s="136"/>
      <c r="MW117" s="136"/>
      <c r="MX117" s="136"/>
      <c r="MY117" s="136"/>
      <c r="MZ117" s="136"/>
      <c r="NA117" s="136"/>
      <c r="NB117" s="136"/>
      <c r="NC117" s="136"/>
      <c r="ND117" s="136"/>
      <c r="NE117" s="136"/>
      <c r="NF117" s="136"/>
      <c r="NG117" s="136"/>
      <c r="NH117" s="136"/>
      <c r="NI117" s="136"/>
      <c r="NJ117" s="136"/>
      <c r="NK117" s="136"/>
      <c r="NL117" s="136"/>
      <c r="NM117" s="136"/>
      <c r="NN117" s="136"/>
      <c r="NO117" s="136"/>
      <c r="NP117" s="136"/>
      <c r="NQ117" s="136"/>
      <c r="NR117" s="136"/>
      <c r="NS117" s="136"/>
      <c r="NT117" s="136"/>
      <c r="NU117" s="136"/>
      <c r="NV117" s="136"/>
      <c r="NW117" s="136"/>
      <c r="NX117" s="136"/>
      <c r="NY117" s="136"/>
      <c r="NZ117" s="136"/>
      <c r="OA117" s="136"/>
      <c r="OB117" s="136"/>
      <c r="OC117" s="136"/>
      <c r="OD117" s="136"/>
      <c r="OE117" s="136"/>
      <c r="OF117" s="136"/>
      <c r="OG117" s="136"/>
      <c r="OH117" s="136"/>
      <c r="OI117" s="136"/>
      <c r="OJ117" s="136"/>
      <c r="OK117" s="136"/>
      <c r="OL117" s="136"/>
      <c r="OM117" s="136"/>
      <c r="ON117" s="136"/>
      <c r="OO117" s="136"/>
      <c r="OP117" s="136"/>
      <c r="OQ117" s="136"/>
      <c r="OR117" s="136"/>
      <c r="OS117" s="136"/>
      <c r="OT117" s="136"/>
      <c r="OU117" s="136"/>
      <c r="OV117" s="136"/>
      <c r="OW117" s="136"/>
      <c r="OX117" s="136"/>
      <c r="OY117" s="136"/>
      <c r="OZ117" s="136"/>
      <c r="PA117" s="136"/>
      <c r="PB117" s="136"/>
      <c r="PC117" s="136"/>
      <c r="PD117" s="136"/>
      <c r="PE117" s="136"/>
      <c r="PF117" s="136"/>
      <c r="PG117" s="136"/>
      <c r="PH117" s="136"/>
      <c r="PI117" s="136"/>
      <c r="PJ117" s="136"/>
      <c r="PK117" s="136"/>
      <c r="PL117" s="136"/>
      <c r="PM117" s="136"/>
      <c r="PN117" s="136"/>
      <c r="PO117" s="136"/>
      <c r="PP117" s="136"/>
      <c r="PQ117" s="136"/>
      <c r="PR117" s="136"/>
      <c r="PS117" s="136"/>
      <c r="PT117" s="136"/>
      <c r="PU117" s="136"/>
      <c r="PV117" s="136"/>
      <c r="PW117" s="136"/>
      <c r="PX117" s="136"/>
      <c r="PY117" s="136"/>
      <c r="PZ117" s="136"/>
      <c r="QA117" s="136"/>
      <c r="QB117" s="136"/>
      <c r="QC117" s="136"/>
      <c r="QD117" s="136"/>
      <c r="QE117" s="136"/>
      <c r="QF117" s="136"/>
      <c r="QG117" s="136"/>
      <c r="QH117" s="136"/>
      <c r="QI117" s="136"/>
      <c r="QJ117" s="136"/>
      <c r="QK117" s="136"/>
      <c r="QL117" s="136"/>
      <c r="QM117" s="136"/>
      <c r="QN117" s="136"/>
      <c r="QO117" s="136"/>
      <c r="QP117" s="136"/>
      <c r="QQ117" s="136"/>
      <c r="QR117" s="136"/>
      <c r="QS117" s="136"/>
      <c r="QT117" s="136"/>
      <c r="QU117" s="136"/>
      <c r="QV117" s="136"/>
      <c r="QW117" s="136"/>
      <c r="QX117" s="136"/>
      <c r="QY117" s="136"/>
      <c r="QZ117" s="136"/>
      <c r="RA117" s="136"/>
      <c r="RB117" s="136"/>
      <c r="RC117" s="136"/>
      <c r="RD117" s="136"/>
      <c r="RE117" s="136"/>
      <c r="RF117" s="136"/>
      <c r="RG117" s="136"/>
      <c r="RH117" s="136"/>
      <c r="RI117" s="136"/>
      <c r="RJ117" s="136"/>
      <c r="RK117" s="136"/>
      <c r="RL117" s="136"/>
      <c r="RM117" s="136"/>
      <c r="RN117" s="136"/>
      <c r="RO117" s="136"/>
      <c r="RP117" s="136"/>
      <c r="RQ117" s="136"/>
      <c r="RR117" s="136"/>
      <c r="RS117" s="136"/>
      <c r="RT117" s="136"/>
      <c r="RU117" s="136"/>
      <c r="RV117" s="136"/>
      <c r="RW117" s="136"/>
      <c r="RX117" s="136"/>
      <c r="RY117" s="136"/>
      <c r="RZ117" s="136"/>
      <c r="SA117" s="136"/>
      <c r="SB117" s="136"/>
      <c r="SC117" s="136"/>
      <c r="SD117" s="136"/>
      <c r="SE117" s="136"/>
      <c r="SF117" s="136"/>
      <c r="SG117" s="136"/>
      <c r="SH117" s="136"/>
      <c r="SI117" s="136"/>
      <c r="SJ117" s="136"/>
      <c r="SK117" s="136"/>
      <c r="SL117" s="136"/>
      <c r="SM117" s="136"/>
      <c r="SN117" s="136"/>
      <c r="SO117" s="136"/>
      <c r="SP117" s="136"/>
      <c r="SQ117" s="136"/>
      <c r="SR117" s="136"/>
      <c r="SS117" s="136"/>
    </row>
    <row r="118" spans="14:513" s="135" customFormat="1" ht="14.5" x14ac:dyDescent="0.35"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  <c r="Y118" s="134"/>
      <c r="Z118" s="134"/>
      <c r="AA118" s="134"/>
      <c r="AB118" s="134"/>
      <c r="AC118" s="134"/>
      <c r="AD118" s="134"/>
      <c r="AE118" s="134"/>
      <c r="AF118" s="134"/>
      <c r="DO118" s="136"/>
      <c r="DP118" s="136"/>
      <c r="DQ118" s="136"/>
      <c r="DR118" s="136"/>
      <c r="DS118" s="136"/>
      <c r="DT118" s="136"/>
      <c r="DU118" s="136"/>
      <c r="DV118" s="136"/>
      <c r="DW118" s="136"/>
      <c r="DX118" s="136"/>
      <c r="DY118" s="136"/>
      <c r="DZ118" s="136"/>
      <c r="EA118" s="136"/>
      <c r="EB118" s="136"/>
      <c r="EC118" s="136"/>
      <c r="ED118" s="136"/>
      <c r="EE118" s="136"/>
      <c r="EF118" s="136"/>
      <c r="EG118" s="136"/>
      <c r="EH118" s="136"/>
      <c r="EI118" s="136"/>
      <c r="EJ118" s="136"/>
      <c r="EK118" s="136"/>
      <c r="EL118" s="136"/>
      <c r="EM118" s="136"/>
      <c r="EN118" s="136"/>
      <c r="EO118" s="136"/>
      <c r="EP118" s="136"/>
      <c r="EQ118" s="136"/>
      <c r="ER118" s="136"/>
      <c r="ES118" s="136"/>
      <c r="ET118" s="136"/>
      <c r="EU118" s="136"/>
      <c r="EV118" s="136"/>
      <c r="EW118" s="136"/>
      <c r="EX118" s="136"/>
      <c r="EY118" s="136"/>
      <c r="EZ118" s="136"/>
      <c r="FA118" s="136"/>
      <c r="FB118" s="136"/>
      <c r="FC118" s="136"/>
      <c r="FD118" s="136"/>
      <c r="FE118" s="136"/>
      <c r="FF118" s="136"/>
      <c r="FG118" s="136"/>
      <c r="FH118" s="136"/>
      <c r="FI118" s="136"/>
      <c r="FJ118" s="136"/>
      <c r="FK118" s="136"/>
      <c r="FL118" s="136"/>
      <c r="FM118" s="136"/>
      <c r="FN118" s="136"/>
      <c r="FO118" s="136"/>
      <c r="FP118" s="136"/>
      <c r="FQ118" s="136"/>
      <c r="FR118" s="136"/>
      <c r="FS118" s="136"/>
      <c r="FT118" s="136"/>
      <c r="FU118" s="136"/>
      <c r="FV118" s="136"/>
      <c r="FW118" s="136"/>
      <c r="FX118" s="136"/>
      <c r="FY118" s="136"/>
      <c r="FZ118" s="136"/>
      <c r="GA118" s="136"/>
      <c r="GB118" s="136"/>
      <c r="GC118" s="136"/>
      <c r="GD118" s="136"/>
      <c r="GE118" s="136"/>
      <c r="GF118" s="136"/>
      <c r="GG118" s="136"/>
      <c r="GH118" s="136"/>
      <c r="GI118" s="136"/>
      <c r="GJ118" s="136"/>
      <c r="GK118" s="136"/>
      <c r="GL118" s="136"/>
      <c r="GM118" s="136"/>
      <c r="GN118" s="136"/>
      <c r="GO118" s="136"/>
      <c r="GP118" s="136"/>
      <c r="GQ118" s="136"/>
      <c r="GR118" s="136"/>
      <c r="GS118" s="136"/>
      <c r="GT118" s="136"/>
      <c r="GU118" s="136"/>
      <c r="GV118" s="136"/>
      <c r="GW118" s="136"/>
      <c r="GX118" s="136"/>
      <c r="GY118" s="136"/>
      <c r="GZ118" s="136"/>
      <c r="HA118" s="136"/>
      <c r="HB118" s="136"/>
      <c r="HC118" s="136"/>
      <c r="HD118" s="136"/>
      <c r="HE118" s="136"/>
      <c r="HF118" s="136"/>
      <c r="HG118" s="136"/>
      <c r="HH118" s="136"/>
      <c r="HI118" s="136"/>
      <c r="HJ118" s="136"/>
      <c r="HK118" s="136"/>
      <c r="HL118" s="136"/>
      <c r="HM118" s="136"/>
      <c r="HN118" s="136"/>
      <c r="HO118" s="136"/>
      <c r="HP118" s="136"/>
      <c r="HQ118" s="136"/>
      <c r="HR118" s="136"/>
      <c r="HS118" s="136"/>
      <c r="HT118" s="136"/>
      <c r="HU118" s="136"/>
      <c r="HV118" s="136"/>
      <c r="HW118" s="136"/>
      <c r="HX118" s="136"/>
      <c r="HY118" s="136"/>
      <c r="HZ118" s="136"/>
      <c r="IA118" s="136"/>
      <c r="IB118" s="136"/>
      <c r="IC118" s="136"/>
      <c r="ID118" s="136"/>
      <c r="IE118" s="136"/>
      <c r="IF118" s="136"/>
      <c r="IG118" s="136"/>
      <c r="IH118" s="136"/>
      <c r="II118" s="136"/>
      <c r="IJ118" s="136"/>
      <c r="IK118" s="136"/>
      <c r="IL118" s="136"/>
      <c r="IM118" s="136"/>
      <c r="IN118" s="136"/>
      <c r="IO118" s="136"/>
      <c r="IP118" s="136"/>
      <c r="IQ118" s="136"/>
      <c r="IR118" s="136"/>
      <c r="IS118" s="136"/>
      <c r="IT118" s="136"/>
      <c r="IU118" s="136"/>
      <c r="IV118" s="136"/>
      <c r="IW118" s="136"/>
      <c r="IX118" s="136"/>
      <c r="IY118" s="136"/>
      <c r="IZ118" s="136"/>
      <c r="JA118" s="136"/>
      <c r="JB118" s="136"/>
      <c r="JC118" s="136"/>
      <c r="JD118" s="136"/>
      <c r="JE118" s="136"/>
      <c r="JF118" s="136"/>
      <c r="JG118" s="136"/>
      <c r="JH118" s="136"/>
      <c r="JI118" s="136"/>
      <c r="JJ118" s="136"/>
      <c r="JK118" s="136"/>
      <c r="JL118" s="136"/>
      <c r="JM118" s="136"/>
      <c r="JN118" s="136"/>
      <c r="JO118" s="136"/>
      <c r="JP118" s="136"/>
      <c r="JQ118" s="136"/>
      <c r="JR118" s="136"/>
      <c r="JS118" s="136"/>
      <c r="JT118" s="136"/>
      <c r="JU118" s="136"/>
      <c r="JV118" s="136"/>
      <c r="JW118" s="136"/>
      <c r="JX118" s="136"/>
      <c r="JY118" s="136"/>
      <c r="JZ118" s="136"/>
      <c r="KA118" s="136"/>
      <c r="KB118" s="136"/>
      <c r="KC118" s="136"/>
      <c r="KD118" s="136"/>
      <c r="KE118" s="136"/>
      <c r="KF118" s="136"/>
      <c r="KG118" s="136"/>
      <c r="KH118" s="136"/>
      <c r="KI118" s="136"/>
      <c r="KJ118" s="136"/>
      <c r="KK118" s="136"/>
      <c r="KL118" s="136"/>
      <c r="KM118" s="136"/>
      <c r="KN118" s="136"/>
      <c r="KO118" s="136"/>
      <c r="KP118" s="136"/>
      <c r="KQ118" s="136"/>
      <c r="KR118" s="136"/>
      <c r="KS118" s="136"/>
      <c r="KT118" s="136"/>
      <c r="KU118" s="136"/>
      <c r="KV118" s="136"/>
      <c r="KW118" s="136"/>
      <c r="KX118" s="136"/>
      <c r="KY118" s="136"/>
      <c r="KZ118" s="136"/>
      <c r="LA118" s="136"/>
      <c r="LB118" s="136"/>
      <c r="LC118" s="136"/>
      <c r="LD118" s="136"/>
      <c r="LE118" s="136"/>
      <c r="LF118" s="136"/>
      <c r="LG118" s="136"/>
      <c r="LH118" s="136"/>
      <c r="LI118" s="136"/>
      <c r="LJ118" s="136"/>
      <c r="LK118" s="136"/>
      <c r="LL118" s="136"/>
      <c r="LM118" s="136"/>
      <c r="LN118" s="136"/>
      <c r="LO118" s="136"/>
      <c r="LP118" s="136"/>
      <c r="LQ118" s="136"/>
      <c r="LR118" s="136"/>
      <c r="LS118" s="136"/>
      <c r="LT118" s="136"/>
      <c r="LU118" s="136"/>
      <c r="LV118" s="136"/>
      <c r="LW118" s="136"/>
      <c r="LX118" s="136"/>
      <c r="LY118" s="136"/>
      <c r="LZ118" s="136"/>
      <c r="MA118" s="136"/>
      <c r="MB118" s="136"/>
      <c r="MC118" s="136"/>
      <c r="MD118" s="136"/>
      <c r="ME118" s="136"/>
      <c r="MF118" s="136"/>
      <c r="MG118" s="136"/>
      <c r="MH118" s="136"/>
      <c r="MI118" s="136"/>
      <c r="MJ118" s="136"/>
      <c r="MK118" s="136"/>
      <c r="ML118" s="136"/>
      <c r="MM118" s="136"/>
      <c r="MN118" s="136"/>
      <c r="MO118" s="136"/>
      <c r="MP118" s="136"/>
      <c r="MQ118" s="136"/>
      <c r="MR118" s="136"/>
      <c r="MS118" s="136"/>
      <c r="MT118" s="136"/>
      <c r="MU118" s="136"/>
      <c r="MV118" s="136"/>
      <c r="MW118" s="136"/>
      <c r="MX118" s="136"/>
      <c r="MY118" s="136"/>
      <c r="MZ118" s="136"/>
      <c r="NA118" s="136"/>
      <c r="NB118" s="136"/>
      <c r="NC118" s="136"/>
      <c r="ND118" s="136"/>
      <c r="NE118" s="136"/>
      <c r="NF118" s="136"/>
      <c r="NG118" s="136"/>
      <c r="NH118" s="136"/>
      <c r="NI118" s="136"/>
      <c r="NJ118" s="136"/>
      <c r="NK118" s="136"/>
      <c r="NL118" s="136"/>
      <c r="NM118" s="136"/>
      <c r="NN118" s="136"/>
      <c r="NO118" s="136"/>
      <c r="NP118" s="136"/>
      <c r="NQ118" s="136"/>
      <c r="NR118" s="136"/>
      <c r="NS118" s="136"/>
      <c r="NT118" s="136"/>
      <c r="NU118" s="136"/>
      <c r="NV118" s="136"/>
      <c r="NW118" s="136"/>
      <c r="NX118" s="136"/>
      <c r="NY118" s="136"/>
      <c r="NZ118" s="136"/>
      <c r="OA118" s="136"/>
      <c r="OB118" s="136"/>
      <c r="OC118" s="136"/>
      <c r="OD118" s="136"/>
      <c r="OE118" s="136"/>
      <c r="OF118" s="136"/>
      <c r="OG118" s="136"/>
      <c r="OH118" s="136"/>
      <c r="OI118" s="136"/>
      <c r="OJ118" s="136"/>
      <c r="OK118" s="136"/>
      <c r="OL118" s="136"/>
      <c r="OM118" s="136"/>
      <c r="ON118" s="136"/>
      <c r="OO118" s="136"/>
      <c r="OP118" s="136"/>
      <c r="OQ118" s="136"/>
      <c r="OR118" s="136"/>
      <c r="OS118" s="136"/>
      <c r="OT118" s="136"/>
      <c r="OU118" s="136"/>
      <c r="OV118" s="136"/>
      <c r="OW118" s="136"/>
      <c r="OX118" s="136"/>
      <c r="OY118" s="136"/>
      <c r="OZ118" s="136"/>
      <c r="PA118" s="136"/>
      <c r="PB118" s="136"/>
      <c r="PC118" s="136"/>
      <c r="PD118" s="136"/>
      <c r="PE118" s="136"/>
      <c r="PF118" s="136"/>
      <c r="PG118" s="136"/>
      <c r="PH118" s="136"/>
      <c r="PI118" s="136"/>
      <c r="PJ118" s="136"/>
      <c r="PK118" s="136"/>
      <c r="PL118" s="136"/>
      <c r="PM118" s="136"/>
      <c r="PN118" s="136"/>
      <c r="PO118" s="136"/>
      <c r="PP118" s="136"/>
      <c r="PQ118" s="136"/>
      <c r="PR118" s="136"/>
      <c r="PS118" s="136"/>
      <c r="PT118" s="136"/>
      <c r="PU118" s="136"/>
      <c r="PV118" s="136"/>
      <c r="PW118" s="136"/>
      <c r="PX118" s="136"/>
      <c r="PY118" s="136"/>
      <c r="PZ118" s="136"/>
      <c r="QA118" s="136"/>
      <c r="QB118" s="136"/>
      <c r="QC118" s="136"/>
      <c r="QD118" s="136"/>
      <c r="QE118" s="136"/>
      <c r="QF118" s="136"/>
      <c r="QG118" s="136"/>
      <c r="QH118" s="136"/>
      <c r="QI118" s="136"/>
      <c r="QJ118" s="136"/>
      <c r="QK118" s="136"/>
      <c r="QL118" s="136"/>
      <c r="QM118" s="136"/>
      <c r="QN118" s="136"/>
      <c r="QO118" s="136"/>
      <c r="QP118" s="136"/>
      <c r="QQ118" s="136"/>
      <c r="QR118" s="136"/>
      <c r="QS118" s="136"/>
      <c r="QT118" s="136"/>
      <c r="QU118" s="136"/>
      <c r="QV118" s="136"/>
      <c r="QW118" s="136"/>
      <c r="QX118" s="136"/>
      <c r="QY118" s="136"/>
      <c r="QZ118" s="136"/>
      <c r="RA118" s="136"/>
      <c r="RB118" s="136"/>
      <c r="RC118" s="136"/>
      <c r="RD118" s="136"/>
      <c r="RE118" s="136"/>
      <c r="RF118" s="136"/>
      <c r="RG118" s="136"/>
      <c r="RH118" s="136"/>
      <c r="RI118" s="136"/>
      <c r="RJ118" s="136"/>
      <c r="RK118" s="136"/>
      <c r="RL118" s="136"/>
      <c r="RM118" s="136"/>
      <c r="RN118" s="136"/>
      <c r="RO118" s="136"/>
      <c r="RP118" s="136"/>
      <c r="RQ118" s="136"/>
      <c r="RR118" s="136"/>
      <c r="RS118" s="136"/>
      <c r="RT118" s="136"/>
      <c r="RU118" s="136"/>
      <c r="RV118" s="136"/>
      <c r="RW118" s="136"/>
      <c r="RX118" s="136"/>
      <c r="RY118" s="136"/>
      <c r="RZ118" s="136"/>
      <c r="SA118" s="136"/>
      <c r="SB118" s="136"/>
      <c r="SC118" s="136"/>
      <c r="SD118" s="136"/>
      <c r="SE118" s="136"/>
      <c r="SF118" s="136"/>
      <c r="SG118" s="136"/>
      <c r="SH118" s="136"/>
      <c r="SI118" s="136"/>
      <c r="SJ118" s="136"/>
      <c r="SK118" s="136"/>
      <c r="SL118" s="136"/>
      <c r="SM118" s="136"/>
      <c r="SN118" s="136"/>
      <c r="SO118" s="136"/>
      <c r="SP118" s="136"/>
      <c r="SQ118" s="136"/>
      <c r="SR118" s="136"/>
      <c r="SS118" s="136"/>
    </row>
    <row r="119" spans="14:513" s="135" customFormat="1" ht="14.5" x14ac:dyDescent="0.35"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  <c r="Y119" s="134"/>
      <c r="Z119" s="134"/>
      <c r="AA119" s="134"/>
      <c r="AB119" s="134"/>
      <c r="AC119" s="134"/>
      <c r="AD119" s="134"/>
      <c r="AE119" s="134"/>
      <c r="AF119" s="134"/>
      <c r="DO119" s="136"/>
      <c r="DP119" s="136"/>
      <c r="DQ119" s="136"/>
      <c r="DR119" s="136"/>
      <c r="DS119" s="136"/>
      <c r="DT119" s="136"/>
      <c r="DU119" s="136"/>
      <c r="DV119" s="136"/>
      <c r="DW119" s="136"/>
      <c r="DX119" s="136"/>
      <c r="DY119" s="136"/>
      <c r="DZ119" s="136"/>
      <c r="EA119" s="136"/>
      <c r="EB119" s="136"/>
      <c r="EC119" s="136"/>
      <c r="ED119" s="136"/>
      <c r="EE119" s="136"/>
      <c r="EF119" s="136"/>
      <c r="EG119" s="136"/>
      <c r="EH119" s="136"/>
      <c r="EI119" s="136"/>
      <c r="EJ119" s="136"/>
      <c r="EK119" s="136"/>
      <c r="EL119" s="136"/>
      <c r="EM119" s="136"/>
      <c r="EN119" s="136"/>
      <c r="EO119" s="136"/>
      <c r="EP119" s="136"/>
      <c r="EQ119" s="136"/>
      <c r="ER119" s="136"/>
      <c r="ES119" s="136"/>
      <c r="ET119" s="136"/>
      <c r="EU119" s="136"/>
      <c r="EV119" s="136"/>
      <c r="EW119" s="136"/>
      <c r="EX119" s="136"/>
      <c r="EY119" s="136"/>
      <c r="EZ119" s="136"/>
      <c r="FA119" s="136"/>
      <c r="FB119" s="136"/>
      <c r="FC119" s="136"/>
      <c r="FD119" s="136"/>
      <c r="FE119" s="136"/>
      <c r="FF119" s="136"/>
      <c r="FG119" s="136"/>
      <c r="FH119" s="136"/>
      <c r="FI119" s="136"/>
      <c r="FJ119" s="136"/>
      <c r="FK119" s="136"/>
      <c r="FL119" s="136"/>
      <c r="FM119" s="136"/>
      <c r="FN119" s="136"/>
      <c r="FO119" s="136"/>
      <c r="FP119" s="136"/>
      <c r="FQ119" s="136"/>
      <c r="FR119" s="136"/>
      <c r="FS119" s="136"/>
      <c r="FT119" s="136"/>
      <c r="FU119" s="136"/>
      <c r="FV119" s="136"/>
      <c r="FW119" s="136"/>
      <c r="FX119" s="136"/>
      <c r="FY119" s="136"/>
      <c r="FZ119" s="136"/>
      <c r="GA119" s="136"/>
      <c r="GB119" s="136"/>
      <c r="GC119" s="136"/>
      <c r="GD119" s="136"/>
      <c r="GE119" s="136"/>
      <c r="GF119" s="136"/>
      <c r="GG119" s="136"/>
      <c r="GH119" s="136"/>
      <c r="GI119" s="136"/>
      <c r="GJ119" s="136"/>
      <c r="GK119" s="136"/>
      <c r="GL119" s="136"/>
      <c r="GM119" s="136"/>
      <c r="GN119" s="136"/>
      <c r="GO119" s="136"/>
      <c r="GP119" s="136"/>
      <c r="GQ119" s="136"/>
      <c r="GR119" s="136"/>
      <c r="GS119" s="136"/>
      <c r="GT119" s="136"/>
      <c r="GU119" s="136"/>
      <c r="GV119" s="136"/>
      <c r="GW119" s="136"/>
      <c r="GX119" s="136"/>
      <c r="GY119" s="136"/>
      <c r="GZ119" s="136"/>
      <c r="HA119" s="136"/>
      <c r="HB119" s="136"/>
      <c r="HC119" s="136"/>
      <c r="HD119" s="136"/>
      <c r="HE119" s="136"/>
      <c r="HF119" s="136"/>
      <c r="HG119" s="136"/>
      <c r="HH119" s="136"/>
      <c r="HI119" s="136"/>
      <c r="HJ119" s="136"/>
      <c r="HK119" s="136"/>
      <c r="HL119" s="136"/>
      <c r="HM119" s="136"/>
      <c r="HN119" s="136"/>
      <c r="HO119" s="136"/>
      <c r="HP119" s="136"/>
      <c r="HQ119" s="136"/>
      <c r="HR119" s="136"/>
      <c r="HS119" s="136"/>
      <c r="HT119" s="136"/>
      <c r="HU119" s="136"/>
      <c r="HV119" s="136"/>
      <c r="HW119" s="136"/>
      <c r="HX119" s="136"/>
      <c r="HY119" s="136"/>
      <c r="HZ119" s="136"/>
      <c r="IA119" s="136"/>
      <c r="IB119" s="136"/>
      <c r="IC119" s="136"/>
      <c r="ID119" s="136"/>
      <c r="IE119" s="136"/>
      <c r="IF119" s="136"/>
      <c r="IG119" s="136"/>
      <c r="IH119" s="136"/>
      <c r="II119" s="136"/>
      <c r="IJ119" s="136"/>
      <c r="IK119" s="136"/>
      <c r="IL119" s="136"/>
      <c r="IM119" s="136"/>
      <c r="IN119" s="136"/>
      <c r="IO119" s="136"/>
      <c r="IP119" s="136"/>
      <c r="IQ119" s="136"/>
      <c r="IR119" s="136"/>
      <c r="IS119" s="136"/>
      <c r="IT119" s="136"/>
      <c r="IU119" s="136"/>
      <c r="IV119" s="136"/>
      <c r="IW119" s="136"/>
      <c r="IX119" s="136"/>
      <c r="IY119" s="136"/>
      <c r="IZ119" s="136"/>
      <c r="JA119" s="136"/>
      <c r="JB119" s="136"/>
      <c r="JC119" s="136"/>
      <c r="JD119" s="136"/>
      <c r="JE119" s="136"/>
      <c r="JF119" s="136"/>
      <c r="JG119" s="136"/>
      <c r="JH119" s="136"/>
      <c r="JI119" s="136"/>
      <c r="JJ119" s="136"/>
      <c r="JK119" s="136"/>
      <c r="JL119" s="136"/>
      <c r="JM119" s="136"/>
      <c r="JN119" s="136"/>
      <c r="JO119" s="136"/>
      <c r="JP119" s="136"/>
      <c r="JQ119" s="136"/>
      <c r="JR119" s="136"/>
      <c r="JS119" s="136"/>
      <c r="JT119" s="136"/>
      <c r="JU119" s="136"/>
      <c r="JV119" s="136"/>
      <c r="JW119" s="136"/>
      <c r="JX119" s="136"/>
      <c r="JY119" s="136"/>
      <c r="JZ119" s="136"/>
      <c r="KA119" s="136"/>
      <c r="KB119" s="136"/>
      <c r="KC119" s="136"/>
      <c r="KD119" s="136"/>
      <c r="KE119" s="136"/>
      <c r="KF119" s="136"/>
      <c r="KG119" s="136"/>
      <c r="KH119" s="136"/>
      <c r="KI119" s="136"/>
      <c r="KJ119" s="136"/>
      <c r="KK119" s="136"/>
      <c r="KL119" s="136"/>
      <c r="KM119" s="136"/>
      <c r="KN119" s="136"/>
      <c r="KO119" s="136"/>
      <c r="KP119" s="136"/>
      <c r="KQ119" s="136"/>
      <c r="KR119" s="136"/>
      <c r="KS119" s="136"/>
      <c r="KT119" s="136"/>
      <c r="KU119" s="136"/>
      <c r="KV119" s="136"/>
      <c r="KW119" s="136"/>
      <c r="KX119" s="136"/>
      <c r="KY119" s="136"/>
      <c r="KZ119" s="136"/>
      <c r="LA119" s="136"/>
      <c r="LB119" s="136"/>
      <c r="LC119" s="136"/>
      <c r="LD119" s="136"/>
      <c r="LE119" s="136"/>
      <c r="LF119" s="136"/>
      <c r="LG119" s="136"/>
      <c r="LH119" s="136"/>
      <c r="LI119" s="136"/>
      <c r="LJ119" s="136"/>
      <c r="LK119" s="136"/>
      <c r="LL119" s="136"/>
      <c r="LM119" s="136"/>
      <c r="LN119" s="136"/>
      <c r="LO119" s="136"/>
      <c r="LP119" s="136"/>
      <c r="LQ119" s="136"/>
      <c r="LR119" s="136"/>
      <c r="LS119" s="136"/>
      <c r="LT119" s="136"/>
      <c r="LU119" s="136"/>
      <c r="LV119" s="136"/>
      <c r="LW119" s="136"/>
      <c r="LX119" s="136"/>
      <c r="LY119" s="136"/>
      <c r="LZ119" s="136"/>
      <c r="MA119" s="136"/>
      <c r="MB119" s="136"/>
      <c r="MC119" s="136"/>
      <c r="MD119" s="136"/>
      <c r="ME119" s="136"/>
      <c r="MF119" s="136"/>
      <c r="MG119" s="136"/>
      <c r="MH119" s="136"/>
      <c r="MI119" s="136"/>
      <c r="MJ119" s="136"/>
      <c r="MK119" s="136"/>
      <c r="ML119" s="136"/>
      <c r="MM119" s="136"/>
      <c r="MN119" s="136"/>
      <c r="MO119" s="136"/>
      <c r="MP119" s="136"/>
      <c r="MQ119" s="136"/>
      <c r="MR119" s="136"/>
      <c r="MS119" s="136"/>
      <c r="MT119" s="136"/>
      <c r="MU119" s="136"/>
      <c r="MV119" s="136"/>
      <c r="MW119" s="136"/>
      <c r="MX119" s="136"/>
      <c r="MY119" s="136"/>
      <c r="MZ119" s="136"/>
      <c r="NA119" s="136"/>
      <c r="NB119" s="136"/>
      <c r="NC119" s="136"/>
      <c r="ND119" s="136"/>
      <c r="NE119" s="136"/>
      <c r="NF119" s="136"/>
      <c r="NG119" s="136"/>
      <c r="NH119" s="136"/>
      <c r="NI119" s="136"/>
      <c r="NJ119" s="136"/>
      <c r="NK119" s="136"/>
      <c r="NL119" s="136"/>
      <c r="NM119" s="136"/>
      <c r="NN119" s="136"/>
      <c r="NO119" s="136"/>
      <c r="NP119" s="136"/>
      <c r="NQ119" s="136"/>
      <c r="NR119" s="136"/>
      <c r="NS119" s="136"/>
      <c r="NT119" s="136"/>
      <c r="NU119" s="136"/>
      <c r="NV119" s="136"/>
      <c r="NW119" s="136"/>
      <c r="NX119" s="136"/>
      <c r="NY119" s="136"/>
      <c r="NZ119" s="136"/>
      <c r="OA119" s="136"/>
      <c r="OB119" s="136"/>
      <c r="OC119" s="136"/>
      <c r="OD119" s="136"/>
      <c r="OE119" s="136"/>
      <c r="OF119" s="136"/>
      <c r="OG119" s="136"/>
      <c r="OH119" s="136"/>
      <c r="OI119" s="136"/>
      <c r="OJ119" s="136"/>
      <c r="OK119" s="136"/>
      <c r="OL119" s="136"/>
      <c r="OM119" s="136"/>
      <c r="ON119" s="136"/>
      <c r="OO119" s="136"/>
      <c r="OP119" s="136"/>
      <c r="OQ119" s="136"/>
      <c r="OR119" s="136"/>
      <c r="OS119" s="136"/>
      <c r="OT119" s="136"/>
      <c r="OU119" s="136"/>
      <c r="OV119" s="136"/>
      <c r="OW119" s="136"/>
      <c r="OX119" s="136"/>
      <c r="OY119" s="136"/>
      <c r="OZ119" s="136"/>
      <c r="PA119" s="136"/>
      <c r="PB119" s="136"/>
      <c r="PC119" s="136"/>
      <c r="PD119" s="136"/>
      <c r="PE119" s="136"/>
      <c r="PF119" s="136"/>
      <c r="PG119" s="136"/>
      <c r="PH119" s="136"/>
      <c r="PI119" s="136"/>
      <c r="PJ119" s="136"/>
      <c r="PK119" s="136"/>
      <c r="PL119" s="136"/>
      <c r="PM119" s="136"/>
      <c r="PN119" s="136"/>
      <c r="PO119" s="136"/>
      <c r="PP119" s="136"/>
      <c r="PQ119" s="136"/>
      <c r="PR119" s="136"/>
      <c r="PS119" s="136"/>
      <c r="PT119" s="136"/>
      <c r="PU119" s="136"/>
      <c r="PV119" s="136"/>
      <c r="PW119" s="136"/>
      <c r="PX119" s="136"/>
      <c r="PY119" s="136"/>
      <c r="PZ119" s="136"/>
      <c r="QA119" s="136"/>
      <c r="QB119" s="136"/>
      <c r="QC119" s="136"/>
      <c r="QD119" s="136"/>
      <c r="QE119" s="136"/>
      <c r="QF119" s="136"/>
      <c r="QG119" s="136"/>
      <c r="QH119" s="136"/>
      <c r="QI119" s="136"/>
      <c r="QJ119" s="136"/>
      <c r="QK119" s="136"/>
      <c r="QL119" s="136"/>
      <c r="QM119" s="136"/>
      <c r="QN119" s="136"/>
      <c r="QO119" s="136"/>
      <c r="QP119" s="136"/>
      <c r="QQ119" s="136"/>
      <c r="QR119" s="136"/>
      <c r="QS119" s="136"/>
      <c r="QT119" s="136"/>
      <c r="QU119" s="136"/>
      <c r="QV119" s="136"/>
      <c r="QW119" s="136"/>
      <c r="QX119" s="136"/>
      <c r="QY119" s="136"/>
      <c r="QZ119" s="136"/>
      <c r="RA119" s="136"/>
      <c r="RB119" s="136"/>
      <c r="RC119" s="136"/>
      <c r="RD119" s="136"/>
      <c r="RE119" s="136"/>
      <c r="RF119" s="136"/>
      <c r="RG119" s="136"/>
      <c r="RH119" s="136"/>
      <c r="RI119" s="136"/>
      <c r="RJ119" s="136"/>
      <c r="RK119" s="136"/>
      <c r="RL119" s="136"/>
      <c r="RM119" s="136"/>
      <c r="RN119" s="136"/>
      <c r="RO119" s="136"/>
      <c r="RP119" s="136"/>
      <c r="RQ119" s="136"/>
      <c r="RR119" s="136"/>
      <c r="RS119" s="136"/>
      <c r="RT119" s="136"/>
      <c r="RU119" s="136"/>
      <c r="RV119" s="136"/>
      <c r="RW119" s="136"/>
      <c r="RX119" s="136"/>
      <c r="RY119" s="136"/>
      <c r="RZ119" s="136"/>
      <c r="SA119" s="136"/>
      <c r="SB119" s="136"/>
      <c r="SC119" s="136"/>
      <c r="SD119" s="136"/>
      <c r="SE119" s="136"/>
      <c r="SF119" s="136"/>
      <c r="SG119" s="136"/>
      <c r="SH119" s="136"/>
      <c r="SI119" s="136"/>
      <c r="SJ119" s="136"/>
      <c r="SK119" s="136"/>
      <c r="SL119" s="136"/>
      <c r="SM119" s="136"/>
      <c r="SN119" s="136"/>
      <c r="SO119" s="136"/>
      <c r="SP119" s="136"/>
      <c r="SQ119" s="136"/>
      <c r="SR119" s="136"/>
      <c r="SS119" s="136"/>
    </row>
    <row r="120" spans="14:513" s="135" customFormat="1" ht="14.5" x14ac:dyDescent="0.35"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  <c r="Y120" s="134"/>
      <c r="Z120" s="134"/>
      <c r="AA120" s="134"/>
      <c r="AB120" s="134"/>
      <c r="AC120" s="134"/>
      <c r="AD120" s="134"/>
      <c r="AE120" s="134"/>
      <c r="AF120" s="134"/>
      <c r="DO120" s="136"/>
      <c r="DP120" s="136"/>
      <c r="DQ120" s="136"/>
      <c r="DR120" s="136"/>
      <c r="DS120" s="136"/>
      <c r="DT120" s="136"/>
      <c r="DU120" s="136"/>
      <c r="DV120" s="136"/>
      <c r="DW120" s="136"/>
      <c r="DX120" s="136"/>
      <c r="DY120" s="136"/>
      <c r="DZ120" s="136"/>
      <c r="EA120" s="136"/>
      <c r="EB120" s="136"/>
      <c r="EC120" s="136"/>
      <c r="ED120" s="136"/>
      <c r="EE120" s="136"/>
      <c r="EF120" s="136"/>
      <c r="EG120" s="136"/>
      <c r="EH120" s="136"/>
      <c r="EI120" s="136"/>
      <c r="EJ120" s="136"/>
      <c r="EK120" s="136"/>
      <c r="EL120" s="136"/>
      <c r="EM120" s="136"/>
      <c r="EN120" s="136"/>
      <c r="EO120" s="136"/>
      <c r="EP120" s="136"/>
      <c r="EQ120" s="136"/>
      <c r="ER120" s="136"/>
      <c r="ES120" s="136"/>
      <c r="ET120" s="136"/>
      <c r="EU120" s="136"/>
      <c r="EV120" s="136"/>
      <c r="EW120" s="136"/>
      <c r="EX120" s="136"/>
      <c r="EY120" s="136"/>
      <c r="EZ120" s="136"/>
      <c r="FA120" s="136"/>
      <c r="FB120" s="136"/>
      <c r="FC120" s="136"/>
      <c r="FD120" s="136"/>
      <c r="FE120" s="136"/>
      <c r="FF120" s="136"/>
      <c r="FG120" s="136"/>
      <c r="FH120" s="136"/>
      <c r="FI120" s="136"/>
      <c r="FJ120" s="136"/>
      <c r="FK120" s="136"/>
      <c r="FL120" s="136"/>
      <c r="FM120" s="136"/>
      <c r="FN120" s="136"/>
      <c r="FO120" s="136"/>
      <c r="FP120" s="136"/>
      <c r="FQ120" s="136"/>
      <c r="FR120" s="136"/>
      <c r="FS120" s="136"/>
      <c r="FT120" s="136"/>
      <c r="FU120" s="136"/>
      <c r="FV120" s="136"/>
      <c r="FW120" s="136"/>
      <c r="FX120" s="136"/>
      <c r="FY120" s="136"/>
      <c r="FZ120" s="136"/>
      <c r="GA120" s="136"/>
      <c r="GB120" s="136"/>
      <c r="GC120" s="136"/>
      <c r="GD120" s="136"/>
      <c r="GE120" s="136"/>
      <c r="GF120" s="136"/>
      <c r="GG120" s="136"/>
      <c r="GH120" s="136"/>
      <c r="GI120" s="136"/>
      <c r="GJ120" s="136"/>
      <c r="GK120" s="136"/>
      <c r="GL120" s="136"/>
      <c r="GM120" s="136"/>
      <c r="GN120" s="136"/>
      <c r="GO120" s="136"/>
      <c r="GP120" s="136"/>
      <c r="GQ120" s="136"/>
      <c r="GR120" s="136"/>
      <c r="GS120" s="136"/>
      <c r="GT120" s="136"/>
      <c r="GU120" s="136"/>
      <c r="GV120" s="136"/>
      <c r="GW120" s="136"/>
      <c r="GX120" s="136"/>
      <c r="GY120" s="136"/>
      <c r="GZ120" s="136"/>
      <c r="HA120" s="136"/>
      <c r="HB120" s="136"/>
      <c r="HC120" s="136"/>
      <c r="HD120" s="136"/>
      <c r="HE120" s="136"/>
      <c r="HF120" s="136"/>
      <c r="HG120" s="136"/>
      <c r="HH120" s="136"/>
      <c r="HI120" s="136"/>
      <c r="HJ120" s="136"/>
      <c r="HK120" s="136"/>
      <c r="HL120" s="136"/>
      <c r="HM120" s="136"/>
      <c r="HN120" s="136"/>
      <c r="HO120" s="136"/>
      <c r="HP120" s="136"/>
      <c r="HQ120" s="136"/>
      <c r="HR120" s="136"/>
      <c r="HS120" s="136"/>
      <c r="HT120" s="136"/>
      <c r="HU120" s="136"/>
      <c r="HV120" s="136"/>
      <c r="HW120" s="136"/>
      <c r="HX120" s="136"/>
      <c r="HY120" s="136"/>
      <c r="HZ120" s="136"/>
      <c r="IA120" s="136"/>
      <c r="IB120" s="136"/>
      <c r="IC120" s="136"/>
      <c r="ID120" s="136"/>
      <c r="IE120" s="136"/>
      <c r="IF120" s="136"/>
      <c r="IG120" s="136"/>
      <c r="IH120" s="136"/>
      <c r="II120" s="136"/>
      <c r="IJ120" s="136"/>
      <c r="IK120" s="136"/>
      <c r="IL120" s="136"/>
      <c r="IM120" s="136"/>
      <c r="IN120" s="136"/>
      <c r="IO120" s="136"/>
      <c r="IP120" s="136"/>
      <c r="IQ120" s="136"/>
      <c r="IR120" s="136"/>
      <c r="IS120" s="136"/>
      <c r="IT120" s="136"/>
      <c r="IU120" s="136"/>
      <c r="IV120" s="136"/>
      <c r="IW120" s="136"/>
      <c r="IX120" s="136"/>
      <c r="IY120" s="136"/>
      <c r="IZ120" s="136"/>
      <c r="JA120" s="136"/>
      <c r="JB120" s="136"/>
      <c r="JC120" s="136"/>
      <c r="JD120" s="136"/>
      <c r="JE120" s="136"/>
      <c r="JF120" s="136"/>
      <c r="JG120" s="136"/>
      <c r="JH120" s="136"/>
      <c r="JI120" s="136"/>
      <c r="JJ120" s="136"/>
      <c r="JK120" s="136"/>
      <c r="JL120" s="136"/>
      <c r="JM120" s="136"/>
      <c r="JN120" s="136"/>
      <c r="JO120" s="136"/>
      <c r="JP120" s="136"/>
      <c r="JQ120" s="136"/>
      <c r="JR120" s="136"/>
      <c r="JS120" s="136"/>
      <c r="JT120" s="136"/>
      <c r="JU120" s="136"/>
      <c r="JV120" s="136"/>
      <c r="JW120" s="136"/>
      <c r="JX120" s="136"/>
      <c r="JY120" s="136"/>
      <c r="JZ120" s="136"/>
      <c r="KA120" s="136"/>
      <c r="KB120" s="136"/>
      <c r="KC120" s="136"/>
      <c r="KD120" s="136"/>
      <c r="KE120" s="136"/>
      <c r="KF120" s="136"/>
      <c r="KG120" s="136"/>
      <c r="KH120" s="136"/>
      <c r="KI120" s="136"/>
      <c r="KJ120" s="136"/>
      <c r="KK120" s="136"/>
      <c r="KL120" s="136"/>
      <c r="KM120" s="136"/>
      <c r="KN120" s="136"/>
      <c r="KO120" s="136"/>
      <c r="KP120" s="136"/>
      <c r="KQ120" s="136"/>
      <c r="KR120" s="136"/>
      <c r="KS120" s="136"/>
      <c r="KT120" s="136"/>
      <c r="KU120" s="136"/>
      <c r="KV120" s="136"/>
      <c r="KW120" s="136"/>
      <c r="KX120" s="136"/>
      <c r="KY120" s="136"/>
      <c r="KZ120" s="136"/>
      <c r="LA120" s="136"/>
      <c r="LB120" s="136"/>
      <c r="LC120" s="136"/>
      <c r="LD120" s="136"/>
      <c r="LE120" s="136"/>
      <c r="LF120" s="136"/>
      <c r="LG120" s="136"/>
      <c r="LH120" s="136"/>
      <c r="LI120" s="136"/>
      <c r="LJ120" s="136"/>
      <c r="LK120" s="136"/>
      <c r="LL120" s="136"/>
      <c r="LM120" s="136"/>
      <c r="LN120" s="136"/>
      <c r="LO120" s="136"/>
      <c r="LP120" s="136"/>
      <c r="LQ120" s="136"/>
      <c r="LR120" s="136"/>
      <c r="LS120" s="136"/>
      <c r="LT120" s="136"/>
      <c r="LU120" s="136"/>
      <c r="LV120" s="136"/>
      <c r="LW120" s="136"/>
      <c r="LX120" s="136"/>
      <c r="LY120" s="136"/>
      <c r="LZ120" s="136"/>
      <c r="MA120" s="136"/>
      <c r="MB120" s="136"/>
      <c r="MC120" s="136"/>
      <c r="MD120" s="136"/>
      <c r="ME120" s="136"/>
      <c r="MF120" s="136"/>
      <c r="MG120" s="136"/>
      <c r="MH120" s="136"/>
      <c r="MI120" s="136"/>
      <c r="MJ120" s="136"/>
      <c r="MK120" s="136"/>
      <c r="ML120" s="136"/>
      <c r="MM120" s="136"/>
      <c r="MN120" s="136"/>
      <c r="MO120" s="136"/>
      <c r="MP120" s="136"/>
      <c r="MQ120" s="136"/>
      <c r="MR120" s="136"/>
      <c r="MS120" s="136"/>
      <c r="MT120" s="136"/>
      <c r="MU120" s="136"/>
      <c r="MV120" s="136"/>
      <c r="MW120" s="136"/>
      <c r="MX120" s="136"/>
      <c r="MY120" s="136"/>
      <c r="MZ120" s="136"/>
      <c r="NA120" s="136"/>
      <c r="NB120" s="136"/>
      <c r="NC120" s="136"/>
      <c r="ND120" s="136"/>
      <c r="NE120" s="136"/>
      <c r="NF120" s="136"/>
      <c r="NG120" s="136"/>
      <c r="NH120" s="136"/>
      <c r="NI120" s="136"/>
      <c r="NJ120" s="136"/>
      <c r="NK120" s="136"/>
      <c r="NL120" s="136"/>
      <c r="NM120" s="136"/>
      <c r="NN120" s="136"/>
      <c r="NO120" s="136"/>
      <c r="NP120" s="136"/>
      <c r="NQ120" s="136"/>
      <c r="NR120" s="136"/>
      <c r="NS120" s="136"/>
      <c r="NT120" s="136"/>
      <c r="NU120" s="136"/>
      <c r="NV120" s="136"/>
      <c r="NW120" s="136"/>
      <c r="NX120" s="136"/>
      <c r="NY120" s="136"/>
      <c r="NZ120" s="136"/>
      <c r="OA120" s="136"/>
      <c r="OB120" s="136"/>
      <c r="OC120" s="136"/>
      <c r="OD120" s="136"/>
      <c r="OE120" s="136"/>
      <c r="OF120" s="136"/>
      <c r="OG120" s="136"/>
      <c r="OH120" s="136"/>
      <c r="OI120" s="136"/>
      <c r="OJ120" s="136"/>
      <c r="OK120" s="136"/>
      <c r="OL120" s="136"/>
      <c r="OM120" s="136"/>
      <c r="ON120" s="136"/>
      <c r="OO120" s="136"/>
      <c r="OP120" s="136"/>
      <c r="OQ120" s="136"/>
      <c r="OR120" s="136"/>
      <c r="OS120" s="136"/>
      <c r="OT120" s="136"/>
      <c r="OU120" s="136"/>
      <c r="OV120" s="136"/>
      <c r="OW120" s="136"/>
      <c r="OX120" s="136"/>
      <c r="OY120" s="136"/>
      <c r="OZ120" s="136"/>
      <c r="PA120" s="136"/>
      <c r="PB120" s="136"/>
      <c r="PC120" s="136"/>
      <c r="PD120" s="136"/>
      <c r="PE120" s="136"/>
      <c r="PF120" s="136"/>
      <c r="PG120" s="136"/>
      <c r="PH120" s="136"/>
      <c r="PI120" s="136"/>
      <c r="PJ120" s="136"/>
      <c r="PK120" s="136"/>
      <c r="PL120" s="136"/>
      <c r="PM120" s="136"/>
      <c r="PN120" s="136"/>
      <c r="PO120" s="136"/>
      <c r="PP120" s="136"/>
      <c r="PQ120" s="136"/>
      <c r="PR120" s="136"/>
      <c r="PS120" s="136"/>
      <c r="PT120" s="136"/>
      <c r="PU120" s="136"/>
      <c r="PV120" s="136"/>
      <c r="PW120" s="136"/>
      <c r="PX120" s="136"/>
      <c r="PY120" s="136"/>
      <c r="PZ120" s="136"/>
      <c r="QA120" s="136"/>
      <c r="QB120" s="136"/>
      <c r="QC120" s="136"/>
      <c r="QD120" s="136"/>
      <c r="QE120" s="136"/>
      <c r="QF120" s="136"/>
      <c r="QG120" s="136"/>
      <c r="QH120" s="136"/>
      <c r="QI120" s="136"/>
      <c r="QJ120" s="136"/>
      <c r="QK120" s="136"/>
      <c r="QL120" s="136"/>
      <c r="QM120" s="136"/>
      <c r="QN120" s="136"/>
      <c r="QO120" s="136"/>
      <c r="QP120" s="136"/>
      <c r="QQ120" s="136"/>
      <c r="QR120" s="136"/>
      <c r="QS120" s="136"/>
      <c r="QT120" s="136"/>
      <c r="QU120" s="136"/>
      <c r="QV120" s="136"/>
      <c r="QW120" s="136"/>
      <c r="QX120" s="136"/>
      <c r="QY120" s="136"/>
      <c r="QZ120" s="136"/>
      <c r="RA120" s="136"/>
      <c r="RB120" s="136"/>
      <c r="RC120" s="136"/>
      <c r="RD120" s="136"/>
      <c r="RE120" s="136"/>
      <c r="RF120" s="136"/>
      <c r="RG120" s="136"/>
      <c r="RH120" s="136"/>
      <c r="RI120" s="136"/>
      <c r="RJ120" s="136"/>
      <c r="RK120" s="136"/>
      <c r="RL120" s="136"/>
      <c r="RM120" s="136"/>
      <c r="RN120" s="136"/>
      <c r="RO120" s="136"/>
      <c r="RP120" s="136"/>
      <c r="RQ120" s="136"/>
      <c r="RR120" s="136"/>
      <c r="RS120" s="136"/>
      <c r="RT120" s="136"/>
      <c r="RU120" s="136"/>
      <c r="RV120" s="136"/>
      <c r="RW120" s="136"/>
      <c r="RX120" s="136"/>
      <c r="RY120" s="136"/>
      <c r="RZ120" s="136"/>
      <c r="SA120" s="136"/>
      <c r="SB120" s="136"/>
      <c r="SC120" s="136"/>
      <c r="SD120" s="136"/>
      <c r="SE120" s="136"/>
      <c r="SF120" s="136"/>
      <c r="SG120" s="136"/>
      <c r="SH120" s="136"/>
      <c r="SI120" s="136"/>
      <c r="SJ120" s="136"/>
      <c r="SK120" s="136"/>
      <c r="SL120" s="136"/>
      <c r="SM120" s="136"/>
      <c r="SN120" s="136"/>
      <c r="SO120" s="136"/>
      <c r="SP120" s="136"/>
      <c r="SQ120" s="136"/>
      <c r="SR120" s="136"/>
      <c r="SS120" s="136"/>
    </row>
    <row r="121" spans="14:513" s="135" customFormat="1" ht="14.5" x14ac:dyDescent="0.35"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  <c r="Y121" s="134"/>
      <c r="Z121" s="134"/>
      <c r="AA121" s="134"/>
      <c r="AB121" s="134"/>
      <c r="AC121" s="134"/>
      <c r="AD121" s="134"/>
      <c r="AE121" s="134"/>
      <c r="AF121" s="134"/>
      <c r="DO121" s="136"/>
      <c r="DP121" s="136"/>
      <c r="DQ121" s="136"/>
      <c r="DR121" s="136"/>
      <c r="DS121" s="136"/>
      <c r="DT121" s="136"/>
      <c r="DU121" s="136"/>
      <c r="DV121" s="136"/>
      <c r="DW121" s="136"/>
      <c r="DX121" s="136"/>
      <c r="DY121" s="136"/>
      <c r="DZ121" s="136"/>
      <c r="EA121" s="136"/>
      <c r="EB121" s="136"/>
      <c r="EC121" s="136"/>
      <c r="ED121" s="136"/>
      <c r="EE121" s="136"/>
      <c r="EF121" s="136"/>
      <c r="EG121" s="136"/>
      <c r="EH121" s="136"/>
      <c r="EI121" s="136"/>
      <c r="EJ121" s="136"/>
      <c r="EK121" s="136"/>
      <c r="EL121" s="136"/>
      <c r="EM121" s="136"/>
      <c r="EN121" s="136"/>
      <c r="EO121" s="136"/>
      <c r="EP121" s="136"/>
      <c r="EQ121" s="136"/>
      <c r="ER121" s="136"/>
      <c r="ES121" s="136"/>
      <c r="ET121" s="136"/>
      <c r="EU121" s="136"/>
      <c r="EV121" s="136"/>
      <c r="EW121" s="136"/>
      <c r="EX121" s="136"/>
      <c r="EY121" s="136"/>
      <c r="EZ121" s="136"/>
      <c r="FA121" s="136"/>
      <c r="FB121" s="136"/>
      <c r="FC121" s="136"/>
      <c r="FD121" s="136"/>
      <c r="FE121" s="136"/>
      <c r="FF121" s="136"/>
      <c r="FG121" s="136"/>
      <c r="FH121" s="136"/>
      <c r="FI121" s="136"/>
      <c r="FJ121" s="136"/>
      <c r="FK121" s="136"/>
      <c r="FL121" s="136"/>
      <c r="FM121" s="136"/>
      <c r="FN121" s="136"/>
      <c r="FO121" s="136"/>
      <c r="FP121" s="136"/>
      <c r="FQ121" s="136"/>
      <c r="FR121" s="136"/>
      <c r="FS121" s="136"/>
      <c r="FT121" s="136"/>
      <c r="FU121" s="136"/>
      <c r="FV121" s="136"/>
      <c r="FW121" s="136"/>
      <c r="FX121" s="136"/>
      <c r="FY121" s="136"/>
      <c r="FZ121" s="136"/>
      <c r="GA121" s="136"/>
      <c r="GB121" s="136"/>
      <c r="GC121" s="136"/>
      <c r="GD121" s="136"/>
      <c r="GE121" s="136"/>
      <c r="GF121" s="136"/>
      <c r="GG121" s="136"/>
      <c r="GH121" s="136"/>
      <c r="GI121" s="136"/>
      <c r="GJ121" s="136"/>
      <c r="GK121" s="136"/>
      <c r="GL121" s="136"/>
      <c r="GM121" s="136"/>
      <c r="GN121" s="136"/>
      <c r="GO121" s="136"/>
      <c r="GP121" s="136"/>
      <c r="GQ121" s="136"/>
      <c r="GR121" s="136"/>
      <c r="GS121" s="136"/>
      <c r="GT121" s="136"/>
      <c r="GU121" s="136"/>
      <c r="GV121" s="136"/>
      <c r="GW121" s="136"/>
      <c r="GX121" s="136"/>
      <c r="GY121" s="136"/>
      <c r="GZ121" s="136"/>
      <c r="HA121" s="136"/>
      <c r="HB121" s="136"/>
      <c r="HC121" s="136"/>
      <c r="HD121" s="136"/>
      <c r="HE121" s="136"/>
      <c r="HF121" s="136"/>
      <c r="HG121" s="136"/>
      <c r="HH121" s="136"/>
      <c r="HI121" s="136"/>
      <c r="HJ121" s="136"/>
      <c r="HK121" s="136"/>
      <c r="HL121" s="136"/>
      <c r="HM121" s="136"/>
      <c r="HN121" s="136"/>
      <c r="HO121" s="136"/>
      <c r="HP121" s="136"/>
      <c r="HQ121" s="136"/>
      <c r="HR121" s="136"/>
      <c r="HS121" s="136"/>
      <c r="HT121" s="136"/>
      <c r="HU121" s="136"/>
      <c r="HV121" s="136"/>
      <c r="HW121" s="136"/>
      <c r="HX121" s="136"/>
      <c r="HY121" s="136"/>
      <c r="HZ121" s="136"/>
      <c r="IA121" s="136"/>
      <c r="IB121" s="136"/>
      <c r="IC121" s="136"/>
      <c r="ID121" s="136"/>
      <c r="IE121" s="136"/>
      <c r="IF121" s="136"/>
      <c r="IG121" s="136"/>
      <c r="IH121" s="136"/>
      <c r="II121" s="136"/>
      <c r="IJ121" s="136"/>
      <c r="IK121" s="136"/>
      <c r="IL121" s="136"/>
      <c r="IM121" s="136"/>
      <c r="IN121" s="136"/>
      <c r="IO121" s="136"/>
      <c r="IP121" s="136"/>
      <c r="IQ121" s="136"/>
      <c r="IR121" s="136"/>
      <c r="IS121" s="136"/>
      <c r="IT121" s="136"/>
      <c r="IU121" s="136"/>
      <c r="IV121" s="136"/>
      <c r="IW121" s="136"/>
      <c r="IX121" s="136"/>
      <c r="IY121" s="136"/>
      <c r="IZ121" s="136"/>
      <c r="JA121" s="136"/>
      <c r="JB121" s="136"/>
      <c r="JC121" s="136"/>
      <c r="JD121" s="136"/>
      <c r="JE121" s="136"/>
      <c r="JF121" s="136"/>
      <c r="JG121" s="136"/>
      <c r="JH121" s="136"/>
      <c r="JI121" s="136"/>
      <c r="JJ121" s="136"/>
      <c r="JK121" s="136"/>
      <c r="JL121" s="136"/>
      <c r="JM121" s="136"/>
      <c r="JN121" s="136"/>
      <c r="JO121" s="136"/>
      <c r="JP121" s="136"/>
      <c r="JQ121" s="136"/>
      <c r="JR121" s="136"/>
      <c r="JS121" s="136"/>
      <c r="JT121" s="136"/>
      <c r="JU121" s="136"/>
      <c r="JV121" s="136"/>
      <c r="JW121" s="136"/>
      <c r="JX121" s="136"/>
      <c r="JY121" s="136"/>
      <c r="JZ121" s="136"/>
      <c r="KA121" s="136"/>
      <c r="KB121" s="136"/>
      <c r="KC121" s="136"/>
      <c r="KD121" s="136"/>
      <c r="KE121" s="136"/>
      <c r="KF121" s="136"/>
      <c r="KG121" s="136"/>
      <c r="KH121" s="136"/>
      <c r="KI121" s="136"/>
      <c r="KJ121" s="136"/>
      <c r="KK121" s="136"/>
      <c r="KL121" s="136"/>
      <c r="KM121" s="136"/>
      <c r="KN121" s="136"/>
      <c r="KO121" s="136"/>
      <c r="KP121" s="136"/>
      <c r="KQ121" s="136"/>
      <c r="KR121" s="136"/>
      <c r="KS121" s="136"/>
      <c r="KT121" s="136"/>
      <c r="KU121" s="136"/>
      <c r="KV121" s="136"/>
      <c r="KW121" s="136"/>
      <c r="KX121" s="136"/>
      <c r="KY121" s="136"/>
      <c r="KZ121" s="136"/>
      <c r="LA121" s="136"/>
      <c r="LB121" s="136"/>
      <c r="LC121" s="136"/>
      <c r="LD121" s="136"/>
      <c r="LE121" s="136"/>
      <c r="LF121" s="136"/>
      <c r="LG121" s="136"/>
      <c r="LH121" s="136"/>
      <c r="LI121" s="136"/>
      <c r="LJ121" s="136"/>
      <c r="LK121" s="136"/>
      <c r="LL121" s="136"/>
      <c r="LM121" s="136"/>
      <c r="LN121" s="136"/>
      <c r="LO121" s="136"/>
      <c r="LP121" s="136"/>
      <c r="LQ121" s="136"/>
      <c r="LR121" s="136"/>
      <c r="LS121" s="136"/>
      <c r="LT121" s="136"/>
      <c r="LU121" s="136"/>
      <c r="LV121" s="136"/>
      <c r="LW121" s="136"/>
      <c r="LX121" s="136"/>
      <c r="LY121" s="136"/>
      <c r="LZ121" s="136"/>
      <c r="MA121" s="136"/>
      <c r="MB121" s="136"/>
      <c r="MC121" s="136"/>
      <c r="MD121" s="136"/>
      <c r="ME121" s="136"/>
      <c r="MF121" s="136"/>
      <c r="MG121" s="136"/>
      <c r="MH121" s="136"/>
      <c r="MI121" s="136"/>
      <c r="MJ121" s="136"/>
      <c r="MK121" s="136"/>
      <c r="ML121" s="136"/>
      <c r="MM121" s="136"/>
      <c r="MN121" s="136"/>
      <c r="MO121" s="136"/>
      <c r="MP121" s="136"/>
      <c r="MQ121" s="136"/>
      <c r="MR121" s="136"/>
      <c r="MS121" s="136"/>
      <c r="MT121" s="136"/>
      <c r="MU121" s="136"/>
      <c r="MV121" s="136"/>
      <c r="MW121" s="136"/>
      <c r="MX121" s="136"/>
      <c r="MY121" s="136"/>
      <c r="MZ121" s="136"/>
      <c r="NA121" s="136"/>
      <c r="NB121" s="136"/>
      <c r="NC121" s="136"/>
      <c r="ND121" s="136"/>
      <c r="NE121" s="136"/>
      <c r="NF121" s="136"/>
      <c r="NG121" s="136"/>
      <c r="NH121" s="136"/>
      <c r="NI121" s="136"/>
      <c r="NJ121" s="136"/>
      <c r="NK121" s="136"/>
      <c r="NL121" s="136"/>
      <c r="NM121" s="136"/>
      <c r="NN121" s="136"/>
      <c r="NO121" s="136"/>
      <c r="NP121" s="136"/>
      <c r="NQ121" s="136"/>
      <c r="NR121" s="136"/>
      <c r="NS121" s="136"/>
      <c r="NT121" s="136"/>
      <c r="NU121" s="136"/>
      <c r="NV121" s="136"/>
      <c r="NW121" s="136"/>
      <c r="NX121" s="136"/>
      <c r="NY121" s="136"/>
      <c r="NZ121" s="136"/>
      <c r="OA121" s="136"/>
      <c r="OB121" s="136"/>
      <c r="OC121" s="136"/>
      <c r="OD121" s="136"/>
      <c r="OE121" s="136"/>
      <c r="OF121" s="136"/>
      <c r="OG121" s="136"/>
      <c r="OH121" s="136"/>
      <c r="OI121" s="136"/>
      <c r="OJ121" s="136"/>
      <c r="OK121" s="136"/>
      <c r="OL121" s="136"/>
      <c r="OM121" s="136"/>
      <c r="ON121" s="136"/>
      <c r="OO121" s="136"/>
      <c r="OP121" s="136"/>
      <c r="OQ121" s="136"/>
      <c r="OR121" s="136"/>
      <c r="OS121" s="136"/>
      <c r="OT121" s="136"/>
      <c r="OU121" s="136"/>
      <c r="OV121" s="136"/>
      <c r="OW121" s="136"/>
      <c r="OX121" s="136"/>
      <c r="OY121" s="136"/>
      <c r="OZ121" s="136"/>
      <c r="PA121" s="136"/>
      <c r="PB121" s="136"/>
      <c r="PC121" s="136"/>
      <c r="PD121" s="136"/>
      <c r="PE121" s="136"/>
      <c r="PF121" s="136"/>
      <c r="PG121" s="136"/>
      <c r="PH121" s="136"/>
      <c r="PI121" s="136"/>
      <c r="PJ121" s="136"/>
      <c r="PK121" s="136"/>
      <c r="PL121" s="136"/>
      <c r="PM121" s="136"/>
      <c r="PN121" s="136"/>
      <c r="PO121" s="136"/>
      <c r="PP121" s="136"/>
      <c r="PQ121" s="136"/>
      <c r="PR121" s="136"/>
      <c r="PS121" s="136"/>
      <c r="PT121" s="136"/>
      <c r="PU121" s="136"/>
      <c r="PV121" s="136"/>
      <c r="PW121" s="136"/>
      <c r="PX121" s="136"/>
      <c r="PY121" s="136"/>
      <c r="PZ121" s="136"/>
      <c r="QA121" s="136"/>
      <c r="QB121" s="136"/>
      <c r="QC121" s="136"/>
      <c r="QD121" s="136"/>
      <c r="QE121" s="136"/>
      <c r="QF121" s="136"/>
      <c r="QG121" s="136"/>
      <c r="QH121" s="136"/>
      <c r="QI121" s="136"/>
      <c r="QJ121" s="136"/>
      <c r="QK121" s="136"/>
      <c r="QL121" s="136"/>
      <c r="QM121" s="136"/>
      <c r="QN121" s="136"/>
      <c r="QO121" s="136"/>
      <c r="QP121" s="136"/>
      <c r="QQ121" s="136"/>
      <c r="QR121" s="136"/>
      <c r="QS121" s="136"/>
      <c r="QT121" s="136"/>
      <c r="QU121" s="136"/>
      <c r="QV121" s="136"/>
      <c r="QW121" s="136"/>
      <c r="QX121" s="136"/>
      <c r="QY121" s="136"/>
      <c r="QZ121" s="136"/>
      <c r="RA121" s="136"/>
      <c r="RB121" s="136"/>
      <c r="RC121" s="136"/>
      <c r="RD121" s="136"/>
      <c r="RE121" s="136"/>
      <c r="RF121" s="136"/>
      <c r="RG121" s="136"/>
      <c r="RH121" s="136"/>
      <c r="RI121" s="136"/>
      <c r="RJ121" s="136"/>
      <c r="RK121" s="136"/>
      <c r="RL121" s="136"/>
      <c r="RM121" s="136"/>
      <c r="RN121" s="136"/>
      <c r="RO121" s="136"/>
      <c r="RP121" s="136"/>
      <c r="RQ121" s="136"/>
      <c r="RR121" s="136"/>
      <c r="RS121" s="136"/>
      <c r="RT121" s="136"/>
      <c r="RU121" s="136"/>
      <c r="RV121" s="136"/>
      <c r="RW121" s="136"/>
      <c r="RX121" s="136"/>
      <c r="RY121" s="136"/>
      <c r="RZ121" s="136"/>
      <c r="SA121" s="136"/>
      <c r="SB121" s="136"/>
      <c r="SC121" s="136"/>
      <c r="SD121" s="136"/>
      <c r="SE121" s="136"/>
      <c r="SF121" s="136"/>
      <c r="SG121" s="136"/>
      <c r="SH121" s="136"/>
      <c r="SI121" s="136"/>
      <c r="SJ121" s="136"/>
      <c r="SK121" s="136"/>
      <c r="SL121" s="136"/>
      <c r="SM121" s="136"/>
      <c r="SN121" s="136"/>
      <c r="SO121" s="136"/>
      <c r="SP121" s="136"/>
      <c r="SQ121" s="136"/>
      <c r="SR121" s="136"/>
      <c r="SS121" s="136"/>
    </row>
    <row r="122" spans="14:513" s="135" customFormat="1" ht="14.5" x14ac:dyDescent="0.35"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  <c r="Y122" s="134"/>
      <c r="Z122" s="134"/>
      <c r="AA122" s="134"/>
      <c r="AB122" s="134"/>
      <c r="AC122" s="134"/>
      <c r="AD122" s="134"/>
      <c r="AE122" s="134"/>
      <c r="AF122" s="134"/>
      <c r="DO122" s="136"/>
      <c r="DP122" s="136"/>
      <c r="DQ122" s="136"/>
      <c r="DR122" s="136"/>
      <c r="DS122" s="136"/>
      <c r="DT122" s="136"/>
      <c r="DU122" s="136"/>
      <c r="DV122" s="136"/>
      <c r="DW122" s="136"/>
      <c r="DX122" s="136"/>
      <c r="DY122" s="136"/>
      <c r="DZ122" s="136"/>
      <c r="EA122" s="136"/>
      <c r="EB122" s="136"/>
      <c r="EC122" s="136"/>
      <c r="ED122" s="136"/>
      <c r="EE122" s="136"/>
      <c r="EF122" s="136"/>
      <c r="EG122" s="136"/>
      <c r="EH122" s="136"/>
      <c r="EI122" s="136"/>
      <c r="EJ122" s="136"/>
      <c r="EK122" s="136"/>
      <c r="EL122" s="136"/>
      <c r="EM122" s="136"/>
      <c r="EN122" s="136"/>
      <c r="EO122" s="136"/>
      <c r="EP122" s="136"/>
      <c r="EQ122" s="136"/>
      <c r="ER122" s="136"/>
      <c r="ES122" s="136"/>
      <c r="ET122" s="136"/>
      <c r="EU122" s="136"/>
      <c r="EV122" s="136"/>
      <c r="EW122" s="136"/>
      <c r="EX122" s="136"/>
      <c r="EY122" s="136"/>
      <c r="EZ122" s="136"/>
      <c r="FA122" s="136"/>
      <c r="FB122" s="136"/>
      <c r="FC122" s="136"/>
      <c r="FD122" s="136"/>
      <c r="FE122" s="136"/>
      <c r="FF122" s="136"/>
      <c r="FG122" s="136"/>
      <c r="FH122" s="136"/>
      <c r="FI122" s="136"/>
      <c r="FJ122" s="136"/>
      <c r="FK122" s="136"/>
      <c r="FL122" s="136"/>
      <c r="FM122" s="136"/>
      <c r="FN122" s="136"/>
      <c r="FO122" s="136"/>
      <c r="FP122" s="136"/>
      <c r="FQ122" s="136"/>
      <c r="FR122" s="136"/>
      <c r="FS122" s="136"/>
      <c r="FT122" s="136"/>
      <c r="FU122" s="136"/>
      <c r="FV122" s="136"/>
      <c r="FW122" s="136"/>
      <c r="FX122" s="136"/>
      <c r="FY122" s="136"/>
      <c r="FZ122" s="136"/>
      <c r="GA122" s="136"/>
      <c r="GB122" s="136"/>
      <c r="GC122" s="136"/>
      <c r="GD122" s="136"/>
      <c r="GE122" s="136"/>
      <c r="GF122" s="136"/>
      <c r="GG122" s="136"/>
      <c r="GH122" s="136"/>
      <c r="GI122" s="136"/>
      <c r="GJ122" s="136"/>
      <c r="GK122" s="136"/>
      <c r="GL122" s="136"/>
      <c r="GM122" s="136"/>
      <c r="GN122" s="136"/>
      <c r="GO122" s="136"/>
      <c r="GP122" s="136"/>
      <c r="GQ122" s="136"/>
      <c r="GR122" s="136"/>
      <c r="GS122" s="136"/>
      <c r="GT122" s="136"/>
      <c r="GU122" s="136"/>
      <c r="GV122" s="136"/>
      <c r="GW122" s="136"/>
      <c r="GX122" s="136"/>
      <c r="GY122" s="136"/>
      <c r="GZ122" s="136"/>
      <c r="HA122" s="136"/>
      <c r="HB122" s="136"/>
      <c r="HC122" s="136"/>
      <c r="HD122" s="136"/>
      <c r="HE122" s="136"/>
      <c r="HF122" s="136"/>
      <c r="HG122" s="136"/>
      <c r="HH122" s="136"/>
      <c r="HI122" s="136"/>
      <c r="HJ122" s="136"/>
      <c r="HK122" s="136"/>
      <c r="HL122" s="136"/>
      <c r="HM122" s="136"/>
      <c r="HN122" s="136"/>
      <c r="HO122" s="136"/>
      <c r="HP122" s="136"/>
      <c r="HQ122" s="136"/>
      <c r="HR122" s="136"/>
      <c r="HS122" s="136"/>
      <c r="HT122" s="136"/>
      <c r="HU122" s="136"/>
      <c r="HV122" s="136"/>
      <c r="HW122" s="136"/>
      <c r="HX122" s="136"/>
      <c r="HY122" s="136"/>
      <c r="HZ122" s="136"/>
      <c r="IA122" s="136"/>
      <c r="IB122" s="136"/>
      <c r="IC122" s="136"/>
      <c r="ID122" s="136"/>
      <c r="IE122" s="136"/>
      <c r="IF122" s="136"/>
      <c r="IG122" s="136"/>
      <c r="IH122" s="136"/>
      <c r="II122" s="136"/>
      <c r="IJ122" s="136"/>
      <c r="IK122" s="136"/>
      <c r="IL122" s="136"/>
      <c r="IM122" s="136"/>
      <c r="IN122" s="136"/>
      <c r="IO122" s="136"/>
      <c r="IP122" s="136"/>
      <c r="IQ122" s="136"/>
      <c r="IR122" s="136"/>
      <c r="IS122" s="136"/>
      <c r="IT122" s="136"/>
      <c r="IU122" s="136"/>
      <c r="IV122" s="136"/>
      <c r="IW122" s="136"/>
      <c r="IX122" s="136"/>
      <c r="IY122" s="136"/>
      <c r="IZ122" s="136"/>
      <c r="JA122" s="136"/>
      <c r="JB122" s="136"/>
      <c r="JC122" s="136"/>
      <c r="JD122" s="136"/>
      <c r="JE122" s="136"/>
      <c r="JF122" s="136"/>
      <c r="JG122" s="136"/>
      <c r="JH122" s="136"/>
      <c r="JI122" s="136"/>
      <c r="JJ122" s="136"/>
      <c r="JK122" s="136"/>
      <c r="JL122" s="136"/>
      <c r="JM122" s="136"/>
      <c r="JN122" s="136"/>
      <c r="JO122" s="136"/>
      <c r="JP122" s="136"/>
      <c r="JQ122" s="136"/>
      <c r="JR122" s="136"/>
      <c r="JS122" s="136"/>
      <c r="JT122" s="136"/>
      <c r="JU122" s="136"/>
      <c r="JV122" s="136"/>
      <c r="JW122" s="136"/>
      <c r="JX122" s="136"/>
      <c r="JY122" s="136"/>
      <c r="JZ122" s="136"/>
      <c r="KA122" s="136"/>
      <c r="KB122" s="136"/>
      <c r="KC122" s="136"/>
      <c r="KD122" s="136"/>
      <c r="KE122" s="136"/>
      <c r="KF122" s="136"/>
      <c r="KG122" s="136"/>
      <c r="KH122" s="136"/>
      <c r="KI122" s="136"/>
      <c r="KJ122" s="136"/>
      <c r="KK122" s="136"/>
      <c r="KL122" s="136"/>
      <c r="KM122" s="136"/>
      <c r="KN122" s="136"/>
      <c r="KO122" s="136"/>
      <c r="KP122" s="136"/>
      <c r="KQ122" s="136"/>
      <c r="KR122" s="136"/>
      <c r="KS122" s="136"/>
      <c r="KT122" s="136"/>
      <c r="KU122" s="136"/>
      <c r="KV122" s="136"/>
      <c r="KW122" s="136"/>
      <c r="KX122" s="136"/>
      <c r="KY122" s="136"/>
      <c r="KZ122" s="136"/>
      <c r="LA122" s="136"/>
      <c r="LB122" s="136"/>
      <c r="LC122" s="136"/>
      <c r="LD122" s="136"/>
      <c r="LE122" s="136"/>
      <c r="LF122" s="136"/>
      <c r="LG122" s="136"/>
      <c r="LH122" s="136"/>
      <c r="LI122" s="136"/>
      <c r="LJ122" s="136"/>
      <c r="LK122" s="136"/>
      <c r="LL122" s="136"/>
      <c r="LM122" s="136"/>
      <c r="LN122" s="136"/>
      <c r="LO122" s="136"/>
      <c r="LP122" s="136"/>
      <c r="LQ122" s="136"/>
      <c r="LR122" s="136"/>
      <c r="LS122" s="136"/>
      <c r="LT122" s="136"/>
      <c r="LU122" s="136"/>
      <c r="LV122" s="136"/>
      <c r="LW122" s="136"/>
      <c r="LX122" s="136"/>
      <c r="LY122" s="136"/>
      <c r="LZ122" s="136"/>
      <c r="MA122" s="136"/>
      <c r="MB122" s="136"/>
      <c r="MC122" s="136"/>
      <c r="MD122" s="136"/>
      <c r="ME122" s="136"/>
      <c r="MF122" s="136"/>
      <c r="MG122" s="136"/>
      <c r="MH122" s="136"/>
      <c r="MI122" s="136"/>
      <c r="MJ122" s="136"/>
      <c r="MK122" s="136"/>
      <c r="ML122" s="136"/>
      <c r="MM122" s="136"/>
      <c r="MN122" s="136"/>
      <c r="MO122" s="136"/>
      <c r="MP122" s="136"/>
      <c r="MQ122" s="136"/>
      <c r="MR122" s="136"/>
      <c r="MS122" s="136"/>
      <c r="MT122" s="136"/>
      <c r="MU122" s="136"/>
      <c r="MV122" s="136"/>
      <c r="MW122" s="136"/>
      <c r="MX122" s="136"/>
      <c r="MY122" s="136"/>
      <c r="MZ122" s="136"/>
      <c r="NA122" s="136"/>
      <c r="NB122" s="136"/>
      <c r="NC122" s="136"/>
      <c r="ND122" s="136"/>
      <c r="NE122" s="136"/>
      <c r="NF122" s="136"/>
      <c r="NG122" s="136"/>
      <c r="NH122" s="136"/>
      <c r="NI122" s="136"/>
      <c r="NJ122" s="136"/>
      <c r="NK122" s="136"/>
      <c r="NL122" s="136"/>
      <c r="NM122" s="136"/>
      <c r="NN122" s="136"/>
      <c r="NO122" s="136"/>
      <c r="NP122" s="136"/>
      <c r="NQ122" s="136"/>
      <c r="NR122" s="136"/>
      <c r="NS122" s="136"/>
      <c r="NT122" s="136"/>
      <c r="NU122" s="136"/>
      <c r="NV122" s="136"/>
      <c r="NW122" s="136"/>
      <c r="NX122" s="136"/>
      <c r="NY122" s="136"/>
      <c r="NZ122" s="136"/>
      <c r="OA122" s="136"/>
      <c r="OB122" s="136"/>
      <c r="OC122" s="136"/>
      <c r="OD122" s="136"/>
      <c r="OE122" s="136"/>
      <c r="OF122" s="136"/>
      <c r="OG122" s="136"/>
      <c r="OH122" s="136"/>
      <c r="OI122" s="136"/>
      <c r="OJ122" s="136"/>
      <c r="OK122" s="136"/>
      <c r="OL122" s="136"/>
      <c r="OM122" s="136"/>
      <c r="ON122" s="136"/>
      <c r="OO122" s="136"/>
      <c r="OP122" s="136"/>
      <c r="OQ122" s="136"/>
      <c r="OR122" s="136"/>
      <c r="OS122" s="136"/>
      <c r="OT122" s="136"/>
      <c r="OU122" s="136"/>
      <c r="OV122" s="136"/>
      <c r="OW122" s="136"/>
      <c r="OX122" s="136"/>
      <c r="OY122" s="136"/>
      <c r="OZ122" s="136"/>
      <c r="PA122" s="136"/>
      <c r="PB122" s="136"/>
      <c r="PC122" s="136"/>
      <c r="PD122" s="136"/>
      <c r="PE122" s="136"/>
      <c r="PF122" s="136"/>
      <c r="PG122" s="136"/>
      <c r="PH122" s="136"/>
      <c r="PI122" s="136"/>
      <c r="PJ122" s="136"/>
      <c r="PK122" s="136"/>
      <c r="PL122" s="136"/>
      <c r="PM122" s="136"/>
      <c r="PN122" s="136"/>
      <c r="PO122" s="136"/>
      <c r="PP122" s="136"/>
      <c r="PQ122" s="136"/>
      <c r="PR122" s="136"/>
      <c r="PS122" s="136"/>
      <c r="PT122" s="136"/>
      <c r="PU122" s="136"/>
      <c r="PV122" s="136"/>
      <c r="PW122" s="136"/>
      <c r="PX122" s="136"/>
      <c r="PY122" s="136"/>
      <c r="PZ122" s="136"/>
      <c r="QA122" s="136"/>
      <c r="QB122" s="136"/>
      <c r="QC122" s="136"/>
      <c r="QD122" s="136"/>
      <c r="QE122" s="136"/>
      <c r="QF122" s="136"/>
      <c r="QG122" s="136"/>
      <c r="QH122" s="136"/>
      <c r="QI122" s="136"/>
      <c r="QJ122" s="136"/>
      <c r="QK122" s="136"/>
      <c r="QL122" s="136"/>
      <c r="QM122" s="136"/>
      <c r="QN122" s="136"/>
      <c r="QO122" s="136"/>
      <c r="QP122" s="136"/>
      <c r="QQ122" s="136"/>
      <c r="QR122" s="136"/>
      <c r="QS122" s="136"/>
      <c r="QT122" s="136"/>
      <c r="QU122" s="136"/>
      <c r="QV122" s="136"/>
      <c r="QW122" s="136"/>
      <c r="QX122" s="136"/>
      <c r="QY122" s="136"/>
      <c r="QZ122" s="136"/>
      <c r="RA122" s="136"/>
      <c r="RB122" s="136"/>
      <c r="RC122" s="136"/>
      <c r="RD122" s="136"/>
      <c r="RE122" s="136"/>
      <c r="RF122" s="136"/>
      <c r="RG122" s="136"/>
      <c r="RH122" s="136"/>
      <c r="RI122" s="136"/>
      <c r="RJ122" s="136"/>
      <c r="RK122" s="136"/>
      <c r="RL122" s="136"/>
      <c r="RM122" s="136"/>
      <c r="RN122" s="136"/>
      <c r="RO122" s="136"/>
      <c r="RP122" s="136"/>
      <c r="RQ122" s="136"/>
      <c r="RR122" s="136"/>
      <c r="RS122" s="136"/>
      <c r="RT122" s="136"/>
      <c r="RU122" s="136"/>
      <c r="RV122" s="136"/>
      <c r="RW122" s="136"/>
      <c r="RX122" s="136"/>
      <c r="RY122" s="136"/>
      <c r="RZ122" s="136"/>
      <c r="SA122" s="136"/>
      <c r="SB122" s="136"/>
      <c r="SC122" s="136"/>
      <c r="SD122" s="136"/>
      <c r="SE122" s="136"/>
      <c r="SF122" s="136"/>
      <c r="SG122" s="136"/>
      <c r="SH122" s="136"/>
      <c r="SI122" s="136"/>
      <c r="SJ122" s="136"/>
      <c r="SK122" s="136"/>
      <c r="SL122" s="136"/>
      <c r="SM122" s="136"/>
      <c r="SN122" s="136"/>
      <c r="SO122" s="136"/>
      <c r="SP122" s="136"/>
      <c r="SQ122" s="136"/>
      <c r="SR122" s="136"/>
      <c r="SS122" s="136"/>
    </row>
    <row r="123" spans="14:513" s="135" customFormat="1" ht="14.5" x14ac:dyDescent="0.35"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  <c r="Y123" s="134"/>
      <c r="Z123" s="134"/>
      <c r="AA123" s="134"/>
      <c r="AB123" s="134"/>
      <c r="AC123" s="134"/>
      <c r="AD123" s="134"/>
      <c r="AE123" s="134"/>
      <c r="AF123" s="134"/>
      <c r="DO123" s="136"/>
      <c r="DP123" s="136"/>
      <c r="DQ123" s="136"/>
      <c r="DR123" s="136"/>
      <c r="DS123" s="136"/>
      <c r="DT123" s="136"/>
      <c r="DU123" s="136"/>
      <c r="DV123" s="136"/>
      <c r="DW123" s="136"/>
      <c r="DX123" s="136"/>
      <c r="DY123" s="136"/>
      <c r="DZ123" s="136"/>
      <c r="EA123" s="136"/>
      <c r="EB123" s="136"/>
      <c r="EC123" s="136"/>
      <c r="ED123" s="136"/>
      <c r="EE123" s="136"/>
      <c r="EF123" s="136"/>
      <c r="EG123" s="136"/>
      <c r="EH123" s="136"/>
      <c r="EI123" s="136"/>
      <c r="EJ123" s="136"/>
      <c r="EK123" s="136"/>
      <c r="EL123" s="136"/>
      <c r="EM123" s="136"/>
      <c r="EN123" s="136"/>
      <c r="EO123" s="136"/>
      <c r="EP123" s="136"/>
      <c r="EQ123" s="136"/>
      <c r="ER123" s="136"/>
      <c r="ES123" s="136"/>
      <c r="ET123" s="136"/>
      <c r="EU123" s="136"/>
      <c r="EV123" s="136"/>
      <c r="EW123" s="136"/>
      <c r="EX123" s="136"/>
      <c r="EY123" s="136"/>
      <c r="EZ123" s="136"/>
      <c r="FA123" s="136"/>
      <c r="FB123" s="136"/>
      <c r="FC123" s="136"/>
      <c r="FD123" s="136"/>
      <c r="FE123" s="136"/>
      <c r="FF123" s="136"/>
      <c r="FG123" s="136"/>
      <c r="FH123" s="136"/>
      <c r="FI123" s="136"/>
      <c r="FJ123" s="136"/>
      <c r="FK123" s="136"/>
      <c r="FL123" s="136"/>
      <c r="FM123" s="136"/>
      <c r="FN123" s="136"/>
      <c r="FO123" s="136"/>
      <c r="FP123" s="136"/>
      <c r="FQ123" s="136"/>
      <c r="FR123" s="136"/>
      <c r="FS123" s="136"/>
      <c r="FT123" s="136"/>
      <c r="FU123" s="136"/>
      <c r="FV123" s="136"/>
      <c r="FW123" s="136"/>
      <c r="FX123" s="136"/>
      <c r="FY123" s="136"/>
      <c r="FZ123" s="136"/>
      <c r="GA123" s="136"/>
      <c r="GB123" s="136"/>
      <c r="GC123" s="136"/>
      <c r="GD123" s="136"/>
      <c r="GE123" s="136"/>
      <c r="GF123" s="136"/>
      <c r="GG123" s="136"/>
      <c r="GH123" s="136"/>
      <c r="GI123" s="136"/>
      <c r="GJ123" s="136"/>
      <c r="GK123" s="136"/>
      <c r="GL123" s="136"/>
      <c r="GM123" s="136"/>
      <c r="GN123" s="136"/>
      <c r="GO123" s="136"/>
      <c r="GP123" s="136"/>
      <c r="GQ123" s="136"/>
      <c r="GR123" s="136"/>
      <c r="GS123" s="136"/>
      <c r="GT123" s="136"/>
      <c r="GU123" s="136"/>
      <c r="GV123" s="136"/>
      <c r="GW123" s="136"/>
      <c r="GX123" s="136"/>
      <c r="GY123" s="136"/>
      <c r="GZ123" s="136"/>
      <c r="HA123" s="136"/>
      <c r="HB123" s="136"/>
      <c r="HC123" s="136"/>
      <c r="HD123" s="136"/>
      <c r="HE123" s="136"/>
      <c r="HF123" s="136"/>
      <c r="HG123" s="136"/>
      <c r="HH123" s="136"/>
      <c r="HI123" s="136"/>
      <c r="HJ123" s="136"/>
      <c r="HK123" s="136"/>
      <c r="HL123" s="136"/>
      <c r="HM123" s="136"/>
      <c r="HN123" s="136"/>
      <c r="HO123" s="136"/>
      <c r="HP123" s="136"/>
      <c r="HQ123" s="136"/>
      <c r="HR123" s="136"/>
      <c r="HS123" s="136"/>
      <c r="HT123" s="136"/>
      <c r="HU123" s="136"/>
      <c r="HV123" s="136"/>
      <c r="HW123" s="136"/>
      <c r="HX123" s="136"/>
      <c r="HY123" s="136"/>
      <c r="HZ123" s="136"/>
      <c r="IA123" s="136"/>
      <c r="IB123" s="136"/>
      <c r="IC123" s="136"/>
      <c r="ID123" s="136"/>
      <c r="IE123" s="136"/>
      <c r="IF123" s="136"/>
      <c r="IG123" s="136"/>
      <c r="IH123" s="136"/>
      <c r="II123" s="136"/>
      <c r="IJ123" s="136"/>
      <c r="IK123" s="136"/>
      <c r="IL123" s="136"/>
      <c r="IM123" s="136"/>
      <c r="IN123" s="136"/>
      <c r="IO123" s="136"/>
      <c r="IP123" s="136"/>
      <c r="IQ123" s="136"/>
      <c r="IR123" s="136"/>
      <c r="IS123" s="136"/>
      <c r="IT123" s="136"/>
      <c r="IU123" s="136"/>
      <c r="IV123" s="136"/>
      <c r="IW123" s="136"/>
      <c r="IX123" s="136"/>
      <c r="IY123" s="136"/>
      <c r="IZ123" s="136"/>
      <c r="JA123" s="136"/>
      <c r="JB123" s="136"/>
      <c r="JC123" s="136"/>
      <c r="JD123" s="136"/>
      <c r="JE123" s="136"/>
      <c r="JF123" s="136"/>
      <c r="JG123" s="136"/>
      <c r="JH123" s="136"/>
      <c r="JI123" s="136"/>
      <c r="JJ123" s="136"/>
      <c r="JK123" s="136"/>
      <c r="JL123" s="136"/>
      <c r="JM123" s="136"/>
      <c r="JN123" s="136"/>
      <c r="JO123" s="136"/>
      <c r="JP123" s="136"/>
      <c r="JQ123" s="136"/>
      <c r="JR123" s="136"/>
      <c r="JS123" s="136"/>
      <c r="JT123" s="136"/>
      <c r="JU123" s="136"/>
      <c r="JV123" s="136"/>
      <c r="JW123" s="136"/>
      <c r="JX123" s="136"/>
      <c r="JY123" s="136"/>
      <c r="JZ123" s="136"/>
      <c r="KA123" s="136"/>
      <c r="KB123" s="136"/>
      <c r="KC123" s="136"/>
      <c r="KD123" s="136"/>
      <c r="KE123" s="136"/>
      <c r="KF123" s="136"/>
      <c r="KG123" s="136"/>
      <c r="KH123" s="136"/>
      <c r="KI123" s="136"/>
      <c r="KJ123" s="136"/>
      <c r="KK123" s="136"/>
      <c r="KL123" s="136"/>
      <c r="KM123" s="136"/>
      <c r="KN123" s="136"/>
      <c r="KO123" s="136"/>
      <c r="KP123" s="136"/>
      <c r="KQ123" s="136"/>
      <c r="KR123" s="136"/>
      <c r="KS123" s="136"/>
      <c r="KT123" s="136"/>
      <c r="KU123" s="136"/>
      <c r="KV123" s="136"/>
      <c r="KW123" s="136"/>
      <c r="KX123" s="136"/>
      <c r="KY123" s="136"/>
      <c r="KZ123" s="136"/>
      <c r="LA123" s="136"/>
      <c r="LB123" s="136"/>
      <c r="LC123" s="136"/>
      <c r="LD123" s="136"/>
      <c r="LE123" s="136"/>
      <c r="LF123" s="136"/>
      <c r="LG123" s="136"/>
      <c r="LH123" s="136"/>
      <c r="LI123" s="136"/>
      <c r="LJ123" s="136"/>
      <c r="LK123" s="136"/>
      <c r="LL123" s="136"/>
      <c r="LM123" s="136"/>
      <c r="LN123" s="136"/>
      <c r="LO123" s="136"/>
      <c r="LP123" s="136"/>
      <c r="LQ123" s="136"/>
      <c r="LR123" s="136"/>
      <c r="LS123" s="136"/>
      <c r="LT123" s="136"/>
      <c r="LU123" s="136"/>
      <c r="LV123" s="136"/>
      <c r="LW123" s="136"/>
      <c r="LX123" s="136"/>
      <c r="LY123" s="136"/>
      <c r="LZ123" s="136"/>
      <c r="MA123" s="136"/>
      <c r="MB123" s="136"/>
      <c r="MC123" s="136"/>
      <c r="MD123" s="136"/>
      <c r="ME123" s="136"/>
      <c r="MF123" s="136"/>
      <c r="MG123" s="136"/>
      <c r="MH123" s="136"/>
      <c r="MI123" s="136"/>
      <c r="MJ123" s="136"/>
      <c r="MK123" s="136"/>
      <c r="ML123" s="136"/>
      <c r="MM123" s="136"/>
      <c r="MN123" s="136"/>
      <c r="MO123" s="136"/>
      <c r="MP123" s="136"/>
      <c r="MQ123" s="136"/>
      <c r="MR123" s="136"/>
      <c r="MS123" s="136"/>
      <c r="MT123" s="136"/>
      <c r="MU123" s="136"/>
      <c r="MV123" s="136"/>
      <c r="MW123" s="136"/>
      <c r="MX123" s="136"/>
      <c r="MY123" s="136"/>
      <c r="MZ123" s="136"/>
      <c r="NA123" s="136"/>
      <c r="NB123" s="136"/>
      <c r="NC123" s="136"/>
      <c r="ND123" s="136"/>
      <c r="NE123" s="136"/>
      <c r="NF123" s="136"/>
      <c r="NG123" s="136"/>
      <c r="NH123" s="136"/>
      <c r="NI123" s="136"/>
      <c r="NJ123" s="136"/>
      <c r="NK123" s="136"/>
      <c r="NL123" s="136"/>
      <c r="NM123" s="136"/>
      <c r="NN123" s="136"/>
      <c r="NO123" s="136"/>
      <c r="NP123" s="136"/>
      <c r="NQ123" s="136"/>
      <c r="NR123" s="136"/>
      <c r="NS123" s="136"/>
      <c r="NT123" s="136"/>
      <c r="NU123" s="136"/>
      <c r="NV123" s="136"/>
      <c r="NW123" s="136"/>
      <c r="NX123" s="136"/>
      <c r="NY123" s="136"/>
      <c r="NZ123" s="136"/>
      <c r="OA123" s="136"/>
      <c r="OB123" s="136"/>
      <c r="OC123" s="136"/>
      <c r="OD123" s="136"/>
      <c r="OE123" s="136"/>
      <c r="OF123" s="136"/>
      <c r="OG123" s="136"/>
      <c r="OH123" s="136"/>
      <c r="OI123" s="136"/>
      <c r="OJ123" s="136"/>
      <c r="OK123" s="136"/>
      <c r="OL123" s="136"/>
      <c r="OM123" s="136"/>
      <c r="ON123" s="136"/>
      <c r="OO123" s="136"/>
      <c r="OP123" s="136"/>
      <c r="OQ123" s="136"/>
      <c r="OR123" s="136"/>
      <c r="OS123" s="136"/>
      <c r="OT123" s="136"/>
      <c r="OU123" s="136"/>
      <c r="OV123" s="136"/>
      <c r="OW123" s="136"/>
      <c r="OX123" s="136"/>
      <c r="OY123" s="136"/>
      <c r="OZ123" s="136"/>
      <c r="PA123" s="136"/>
      <c r="PB123" s="136"/>
      <c r="PC123" s="136"/>
      <c r="PD123" s="136"/>
      <c r="PE123" s="136"/>
      <c r="PF123" s="136"/>
      <c r="PG123" s="136"/>
      <c r="PH123" s="136"/>
      <c r="PI123" s="136"/>
      <c r="PJ123" s="136"/>
      <c r="PK123" s="136"/>
      <c r="PL123" s="136"/>
      <c r="PM123" s="136"/>
      <c r="PN123" s="136"/>
      <c r="PO123" s="136"/>
      <c r="PP123" s="136"/>
      <c r="PQ123" s="136"/>
      <c r="PR123" s="136"/>
      <c r="PS123" s="136"/>
      <c r="PT123" s="136"/>
      <c r="PU123" s="136"/>
      <c r="PV123" s="136"/>
      <c r="PW123" s="136"/>
      <c r="PX123" s="136"/>
      <c r="PY123" s="136"/>
      <c r="PZ123" s="136"/>
      <c r="QA123" s="136"/>
      <c r="QB123" s="136"/>
      <c r="QC123" s="136"/>
      <c r="QD123" s="136"/>
      <c r="QE123" s="136"/>
      <c r="QF123" s="136"/>
      <c r="QG123" s="136"/>
      <c r="QH123" s="136"/>
      <c r="QI123" s="136"/>
      <c r="QJ123" s="136"/>
      <c r="QK123" s="136"/>
      <c r="QL123" s="136"/>
      <c r="QM123" s="136"/>
      <c r="QN123" s="136"/>
      <c r="QO123" s="136"/>
      <c r="QP123" s="136"/>
      <c r="QQ123" s="136"/>
      <c r="QR123" s="136"/>
      <c r="QS123" s="136"/>
      <c r="QT123" s="136"/>
      <c r="QU123" s="136"/>
      <c r="QV123" s="136"/>
      <c r="QW123" s="136"/>
      <c r="QX123" s="136"/>
      <c r="QY123" s="136"/>
      <c r="QZ123" s="136"/>
      <c r="RA123" s="136"/>
      <c r="RB123" s="136"/>
      <c r="RC123" s="136"/>
      <c r="RD123" s="136"/>
      <c r="RE123" s="136"/>
      <c r="RF123" s="136"/>
      <c r="RG123" s="136"/>
      <c r="RH123" s="136"/>
      <c r="RI123" s="136"/>
      <c r="RJ123" s="136"/>
      <c r="RK123" s="136"/>
      <c r="RL123" s="136"/>
      <c r="RM123" s="136"/>
      <c r="RN123" s="136"/>
      <c r="RO123" s="136"/>
      <c r="RP123" s="136"/>
      <c r="RQ123" s="136"/>
      <c r="RR123" s="136"/>
      <c r="RS123" s="136"/>
      <c r="RT123" s="136"/>
      <c r="RU123" s="136"/>
      <c r="RV123" s="136"/>
      <c r="RW123" s="136"/>
      <c r="RX123" s="136"/>
      <c r="RY123" s="136"/>
      <c r="RZ123" s="136"/>
      <c r="SA123" s="136"/>
      <c r="SB123" s="136"/>
      <c r="SC123" s="136"/>
      <c r="SD123" s="136"/>
      <c r="SE123" s="136"/>
      <c r="SF123" s="136"/>
      <c r="SG123" s="136"/>
      <c r="SH123" s="136"/>
      <c r="SI123" s="136"/>
      <c r="SJ123" s="136"/>
      <c r="SK123" s="136"/>
      <c r="SL123" s="136"/>
      <c r="SM123" s="136"/>
      <c r="SN123" s="136"/>
      <c r="SO123" s="136"/>
      <c r="SP123" s="136"/>
      <c r="SQ123" s="136"/>
      <c r="SR123" s="136"/>
      <c r="SS123" s="136"/>
    </row>
    <row r="124" spans="14:513" s="135" customFormat="1" ht="14.5" x14ac:dyDescent="0.35"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  <c r="Y124" s="134"/>
      <c r="Z124" s="134"/>
      <c r="AA124" s="134"/>
      <c r="AB124" s="134"/>
      <c r="AC124" s="134"/>
      <c r="AD124" s="134"/>
      <c r="AE124" s="134"/>
      <c r="AF124" s="134"/>
      <c r="DO124" s="136"/>
      <c r="DP124" s="136"/>
      <c r="DQ124" s="136"/>
      <c r="DR124" s="136"/>
      <c r="DS124" s="136"/>
      <c r="DT124" s="136"/>
      <c r="DU124" s="136"/>
      <c r="DV124" s="136"/>
      <c r="DW124" s="136"/>
      <c r="DX124" s="136"/>
      <c r="DY124" s="136"/>
      <c r="DZ124" s="136"/>
      <c r="EA124" s="136"/>
      <c r="EB124" s="136"/>
      <c r="EC124" s="136"/>
      <c r="ED124" s="136"/>
      <c r="EE124" s="136"/>
      <c r="EF124" s="136"/>
      <c r="EG124" s="136"/>
      <c r="EH124" s="136"/>
      <c r="EI124" s="136"/>
      <c r="EJ124" s="136"/>
      <c r="EK124" s="136"/>
      <c r="EL124" s="136"/>
      <c r="EM124" s="136"/>
      <c r="EN124" s="136"/>
      <c r="EO124" s="136"/>
      <c r="EP124" s="136"/>
      <c r="EQ124" s="136"/>
      <c r="ER124" s="136"/>
      <c r="ES124" s="136"/>
      <c r="ET124" s="136"/>
      <c r="EU124" s="136"/>
      <c r="EV124" s="136"/>
      <c r="EW124" s="136"/>
      <c r="EX124" s="136"/>
      <c r="EY124" s="136"/>
      <c r="EZ124" s="136"/>
      <c r="FA124" s="136"/>
      <c r="FB124" s="136"/>
      <c r="FC124" s="136"/>
      <c r="FD124" s="136"/>
      <c r="FE124" s="136"/>
      <c r="FF124" s="136"/>
      <c r="FG124" s="136"/>
      <c r="FH124" s="136"/>
      <c r="FI124" s="136"/>
      <c r="FJ124" s="136"/>
      <c r="FK124" s="136"/>
      <c r="FL124" s="136"/>
      <c r="FM124" s="136"/>
      <c r="FN124" s="136"/>
      <c r="FO124" s="136"/>
      <c r="FP124" s="136"/>
      <c r="FQ124" s="136"/>
      <c r="FR124" s="136"/>
      <c r="FS124" s="136"/>
      <c r="FT124" s="136"/>
      <c r="FU124" s="136"/>
      <c r="FV124" s="136"/>
      <c r="FW124" s="136"/>
      <c r="FX124" s="136"/>
      <c r="FY124" s="136"/>
      <c r="FZ124" s="136"/>
      <c r="GA124" s="136"/>
      <c r="GB124" s="136"/>
      <c r="GC124" s="136"/>
      <c r="GD124" s="136"/>
      <c r="GE124" s="136"/>
      <c r="GF124" s="136"/>
      <c r="GG124" s="136"/>
      <c r="GH124" s="136"/>
      <c r="GI124" s="136"/>
      <c r="GJ124" s="136"/>
      <c r="GK124" s="136"/>
      <c r="GL124" s="136"/>
      <c r="GM124" s="136"/>
      <c r="GN124" s="136"/>
      <c r="GO124" s="136"/>
      <c r="GP124" s="136"/>
      <c r="GQ124" s="136"/>
      <c r="GR124" s="136"/>
      <c r="GS124" s="136"/>
      <c r="GT124" s="136"/>
      <c r="GU124" s="136"/>
      <c r="GV124" s="136"/>
      <c r="GW124" s="136"/>
      <c r="GX124" s="136"/>
      <c r="GY124" s="136"/>
      <c r="GZ124" s="136"/>
      <c r="HA124" s="136"/>
      <c r="HB124" s="136"/>
      <c r="HC124" s="136"/>
      <c r="HD124" s="136"/>
      <c r="HE124" s="136"/>
      <c r="HF124" s="136"/>
      <c r="HG124" s="136"/>
      <c r="HH124" s="136"/>
      <c r="HI124" s="136"/>
      <c r="HJ124" s="136"/>
      <c r="HK124" s="136"/>
      <c r="HL124" s="136"/>
      <c r="HM124" s="136"/>
      <c r="HN124" s="136"/>
      <c r="HO124" s="136"/>
      <c r="HP124" s="136"/>
      <c r="HQ124" s="136"/>
      <c r="HR124" s="136"/>
      <c r="HS124" s="136"/>
      <c r="HT124" s="136"/>
      <c r="HU124" s="136"/>
      <c r="HV124" s="136"/>
      <c r="HW124" s="136"/>
      <c r="HX124" s="136"/>
      <c r="HY124" s="136"/>
      <c r="HZ124" s="136"/>
      <c r="IA124" s="136"/>
      <c r="IB124" s="136"/>
      <c r="IC124" s="136"/>
      <c r="ID124" s="136"/>
      <c r="IE124" s="136"/>
      <c r="IF124" s="136"/>
      <c r="IG124" s="136"/>
      <c r="IH124" s="136"/>
      <c r="II124" s="136"/>
      <c r="IJ124" s="136"/>
      <c r="IK124" s="136"/>
      <c r="IL124" s="136"/>
      <c r="IM124" s="136"/>
      <c r="IN124" s="136"/>
      <c r="IO124" s="136"/>
      <c r="IP124" s="136"/>
      <c r="IQ124" s="136"/>
      <c r="IR124" s="136"/>
      <c r="IS124" s="136"/>
      <c r="IT124" s="136"/>
      <c r="IU124" s="136"/>
      <c r="IV124" s="136"/>
      <c r="IW124" s="136"/>
      <c r="IX124" s="136"/>
      <c r="IY124" s="136"/>
      <c r="IZ124" s="136"/>
      <c r="JA124" s="136"/>
      <c r="JB124" s="136"/>
      <c r="JC124" s="136"/>
      <c r="JD124" s="136"/>
      <c r="JE124" s="136"/>
      <c r="JF124" s="136"/>
      <c r="JG124" s="136"/>
      <c r="JH124" s="136"/>
      <c r="JI124" s="136"/>
      <c r="JJ124" s="136"/>
      <c r="JK124" s="136"/>
      <c r="JL124" s="136"/>
      <c r="JM124" s="136"/>
      <c r="JN124" s="136"/>
      <c r="JO124" s="136"/>
      <c r="JP124" s="136"/>
      <c r="JQ124" s="136"/>
      <c r="JR124" s="136"/>
      <c r="JS124" s="136"/>
      <c r="JT124" s="136"/>
      <c r="JU124" s="136"/>
      <c r="JV124" s="136"/>
      <c r="JW124" s="136"/>
      <c r="JX124" s="136"/>
      <c r="JY124" s="136"/>
      <c r="JZ124" s="136"/>
      <c r="KA124" s="136"/>
      <c r="KB124" s="136"/>
      <c r="KC124" s="136"/>
      <c r="KD124" s="136"/>
      <c r="KE124" s="136"/>
      <c r="KF124" s="136"/>
      <c r="KG124" s="136"/>
      <c r="KH124" s="136"/>
      <c r="KI124" s="136"/>
      <c r="KJ124" s="136"/>
      <c r="KK124" s="136"/>
      <c r="KL124" s="136"/>
      <c r="KM124" s="136"/>
      <c r="KN124" s="136"/>
      <c r="KO124" s="136"/>
      <c r="KP124" s="136"/>
      <c r="KQ124" s="136"/>
      <c r="KR124" s="136"/>
      <c r="KS124" s="136"/>
      <c r="KT124" s="136"/>
      <c r="KU124" s="136"/>
      <c r="KV124" s="136"/>
      <c r="KW124" s="136"/>
      <c r="KX124" s="136"/>
      <c r="KY124" s="136"/>
      <c r="KZ124" s="136"/>
      <c r="LA124" s="136"/>
      <c r="LB124" s="136"/>
      <c r="LC124" s="136"/>
      <c r="LD124" s="136"/>
      <c r="LE124" s="136"/>
      <c r="LF124" s="136"/>
      <c r="LG124" s="136"/>
      <c r="LH124" s="136"/>
      <c r="LI124" s="136"/>
      <c r="LJ124" s="136"/>
      <c r="LK124" s="136"/>
      <c r="LL124" s="136"/>
      <c r="LM124" s="136"/>
      <c r="LN124" s="136"/>
      <c r="LO124" s="136"/>
      <c r="LP124" s="136"/>
      <c r="LQ124" s="136"/>
      <c r="LR124" s="136"/>
      <c r="LS124" s="136"/>
      <c r="LT124" s="136"/>
      <c r="LU124" s="136"/>
      <c r="LV124" s="136"/>
      <c r="LW124" s="136"/>
      <c r="LX124" s="136"/>
      <c r="LY124" s="136"/>
      <c r="LZ124" s="136"/>
      <c r="MA124" s="136"/>
      <c r="MB124" s="136"/>
      <c r="MC124" s="136"/>
      <c r="MD124" s="136"/>
      <c r="ME124" s="136"/>
      <c r="MF124" s="136"/>
      <c r="MG124" s="136"/>
      <c r="MH124" s="136"/>
      <c r="MI124" s="136"/>
      <c r="MJ124" s="136"/>
      <c r="MK124" s="136"/>
      <c r="ML124" s="136"/>
      <c r="MM124" s="136"/>
      <c r="MN124" s="136"/>
      <c r="MO124" s="136"/>
      <c r="MP124" s="136"/>
      <c r="MQ124" s="136"/>
      <c r="MR124" s="136"/>
      <c r="MS124" s="136"/>
      <c r="MT124" s="136"/>
      <c r="MU124" s="136"/>
      <c r="MV124" s="136"/>
      <c r="MW124" s="136"/>
      <c r="MX124" s="136"/>
      <c r="MY124" s="136"/>
      <c r="MZ124" s="136"/>
      <c r="NA124" s="136"/>
      <c r="NB124" s="136"/>
      <c r="NC124" s="136"/>
      <c r="ND124" s="136"/>
      <c r="NE124" s="136"/>
      <c r="NF124" s="136"/>
      <c r="NG124" s="136"/>
      <c r="NH124" s="136"/>
      <c r="NI124" s="136"/>
      <c r="NJ124" s="136"/>
      <c r="NK124" s="136"/>
      <c r="NL124" s="136"/>
      <c r="NM124" s="136"/>
      <c r="NN124" s="136"/>
      <c r="NO124" s="136"/>
      <c r="NP124" s="136"/>
      <c r="NQ124" s="136"/>
      <c r="NR124" s="136"/>
      <c r="NS124" s="136"/>
      <c r="NT124" s="136"/>
      <c r="NU124" s="136"/>
      <c r="NV124" s="136"/>
      <c r="NW124" s="136"/>
      <c r="NX124" s="136"/>
      <c r="NY124" s="136"/>
      <c r="NZ124" s="136"/>
      <c r="OA124" s="136"/>
      <c r="OB124" s="136"/>
      <c r="OC124" s="136"/>
      <c r="OD124" s="136"/>
      <c r="OE124" s="136"/>
      <c r="OF124" s="136"/>
      <c r="OG124" s="136"/>
      <c r="OH124" s="136"/>
      <c r="OI124" s="136"/>
      <c r="OJ124" s="136"/>
      <c r="OK124" s="136"/>
      <c r="OL124" s="136"/>
      <c r="OM124" s="136"/>
      <c r="ON124" s="136"/>
      <c r="OO124" s="136"/>
      <c r="OP124" s="136"/>
      <c r="OQ124" s="136"/>
      <c r="OR124" s="136"/>
      <c r="OS124" s="136"/>
      <c r="OT124" s="136"/>
      <c r="OU124" s="136"/>
      <c r="OV124" s="136"/>
      <c r="OW124" s="136"/>
      <c r="OX124" s="136"/>
      <c r="OY124" s="136"/>
      <c r="OZ124" s="136"/>
      <c r="PA124" s="136"/>
      <c r="PB124" s="136"/>
      <c r="PC124" s="136"/>
      <c r="PD124" s="136"/>
      <c r="PE124" s="136"/>
      <c r="PF124" s="136"/>
      <c r="PG124" s="136"/>
      <c r="PH124" s="136"/>
      <c r="PI124" s="136"/>
      <c r="PJ124" s="136"/>
      <c r="PK124" s="136"/>
      <c r="PL124" s="136"/>
      <c r="PM124" s="136"/>
      <c r="PN124" s="136"/>
      <c r="PO124" s="136"/>
      <c r="PP124" s="136"/>
      <c r="PQ124" s="136"/>
      <c r="PR124" s="136"/>
      <c r="PS124" s="136"/>
      <c r="PT124" s="136"/>
      <c r="PU124" s="136"/>
      <c r="PV124" s="136"/>
      <c r="PW124" s="136"/>
      <c r="PX124" s="136"/>
      <c r="PY124" s="136"/>
      <c r="PZ124" s="136"/>
      <c r="QA124" s="136"/>
      <c r="QB124" s="136"/>
      <c r="QC124" s="136"/>
      <c r="QD124" s="136"/>
      <c r="QE124" s="136"/>
      <c r="QF124" s="136"/>
      <c r="QG124" s="136"/>
      <c r="QH124" s="136"/>
      <c r="QI124" s="136"/>
      <c r="QJ124" s="136"/>
      <c r="QK124" s="136"/>
      <c r="QL124" s="136"/>
      <c r="QM124" s="136"/>
      <c r="QN124" s="136"/>
      <c r="QO124" s="136"/>
      <c r="QP124" s="136"/>
      <c r="QQ124" s="136"/>
      <c r="QR124" s="136"/>
      <c r="QS124" s="136"/>
      <c r="QT124" s="136"/>
      <c r="QU124" s="136"/>
      <c r="QV124" s="136"/>
      <c r="QW124" s="136"/>
      <c r="QX124" s="136"/>
      <c r="QY124" s="136"/>
      <c r="QZ124" s="136"/>
      <c r="RA124" s="136"/>
      <c r="RB124" s="136"/>
      <c r="RC124" s="136"/>
      <c r="RD124" s="136"/>
      <c r="RE124" s="136"/>
      <c r="RF124" s="136"/>
      <c r="RG124" s="136"/>
      <c r="RH124" s="136"/>
      <c r="RI124" s="136"/>
      <c r="RJ124" s="136"/>
      <c r="RK124" s="136"/>
      <c r="RL124" s="136"/>
      <c r="RM124" s="136"/>
      <c r="RN124" s="136"/>
      <c r="RO124" s="136"/>
      <c r="RP124" s="136"/>
      <c r="RQ124" s="136"/>
      <c r="RR124" s="136"/>
      <c r="RS124" s="136"/>
      <c r="RT124" s="136"/>
      <c r="RU124" s="136"/>
      <c r="RV124" s="136"/>
      <c r="RW124" s="136"/>
      <c r="RX124" s="136"/>
      <c r="RY124" s="136"/>
      <c r="RZ124" s="136"/>
      <c r="SA124" s="136"/>
      <c r="SB124" s="136"/>
      <c r="SC124" s="136"/>
      <c r="SD124" s="136"/>
      <c r="SE124" s="136"/>
      <c r="SF124" s="136"/>
      <c r="SG124" s="136"/>
      <c r="SH124" s="136"/>
      <c r="SI124" s="136"/>
      <c r="SJ124" s="136"/>
      <c r="SK124" s="136"/>
      <c r="SL124" s="136"/>
      <c r="SM124" s="136"/>
      <c r="SN124" s="136"/>
      <c r="SO124" s="136"/>
      <c r="SP124" s="136"/>
      <c r="SQ124" s="136"/>
      <c r="SR124" s="136"/>
      <c r="SS124" s="136"/>
    </row>
    <row r="125" spans="14:513" s="135" customFormat="1" ht="14.5" x14ac:dyDescent="0.35"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  <c r="Y125" s="134"/>
      <c r="Z125" s="134"/>
      <c r="AA125" s="134"/>
      <c r="AB125" s="134"/>
      <c r="AC125" s="134"/>
      <c r="AD125" s="134"/>
      <c r="AE125" s="134"/>
      <c r="AF125" s="134"/>
      <c r="DO125" s="136"/>
      <c r="DP125" s="136"/>
      <c r="DQ125" s="136"/>
      <c r="DR125" s="136"/>
      <c r="DS125" s="136"/>
      <c r="DT125" s="136"/>
      <c r="DU125" s="136"/>
      <c r="DV125" s="136"/>
      <c r="DW125" s="136"/>
      <c r="DX125" s="136"/>
      <c r="DY125" s="136"/>
      <c r="DZ125" s="136"/>
      <c r="EA125" s="136"/>
      <c r="EB125" s="136"/>
      <c r="EC125" s="136"/>
      <c r="ED125" s="136"/>
      <c r="EE125" s="136"/>
      <c r="EF125" s="136"/>
      <c r="EG125" s="136"/>
      <c r="EH125" s="136"/>
      <c r="EI125" s="136"/>
      <c r="EJ125" s="136"/>
      <c r="EK125" s="136"/>
      <c r="EL125" s="136"/>
      <c r="EM125" s="136"/>
      <c r="EN125" s="136"/>
      <c r="EO125" s="136"/>
      <c r="EP125" s="136"/>
      <c r="EQ125" s="136"/>
      <c r="ER125" s="136"/>
      <c r="ES125" s="136"/>
      <c r="ET125" s="136"/>
      <c r="EU125" s="136"/>
      <c r="EV125" s="136"/>
      <c r="EW125" s="136"/>
      <c r="EX125" s="136"/>
      <c r="EY125" s="136"/>
      <c r="EZ125" s="136"/>
      <c r="FA125" s="136"/>
      <c r="FB125" s="136"/>
      <c r="FC125" s="136"/>
      <c r="FD125" s="136"/>
      <c r="FE125" s="136"/>
      <c r="FF125" s="136"/>
      <c r="FG125" s="136"/>
      <c r="FH125" s="136"/>
      <c r="FI125" s="136"/>
      <c r="FJ125" s="136"/>
      <c r="FK125" s="136"/>
      <c r="FL125" s="136"/>
      <c r="FM125" s="136"/>
      <c r="FN125" s="136"/>
      <c r="FO125" s="136"/>
      <c r="FP125" s="136"/>
      <c r="FQ125" s="136"/>
      <c r="FR125" s="136"/>
      <c r="FS125" s="136"/>
      <c r="FT125" s="136"/>
      <c r="FU125" s="136"/>
      <c r="FV125" s="136"/>
      <c r="FW125" s="136"/>
      <c r="FX125" s="136"/>
      <c r="FY125" s="136"/>
      <c r="FZ125" s="136"/>
      <c r="GA125" s="136"/>
      <c r="GB125" s="136"/>
      <c r="GC125" s="136"/>
      <c r="GD125" s="136"/>
      <c r="GE125" s="136"/>
      <c r="GF125" s="136"/>
      <c r="GG125" s="136"/>
      <c r="GH125" s="136"/>
      <c r="GI125" s="136"/>
      <c r="GJ125" s="136"/>
      <c r="GK125" s="136"/>
      <c r="GL125" s="136"/>
      <c r="GM125" s="136"/>
      <c r="GN125" s="136"/>
      <c r="GO125" s="136"/>
      <c r="GP125" s="136"/>
      <c r="GQ125" s="136"/>
      <c r="GR125" s="136"/>
      <c r="GS125" s="136"/>
      <c r="GT125" s="136"/>
      <c r="GU125" s="136"/>
      <c r="GV125" s="136"/>
      <c r="GW125" s="136"/>
      <c r="GX125" s="136"/>
      <c r="GY125" s="136"/>
      <c r="GZ125" s="136"/>
      <c r="HA125" s="136"/>
      <c r="HB125" s="136"/>
      <c r="HC125" s="136"/>
      <c r="HD125" s="136"/>
      <c r="HE125" s="136"/>
      <c r="HF125" s="136"/>
      <c r="HG125" s="136"/>
      <c r="HH125" s="136"/>
      <c r="HI125" s="136"/>
      <c r="HJ125" s="136"/>
      <c r="HK125" s="136"/>
      <c r="HL125" s="136"/>
      <c r="HM125" s="136"/>
      <c r="HN125" s="136"/>
      <c r="HO125" s="136"/>
      <c r="HP125" s="136"/>
      <c r="HQ125" s="136"/>
      <c r="HR125" s="136"/>
      <c r="HS125" s="136"/>
      <c r="HT125" s="136"/>
      <c r="HU125" s="136"/>
      <c r="HV125" s="136"/>
      <c r="HW125" s="136"/>
      <c r="HX125" s="136"/>
      <c r="HY125" s="136"/>
      <c r="HZ125" s="136"/>
      <c r="IA125" s="136"/>
      <c r="IB125" s="136"/>
      <c r="IC125" s="136"/>
      <c r="ID125" s="136"/>
      <c r="IE125" s="136"/>
      <c r="IF125" s="136"/>
      <c r="IG125" s="136"/>
      <c r="IH125" s="136"/>
      <c r="II125" s="136"/>
      <c r="IJ125" s="136"/>
      <c r="IK125" s="136"/>
      <c r="IL125" s="136"/>
      <c r="IM125" s="136"/>
      <c r="IN125" s="136"/>
      <c r="IO125" s="136"/>
      <c r="IP125" s="136"/>
      <c r="IQ125" s="136"/>
      <c r="IR125" s="136"/>
      <c r="IS125" s="136"/>
      <c r="IT125" s="136"/>
      <c r="IU125" s="136"/>
      <c r="IV125" s="136"/>
      <c r="IW125" s="136"/>
      <c r="IX125" s="136"/>
      <c r="IY125" s="136"/>
      <c r="IZ125" s="136"/>
      <c r="JA125" s="136"/>
      <c r="JB125" s="136"/>
      <c r="JC125" s="136"/>
      <c r="JD125" s="136"/>
      <c r="JE125" s="136"/>
      <c r="JF125" s="136"/>
      <c r="JG125" s="136"/>
      <c r="JH125" s="136"/>
      <c r="JI125" s="136"/>
      <c r="JJ125" s="136"/>
      <c r="JK125" s="136"/>
      <c r="JL125" s="136"/>
      <c r="JM125" s="136"/>
      <c r="JN125" s="136"/>
      <c r="JO125" s="136"/>
      <c r="JP125" s="136"/>
      <c r="JQ125" s="136"/>
      <c r="JR125" s="136"/>
      <c r="JS125" s="136"/>
      <c r="JT125" s="136"/>
      <c r="JU125" s="136"/>
      <c r="JV125" s="136"/>
      <c r="JW125" s="136"/>
      <c r="JX125" s="136"/>
      <c r="JY125" s="136"/>
      <c r="JZ125" s="136"/>
      <c r="KA125" s="136"/>
      <c r="KB125" s="136"/>
      <c r="KC125" s="136"/>
      <c r="KD125" s="136"/>
      <c r="KE125" s="136"/>
      <c r="KF125" s="136"/>
      <c r="KG125" s="136"/>
      <c r="KH125" s="136"/>
      <c r="KI125" s="136"/>
      <c r="KJ125" s="136"/>
      <c r="KK125" s="136"/>
      <c r="KL125" s="136"/>
      <c r="KM125" s="136"/>
      <c r="KN125" s="136"/>
      <c r="KO125" s="136"/>
      <c r="KP125" s="136"/>
      <c r="KQ125" s="136"/>
      <c r="KR125" s="136"/>
      <c r="KS125" s="136"/>
      <c r="KT125" s="136"/>
      <c r="KU125" s="136"/>
      <c r="KV125" s="136"/>
      <c r="KW125" s="136"/>
      <c r="KX125" s="136"/>
      <c r="KY125" s="136"/>
      <c r="KZ125" s="136"/>
      <c r="LA125" s="136"/>
      <c r="LB125" s="136"/>
      <c r="LC125" s="136"/>
      <c r="LD125" s="136"/>
      <c r="LE125" s="136"/>
      <c r="LF125" s="136"/>
      <c r="LG125" s="136"/>
      <c r="LH125" s="136"/>
      <c r="LI125" s="136"/>
      <c r="LJ125" s="136"/>
      <c r="LK125" s="136"/>
      <c r="LL125" s="136"/>
      <c r="LM125" s="136"/>
      <c r="LN125" s="136"/>
      <c r="LO125" s="136"/>
      <c r="LP125" s="136"/>
      <c r="LQ125" s="136"/>
      <c r="LR125" s="136"/>
      <c r="LS125" s="136"/>
      <c r="LT125" s="136"/>
      <c r="LU125" s="136"/>
      <c r="LV125" s="136"/>
      <c r="LW125" s="136"/>
      <c r="LX125" s="136"/>
      <c r="LY125" s="136"/>
      <c r="LZ125" s="136"/>
      <c r="MA125" s="136"/>
      <c r="MB125" s="136"/>
      <c r="MC125" s="136"/>
      <c r="MD125" s="136"/>
      <c r="ME125" s="136"/>
      <c r="MF125" s="136"/>
      <c r="MG125" s="136"/>
      <c r="MH125" s="136"/>
      <c r="MI125" s="136"/>
      <c r="MJ125" s="136"/>
      <c r="MK125" s="136"/>
      <c r="ML125" s="136"/>
      <c r="MM125" s="136"/>
      <c r="MN125" s="136"/>
      <c r="MO125" s="136"/>
      <c r="MP125" s="136"/>
      <c r="MQ125" s="136"/>
      <c r="MR125" s="136"/>
      <c r="MS125" s="136"/>
      <c r="MT125" s="136"/>
      <c r="MU125" s="136"/>
      <c r="MV125" s="136"/>
      <c r="MW125" s="136"/>
      <c r="MX125" s="136"/>
      <c r="MY125" s="136"/>
      <c r="MZ125" s="136"/>
      <c r="NA125" s="136"/>
      <c r="NB125" s="136"/>
      <c r="NC125" s="136"/>
      <c r="ND125" s="136"/>
      <c r="NE125" s="136"/>
      <c r="NF125" s="136"/>
      <c r="NG125" s="136"/>
      <c r="NH125" s="136"/>
      <c r="NI125" s="136"/>
      <c r="NJ125" s="136"/>
      <c r="NK125" s="136"/>
      <c r="NL125" s="136"/>
      <c r="NM125" s="136"/>
      <c r="NN125" s="136"/>
      <c r="NO125" s="136"/>
      <c r="NP125" s="136"/>
      <c r="NQ125" s="136"/>
      <c r="NR125" s="136"/>
      <c r="NS125" s="136"/>
      <c r="NT125" s="136"/>
      <c r="NU125" s="136"/>
      <c r="NV125" s="136"/>
      <c r="NW125" s="136"/>
      <c r="NX125" s="136"/>
      <c r="NY125" s="136"/>
      <c r="NZ125" s="136"/>
      <c r="OA125" s="136"/>
      <c r="OB125" s="136"/>
      <c r="OC125" s="136"/>
      <c r="OD125" s="136"/>
      <c r="OE125" s="136"/>
      <c r="OF125" s="136"/>
      <c r="OG125" s="136"/>
      <c r="OH125" s="136"/>
      <c r="OI125" s="136"/>
      <c r="OJ125" s="136"/>
      <c r="OK125" s="136"/>
      <c r="OL125" s="136"/>
      <c r="OM125" s="136"/>
      <c r="ON125" s="136"/>
      <c r="OO125" s="136"/>
      <c r="OP125" s="136"/>
      <c r="OQ125" s="136"/>
      <c r="OR125" s="136"/>
      <c r="OS125" s="136"/>
      <c r="OT125" s="136"/>
      <c r="OU125" s="136"/>
      <c r="OV125" s="136"/>
      <c r="OW125" s="136"/>
      <c r="OX125" s="136"/>
      <c r="OY125" s="136"/>
      <c r="OZ125" s="136"/>
      <c r="PA125" s="136"/>
      <c r="PB125" s="136"/>
      <c r="PC125" s="136"/>
      <c r="PD125" s="136"/>
      <c r="PE125" s="136"/>
      <c r="PF125" s="136"/>
      <c r="PG125" s="136"/>
      <c r="PH125" s="136"/>
      <c r="PI125" s="136"/>
      <c r="PJ125" s="136"/>
      <c r="PK125" s="136"/>
      <c r="PL125" s="136"/>
      <c r="PM125" s="136"/>
      <c r="PN125" s="136"/>
      <c r="PO125" s="136"/>
      <c r="PP125" s="136"/>
      <c r="PQ125" s="136"/>
      <c r="PR125" s="136"/>
      <c r="PS125" s="136"/>
      <c r="PT125" s="136"/>
      <c r="PU125" s="136"/>
      <c r="PV125" s="136"/>
      <c r="PW125" s="136"/>
      <c r="PX125" s="136"/>
      <c r="PY125" s="136"/>
      <c r="PZ125" s="136"/>
      <c r="QA125" s="136"/>
      <c r="QB125" s="136"/>
      <c r="QC125" s="136"/>
      <c r="QD125" s="136"/>
      <c r="QE125" s="136"/>
      <c r="QF125" s="136"/>
      <c r="QG125" s="136"/>
      <c r="QH125" s="136"/>
      <c r="QI125" s="136"/>
      <c r="QJ125" s="136"/>
      <c r="QK125" s="136"/>
      <c r="QL125" s="136"/>
      <c r="QM125" s="136"/>
      <c r="QN125" s="136"/>
      <c r="QO125" s="136"/>
      <c r="QP125" s="136"/>
      <c r="QQ125" s="136"/>
      <c r="QR125" s="136"/>
      <c r="QS125" s="136"/>
      <c r="QT125" s="136"/>
      <c r="QU125" s="136"/>
      <c r="QV125" s="136"/>
      <c r="QW125" s="136"/>
      <c r="QX125" s="136"/>
      <c r="QY125" s="136"/>
      <c r="QZ125" s="136"/>
      <c r="RA125" s="136"/>
      <c r="RB125" s="136"/>
      <c r="RC125" s="136"/>
      <c r="RD125" s="136"/>
      <c r="RE125" s="136"/>
      <c r="RF125" s="136"/>
      <c r="RG125" s="136"/>
      <c r="RH125" s="136"/>
      <c r="RI125" s="136"/>
      <c r="RJ125" s="136"/>
      <c r="RK125" s="136"/>
      <c r="RL125" s="136"/>
      <c r="RM125" s="136"/>
      <c r="RN125" s="136"/>
      <c r="RO125" s="136"/>
      <c r="RP125" s="136"/>
      <c r="RQ125" s="136"/>
      <c r="RR125" s="136"/>
      <c r="RS125" s="136"/>
      <c r="RT125" s="136"/>
      <c r="RU125" s="136"/>
      <c r="RV125" s="136"/>
      <c r="RW125" s="136"/>
      <c r="RX125" s="136"/>
      <c r="RY125" s="136"/>
      <c r="RZ125" s="136"/>
      <c r="SA125" s="136"/>
      <c r="SB125" s="136"/>
      <c r="SC125" s="136"/>
      <c r="SD125" s="136"/>
      <c r="SE125" s="136"/>
      <c r="SF125" s="136"/>
      <c r="SG125" s="136"/>
      <c r="SH125" s="136"/>
      <c r="SI125" s="136"/>
      <c r="SJ125" s="136"/>
      <c r="SK125" s="136"/>
      <c r="SL125" s="136"/>
      <c r="SM125" s="136"/>
      <c r="SN125" s="136"/>
      <c r="SO125" s="136"/>
      <c r="SP125" s="136"/>
      <c r="SQ125" s="136"/>
      <c r="SR125" s="136"/>
      <c r="SS125" s="136"/>
    </row>
    <row r="126" spans="14:513" s="135" customFormat="1" ht="14.5" x14ac:dyDescent="0.35"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  <c r="Y126" s="134"/>
      <c r="Z126" s="134"/>
      <c r="AA126" s="134"/>
      <c r="AB126" s="134"/>
      <c r="AC126" s="134"/>
      <c r="AD126" s="134"/>
      <c r="AE126" s="134"/>
      <c r="AF126" s="134"/>
      <c r="DO126" s="136"/>
      <c r="DP126" s="136"/>
      <c r="DQ126" s="136"/>
      <c r="DR126" s="136"/>
      <c r="DS126" s="136"/>
      <c r="DT126" s="136"/>
      <c r="DU126" s="136"/>
      <c r="DV126" s="136"/>
      <c r="DW126" s="136"/>
      <c r="DX126" s="136"/>
      <c r="DY126" s="136"/>
      <c r="DZ126" s="136"/>
      <c r="EA126" s="136"/>
      <c r="EB126" s="136"/>
      <c r="EC126" s="136"/>
      <c r="ED126" s="136"/>
      <c r="EE126" s="136"/>
      <c r="EF126" s="136"/>
      <c r="EG126" s="136"/>
      <c r="EH126" s="136"/>
      <c r="EI126" s="136"/>
      <c r="EJ126" s="136"/>
      <c r="EK126" s="136"/>
      <c r="EL126" s="136"/>
      <c r="EM126" s="136"/>
      <c r="EN126" s="136"/>
      <c r="EO126" s="136"/>
      <c r="EP126" s="136"/>
      <c r="EQ126" s="136"/>
      <c r="ER126" s="136"/>
      <c r="ES126" s="136"/>
      <c r="ET126" s="136"/>
      <c r="EU126" s="136"/>
      <c r="EV126" s="136"/>
      <c r="EW126" s="136"/>
      <c r="EX126" s="136"/>
      <c r="EY126" s="136"/>
      <c r="EZ126" s="136"/>
      <c r="FA126" s="136"/>
      <c r="FB126" s="136"/>
      <c r="FC126" s="136"/>
      <c r="FD126" s="136"/>
      <c r="FE126" s="136"/>
      <c r="FF126" s="136"/>
      <c r="FG126" s="136"/>
      <c r="FH126" s="136"/>
      <c r="FI126" s="136"/>
      <c r="FJ126" s="136"/>
      <c r="FK126" s="136"/>
      <c r="FL126" s="136"/>
      <c r="FM126" s="136"/>
      <c r="FN126" s="136"/>
      <c r="FO126" s="136"/>
      <c r="FP126" s="136"/>
      <c r="FQ126" s="136"/>
      <c r="FR126" s="136"/>
      <c r="FS126" s="136"/>
      <c r="FT126" s="136"/>
      <c r="FU126" s="136"/>
      <c r="FV126" s="136"/>
      <c r="FW126" s="136"/>
      <c r="FX126" s="136"/>
      <c r="FY126" s="136"/>
      <c r="FZ126" s="136"/>
      <c r="GA126" s="136"/>
      <c r="GB126" s="136"/>
      <c r="GC126" s="136"/>
      <c r="GD126" s="136"/>
      <c r="GE126" s="136"/>
      <c r="GF126" s="136"/>
      <c r="GG126" s="136"/>
      <c r="GH126" s="136"/>
      <c r="GI126" s="136"/>
      <c r="GJ126" s="136"/>
      <c r="GK126" s="136"/>
      <c r="GL126" s="136"/>
      <c r="GM126" s="136"/>
      <c r="GN126" s="136"/>
      <c r="GO126" s="136"/>
      <c r="GP126" s="136"/>
      <c r="GQ126" s="136"/>
      <c r="GR126" s="136"/>
      <c r="GS126" s="136"/>
      <c r="GT126" s="136"/>
      <c r="GU126" s="136"/>
      <c r="GV126" s="136"/>
      <c r="GW126" s="136"/>
      <c r="GX126" s="136"/>
      <c r="GY126" s="136"/>
      <c r="GZ126" s="136"/>
      <c r="HA126" s="136"/>
      <c r="HB126" s="136"/>
      <c r="HC126" s="136"/>
      <c r="HD126" s="136"/>
      <c r="HE126" s="136"/>
      <c r="HF126" s="136"/>
      <c r="HG126" s="136"/>
      <c r="HH126" s="136"/>
      <c r="HI126" s="136"/>
      <c r="HJ126" s="136"/>
      <c r="HK126" s="136"/>
      <c r="HL126" s="136"/>
      <c r="HM126" s="136"/>
      <c r="HN126" s="136"/>
      <c r="HO126" s="136"/>
      <c r="HP126" s="136"/>
      <c r="HQ126" s="136"/>
      <c r="HR126" s="136"/>
      <c r="HS126" s="136"/>
      <c r="HT126" s="136"/>
      <c r="HU126" s="136"/>
      <c r="HV126" s="136"/>
      <c r="HW126" s="136"/>
      <c r="HX126" s="136"/>
      <c r="HY126" s="136"/>
      <c r="HZ126" s="136"/>
      <c r="IA126" s="136"/>
      <c r="IB126" s="136"/>
      <c r="IC126" s="136"/>
      <c r="ID126" s="136"/>
      <c r="IE126" s="136"/>
      <c r="IF126" s="136"/>
      <c r="IG126" s="136"/>
      <c r="IH126" s="136"/>
      <c r="II126" s="136"/>
      <c r="IJ126" s="136"/>
      <c r="IK126" s="136"/>
      <c r="IL126" s="136"/>
      <c r="IM126" s="136"/>
      <c r="IN126" s="136"/>
      <c r="IO126" s="136"/>
      <c r="IP126" s="136"/>
      <c r="IQ126" s="136"/>
      <c r="IR126" s="136"/>
      <c r="IS126" s="136"/>
      <c r="IT126" s="136"/>
      <c r="IU126" s="136"/>
      <c r="IV126" s="136"/>
      <c r="IW126" s="136"/>
      <c r="IX126" s="136"/>
      <c r="IY126" s="136"/>
      <c r="IZ126" s="136"/>
      <c r="JA126" s="136"/>
      <c r="JB126" s="136"/>
      <c r="JC126" s="136"/>
      <c r="JD126" s="136"/>
      <c r="JE126" s="136"/>
      <c r="JF126" s="136"/>
      <c r="JG126" s="136"/>
      <c r="JH126" s="136"/>
      <c r="JI126" s="136"/>
      <c r="JJ126" s="136"/>
      <c r="JK126" s="136"/>
      <c r="JL126" s="136"/>
      <c r="JM126" s="136"/>
      <c r="JN126" s="136"/>
      <c r="JO126" s="136"/>
      <c r="JP126" s="136"/>
      <c r="JQ126" s="136"/>
      <c r="JR126" s="136"/>
      <c r="JS126" s="136"/>
      <c r="JT126" s="136"/>
      <c r="JU126" s="136"/>
      <c r="JV126" s="136"/>
      <c r="JW126" s="136"/>
      <c r="JX126" s="136"/>
      <c r="JY126" s="136"/>
      <c r="JZ126" s="136"/>
      <c r="KA126" s="136"/>
      <c r="KB126" s="136"/>
      <c r="KC126" s="136"/>
      <c r="KD126" s="136"/>
      <c r="KE126" s="136"/>
      <c r="KF126" s="136"/>
      <c r="KG126" s="136"/>
      <c r="KH126" s="136"/>
      <c r="KI126" s="136"/>
      <c r="KJ126" s="136"/>
      <c r="KK126" s="136"/>
      <c r="KL126" s="136"/>
      <c r="KM126" s="136"/>
      <c r="KN126" s="136"/>
      <c r="KO126" s="136"/>
      <c r="KP126" s="136"/>
      <c r="KQ126" s="136"/>
      <c r="KR126" s="136"/>
      <c r="KS126" s="136"/>
      <c r="KT126" s="136"/>
      <c r="KU126" s="136"/>
      <c r="KV126" s="136"/>
      <c r="KW126" s="136"/>
      <c r="KX126" s="136"/>
      <c r="KY126" s="136"/>
      <c r="KZ126" s="136"/>
      <c r="LA126" s="136"/>
      <c r="LB126" s="136"/>
      <c r="LC126" s="136"/>
      <c r="LD126" s="136"/>
      <c r="LE126" s="136"/>
      <c r="LF126" s="136"/>
      <c r="LG126" s="136"/>
      <c r="LH126" s="136"/>
      <c r="LI126" s="136"/>
      <c r="LJ126" s="136"/>
      <c r="LK126" s="136"/>
      <c r="LL126" s="136"/>
      <c r="LM126" s="136"/>
      <c r="LN126" s="136"/>
      <c r="LO126" s="136"/>
      <c r="LP126" s="136"/>
      <c r="LQ126" s="136"/>
      <c r="LR126" s="136"/>
      <c r="LS126" s="136"/>
      <c r="LT126" s="136"/>
      <c r="LU126" s="136"/>
      <c r="LV126" s="136"/>
      <c r="LW126" s="136"/>
      <c r="LX126" s="136"/>
      <c r="LY126" s="136"/>
      <c r="LZ126" s="136"/>
      <c r="MA126" s="136"/>
      <c r="MB126" s="136"/>
      <c r="MC126" s="136"/>
      <c r="MD126" s="136"/>
      <c r="ME126" s="136"/>
      <c r="MF126" s="136"/>
      <c r="MG126" s="136"/>
      <c r="MH126" s="136"/>
      <c r="MI126" s="136"/>
      <c r="MJ126" s="136"/>
      <c r="MK126" s="136"/>
      <c r="ML126" s="136"/>
      <c r="MM126" s="136"/>
      <c r="MN126" s="136"/>
      <c r="MO126" s="136"/>
      <c r="MP126" s="136"/>
      <c r="MQ126" s="136"/>
      <c r="MR126" s="136"/>
      <c r="MS126" s="136"/>
      <c r="MT126" s="136"/>
      <c r="MU126" s="136"/>
      <c r="MV126" s="136"/>
      <c r="MW126" s="136"/>
      <c r="MX126" s="136"/>
      <c r="MY126" s="136"/>
      <c r="MZ126" s="136"/>
      <c r="NA126" s="136"/>
      <c r="NB126" s="136"/>
      <c r="NC126" s="136"/>
      <c r="ND126" s="136"/>
      <c r="NE126" s="136"/>
      <c r="NF126" s="136"/>
      <c r="NG126" s="136"/>
      <c r="NH126" s="136"/>
      <c r="NI126" s="136"/>
      <c r="NJ126" s="136"/>
      <c r="NK126" s="136"/>
      <c r="NL126" s="136"/>
      <c r="NM126" s="136"/>
      <c r="NN126" s="136"/>
      <c r="NO126" s="136"/>
      <c r="NP126" s="136"/>
      <c r="NQ126" s="136"/>
      <c r="NR126" s="136"/>
      <c r="NS126" s="136"/>
      <c r="NT126" s="136"/>
      <c r="NU126" s="136"/>
      <c r="NV126" s="136"/>
      <c r="NW126" s="136"/>
      <c r="NX126" s="136"/>
      <c r="NY126" s="136"/>
      <c r="NZ126" s="136"/>
      <c r="OA126" s="136"/>
      <c r="OB126" s="136"/>
      <c r="OC126" s="136"/>
      <c r="OD126" s="136"/>
      <c r="OE126" s="136"/>
      <c r="OF126" s="136"/>
      <c r="OG126" s="136"/>
      <c r="OH126" s="136"/>
      <c r="OI126" s="136"/>
      <c r="OJ126" s="136"/>
      <c r="OK126" s="136"/>
      <c r="OL126" s="136"/>
      <c r="OM126" s="136"/>
      <c r="ON126" s="136"/>
      <c r="OO126" s="136"/>
      <c r="OP126" s="136"/>
      <c r="OQ126" s="136"/>
      <c r="OR126" s="136"/>
      <c r="OS126" s="136"/>
      <c r="OT126" s="136"/>
      <c r="OU126" s="136"/>
      <c r="OV126" s="136"/>
      <c r="OW126" s="136"/>
      <c r="OX126" s="136"/>
      <c r="OY126" s="136"/>
      <c r="OZ126" s="136"/>
      <c r="PA126" s="136"/>
      <c r="PB126" s="136"/>
      <c r="PC126" s="136"/>
      <c r="PD126" s="136"/>
      <c r="PE126" s="136"/>
      <c r="PF126" s="136"/>
      <c r="PG126" s="136"/>
      <c r="PH126" s="136"/>
      <c r="PI126" s="136"/>
      <c r="PJ126" s="136"/>
      <c r="PK126" s="136"/>
      <c r="PL126" s="136"/>
      <c r="PM126" s="136"/>
      <c r="PN126" s="136"/>
      <c r="PO126" s="136"/>
      <c r="PP126" s="136"/>
      <c r="PQ126" s="136"/>
      <c r="PR126" s="136"/>
      <c r="PS126" s="136"/>
      <c r="PT126" s="136"/>
      <c r="PU126" s="136"/>
      <c r="PV126" s="136"/>
      <c r="PW126" s="136"/>
      <c r="PX126" s="136"/>
      <c r="PY126" s="136"/>
      <c r="PZ126" s="136"/>
      <c r="QA126" s="136"/>
      <c r="QB126" s="136"/>
      <c r="QC126" s="136"/>
      <c r="QD126" s="136"/>
      <c r="QE126" s="136"/>
      <c r="QF126" s="136"/>
      <c r="QG126" s="136"/>
      <c r="QH126" s="136"/>
      <c r="QI126" s="136"/>
      <c r="QJ126" s="136"/>
      <c r="QK126" s="136"/>
      <c r="QL126" s="136"/>
      <c r="QM126" s="136"/>
      <c r="QN126" s="136"/>
      <c r="QO126" s="136"/>
      <c r="QP126" s="136"/>
      <c r="QQ126" s="136"/>
      <c r="QR126" s="136"/>
      <c r="QS126" s="136"/>
      <c r="QT126" s="136"/>
      <c r="QU126" s="136"/>
      <c r="QV126" s="136"/>
      <c r="QW126" s="136"/>
      <c r="QX126" s="136"/>
      <c r="QY126" s="136"/>
      <c r="QZ126" s="136"/>
      <c r="RA126" s="136"/>
      <c r="RB126" s="136"/>
      <c r="RC126" s="136"/>
      <c r="RD126" s="136"/>
      <c r="RE126" s="136"/>
      <c r="RF126" s="136"/>
      <c r="RG126" s="136"/>
      <c r="RH126" s="136"/>
      <c r="RI126" s="136"/>
      <c r="RJ126" s="136"/>
      <c r="RK126" s="136"/>
      <c r="RL126" s="136"/>
      <c r="RM126" s="136"/>
      <c r="RN126" s="136"/>
      <c r="RO126" s="136"/>
      <c r="RP126" s="136"/>
      <c r="RQ126" s="136"/>
      <c r="RR126" s="136"/>
      <c r="RS126" s="136"/>
      <c r="RT126" s="136"/>
      <c r="RU126" s="136"/>
      <c r="RV126" s="136"/>
      <c r="RW126" s="136"/>
      <c r="RX126" s="136"/>
      <c r="RY126" s="136"/>
      <c r="RZ126" s="136"/>
      <c r="SA126" s="136"/>
      <c r="SB126" s="136"/>
      <c r="SC126" s="136"/>
      <c r="SD126" s="136"/>
      <c r="SE126" s="136"/>
      <c r="SF126" s="136"/>
      <c r="SG126" s="136"/>
      <c r="SH126" s="136"/>
      <c r="SI126" s="136"/>
      <c r="SJ126" s="136"/>
      <c r="SK126" s="136"/>
      <c r="SL126" s="136"/>
      <c r="SM126" s="136"/>
      <c r="SN126" s="136"/>
      <c r="SO126" s="136"/>
      <c r="SP126" s="136"/>
      <c r="SQ126" s="136"/>
      <c r="SR126" s="136"/>
      <c r="SS126" s="136"/>
    </row>
    <row r="127" spans="14:513" s="135" customFormat="1" ht="14.5" x14ac:dyDescent="0.35"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  <c r="Y127" s="134"/>
      <c r="Z127" s="134"/>
      <c r="AA127" s="134"/>
      <c r="AB127" s="134"/>
      <c r="AC127" s="134"/>
      <c r="AD127" s="134"/>
      <c r="AE127" s="134"/>
      <c r="AF127" s="134"/>
      <c r="DO127" s="136"/>
      <c r="DP127" s="136"/>
      <c r="DQ127" s="136"/>
      <c r="DR127" s="136"/>
      <c r="DS127" s="136"/>
      <c r="DT127" s="136"/>
      <c r="DU127" s="136"/>
      <c r="DV127" s="136"/>
      <c r="DW127" s="136"/>
      <c r="DX127" s="136"/>
      <c r="DY127" s="136"/>
      <c r="DZ127" s="136"/>
      <c r="EA127" s="136"/>
      <c r="EB127" s="136"/>
      <c r="EC127" s="136"/>
      <c r="ED127" s="136"/>
      <c r="EE127" s="136"/>
      <c r="EF127" s="136"/>
      <c r="EG127" s="136"/>
      <c r="EH127" s="136"/>
      <c r="EI127" s="136"/>
      <c r="EJ127" s="136"/>
      <c r="EK127" s="136"/>
      <c r="EL127" s="136"/>
      <c r="EM127" s="136"/>
      <c r="EN127" s="136"/>
      <c r="EO127" s="136"/>
      <c r="EP127" s="136"/>
      <c r="EQ127" s="136"/>
      <c r="ER127" s="136"/>
      <c r="ES127" s="136"/>
      <c r="ET127" s="136"/>
      <c r="EU127" s="136"/>
      <c r="EV127" s="136"/>
      <c r="EW127" s="136"/>
      <c r="EX127" s="136"/>
      <c r="EY127" s="136"/>
      <c r="EZ127" s="136"/>
      <c r="FA127" s="136"/>
      <c r="FB127" s="136"/>
      <c r="FC127" s="136"/>
      <c r="FD127" s="136"/>
      <c r="FE127" s="136"/>
      <c r="FF127" s="136"/>
      <c r="FG127" s="136"/>
      <c r="FH127" s="136"/>
      <c r="FI127" s="136"/>
      <c r="FJ127" s="136"/>
      <c r="FK127" s="136"/>
      <c r="FL127" s="136"/>
      <c r="FM127" s="136"/>
      <c r="FN127" s="136"/>
      <c r="FO127" s="136"/>
      <c r="FP127" s="136"/>
      <c r="FQ127" s="136"/>
      <c r="FR127" s="136"/>
      <c r="FS127" s="136"/>
      <c r="FT127" s="136"/>
      <c r="FU127" s="136"/>
      <c r="FV127" s="136"/>
      <c r="FW127" s="136"/>
      <c r="FX127" s="136"/>
      <c r="FY127" s="136"/>
      <c r="FZ127" s="136"/>
      <c r="GA127" s="136"/>
      <c r="GB127" s="136"/>
      <c r="GC127" s="136"/>
      <c r="GD127" s="136"/>
      <c r="GE127" s="136"/>
      <c r="GF127" s="136"/>
      <c r="GG127" s="136"/>
      <c r="GH127" s="136"/>
      <c r="GI127" s="136"/>
      <c r="GJ127" s="136"/>
      <c r="GK127" s="136"/>
      <c r="GL127" s="136"/>
      <c r="GM127" s="136"/>
      <c r="GN127" s="136"/>
      <c r="GO127" s="136"/>
      <c r="GP127" s="136"/>
      <c r="GQ127" s="136"/>
      <c r="GR127" s="136"/>
      <c r="GS127" s="136"/>
      <c r="GT127" s="136"/>
      <c r="GU127" s="136"/>
      <c r="GV127" s="136"/>
      <c r="GW127" s="136"/>
      <c r="GX127" s="136"/>
      <c r="GY127" s="136"/>
      <c r="GZ127" s="136"/>
      <c r="HA127" s="136"/>
      <c r="HB127" s="136"/>
      <c r="HC127" s="136"/>
      <c r="HD127" s="136"/>
      <c r="HE127" s="136"/>
      <c r="HF127" s="136"/>
      <c r="HG127" s="136"/>
      <c r="HH127" s="136"/>
      <c r="HI127" s="136"/>
      <c r="HJ127" s="136"/>
      <c r="HK127" s="136"/>
      <c r="HL127" s="136"/>
      <c r="HM127" s="136"/>
      <c r="HN127" s="136"/>
      <c r="HO127" s="136"/>
      <c r="HP127" s="136"/>
      <c r="HQ127" s="136"/>
      <c r="HR127" s="136"/>
      <c r="HS127" s="136"/>
      <c r="HT127" s="136"/>
      <c r="HU127" s="136"/>
      <c r="HV127" s="136"/>
      <c r="HW127" s="136"/>
      <c r="HX127" s="136"/>
      <c r="HY127" s="136"/>
      <c r="HZ127" s="136"/>
      <c r="IA127" s="136"/>
      <c r="IB127" s="136"/>
      <c r="IC127" s="136"/>
      <c r="ID127" s="136"/>
      <c r="IE127" s="136"/>
      <c r="IF127" s="136"/>
      <c r="IG127" s="136"/>
      <c r="IH127" s="136"/>
      <c r="II127" s="136"/>
      <c r="IJ127" s="136"/>
      <c r="IK127" s="136"/>
      <c r="IL127" s="136"/>
      <c r="IM127" s="136"/>
      <c r="IN127" s="136"/>
      <c r="IO127" s="136"/>
      <c r="IP127" s="136"/>
      <c r="IQ127" s="136"/>
      <c r="IR127" s="136"/>
      <c r="IS127" s="136"/>
      <c r="IT127" s="136"/>
      <c r="IU127" s="136"/>
      <c r="IV127" s="136"/>
      <c r="IW127" s="136"/>
      <c r="IX127" s="136"/>
      <c r="IY127" s="136"/>
      <c r="IZ127" s="136"/>
      <c r="JA127" s="136"/>
      <c r="JB127" s="136"/>
      <c r="JC127" s="136"/>
      <c r="JD127" s="136"/>
      <c r="JE127" s="136"/>
      <c r="JF127" s="136"/>
      <c r="JG127" s="136"/>
      <c r="JH127" s="136"/>
      <c r="JI127" s="136"/>
      <c r="JJ127" s="136"/>
      <c r="JK127" s="136"/>
      <c r="JL127" s="136"/>
      <c r="JM127" s="136"/>
      <c r="JN127" s="136"/>
      <c r="JO127" s="136"/>
      <c r="JP127" s="136"/>
      <c r="JQ127" s="136"/>
      <c r="JR127" s="136"/>
      <c r="JS127" s="136"/>
      <c r="JT127" s="136"/>
      <c r="JU127" s="136"/>
      <c r="JV127" s="136"/>
      <c r="JW127" s="136"/>
      <c r="JX127" s="136"/>
      <c r="JY127" s="136"/>
      <c r="JZ127" s="136"/>
      <c r="KA127" s="136"/>
      <c r="KB127" s="136"/>
      <c r="KC127" s="136"/>
      <c r="KD127" s="136"/>
      <c r="KE127" s="136"/>
      <c r="KF127" s="136"/>
      <c r="KG127" s="136"/>
      <c r="KH127" s="136"/>
      <c r="KI127" s="136"/>
      <c r="KJ127" s="136"/>
      <c r="KK127" s="136"/>
      <c r="KL127" s="136"/>
      <c r="KM127" s="136"/>
      <c r="KN127" s="136"/>
      <c r="KO127" s="136"/>
      <c r="KP127" s="136"/>
      <c r="KQ127" s="136"/>
      <c r="KR127" s="136"/>
      <c r="KS127" s="136"/>
      <c r="KT127" s="136"/>
      <c r="KU127" s="136"/>
      <c r="KV127" s="136"/>
      <c r="KW127" s="136"/>
      <c r="KX127" s="136"/>
      <c r="KY127" s="136"/>
      <c r="KZ127" s="136"/>
      <c r="LA127" s="136"/>
      <c r="LB127" s="136"/>
      <c r="LC127" s="136"/>
      <c r="LD127" s="136"/>
      <c r="LE127" s="136"/>
      <c r="LF127" s="136"/>
      <c r="LG127" s="136"/>
      <c r="LH127" s="136"/>
      <c r="LI127" s="136"/>
      <c r="LJ127" s="136"/>
      <c r="LK127" s="136"/>
      <c r="LL127" s="136"/>
      <c r="LM127" s="136"/>
      <c r="LN127" s="136"/>
      <c r="LO127" s="136"/>
      <c r="LP127" s="136"/>
      <c r="LQ127" s="136"/>
      <c r="LR127" s="136"/>
      <c r="LS127" s="136"/>
      <c r="LT127" s="136"/>
      <c r="LU127" s="136"/>
      <c r="LV127" s="136"/>
      <c r="LW127" s="136"/>
      <c r="LX127" s="136"/>
      <c r="LY127" s="136"/>
      <c r="LZ127" s="136"/>
      <c r="MA127" s="136"/>
      <c r="MB127" s="136"/>
      <c r="MC127" s="136"/>
      <c r="MD127" s="136"/>
      <c r="ME127" s="136"/>
      <c r="MF127" s="136"/>
      <c r="MG127" s="136"/>
      <c r="MH127" s="136"/>
      <c r="MI127" s="136"/>
      <c r="MJ127" s="136"/>
      <c r="MK127" s="136"/>
      <c r="ML127" s="136"/>
      <c r="MM127" s="136"/>
      <c r="MN127" s="136"/>
      <c r="MO127" s="136"/>
      <c r="MP127" s="136"/>
      <c r="MQ127" s="136"/>
      <c r="MR127" s="136"/>
      <c r="MS127" s="136"/>
      <c r="MT127" s="136"/>
      <c r="MU127" s="136"/>
      <c r="MV127" s="136"/>
      <c r="MW127" s="136"/>
      <c r="MX127" s="136"/>
      <c r="MY127" s="136"/>
      <c r="MZ127" s="136"/>
      <c r="NA127" s="136"/>
      <c r="NB127" s="136"/>
      <c r="NC127" s="136"/>
      <c r="ND127" s="136"/>
      <c r="NE127" s="136"/>
      <c r="NF127" s="136"/>
      <c r="NG127" s="136"/>
      <c r="NH127" s="136"/>
      <c r="NI127" s="136"/>
      <c r="NJ127" s="136"/>
      <c r="NK127" s="136"/>
      <c r="NL127" s="136"/>
      <c r="NM127" s="136"/>
      <c r="NN127" s="136"/>
      <c r="NO127" s="136"/>
      <c r="NP127" s="136"/>
      <c r="NQ127" s="136"/>
      <c r="NR127" s="136"/>
      <c r="NS127" s="136"/>
      <c r="NT127" s="136"/>
      <c r="NU127" s="136"/>
      <c r="NV127" s="136"/>
      <c r="NW127" s="136"/>
      <c r="NX127" s="136"/>
      <c r="NY127" s="136"/>
      <c r="NZ127" s="136"/>
      <c r="OA127" s="136"/>
      <c r="OB127" s="136"/>
      <c r="OC127" s="136"/>
      <c r="OD127" s="136"/>
      <c r="OE127" s="136"/>
      <c r="OF127" s="136"/>
      <c r="OG127" s="136"/>
      <c r="OH127" s="136"/>
      <c r="OI127" s="136"/>
      <c r="OJ127" s="136"/>
      <c r="OK127" s="136"/>
      <c r="OL127" s="136"/>
      <c r="OM127" s="136"/>
      <c r="ON127" s="136"/>
      <c r="OO127" s="136"/>
      <c r="OP127" s="136"/>
      <c r="OQ127" s="136"/>
      <c r="OR127" s="136"/>
      <c r="OS127" s="136"/>
      <c r="OT127" s="136"/>
      <c r="OU127" s="136"/>
      <c r="OV127" s="136"/>
      <c r="OW127" s="136"/>
      <c r="OX127" s="136"/>
      <c r="OY127" s="136"/>
      <c r="OZ127" s="136"/>
      <c r="PA127" s="136"/>
      <c r="PB127" s="136"/>
      <c r="PC127" s="136"/>
      <c r="PD127" s="136"/>
      <c r="PE127" s="136"/>
      <c r="PF127" s="136"/>
      <c r="PG127" s="136"/>
      <c r="PH127" s="136"/>
      <c r="PI127" s="136"/>
      <c r="PJ127" s="136"/>
      <c r="PK127" s="136"/>
      <c r="PL127" s="136"/>
      <c r="PM127" s="136"/>
      <c r="PN127" s="136"/>
      <c r="PO127" s="136"/>
      <c r="PP127" s="136"/>
      <c r="PQ127" s="136"/>
      <c r="PR127" s="136"/>
      <c r="PS127" s="136"/>
      <c r="PT127" s="136"/>
      <c r="PU127" s="136"/>
      <c r="PV127" s="136"/>
      <c r="PW127" s="136"/>
      <c r="PX127" s="136"/>
      <c r="PY127" s="136"/>
      <c r="PZ127" s="136"/>
      <c r="QA127" s="136"/>
      <c r="QB127" s="136"/>
      <c r="QC127" s="136"/>
      <c r="QD127" s="136"/>
      <c r="QE127" s="136"/>
      <c r="QF127" s="136"/>
      <c r="QG127" s="136"/>
      <c r="QH127" s="136"/>
      <c r="QI127" s="136"/>
      <c r="QJ127" s="136"/>
      <c r="QK127" s="136"/>
      <c r="QL127" s="136"/>
      <c r="QM127" s="136"/>
      <c r="QN127" s="136"/>
      <c r="QO127" s="136"/>
      <c r="QP127" s="136"/>
      <c r="QQ127" s="136"/>
      <c r="QR127" s="136"/>
      <c r="QS127" s="136"/>
      <c r="QT127" s="136"/>
      <c r="QU127" s="136"/>
      <c r="QV127" s="136"/>
      <c r="QW127" s="136"/>
      <c r="QX127" s="136"/>
      <c r="QY127" s="136"/>
      <c r="QZ127" s="136"/>
      <c r="RA127" s="136"/>
      <c r="RB127" s="136"/>
      <c r="RC127" s="136"/>
      <c r="RD127" s="136"/>
      <c r="RE127" s="136"/>
      <c r="RF127" s="136"/>
      <c r="RG127" s="136"/>
      <c r="RH127" s="136"/>
      <c r="RI127" s="136"/>
      <c r="RJ127" s="136"/>
      <c r="RK127" s="136"/>
      <c r="RL127" s="136"/>
      <c r="RM127" s="136"/>
      <c r="RN127" s="136"/>
      <c r="RO127" s="136"/>
      <c r="RP127" s="136"/>
      <c r="RQ127" s="136"/>
      <c r="RR127" s="136"/>
      <c r="RS127" s="136"/>
      <c r="RT127" s="136"/>
      <c r="RU127" s="136"/>
      <c r="RV127" s="136"/>
      <c r="RW127" s="136"/>
      <c r="RX127" s="136"/>
      <c r="RY127" s="136"/>
      <c r="RZ127" s="136"/>
      <c r="SA127" s="136"/>
      <c r="SB127" s="136"/>
      <c r="SC127" s="136"/>
      <c r="SD127" s="136"/>
      <c r="SE127" s="136"/>
      <c r="SF127" s="136"/>
      <c r="SG127" s="136"/>
      <c r="SH127" s="136"/>
      <c r="SI127" s="136"/>
      <c r="SJ127" s="136"/>
      <c r="SK127" s="136"/>
      <c r="SL127" s="136"/>
      <c r="SM127" s="136"/>
      <c r="SN127" s="136"/>
      <c r="SO127" s="136"/>
      <c r="SP127" s="136"/>
      <c r="SQ127" s="136"/>
      <c r="SR127" s="136"/>
      <c r="SS127" s="136"/>
    </row>
    <row r="128" spans="14:513" s="135" customFormat="1" ht="14.5" x14ac:dyDescent="0.35"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  <c r="Y128" s="134"/>
      <c r="Z128" s="134"/>
      <c r="AA128" s="134"/>
      <c r="AB128" s="134"/>
      <c r="AC128" s="134"/>
      <c r="AD128" s="134"/>
      <c r="AE128" s="134"/>
      <c r="AF128" s="134"/>
      <c r="DO128" s="136"/>
      <c r="DP128" s="136"/>
      <c r="DQ128" s="136"/>
      <c r="DR128" s="136"/>
      <c r="DS128" s="136"/>
      <c r="DT128" s="136"/>
      <c r="DU128" s="136"/>
      <c r="DV128" s="136"/>
      <c r="DW128" s="136"/>
      <c r="DX128" s="136"/>
      <c r="DY128" s="136"/>
      <c r="DZ128" s="136"/>
      <c r="EA128" s="136"/>
      <c r="EB128" s="136"/>
      <c r="EC128" s="136"/>
      <c r="ED128" s="136"/>
      <c r="EE128" s="136"/>
      <c r="EF128" s="136"/>
      <c r="EG128" s="136"/>
      <c r="EH128" s="136"/>
      <c r="EI128" s="136"/>
      <c r="EJ128" s="136"/>
      <c r="EK128" s="136"/>
      <c r="EL128" s="136"/>
      <c r="EM128" s="136"/>
      <c r="EN128" s="136"/>
      <c r="EO128" s="136"/>
      <c r="EP128" s="136"/>
      <c r="EQ128" s="136"/>
      <c r="ER128" s="136"/>
      <c r="ES128" s="136"/>
      <c r="ET128" s="136"/>
      <c r="EU128" s="136"/>
      <c r="EV128" s="136"/>
      <c r="EW128" s="136"/>
      <c r="EX128" s="136"/>
      <c r="EY128" s="136"/>
      <c r="EZ128" s="136"/>
      <c r="FA128" s="136"/>
      <c r="FB128" s="136"/>
      <c r="FC128" s="136"/>
      <c r="FD128" s="136"/>
      <c r="FE128" s="136"/>
      <c r="FF128" s="136"/>
      <c r="FG128" s="136"/>
      <c r="FH128" s="136"/>
      <c r="FI128" s="136"/>
      <c r="FJ128" s="136"/>
      <c r="FK128" s="136"/>
      <c r="FL128" s="136"/>
      <c r="FM128" s="136"/>
      <c r="FN128" s="136"/>
      <c r="FO128" s="136"/>
      <c r="FP128" s="136"/>
      <c r="FQ128" s="136"/>
      <c r="FR128" s="136"/>
      <c r="FS128" s="136"/>
      <c r="FT128" s="136"/>
      <c r="FU128" s="136"/>
      <c r="FV128" s="136"/>
      <c r="FW128" s="136"/>
      <c r="FX128" s="136"/>
      <c r="FY128" s="136"/>
      <c r="FZ128" s="136"/>
      <c r="GA128" s="136"/>
      <c r="GB128" s="136"/>
      <c r="GC128" s="136"/>
      <c r="GD128" s="136"/>
      <c r="GE128" s="136"/>
      <c r="GF128" s="136"/>
      <c r="GG128" s="136"/>
      <c r="GH128" s="136"/>
      <c r="GI128" s="136"/>
      <c r="GJ128" s="136"/>
      <c r="GK128" s="136"/>
      <c r="GL128" s="136"/>
      <c r="GM128" s="136"/>
      <c r="GN128" s="136"/>
      <c r="GO128" s="136"/>
      <c r="GP128" s="136"/>
      <c r="GQ128" s="136"/>
      <c r="GR128" s="136"/>
      <c r="GS128" s="136"/>
      <c r="GT128" s="136"/>
      <c r="GU128" s="136"/>
      <c r="GV128" s="136"/>
      <c r="GW128" s="136"/>
      <c r="GX128" s="136"/>
      <c r="GY128" s="136"/>
      <c r="GZ128" s="136"/>
      <c r="HA128" s="136"/>
      <c r="HB128" s="136"/>
      <c r="HC128" s="136"/>
      <c r="HD128" s="136"/>
      <c r="HE128" s="136"/>
      <c r="HF128" s="136"/>
      <c r="HG128" s="136"/>
      <c r="HH128" s="136"/>
      <c r="HI128" s="136"/>
      <c r="HJ128" s="136"/>
      <c r="HK128" s="136"/>
      <c r="HL128" s="136"/>
      <c r="HM128" s="136"/>
      <c r="HN128" s="136"/>
      <c r="HO128" s="136"/>
      <c r="HP128" s="136"/>
      <c r="HQ128" s="136"/>
      <c r="HR128" s="136"/>
      <c r="HS128" s="136"/>
      <c r="HT128" s="136"/>
      <c r="HU128" s="136"/>
      <c r="HV128" s="136"/>
      <c r="HW128" s="136"/>
      <c r="HX128" s="136"/>
      <c r="HY128" s="136"/>
      <c r="HZ128" s="136"/>
      <c r="IA128" s="136"/>
      <c r="IB128" s="136"/>
      <c r="IC128" s="136"/>
      <c r="ID128" s="136"/>
      <c r="IE128" s="136"/>
      <c r="IF128" s="136"/>
      <c r="IG128" s="136"/>
      <c r="IH128" s="136"/>
      <c r="II128" s="136"/>
      <c r="IJ128" s="136"/>
      <c r="IK128" s="136"/>
      <c r="IL128" s="136"/>
      <c r="IM128" s="136"/>
      <c r="IN128" s="136"/>
      <c r="IO128" s="136"/>
      <c r="IP128" s="136"/>
      <c r="IQ128" s="136"/>
      <c r="IR128" s="136"/>
      <c r="IS128" s="136"/>
      <c r="IT128" s="136"/>
      <c r="IU128" s="136"/>
      <c r="IV128" s="136"/>
      <c r="IW128" s="136"/>
      <c r="IX128" s="136"/>
      <c r="IY128" s="136"/>
      <c r="IZ128" s="136"/>
      <c r="JA128" s="136"/>
      <c r="JB128" s="136"/>
      <c r="JC128" s="136"/>
      <c r="JD128" s="136"/>
      <c r="JE128" s="136"/>
      <c r="JF128" s="136"/>
      <c r="JG128" s="136"/>
      <c r="JH128" s="136"/>
      <c r="JI128" s="136"/>
      <c r="JJ128" s="136"/>
      <c r="JK128" s="136"/>
      <c r="JL128" s="136"/>
      <c r="JM128" s="136"/>
      <c r="JN128" s="136"/>
      <c r="JO128" s="136"/>
      <c r="JP128" s="136"/>
      <c r="JQ128" s="136"/>
      <c r="JR128" s="136"/>
      <c r="JS128" s="136"/>
      <c r="JT128" s="136"/>
      <c r="JU128" s="136"/>
      <c r="JV128" s="136"/>
      <c r="JW128" s="136"/>
      <c r="JX128" s="136"/>
      <c r="JY128" s="136"/>
      <c r="JZ128" s="136"/>
      <c r="KA128" s="136"/>
      <c r="KB128" s="136"/>
      <c r="KC128" s="136"/>
      <c r="KD128" s="136"/>
      <c r="KE128" s="136"/>
      <c r="KF128" s="136"/>
      <c r="KG128" s="136"/>
      <c r="KH128" s="136"/>
      <c r="KI128" s="136"/>
      <c r="KJ128" s="136"/>
      <c r="KK128" s="136"/>
      <c r="KL128" s="136"/>
      <c r="KM128" s="136"/>
      <c r="KN128" s="136"/>
      <c r="KO128" s="136"/>
      <c r="KP128" s="136"/>
      <c r="KQ128" s="136"/>
      <c r="KR128" s="136"/>
      <c r="KS128" s="136"/>
      <c r="KT128" s="136"/>
      <c r="KU128" s="136"/>
      <c r="KV128" s="136"/>
      <c r="KW128" s="136"/>
      <c r="KX128" s="136"/>
      <c r="KY128" s="136"/>
      <c r="KZ128" s="136"/>
      <c r="LA128" s="136"/>
      <c r="LB128" s="136"/>
      <c r="LC128" s="136"/>
      <c r="LD128" s="136"/>
      <c r="LE128" s="136"/>
      <c r="LF128" s="136"/>
      <c r="LG128" s="136"/>
      <c r="LH128" s="136"/>
      <c r="LI128" s="136"/>
      <c r="LJ128" s="136"/>
      <c r="LK128" s="136"/>
      <c r="LL128" s="136"/>
      <c r="LM128" s="136"/>
      <c r="LN128" s="136"/>
      <c r="LO128" s="136"/>
      <c r="LP128" s="136"/>
      <c r="LQ128" s="136"/>
      <c r="LR128" s="136"/>
      <c r="LS128" s="136"/>
      <c r="LT128" s="136"/>
      <c r="LU128" s="136"/>
      <c r="LV128" s="136"/>
      <c r="LW128" s="136"/>
      <c r="LX128" s="136"/>
      <c r="LY128" s="136"/>
      <c r="LZ128" s="136"/>
      <c r="MA128" s="136"/>
      <c r="MB128" s="136"/>
      <c r="MC128" s="136"/>
      <c r="MD128" s="136"/>
      <c r="ME128" s="136"/>
      <c r="MF128" s="136"/>
      <c r="MG128" s="136"/>
      <c r="MH128" s="136"/>
      <c r="MI128" s="136"/>
      <c r="MJ128" s="136"/>
      <c r="MK128" s="136"/>
      <c r="ML128" s="136"/>
      <c r="MM128" s="136"/>
      <c r="MN128" s="136"/>
      <c r="MO128" s="136"/>
      <c r="MP128" s="136"/>
      <c r="MQ128" s="136"/>
      <c r="MR128" s="136"/>
      <c r="MS128" s="136"/>
      <c r="MT128" s="136"/>
      <c r="MU128" s="136"/>
      <c r="MV128" s="136"/>
      <c r="MW128" s="136"/>
      <c r="MX128" s="136"/>
      <c r="MY128" s="136"/>
      <c r="MZ128" s="136"/>
      <c r="NA128" s="136"/>
      <c r="NB128" s="136"/>
      <c r="NC128" s="136"/>
      <c r="ND128" s="136"/>
      <c r="NE128" s="136"/>
      <c r="NF128" s="136"/>
      <c r="NG128" s="136"/>
      <c r="NH128" s="136"/>
      <c r="NI128" s="136"/>
      <c r="NJ128" s="136"/>
      <c r="NK128" s="136"/>
      <c r="NL128" s="136"/>
      <c r="NM128" s="136"/>
      <c r="NN128" s="136"/>
      <c r="NO128" s="136"/>
      <c r="NP128" s="136"/>
      <c r="NQ128" s="136"/>
      <c r="NR128" s="136"/>
      <c r="NS128" s="136"/>
      <c r="NT128" s="136"/>
      <c r="NU128" s="136"/>
      <c r="NV128" s="136"/>
      <c r="NW128" s="136"/>
      <c r="NX128" s="136"/>
      <c r="NY128" s="136"/>
      <c r="NZ128" s="136"/>
      <c r="OA128" s="136"/>
      <c r="OB128" s="136"/>
      <c r="OC128" s="136"/>
      <c r="OD128" s="136"/>
      <c r="OE128" s="136"/>
      <c r="OF128" s="136"/>
      <c r="OG128" s="136"/>
      <c r="OH128" s="136"/>
      <c r="OI128" s="136"/>
      <c r="OJ128" s="136"/>
      <c r="OK128" s="136"/>
      <c r="OL128" s="136"/>
      <c r="OM128" s="136"/>
      <c r="ON128" s="136"/>
      <c r="OO128" s="136"/>
      <c r="OP128" s="136"/>
      <c r="OQ128" s="136"/>
      <c r="OR128" s="136"/>
      <c r="OS128" s="136"/>
      <c r="OT128" s="136"/>
      <c r="OU128" s="136"/>
      <c r="OV128" s="136"/>
      <c r="OW128" s="136"/>
      <c r="OX128" s="136"/>
      <c r="OY128" s="136"/>
      <c r="OZ128" s="136"/>
      <c r="PA128" s="136"/>
      <c r="PB128" s="136"/>
      <c r="PC128" s="136"/>
      <c r="PD128" s="136"/>
      <c r="PE128" s="136"/>
      <c r="PF128" s="136"/>
      <c r="PG128" s="136"/>
      <c r="PH128" s="136"/>
      <c r="PI128" s="136"/>
      <c r="PJ128" s="136"/>
      <c r="PK128" s="136"/>
      <c r="PL128" s="136"/>
      <c r="PM128" s="136"/>
      <c r="PN128" s="136"/>
      <c r="PO128" s="136"/>
      <c r="PP128" s="136"/>
      <c r="PQ128" s="136"/>
      <c r="PR128" s="136"/>
      <c r="PS128" s="136"/>
      <c r="PT128" s="136"/>
      <c r="PU128" s="136"/>
      <c r="PV128" s="136"/>
      <c r="PW128" s="136"/>
      <c r="PX128" s="136"/>
      <c r="PY128" s="136"/>
      <c r="PZ128" s="136"/>
      <c r="QA128" s="136"/>
      <c r="QB128" s="136"/>
      <c r="QC128" s="136"/>
      <c r="QD128" s="136"/>
      <c r="QE128" s="136"/>
      <c r="QF128" s="136"/>
      <c r="QG128" s="136"/>
      <c r="QH128" s="136"/>
      <c r="QI128" s="136"/>
      <c r="QJ128" s="136"/>
      <c r="QK128" s="136"/>
      <c r="QL128" s="136"/>
      <c r="QM128" s="136"/>
      <c r="QN128" s="136"/>
      <c r="QO128" s="136"/>
      <c r="QP128" s="136"/>
      <c r="QQ128" s="136"/>
      <c r="QR128" s="136"/>
      <c r="QS128" s="136"/>
      <c r="QT128" s="136"/>
      <c r="QU128" s="136"/>
      <c r="QV128" s="136"/>
      <c r="QW128" s="136"/>
      <c r="QX128" s="136"/>
      <c r="QY128" s="136"/>
      <c r="QZ128" s="136"/>
      <c r="RA128" s="136"/>
      <c r="RB128" s="136"/>
      <c r="RC128" s="136"/>
      <c r="RD128" s="136"/>
      <c r="RE128" s="136"/>
      <c r="RF128" s="136"/>
      <c r="RG128" s="136"/>
      <c r="RH128" s="136"/>
      <c r="RI128" s="136"/>
      <c r="RJ128" s="136"/>
      <c r="RK128" s="136"/>
      <c r="RL128" s="136"/>
      <c r="RM128" s="136"/>
      <c r="RN128" s="136"/>
      <c r="RO128" s="136"/>
      <c r="RP128" s="136"/>
      <c r="RQ128" s="136"/>
      <c r="RR128" s="136"/>
      <c r="RS128" s="136"/>
      <c r="RT128" s="136"/>
      <c r="RU128" s="136"/>
      <c r="RV128" s="136"/>
      <c r="RW128" s="136"/>
      <c r="RX128" s="136"/>
      <c r="RY128" s="136"/>
      <c r="RZ128" s="136"/>
      <c r="SA128" s="136"/>
      <c r="SB128" s="136"/>
      <c r="SC128" s="136"/>
      <c r="SD128" s="136"/>
      <c r="SE128" s="136"/>
      <c r="SF128" s="136"/>
      <c r="SG128" s="136"/>
      <c r="SH128" s="136"/>
      <c r="SI128" s="136"/>
      <c r="SJ128" s="136"/>
      <c r="SK128" s="136"/>
      <c r="SL128" s="136"/>
      <c r="SM128" s="136"/>
      <c r="SN128" s="136"/>
      <c r="SO128" s="136"/>
      <c r="SP128" s="136"/>
      <c r="SQ128" s="136"/>
      <c r="SR128" s="136"/>
      <c r="SS128" s="136"/>
    </row>
    <row r="129" spans="14:513" s="135" customFormat="1" ht="14.5" x14ac:dyDescent="0.35"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  <c r="Y129" s="134"/>
      <c r="Z129" s="134"/>
      <c r="AA129" s="134"/>
      <c r="AB129" s="134"/>
      <c r="AC129" s="134"/>
      <c r="AD129" s="134"/>
      <c r="AE129" s="134"/>
      <c r="AF129" s="134"/>
      <c r="DO129" s="136"/>
      <c r="DP129" s="136"/>
      <c r="DQ129" s="136"/>
      <c r="DR129" s="136"/>
      <c r="DS129" s="136"/>
      <c r="DT129" s="136"/>
      <c r="DU129" s="136"/>
      <c r="DV129" s="136"/>
      <c r="DW129" s="136"/>
      <c r="DX129" s="136"/>
      <c r="DY129" s="136"/>
      <c r="DZ129" s="136"/>
      <c r="EA129" s="136"/>
      <c r="EB129" s="136"/>
      <c r="EC129" s="136"/>
      <c r="ED129" s="136"/>
      <c r="EE129" s="136"/>
      <c r="EF129" s="136"/>
      <c r="EG129" s="136"/>
      <c r="EH129" s="136"/>
      <c r="EI129" s="136"/>
      <c r="EJ129" s="136"/>
      <c r="EK129" s="136"/>
      <c r="EL129" s="136"/>
      <c r="EM129" s="136"/>
      <c r="EN129" s="136"/>
      <c r="EO129" s="136"/>
      <c r="EP129" s="136"/>
      <c r="EQ129" s="136"/>
      <c r="ER129" s="136"/>
      <c r="ES129" s="136"/>
      <c r="ET129" s="136"/>
      <c r="EU129" s="136"/>
      <c r="EV129" s="136"/>
      <c r="EW129" s="136"/>
      <c r="EX129" s="136"/>
      <c r="EY129" s="136"/>
      <c r="EZ129" s="136"/>
      <c r="FA129" s="136"/>
      <c r="FB129" s="136"/>
      <c r="FC129" s="136"/>
      <c r="FD129" s="136"/>
      <c r="FE129" s="136"/>
      <c r="FF129" s="136"/>
      <c r="FG129" s="136"/>
      <c r="FH129" s="136"/>
      <c r="FI129" s="136"/>
      <c r="FJ129" s="136"/>
      <c r="FK129" s="136"/>
      <c r="FL129" s="136"/>
      <c r="FM129" s="136"/>
      <c r="FN129" s="136"/>
      <c r="FO129" s="136"/>
      <c r="FP129" s="136"/>
      <c r="FQ129" s="136"/>
      <c r="FR129" s="136"/>
      <c r="FS129" s="136"/>
      <c r="FT129" s="136"/>
      <c r="FU129" s="136"/>
      <c r="FV129" s="136"/>
      <c r="FW129" s="136"/>
      <c r="FX129" s="136"/>
      <c r="FY129" s="136"/>
      <c r="FZ129" s="136"/>
      <c r="GA129" s="136"/>
      <c r="GB129" s="136"/>
      <c r="GC129" s="136"/>
      <c r="GD129" s="136"/>
      <c r="GE129" s="136"/>
      <c r="GF129" s="136"/>
      <c r="GG129" s="136"/>
      <c r="GH129" s="136"/>
      <c r="GI129" s="136"/>
      <c r="GJ129" s="136"/>
      <c r="GK129" s="136"/>
      <c r="GL129" s="136"/>
      <c r="GM129" s="136"/>
      <c r="GN129" s="136"/>
      <c r="GO129" s="136"/>
      <c r="GP129" s="136"/>
      <c r="GQ129" s="136"/>
      <c r="GR129" s="136"/>
      <c r="GS129" s="136"/>
      <c r="GT129" s="136"/>
      <c r="GU129" s="136"/>
      <c r="GV129" s="136"/>
      <c r="GW129" s="136"/>
      <c r="GX129" s="136"/>
      <c r="GY129" s="136"/>
      <c r="GZ129" s="136"/>
      <c r="HA129" s="136"/>
      <c r="HB129" s="136"/>
      <c r="HC129" s="136"/>
      <c r="HD129" s="136"/>
      <c r="HE129" s="136"/>
      <c r="HF129" s="136"/>
      <c r="HG129" s="136"/>
      <c r="HH129" s="136"/>
      <c r="HI129" s="136"/>
      <c r="HJ129" s="136"/>
      <c r="HK129" s="136"/>
      <c r="HL129" s="136"/>
      <c r="HM129" s="136"/>
      <c r="HN129" s="136"/>
      <c r="HO129" s="136"/>
      <c r="HP129" s="136"/>
      <c r="HQ129" s="136"/>
      <c r="HR129" s="136"/>
      <c r="HS129" s="136"/>
      <c r="HT129" s="136"/>
      <c r="HU129" s="136"/>
      <c r="HV129" s="136"/>
      <c r="HW129" s="136"/>
      <c r="HX129" s="136"/>
      <c r="HY129" s="136"/>
      <c r="HZ129" s="136"/>
      <c r="IA129" s="136"/>
      <c r="IB129" s="136"/>
      <c r="IC129" s="136"/>
      <c r="ID129" s="136"/>
      <c r="IE129" s="136"/>
      <c r="IF129" s="136"/>
      <c r="IG129" s="136"/>
      <c r="IH129" s="136"/>
      <c r="II129" s="136"/>
      <c r="IJ129" s="136"/>
      <c r="IK129" s="136"/>
      <c r="IL129" s="136"/>
      <c r="IM129" s="136"/>
      <c r="IN129" s="136"/>
      <c r="IO129" s="136"/>
      <c r="IP129" s="136"/>
      <c r="IQ129" s="136"/>
      <c r="IR129" s="136"/>
      <c r="IS129" s="136"/>
      <c r="IT129" s="136"/>
      <c r="IU129" s="136"/>
      <c r="IV129" s="136"/>
      <c r="IW129" s="136"/>
      <c r="IX129" s="136"/>
      <c r="IY129" s="136"/>
      <c r="IZ129" s="136"/>
      <c r="JA129" s="136"/>
      <c r="JB129" s="136"/>
      <c r="JC129" s="136"/>
      <c r="JD129" s="136"/>
      <c r="JE129" s="136"/>
      <c r="JF129" s="136"/>
      <c r="JG129" s="136"/>
      <c r="JH129" s="136"/>
      <c r="JI129" s="136"/>
      <c r="JJ129" s="136"/>
      <c r="JK129" s="136"/>
      <c r="JL129" s="136"/>
      <c r="JM129" s="136"/>
      <c r="JN129" s="136"/>
      <c r="JO129" s="136"/>
      <c r="JP129" s="136"/>
      <c r="JQ129" s="136"/>
      <c r="JR129" s="136"/>
      <c r="JS129" s="136"/>
      <c r="JT129" s="136"/>
      <c r="JU129" s="136"/>
      <c r="JV129" s="136"/>
      <c r="JW129" s="136"/>
      <c r="JX129" s="136"/>
      <c r="JY129" s="136"/>
      <c r="JZ129" s="136"/>
      <c r="KA129" s="136"/>
      <c r="KB129" s="136"/>
      <c r="KC129" s="136"/>
      <c r="KD129" s="136"/>
      <c r="KE129" s="136"/>
      <c r="KF129" s="136"/>
      <c r="KG129" s="136"/>
      <c r="KH129" s="136"/>
      <c r="KI129" s="136"/>
      <c r="KJ129" s="136"/>
      <c r="KK129" s="136"/>
      <c r="KL129" s="136"/>
      <c r="KM129" s="136"/>
      <c r="KN129" s="136"/>
      <c r="KO129" s="136"/>
      <c r="KP129" s="136"/>
      <c r="KQ129" s="136"/>
      <c r="KR129" s="136"/>
      <c r="KS129" s="136"/>
      <c r="KT129" s="136"/>
      <c r="KU129" s="136"/>
      <c r="KV129" s="136"/>
      <c r="KW129" s="136"/>
      <c r="KX129" s="136"/>
      <c r="KY129" s="136"/>
      <c r="KZ129" s="136"/>
      <c r="LA129" s="136"/>
      <c r="LB129" s="136"/>
      <c r="LC129" s="136"/>
      <c r="LD129" s="136"/>
      <c r="LE129" s="136"/>
      <c r="LF129" s="136"/>
      <c r="LG129" s="136"/>
      <c r="LH129" s="136"/>
      <c r="LI129" s="136"/>
      <c r="LJ129" s="136"/>
      <c r="LK129" s="136"/>
      <c r="LL129" s="136"/>
      <c r="LM129" s="136"/>
      <c r="LN129" s="136"/>
      <c r="LO129" s="136"/>
      <c r="LP129" s="136"/>
      <c r="LQ129" s="136"/>
      <c r="LR129" s="136"/>
      <c r="LS129" s="136"/>
      <c r="LT129" s="136"/>
      <c r="LU129" s="136"/>
      <c r="LV129" s="136"/>
      <c r="LW129" s="136"/>
      <c r="LX129" s="136"/>
      <c r="LY129" s="136"/>
      <c r="LZ129" s="136"/>
      <c r="MA129" s="136"/>
      <c r="MB129" s="136"/>
      <c r="MC129" s="136"/>
      <c r="MD129" s="136"/>
      <c r="ME129" s="136"/>
      <c r="MF129" s="136"/>
      <c r="MG129" s="136"/>
      <c r="MH129" s="136"/>
      <c r="MI129" s="136"/>
      <c r="MJ129" s="136"/>
      <c r="MK129" s="136"/>
      <c r="ML129" s="136"/>
      <c r="MM129" s="136"/>
      <c r="MN129" s="136"/>
      <c r="MO129" s="136"/>
      <c r="MP129" s="136"/>
      <c r="MQ129" s="136"/>
      <c r="MR129" s="136"/>
      <c r="MS129" s="136"/>
      <c r="MT129" s="136"/>
      <c r="MU129" s="136"/>
      <c r="MV129" s="136"/>
      <c r="MW129" s="136"/>
      <c r="MX129" s="136"/>
      <c r="MY129" s="136"/>
      <c r="MZ129" s="136"/>
      <c r="NA129" s="136"/>
      <c r="NB129" s="136"/>
      <c r="NC129" s="136"/>
      <c r="ND129" s="136"/>
      <c r="NE129" s="136"/>
      <c r="NF129" s="136"/>
      <c r="NG129" s="136"/>
      <c r="NH129" s="136"/>
      <c r="NI129" s="136"/>
      <c r="NJ129" s="136"/>
      <c r="NK129" s="136"/>
      <c r="NL129" s="136"/>
      <c r="NM129" s="136"/>
      <c r="NN129" s="136"/>
      <c r="NO129" s="136"/>
      <c r="NP129" s="136"/>
      <c r="NQ129" s="136"/>
      <c r="NR129" s="136"/>
      <c r="NS129" s="136"/>
      <c r="NT129" s="136"/>
      <c r="NU129" s="136"/>
      <c r="NV129" s="136"/>
      <c r="NW129" s="136"/>
      <c r="NX129" s="136"/>
      <c r="NY129" s="136"/>
      <c r="NZ129" s="136"/>
      <c r="OA129" s="136"/>
      <c r="OB129" s="136"/>
      <c r="OC129" s="136"/>
      <c r="OD129" s="136"/>
      <c r="OE129" s="136"/>
      <c r="OF129" s="136"/>
      <c r="OG129" s="136"/>
      <c r="OH129" s="136"/>
      <c r="OI129" s="136"/>
      <c r="OJ129" s="136"/>
      <c r="OK129" s="136"/>
      <c r="OL129" s="136"/>
      <c r="OM129" s="136"/>
      <c r="ON129" s="136"/>
      <c r="OO129" s="136"/>
      <c r="OP129" s="136"/>
      <c r="OQ129" s="136"/>
      <c r="OR129" s="136"/>
      <c r="OS129" s="136"/>
      <c r="OT129" s="136"/>
      <c r="OU129" s="136"/>
      <c r="OV129" s="136"/>
      <c r="OW129" s="136"/>
      <c r="OX129" s="136"/>
      <c r="OY129" s="136"/>
      <c r="OZ129" s="136"/>
      <c r="PA129" s="136"/>
      <c r="PB129" s="136"/>
      <c r="PC129" s="136"/>
      <c r="PD129" s="136"/>
      <c r="PE129" s="136"/>
      <c r="PF129" s="136"/>
      <c r="PG129" s="136"/>
      <c r="PH129" s="136"/>
      <c r="PI129" s="136"/>
      <c r="PJ129" s="136"/>
      <c r="PK129" s="136"/>
      <c r="PL129" s="136"/>
      <c r="PM129" s="136"/>
      <c r="PN129" s="136"/>
      <c r="PO129" s="136"/>
      <c r="PP129" s="136"/>
      <c r="PQ129" s="136"/>
      <c r="PR129" s="136"/>
      <c r="PS129" s="136"/>
      <c r="PT129" s="136"/>
      <c r="PU129" s="136"/>
      <c r="PV129" s="136"/>
      <c r="PW129" s="136"/>
      <c r="PX129" s="136"/>
      <c r="PY129" s="136"/>
      <c r="PZ129" s="136"/>
      <c r="QA129" s="136"/>
      <c r="QB129" s="136"/>
      <c r="QC129" s="136"/>
      <c r="QD129" s="136"/>
      <c r="QE129" s="136"/>
      <c r="QF129" s="136"/>
      <c r="QG129" s="136"/>
      <c r="QH129" s="136"/>
      <c r="QI129" s="136"/>
      <c r="QJ129" s="136"/>
      <c r="QK129" s="136"/>
      <c r="QL129" s="136"/>
      <c r="QM129" s="136"/>
      <c r="QN129" s="136"/>
      <c r="QO129" s="136"/>
      <c r="QP129" s="136"/>
      <c r="QQ129" s="136"/>
      <c r="QR129" s="136"/>
      <c r="QS129" s="136"/>
      <c r="QT129" s="136"/>
      <c r="QU129" s="136"/>
      <c r="QV129" s="136"/>
      <c r="QW129" s="136"/>
      <c r="QX129" s="136"/>
      <c r="QY129" s="136"/>
      <c r="QZ129" s="136"/>
      <c r="RA129" s="136"/>
      <c r="RB129" s="136"/>
      <c r="RC129" s="136"/>
      <c r="RD129" s="136"/>
      <c r="RE129" s="136"/>
      <c r="RF129" s="136"/>
      <c r="RG129" s="136"/>
      <c r="RH129" s="136"/>
      <c r="RI129" s="136"/>
      <c r="RJ129" s="136"/>
      <c r="RK129" s="136"/>
      <c r="RL129" s="136"/>
      <c r="RM129" s="136"/>
      <c r="RN129" s="136"/>
      <c r="RO129" s="136"/>
      <c r="RP129" s="136"/>
      <c r="RQ129" s="136"/>
      <c r="RR129" s="136"/>
      <c r="RS129" s="136"/>
      <c r="RT129" s="136"/>
      <c r="RU129" s="136"/>
      <c r="RV129" s="136"/>
      <c r="RW129" s="136"/>
      <c r="RX129" s="136"/>
      <c r="RY129" s="136"/>
      <c r="RZ129" s="136"/>
      <c r="SA129" s="136"/>
      <c r="SB129" s="136"/>
      <c r="SC129" s="136"/>
      <c r="SD129" s="136"/>
      <c r="SE129" s="136"/>
      <c r="SF129" s="136"/>
      <c r="SG129" s="136"/>
      <c r="SH129" s="136"/>
      <c r="SI129" s="136"/>
      <c r="SJ129" s="136"/>
      <c r="SK129" s="136"/>
      <c r="SL129" s="136"/>
      <c r="SM129" s="136"/>
      <c r="SN129" s="136"/>
      <c r="SO129" s="136"/>
      <c r="SP129" s="136"/>
      <c r="SQ129" s="136"/>
      <c r="SR129" s="136"/>
      <c r="SS129" s="136"/>
    </row>
    <row r="130" spans="14:513" s="135" customFormat="1" ht="14.5" x14ac:dyDescent="0.35"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  <c r="Y130" s="134"/>
      <c r="Z130" s="134"/>
      <c r="AA130" s="134"/>
      <c r="AB130" s="134"/>
      <c r="AC130" s="134"/>
      <c r="AD130" s="134"/>
      <c r="AE130" s="134"/>
      <c r="AF130" s="134"/>
      <c r="DO130" s="136"/>
      <c r="DP130" s="136"/>
      <c r="DQ130" s="136"/>
      <c r="DR130" s="136"/>
      <c r="DS130" s="136"/>
      <c r="DT130" s="136"/>
      <c r="DU130" s="136"/>
      <c r="DV130" s="136"/>
      <c r="DW130" s="136"/>
      <c r="DX130" s="136"/>
      <c r="DY130" s="136"/>
      <c r="DZ130" s="136"/>
      <c r="EA130" s="136"/>
      <c r="EB130" s="136"/>
      <c r="EC130" s="136"/>
      <c r="ED130" s="136"/>
      <c r="EE130" s="136"/>
      <c r="EF130" s="136"/>
      <c r="EG130" s="136"/>
      <c r="EH130" s="136"/>
      <c r="EI130" s="136"/>
      <c r="EJ130" s="136"/>
      <c r="EK130" s="136"/>
      <c r="EL130" s="136"/>
      <c r="EM130" s="136"/>
      <c r="EN130" s="136"/>
      <c r="EO130" s="136"/>
      <c r="EP130" s="136"/>
      <c r="EQ130" s="136"/>
      <c r="ER130" s="136"/>
      <c r="ES130" s="136"/>
      <c r="ET130" s="136"/>
      <c r="EU130" s="136"/>
      <c r="EV130" s="136"/>
      <c r="EW130" s="136"/>
      <c r="EX130" s="136"/>
      <c r="EY130" s="136"/>
      <c r="EZ130" s="136"/>
      <c r="FA130" s="136"/>
      <c r="FB130" s="136"/>
      <c r="FC130" s="136"/>
      <c r="FD130" s="136"/>
      <c r="FE130" s="136"/>
      <c r="FF130" s="136"/>
      <c r="FG130" s="136"/>
      <c r="FH130" s="136"/>
      <c r="FI130" s="136"/>
      <c r="FJ130" s="136"/>
      <c r="FK130" s="136"/>
      <c r="FL130" s="136"/>
      <c r="FM130" s="136"/>
      <c r="FN130" s="136"/>
      <c r="FO130" s="136"/>
      <c r="FP130" s="136"/>
      <c r="FQ130" s="136"/>
      <c r="FR130" s="136"/>
      <c r="FS130" s="136"/>
      <c r="FT130" s="136"/>
      <c r="FU130" s="136"/>
      <c r="FV130" s="136"/>
      <c r="FW130" s="136"/>
      <c r="FX130" s="136"/>
      <c r="FY130" s="136"/>
      <c r="FZ130" s="136"/>
      <c r="GA130" s="136"/>
      <c r="GB130" s="136"/>
      <c r="GC130" s="136"/>
      <c r="GD130" s="136"/>
      <c r="GE130" s="136"/>
      <c r="GF130" s="136"/>
      <c r="GG130" s="136"/>
      <c r="GH130" s="136"/>
      <c r="GI130" s="136"/>
      <c r="GJ130" s="136"/>
      <c r="GK130" s="136"/>
      <c r="GL130" s="136"/>
      <c r="GM130" s="136"/>
      <c r="GN130" s="136"/>
      <c r="GO130" s="136"/>
      <c r="GP130" s="136"/>
      <c r="GQ130" s="136"/>
      <c r="GR130" s="136"/>
      <c r="GS130" s="136"/>
      <c r="GT130" s="136"/>
      <c r="GU130" s="136"/>
      <c r="GV130" s="136"/>
      <c r="GW130" s="136"/>
      <c r="GX130" s="136"/>
      <c r="GY130" s="136"/>
      <c r="GZ130" s="136"/>
      <c r="HA130" s="136"/>
      <c r="HB130" s="136"/>
      <c r="HC130" s="136"/>
      <c r="HD130" s="136"/>
      <c r="HE130" s="136"/>
      <c r="HF130" s="136"/>
      <c r="HG130" s="136"/>
      <c r="HH130" s="136"/>
      <c r="HI130" s="136"/>
      <c r="HJ130" s="136"/>
      <c r="HK130" s="136"/>
      <c r="HL130" s="136"/>
      <c r="HM130" s="136"/>
      <c r="HN130" s="136"/>
      <c r="HO130" s="136"/>
      <c r="HP130" s="136"/>
      <c r="HQ130" s="136"/>
      <c r="HR130" s="136"/>
      <c r="HS130" s="136"/>
      <c r="HT130" s="136"/>
      <c r="HU130" s="136"/>
      <c r="HV130" s="136"/>
      <c r="HW130" s="136"/>
      <c r="HX130" s="136"/>
      <c r="HY130" s="136"/>
      <c r="HZ130" s="136"/>
      <c r="IA130" s="136"/>
      <c r="IB130" s="136"/>
      <c r="IC130" s="136"/>
      <c r="ID130" s="136"/>
      <c r="IE130" s="136"/>
      <c r="IF130" s="136"/>
      <c r="IG130" s="136"/>
      <c r="IH130" s="136"/>
      <c r="II130" s="136"/>
      <c r="IJ130" s="136"/>
      <c r="IK130" s="136"/>
      <c r="IL130" s="136"/>
      <c r="IM130" s="136"/>
      <c r="IN130" s="136"/>
      <c r="IO130" s="136"/>
      <c r="IP130" s="136"/>
      <c r="IQ130" s="136"/>
      <c r="IR130" s="136"/>
      <c r="IS130" s="136"/>
      <c r="IT130" s="136"/>
      <c r="IU130" s="136"/>
      <c r="IV130" s="136"/>
      <c r="IW130" s="136"/>
      <c r="IX130" s="136"/>
      <c r="IY130" s="136"/>
      <c r="IZ130" s="136"/>
      <c r="JA130" s="136"/>
      <c r="JB130" s="136"/>
      <c r="JC130" s="136"/>
      <c r="JD130" s="136"/>
      <c r="JE130" s="136"/>
      <c r="JF130" s="136"/>
      <c r="JG130" s="136"/>
      <c r="JH130" s="136"/>
      <c r="JI130" s="136"/>
      <c r="JJ130" s="136"/>
      <c r="JK130" s="136"/>
      <c r="JL130" s="136"/>
      <c r="JM130" s="136"/>
      <c r="JN130" s="136"/>
      <c r="JO130" s="136"/>
      <c r="JP130" s="136"/>
      <c r="JQ130" s="136"/>
      <c r="JR130" s="136"/>
      <c r="JS130" s="136"/>
      <c r="JT130" s="136"/>
      <c r="JU130" s="136"/>
      <c r="JV130" s="136"/>
      <c r="JW130" s="136"/>
      <c r="JX130" s="136"/>
      <c r="JY130" s="136"/>
      <c r="JZ130" s="136"/>
      <c r="KA130" s="136"/>
      <c r="KB130" s="136"/>
      <c r="KC130" s="136"/>
      <c r="KD130" s="136"/>
      <c r="KE130" s="136"/>
      <c r="KF130" s="136"/>
      <c r="KG130" s="136"/>
      <c r="KH130" s="136"/>
      <c r="KI130" s="136"/>
      <c r="KJ130" s="136"/>
      <c r="KK130" s="136"/>
      <c r="KL130" s="136"/>
      <c r="KM130" s="136"/>
      <c r="KN130" s="136"/>
      <c r="KO130" s="136"/>
      <c r="KP130" s="136"/>
      <c r="KQ130" s="136"/>
      <c r="KR130" s="136"/>
      <c r="KS130" s="136"/>
      <c r="KT130" s="136"/>
      <c r="KU130" s="136"/>
      <c r="KV130" s="136"/>
      <c r="KW130" s="136"/>
      <c r="KX130" s="136"/>
      <c r="KY130" s="136"/>
      <c r="KZ130" s="136"/>
      <c r="LA130" s="136"/>
      <c r="LB130" s="136"/>
      <c r="LC130" s="136"/>
      <c r="LD130" s="136"/>
      <c r="LE130" s="136"/>
      <c r="LF130" s="136"/>
      <c r="LG130" s="136"/>
      <c r="LH130" s="136"/>
      <c r="LI130" s="136"/>
      <c r="LJ130" s="136"/>
      <c r="LK130" s="136"/>
      <c r="LL130" s="136"/>
      <c r="LM130" s="136"/>
      <c r="LN130" s="136"/>
      <c r="LO130" s="136"/>
      <c r="LP130" s="136"/>
      <c r="LQ130" s="136"/>
      <c r="LR130" s="136"/>
      <c r="LS130" s="136"/>
      <c r="LT130" s="136"/>
      <c r="LU130" s="136"/>
      <c r="LV130" s="136"/>
      <c r="LW130" s="136"/>
      <c r="LX130" s="136"/>
      <c r="LY130" s="136"/>
      <c r="LZ130" s="136"/>
      <c r="MA130" s="136"/>
      <c r="MB130" s="136"/>
      <c r="MC130" s="136"/>
      <c r="MD130" s="136"/>
      <c r="ME130" s="136"/>
      <c r="MF130" s="136"/>
      <c r="MG130" s="136"/>
      <c r="MH130" s="136"/>
      <c r="MI130" s="136"/>
      <c r="MJ130" s="136"/>
      <c r="MK130" s="136"/>
      <c r="ML130" s="136"/>
      <c r="MM130" s="136"/>
      <c r="MN130" s="136"/>
      <c r="MO130" s="136"/>
      <c r="MP130" s="136"/>
      <c r="MQ130" s="136"/>
      <c r="MR130" s="136"/>
      <c r="MS130" s="136"/>
      <c r="MT130" s="136"/>
      <c r="MU130" s="136"/>
      <c r="MV130" s="136"/>
      <c r="MW130" s="136"/>
      <c r="MX130" s="136"/>
      <c r="MY130" s="136"/>
      <c r="MZ130" s="136"/>
      <c r="NA130" s="136"/>
      <c r="NB130" s="136"/>
      <c r="NC130" s="136"/>
      <c r="ND130" s="136"/>
      <c r="NE130" s="136"/>
      <c r="NF130" s="136"/>
      <c r="NG130" s="136"/>
      <c r="NH130" s="136"/>
      <c r="NI130" s="136"/>
      <c r="NJ130" s="136"/>
      <c r="NK130" s="136"/>
      <c r="NL130" s="136"/>
      <c r="NM130" s="136"/>
      <c r="NN130" s="136"/>
      <c r="NO130" s="136"/>
      <c r="NP130" s="136"/>
      <c r="NQ130" s="136"/>
      <c r="NR130" s="136"/>
      <c r="NS130" s="136"/>
      <c r="NT130" s="136"/>
      <c r="NU130" s="136"/>
      <c r="NV130" s="136"/>
      <c r="NW130" s="136"/>
      <c r="NX130" s="136"/>
      <c r="NY130" s="136"/>
      <c r="NZ130" s="136"/>
      <c r="OA130" s="136"/>
      <c r="OB130" s="136"/>
      <c r="OC130" s="136"/>
      <c r="OD130" s="136"/>
      <c r="OE130" s="136"/>
      <c r="OF130" s="136"/>
      <c r="OG130" s="136"/>
      <c r="OH130" s="136"/>
      <c r="OI130" s="136"/>
      <c r="OJ130" s="136"/>
      <c r="OK130" s="136"/>
      <c r="OL130" s="136"/>
      <c r="OM130" s="136"/>
      <c r="ON130" s="136"/>
      <c r="OO130" s="136"/>
      <c r="OP130" s="136"/>
      <c r="OQ130" s="136"/>
      <c r="OR130" s="136"/>
      <c r="OS130" s="136"/>
      <c r="OT130" s="136"/>
      <c r="OU130" s="136"/>
      <c r="OV130" s="136"/>
      <c r="OW130" s="136"/>
      <c r="OX130" s="136"/>
      <c r="OY130" s="136"/>
      <c r="OZ130" s="136"/>
      <c r="PA130" s="136"/>
      <c r="PB130" s="136"/>
      <c r="PC130" s="136"/>
      <c r="PD130" s="136"/>
      <c r="PE130" s="136"/>
      <c r="PF130" s="136"/>
      <c r="PG130" s="136"/>
      <c r="PH130" s="136"/>
      <c r="PI130" s="136"/>
      <c r="PJ130" s="136"/>
      <c r="PK130" s="136"/>
      <c r="PL130" s="136"/>
      <c r="PM130" s="136"/>
      <c r="PN130" s="136"/>
      <c r="PO130" s="136"/>
      <c r="PP130" s="136"/>
      <c r="PQ130" s="136"/>
      <c r="PR130" s="136"/>
      <c r="PS130" s="136"/>
      <c r="PT130" s="136"/>
      <c r="PU130" s="136"/>
      <c r="PV130" s="136"/>
      <c r="PW130" s="136"/>
      <c r="PX130" s="136"/>
      <c r="PY130" s="136"/>
      <c r="PZ130" s="136"/>
      <c r="QA130" s="136"/>
      <c r="QB130" s="136"/>
      <c r="QC130" s="136"/>
      <c r="QD130" s="136"/>
      <c r="QE130" s="136"/>
      <c r="QF130" s="136"/>
      <c r="QG130" s="136"/>
      <c r="QH130" s="136"/>
      <c r="QI130" s="136"/>
      <c r="QJ130" s="136"/>
      <c r="QK130" s="136"/>
      <c r="QL130" s="136"/>
      <c r="QM130" s="136"/>
      <c r="QN130" s="136"/>
      <c r="QO130" s="136"/>
      <c r="QP130" s="136"/>
      <c r="QQ130" s="136"/>
      <c r="QR130" s="136"/>
      <c r="QS130" s="136"/>
      <c r="QT130" s="136"/>
      <c r="QU130" s="136"/>
      <c r="QV130" s="136"/>
      <c r="QW130" s="136"/>
      <c r="QX130" s="136"/>
      <c r="QY130" s="136"/>
      <c r="QZ130" s="136"/>
      <c r="RA130" s="136"/>
      <c r="RB130" s="136"/>
      <c r="RC130" s="136"/>
      <c r="RD130" s="136"/>
      <c r="RE130" s="136"/>
      <c r="RF130" s="136"/>
      <c r="RG130" s="136"/>
      <c r="RH130" s="136"/>
      <c r="RI130" s="136"/>
      <c r="RJ130" s="136"/>
      <c r="RK130" s="136"/>
      <c r="RL130" s="136"/>
      <c r="RM130" s="136"/>
      <c r="RN130" s="136"/>
      <c r="RO130" s="136"/>
      <c r="RP130" s="136"/>
      <c r="RQ130" s="136"/>
      <c r="RR130" s="136"/>
      <c r="RS130" s="136"/>
      <c r="RT130" s="136"/>
      <c r="RU130" s="136"/>
      <c r="RV130" s="136"/>
      <c r="RW130" s="136"/>
      <c r="RX130" s="136"/>
      <c r="RY130" s="136"/>
      <c r="RZ130" s="136"/>
      <c r="SA130" s="136"/>
      <c r="SB130" s="136"/>
      <c r="SC130" s="136"/>
      <c r="SD130" s="136"/>
      <c r="SE130" s="136"/>
      <c r="SF130" s="136"/>
      <c r="SG130" s="136"/>
      <c r="SH130" s="136"/>
      <c r="SI130" s="136"/>
      <c r="SJ130" s="136"/>
      <c r="SK130" s="136"/>
      <c r="SL130" s="136"/>
      <c r="SM130" s="136"/>
      <c r="SN130" s="136"/>
      <c r="SO130" s="136"/>
      <c r="SP130" s="136"/>
      <c r="SQ130" s="136"/>
      <c r="SR130" s="136"/>
      <c r="SS130" s="136"/>
    </row>
    <row r="131" spans="14:513" s="135" customFormat="1" ht="14.5" x14ac:dyDescent="0.35"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  <c r="Y131" s="134"/>
      <c r="Z131" s="134"/>
      <c r="AA131" s="134"/>
      <c r="AB131" s="134"/>
      <c r="AC131" s="134"/>
      <c r="AD131" s="134"/>
      <c r="AE131" s="134"/>
      <c r="AF131" s="134"/>
      <c r="DO131" s="136"/>
      <c r="DP131" s="136"/>
      <c r="DQ131" s="136"/>
      <c r="DR131" s="136"/>
      <c r="DS131" s="136"/>
      <c r="DT131" s="136"/>
      <c r="DU131" s="136"/>
      <c r="DV131" s="136"/>
      <c r="DW131" s="136"/>
      <c r="DX131" s="136"/>
      <c r="DY131" s="136"/>
      <c r="DZ131" s="136"/>
      <c r="EA131" s="136"/>
      <c r="EB131" s="136"/>
      <c r="EC131" s="136"/>
      <c r="ED131" s="136"/>
      <c r="EE131" s="136"/>
      <c r="EF131" s="136"/>
      <c r="EG131" s="136"/>
      <c r="EH131" s="136"/>
      <c r="EI131" s="136"/>
      <c r="EJ131" s="136"/>
      <c r="EK131" s="136"/>
      <c r="EL131" s="136"/>
      <c r="EM131" s="136"/>
      <c r="EN131" s="136"/>
      <c r="EO131" s="136"/>
      <c r="EP131" s="136"/>
      <c r="EQ131" s="136"/>
      <c r="ER131" s="136"/>
      <c r="ES131" s="136"/>
      <c r="ET131" s="136"/>
      <c r="EU131" s="136"/>
      <c r="EV131" s="136"/>
      <c r="EW131" s="136"/>
      <c r="EX131" s="136"/>
      <c r="EY131" s="136"/>
      <c r="EZ131" s="136"/>
      <c r="FA131" s="136"/>
      <c r="FB131" s="136"/>
      <c r="FC131" s="136"/>
      <c r="FD131" s="136"/>
      <c r="FE131" s="136"/>
      <c r="FF131" s="136"/>
      <c r="FG131" s="136"/>
      <c r="FH131" s="136"/>
      <c r="FI131" s="136"/>
      <c r="FJ131" s="136"/>
      <c r="FK131" s="136"/>
      <c r="FL131" s="136"/>
      <c r="FM131" s="136"/>
      <c r="FN131" s="136"/>
      <c r="FO131" s="136"/>
      <c r="FP131" s="136"/>
      <c r="FQ131" s="136"/>
      <c r="FR131" s="136"/>
      <c r="FS131" s="136"/>
      <c r="FT131" s="136"/>
      <c r="FU131" s="136"/>
      <c r="FV131" s="136"/>
      <c r="FW131" s="136"/>
      <c r="FX131" s="136"/>
      <c r="FY131" s="136"/>
      <c r="FZ131" s="136"/>
      <c r="GA131" s="136"/>
      <c r="GB131" s="136"/>
      <c r="GC131" s="136"/>
      <c r="GD131" s="136"/>
      <c r="GE131" s="136"/>
      <c r="GF131" s="136"/>
      <c r="GG131" s="136"/>
      <c r="GH131" s="136"/>
      <c r="GI131" s="136"/>
      <c r="GJ131" s="136"/>
      <c r="GK131" s="136"/>
      <c r="GL131" s="136"/>
      <c r="GM131" s="136"/>
      <c r="GN131" s="136"/>
      <c r="GO131" s="136"/>
      <c r="GP131" s="136"/>
      <c r="GQ131" s="136"/>
      <c r="GR131" s="136"/>
      <c r="GS131" s="136"/>
      <c r="GT131" s="136"/>
      <c r="GU131" s="136"/>
      <c r="GV131" s="136"/>
      <c r="GW131" s="136"/>
      <c r="GX131" s="136"/>
      <c r="GY131" s="136"/>
      <c r="GZ131" s="136"/>
      <c r="HA131" s="136"/>
      <c r="HB131" s="136"/>
      <c r="HC131" s="136"/>
      <c r="HD131" s="136"/>
      <c r="HE131" s="136"/>
      <c r="HF131" s="136"/>
      <c r="HG131" s="136"/>
      <c r="HH131" s="136"/>
      <c r="HI131" s="136"/>
      <c r="HJ131" s="136"/>
      <c r="HK131" s="136"/>
      <c r="HL131" s="136"/>
      <c r="HM131" s="136"/>
      <c r="HN131" s="136"/>
      <c r="HO131" s="136"/>
      <c r="HP131" s="136"/>
      <c r="HQ131" s="136"/>
      <c r="HR131" s="136"/>
      <c r="HS131" s="136"/>
      <c r="HT131" s="136"/>
      <c r="HU131" s="136"/>
      <c r="HV131" s="136"/>
      <c r="HW131" s="136"/>
      <c r="HX131" s="136"/>
      <c r="HY131" s="136"/>
      <c r="HZ131" s="136"/>
      <c r="IA131" s="136"/>
      <c r="IB131" s="136"/>
      <c r="IC131" s="136"/>
      <c r="ID131" s="136"/>
      <c r="IE131" s="136"/>
      <c r="IF131" s="136"/>
      <c r="IG131" s="136"/>
      <c r="IH131" s="136"/>
      <c r="II131" s="136"/>
      <c r="IJ131" s="136"/>
      <c r="IK131" s="136"/>
      <c r="IL131" s="136"/>
      <c r="IM131" s="136"/>
      <c r="IN131" s="136"/>
      <c r="IO131" s="136"/>
      <c r="IP131" s="136"/>
      <c r="IQ131" s="136"/>
      <c r="IR131" s="136"/>
      <c r="IS131" s="136"/>
      <c r="IT131" s="136"/>
      <c r="IU131" s="136"/>
      <c r="IV131" s="136"/>
      <c r="IW131" s="136"/>
      <c r="IX131" s="136"/>
      <c r="IY131" s="136"/>
      <c r="IZ131" s="136"/>
      <c r="JA131" s="136"/>
      <c r="JB131" s="136"/>
      <c r="JC131" s="136"/>
      <c r="JD131" s="136"/>
      <c r="JE131" s="136"/>
      <c r="JF131" s="136"/>
      <c r="JG131" s="136"/>
      <c r="JH131" s="136"/>
      <c r="JI131" s="136"/>
      <c r="JJ131" s="136"/>
      <c r="JK131" s="136"/>
      <c r="JL131" s="136"/>
      <c r="JM131" s="136"/>
      <c r="JN131" s="136"/>
      <c r="JO131" s="136"/>
      <c r="JP131" s="136"/>
      <c r="JQ131" s="136"/>
      <c r="JR131" s="136"/>
      <c r="JS131" s="136"/>
      <c r="JT131" s="136"/>
      <c r="JU131" s="136"/>
      <c r="JV131" s="136"/>
      <c r="JW131" s="136"/>
      <c r="JX131" s="136"/>
      <c r="JY131" s="136"/>
      <c r="JZ131" s="136"/>
      <c r="KA131" s="136"/>
      <c r="KB131" s="136"/>
      <c r="KC131" s="136"/>
      <c r="KD131" s="136"/>
      <c r="KE131" s="136"/>
      <c r="KF131" s="136"/>
      <c r="KG131" s="136"/>
      <c r="KH131" s="136"/>
      <c r="KI131" s="136"/>
      <c r="KJ131" s="136"/>
      <c r="KK131" s="136"/>
      <c r="KL131" s="136"/>
      <c r="KM131" s="136"/>
      <c r="KN131" s="136"/>
      <c r="KO131" s="136"/>
      <c r="KP131" s="136"/>
      <c r="KQ131" s="136"/>
      <c r="KR131" s="136"/>
      <c r="KS131" s="136"/>
      <c r="KT131" s="136"/>
      <c r="KU131" s="136"/>
      <c r="KV131" s="136"/>
      <c r="KW131" s="136"/>
      <c r="KX131" s="136"/>
      <c r="KY131" s="136"/>
      <c r="KZ131" s="136"/>
      <c r="LA131" s="136"/>
      <c r="LB131" s="136"/>
      <c r="LC131" s="136"/>
      <c r="LD131" s="136"/>
      <c r="LE131" s="136"/>
      <c r="LF131" s="136"/>
      <c r="LG131" s="136"/>
      <c r="LH131" s="136"/>
      <c r="LI131" s="136"/>
      <c r="LJ131" s="136"/>
      <c r="LK131" s="136"/>
      <c r="LL131" s="136"/>
      <c r="LM131" s="136"/>
      <c r="LN131" s="136"/>
      <c r="LO131" s="136"/>
      <c r="LP131" s="136"/>
      <c r="LQ131" s="136"/>
      <c r="LR131" s="136"/>
      <c r="LS131" s="136"/>
      <c r="LT131" s="136"/>
      <c r="LU131" s="136"/>
      <c r="LV131" s="136"/>
      <c r="LW131" s="136"/>
      <c r="LX131" s="136"/>
      <c r="LY131" s="136"/>
      <c r="LZ131" s="136"/>
      <c r="MA131" s="136"/>
      <c r="MB131" s="136"/>
      <c r="MC131" s="136"/>
      <c r="MD131" s="136"/>
      <c r="ME131" s="136"/>
      <c r="MF131" s="136"/>
      <c r="MG131" s="136"/>
      <c r="MH131" s="136"/>
      <c r="MI131" s="136"/>
      <c r="MJ131" s="136"/>
      <c r="MK131" s="136"/>
      <c r="ML131" s="136"/>
      <c r="MM131" s="136"/>
      <c r="MN131" s="136"/>
      <c r="MO131" s="136"/>
      <c r="MP131" s="136"/>
      <c r="MQ131" s="136"/>
      <c r="MR131" s="136"/>
      <c r="MS131" s="136"/>
      <c r="MT131" s="136"/>
      <c r="MU131" s="136"/>
      <c r="MV131" s="136"/>
      <c r="MW131" s="136"/>
      <c r="MX131" s="136"/>
      <c r="MY131" s="136"/>
      <c r="MZ131" s="136"/>
      <c r="NA131" s="136"/>
      <c r="NB131" s="136"/>
      <c r="NC131" s="136"/>
      <c r="ND131" s="136"/>
      <c r="NE131" s="136"/>
      <c r="NF131" s="136"/>
      <c r="NG131" s="136"/>
      <c r="NH131" s="136"/>
      <c r="NI131" s="136"/>
      <c r="NJ131" s="136"/>
      <c r="NK131" s="136"/>
      <c r="NL131" s="136"/>
      <c r="NM131" s="136"/>
      <c r="NN131" s="136"/>
      <c r="NO131" s="136"/>
      <c r="NP131" s="136"/>
      <c r="NQ131" s="136"/>
      <c r="NR131" s="136"/>
      <c r="NS131" s="136"/>
      <c r="NT131" s="136"/>
      <c r="NU131" s="136"/>
      <c r="NV131" s="136"/>
      <c r="NW131" s="136"/>
      <c r="NX131" s="136"/>
      <c r="NY131" s="136"/>
      <c r="NZ131" s="136"/>
      <c r="OA131" s="136"/>
      <c r="OB131" s="136"/>
      <c r="OC131" s="136"/>
      <c r="OD131" s="136"/>
      <c r="OE131" s="136"/>
      <c r="OF131" s="136"/>
      <c r="OG131" s="136"/>
      <c r="OH131" s="136"/>
      <c r="OI131" s="136"/>
      <c r="OJ131" s="136"/>
      <c r="OK131" s="136"/>
      <c r="OL131" s="136"/>
      <c r="OM131" s="136"/>
      <c r="ON131" s="136"/>
      <c r="OO131" s="136"/>
      <c r="OP131" s="136"/>
      <c r="OQ131" s="136"/>
      <c r="OR131" s="136"/>
      <c r="OS131" s="136"/>
      <c r="OT131" s="136"/>
      <c r="OU131" s="136"/>
      <c r="OV131" s="136"/>
      <c r="OW131" s="136"/>
      <c r="OX131" s="136"/>
      <c r="OY131" s="136"/>
      <c r="OZ131" s="136"/>
      <c r="PA131" s="136"/>
      <c r="PB131" s="136"/>
      <c r="PC131" s="136"/>
      <c r="PD131" s="136"/>
      <c r="PE131" s="136"/>
      <c r="PF131" s="136"/>
      <c r="PG131" s="136"/>
      <c r="PH131" s="136"/>
      <c r="PI131" s="136"/>
      <c r="PJ131" s="136"/>
      <c r="PK131" s="136"/>
      <c r="PL131" s="136"/>
      <c r="PM131" s="136"/>
      <c r="PN131" s="136"/>
      <c r="PO131" s="136"/>
      <c r="PP131" s="136"/>
      <c r="PQ131" s="136"/>
      <c r="PR131" s="136"/>
      <c r="PS131" s="136"/>
      <c r="PT131" s="136"/>
      <c r="PU131" s="136"/>
      <c r="PV131" s="136"/>
      <c r="PW131" s="136"/>
      <c r="PX131" s="136"/>
      <c r="PY131" s="136"/>
      <c r="PZ131" s="136"/>
      <c r="QA131" s="136"/>
      <c r="QB131" s="136"/>
      <c r="QC131" s="136"/>
      <c r="QD131" s="136"/>
      <c r="QE131" s="136"/>
      <c r="QF131" s="136"/>
      <c r="QG131" s="136"/>
      <c r="QH131" s="136"/>
      <c r="QI131" s="136"/>
      <c r="QJ131" s="136"/>
      <c r="QK131" s="136"/>
      <c r="QL131" s="136"/>
      <c r="QM131" s="136"/>
      <c r="QN131" s="136"/>
      <c r="QO131" s="136"/>
      <c r="QP131" s="136"/>
      <c r="QQ131" s="136"/>
      <c r="QR131" s="136"/>
      <c r="QS131" s="136"/>
      <c r="QT131" s="136"/>
      <c r="QU131" s="136"/>
      <c r="QV131" s="136"/>
      <c r="QW131" s="136"/>
      <c r="QX131" s="136"/>
      <c r="QY131" s="136"/>
      <c r="QZ131" s="136"/>
      <c r="RA131" s="136"/>
      <c r="RB131" s="136"/>
      <c r="RC131" s="136"/>
      <c r="RD131" s="136"/>
      <c r="RE131" s="136"/>
      <c r="RF131" s="136"/>
      <c r="RG131" s="136"/>
      <c r="RH131" s="136"/>
      <c r="RI131" s="136"/>
      <c r="RJ131" s="136"/>
      <c r="RK131" s="136"/>
      <c r="RL131" s="136"/>
      <c r="RM131" s="136"/>
      <c r="RN131" s="136"/>
      <c r="RO131" s="136"/>
      <c r="RP131" s="136"/>
      <c r="RQ131" s="136"/>
      <c r="RR131" s="136"/>
      <c r="RS131" s="136"/>
      <c r="RT131" s="136"/>
      <c r="RU131" s="136"/>
      <c r="RV131" s="136"/>
      <c r="RW131" s="136"/>
      <c r="RX131" s="136"/>
      <c r="RY131" s="136"/>
      <c r="RZ131" s="136"/>
      <c r="SA131" s="136"/>
      <c r="SB131" s="136"/>
      <c r="SC131" s="136"/>
      <c r="SD131" s="136"/>
      <c r="SE131" s="136"/>
      <c r="SF131" s="136"/>
      <c r="SG131" s="136"/>
      <c r="SH131" s="136"/>
      <c r="SI131" s="136"/>
      <c r="SJ131" s="136"/>
      <c r="SK131" s="136"/>
      <c r="SL131" s="136"/>
      <c r="SM131" s="136"/>
      <c r="SN131" s="136"/>
      <c r="SO131" s="136"/>
      <c r="SP131" s="136"/>
      <c r="SQ131" s="136"/>
      <c r="SR131" s="136"/>
      <c r="SS131" s="136"/>
    </row>
    <row r="132" spans="14:513" s="135" customFormat="1" ht="14.5" x14ac:dyDescent="0.35">
      <c r="N132" s="134"/>
      <c r="O132" s="134"/>
      <c r="P132" s="134"/>
      <c r="Q132" s="134"/>
      <c r="R132" s="134"/>
      <c r="S132" s="134"/>
      <c r="T132" s="134"/>
      <c r="U132" s="134"/>
      <c r="V132" s="134"/>
      <c r="W132" s="134"/>
      <c r="X132" s="134"/>
      <c r="Y132" s="134"/>
      <c r="Z132" s="134"/>
      <c r="AA132" s="134"/>
      <c r="AB132" s="134"/>
      <c r="AC132" s="134"/>
      <c r="AD132" s="134"/>
      <c r="AE132" s="134"/>
      <c r="AF132" s="134"/>
      <c r="DO132" s="136"/>
      <c r="DP132" s="136"/>
      <c r="DQ132" s="136"/>
      <c r="DR132" s="136"/>
      <c r="DS132" s="136"/>
      <c r="DT132" s="136"/>
      <c r="DU132" s="136"/>
      <c r="DV132" s="136"/>
      <c r="DW132" s="136"/>
      <c r="DX132" s="136"/>
      <c r="DY132" s="136"/>
      <c r="DZ132" s="136"/>
      <c r="EA132" s="136"/>
      <c r="EB132" s="136"/>
      <c r="EC132" s="136"/>
      <c r="ED132" s="136"/>
      <c r="EE132" s="136"/>
      <c r="EF132" s="136"/>
      <c r="EG132" s="136"/>
      <c r="EH132" s="136"/>
      <c r="EI132" s="136"/>
      <c r="EJ132" s="136"/>
      <c r="EK132" s="136"/>
      <c r="EL132" s="136"/>
      <c r="EM132" s="136"/>
      <c r="EN132" s="136"/>
      <c r="EO132" s="136"/>
      <c r="EP132" s="136"/>
      <c r="EQ132" s="136"/>
      <c r="ER132" s="136"/>
      <c r="ES132" s="136"/>
      <c r="ET132" s="136"/>
      <c r="EU132" s="136"/>
      <c r="EV132" s="136"/>
      <c r="EW132" s="136"/>
      <c r="EX132" s="136"/>
      <c r="EY132" s="136"/>
      <c r="EZ132" s="136"/>
      <c r="FA132" s="136"/>
      <c r="FB132" s="136"/>
      <c r="FC132" s="136"/>
      <c r="FD132" s="136"/>
      <c r="FE132" s="136"/>
      <c r="FF132" s="136"/>
      <c r="FG132" s="136"/>
      <c r="FH132" s="136"/>
      <c r="FI132" s="136"/>
      <c r="FJ132" s="136"/>
      <c r="FK132" s="136"/>
      <c r="FL132" s="136"/>
      <c r="FM132" s="136"/>
      <c r="FN132" s="136"/>
      <c r="FO132" s="136"/>
      <c r="FP132" s="136"/>
      <c r="FQ132" s="136"/>
      <c r="FR132" s="136"/>
      <c r="FS132" s="136"/>
      <c r="FT132" s="136"/>
      <c r="FU132" s="136"/>
      <c r="FV132" s="136"/>
      <c r="FW132" s="136"/>
      <c r="FX132" s="136"/>
      <c r="FY132" s="136"/>
      <c r="FZ132" s="136"/>
      <c r="GA132" s="136"/>
      <c r="GB132" s="136"/>
      <c r="GC132" s="136"/>
      <c r="GD132" s="136"/>
      <c r="GE132" s="136"/>
      <c r="GF132" s="136"/>
      <c r="GG132" s="136"/>
      <c r="GH132" s="136"/>
      <c r="GI132" s="136"/>
      <c r="GJ132" s="136"/>
      <c r="GK132" s="136"/>
      <c r="GL132" s="136"/>
      <c r="GM132" s="136"/>
      <c r="GN132" s="136"/>
      <c r="GO132" s="136"/>
      <c r="GP132" s="136"/>
      <c r="GQ132" s="136"/>
      <c r="GR132" s="136"/>
      <c r="GS132" s="136"/>
      <c r="GT132" s="136"/>
      <c r="GU132" s="136"/>
      <c r="GV132" s="136"/>
      <c r="GW132" s="136"/>
      <c r="GX132" s="136"/>
      <c r="GY132" s="136"/>
      <c r="GZ132" s="136"/>
      <c r="HA132" s="136"/>
      <c r="HB132" s="136"/>
      <c r="HC132" s="136"/>
      <c r="HD132" s="136"/>
      <c r="HE132" s="136"/>
      <c r="HF132" s="136"/>
      <c r="HG132" s="136"/>
      <c r="HH132" s="136"/>
      <c r="HI132" s="136"/>
      <c r="HJ132" s="136"/>
      <c r="HK132" s="136"/>
      <c r="HL132" s="136"/>
      <c r="HM132" s="136"/>
      <c r="HN132" s="136"/>
      <c r="HO132" s="136"/>
      <c r="HP132" s="136"/>
      <c r="HQ132" s="136"/>
      <c r="HR132" s="136"/>
      <c r="HS132" s="136"/>
      <c r="HT132" s="136"/>
      <c r="HU132" s="136"/>
      <c r="HV132" s="136"/>
      <c r="HW132" s="136"/>
      <c r="HX132" s="136"/>
      <c r="HY132" s="136"/>
      <c r="HZ132" s="136"/>
      <c r="IA132" s="136"/>
      <c r="IB132" s="136"/>
      <c r="IC132" s="136"/>
      <c r="ID132" s="136"/>
      <c r="IE132" s="136"/>
      <c r="IF132" s="136"/>
      <c r="IG132" s="136"/>
      <c r="IH132" s="136"/>
      <c r="II132" s="136"/>
      <c r="IJ132" s="136"/>
      <c r="IK132" s="136"/>
      <c r="IL132" s="136"/>
      <c r="IM132" s="136"/>
      <c r="IN132" s="136"/>
      <c r="IO132" s="136"/>
      <c r="IP132" s="136"/>
      <c r="IQ132" s="136"/>
      <c r="IR132" s="136"/>
      <c r="IS132" s="136"/>
      <c r="IT132" s="136"/>
      <c r="IU132" s="136"/>
      <c r="IV132" s="136"/>
      <c r="IW132" s="136"/>
      <c r="IX132" s="136"/>
      <c r="IY132" s="136"/>
      <c r="IZ132" s="136"/>
      <c r="JA132" s="136"/>
      <c r="JB132" s="136"/>
      <c r="JC132" s="136"/>
      <c r="JD132" s="136"/>
      <c r="JE132" s="136"/>
      <c r="JF132" s="136"/>
      <c r="JG132" s="136"/>
      <c r="JH132" s="136"/>
      <c r="JI132" s="136"/>
      <c r="JJ132" s="136"/>
      <c r="JK132" s="136"/>
      <c r="JL132" s="136"/>
      <c r="JM132" s="136"/>
      <c r="JN132" s="136"/>
      <c r="JO132" s="136"/>
      <c r="JP132" s="136"/>
      <c r="JQ132" s="136"/>
      <c r="JR132" s="136"/>
      <c r="JS132" s="136"/>
      <c r="JT132" s="136"/>
      <c r="JU132" s="136"/>
      <c r="JV132" s="136"/>
      <c r="JW132" s="136"/>
      <c r="JX132" s="136"/>
      <c r="JY132" s="136"/>
      <c r="JZ132" s="136"/>
      <c r="KA132" s="136"/>
      <c r="KB132" s="136"/>
      <c r="KC132" s="136"/>
      <c r="KD132" s="136"/>
      <c r="KE132" s="136"/>
      <c r="KF132" s="136"/>
      <c r="KG132" s="136"/>
      <c r="KH132" s="136"/>
      <c r="KI132" s="136"/>
      <c r="KJ132" s="136"/>
      <c r="KK132" s="136"/>
      <c r="KL132" s="136"/>
      <c r="KM132" s="136"/>
      <c r="KN132" s="136"/>
      <c r="KO132" s="136"/>
      <c r="KP132" s="136"/>
      <c r="KQ132" s="136"/>
      <c r="KR132" s="136"/>
      <c r="KS132" s="136"/>
      <c r="KT132" s="136"/>
      <c r="KU132" s="136"/>
      <c r="KV132" s="136"/>
      <c r="KW132" s="136"/>
      <c r="KX132" s="136"/>
      <c r="KY132" s="136"/>
      <c r="KZ132" s="136"/>
      <c r="LA132" s="136"/>
      <c r="LB132" s="136"/>
      <c r="LC132" s="136"/>
      <c r="LD132" s="136"/>
      <c r="LE132" s="136"/>
      <c r="LF132" s="136"/>
      <c r="LG132" s="136"/>
      <c r="LH132" s="136"/>
      <c r="LI132" s="136"/>
      <c r="LJ132" s="136"/>
      <c r="LK132" s="136"/>
      <c r="LL132" s="136"/>
      <c r="LM132" s="136"/>
      <c r="LN132" s="136"/>
      <c r="LO132" s="136"/>
      <c r="LP132" s="136"/>
      <c r="LQ132" s="136"/>
      <c r="LR132" s="136"/>
      <c r="LS132" s="136"/>
      <c r="LT132" s="136"/>
      <c r="LU132" s="136"/>
      <c r="LV132" s="136"/>
      <c r="LW132" s="136"/>
      <c r="LX132" s="136"/>
      <c r="LY132" s="136"/>
      <c r="LZ132" s="136"/>
      <c r="MA132" s="136"/>
      <c r="MB132" s="136"/>
      <c r="MC132" s="136"/>
      <c r="MD132" s="136"/>
      <c r="ME132" s="136"/>
      <c r="MF132" s="136"/>
      <c r="MG132" s="136"/>
      <c r="MH132" s="136"/>
      <c r="MI132" s="136"/>
      <c r="MJ132" s="136"/>
      <c r="MK132" s="136"/>
      <c r="ML132" s="136"/>
      <c r="MM132" s="136"/>
      <c r="MN132" s="136"/>
      <c r="MO132" s="136"/>
      <c r="MP132" s="136"/>
      <c r="MQ132" s="136"/>
      <c r="MR132" s="136"/>
      <c r="MS132" s="136"/>
      <c r="MT132" s="136"/>
      <c r="MU132" s="136"/>
      <c r="MV132" s="136"/>
      <c r="MW132" s="136"/>
      <c r="MX132" s="136"/>
      <c r="MY132" s="136"/>
      <c r="MZ132" s="136"/>
      <c r="NA132" s="136"/>
      <c r="NB132" s="136"/>
      <c r="NC132" s="136"/>
      <c r="ND132" s="136"/>
      <c r="NE132" s="136"/>
      <c r="NF132" s="136"/>
      <c r="NG132" s="136"/>
      <c r="NH132" s="136"/>
      <c r="NI132" s="136"/>
      <c r="NJ132" s="136"/>
      <c r="NK132" s="136"/>
      <c r="NL132" s="136"/>
      <c r="NM132" s="136"/>
      <c r="NN132" s="136"/>
      <c r="NO132" s="136"/>
      <c r="NP132" s="136"/>
      <c r="NQ132" s="136"/>
      <c r="NR132" s="136"/>
      <c r="NS132" s="136"/>
      <c r="NT132" s="136"/>
      <c r="NU132" s="136"/>
      <c r="NV132" s="136"/>
      <c r="NW132" s="136"/>
      <c r="NX132" s="136"/>
      <c r="NY132" s="136"/>
      <c r="NZ132" s="136"/>
      <c r="OA132" s="136"/>
      <c r="OB132" s="136"/>
      <c r="OC132" s="136"/>
      <c r="OD132" s="136"/>
      <c r="OE132" s="136"/>
      <c r="OF132" s="136"/>
      <c r="OG132" s="136"/>
      <c r="OH132" s="136"/>
      <c r="OI132" s="136"/>
      <c r="OJ132" s="136"/>
      <c r="OK132" s="136"/>
      <c r="OL132" s="136"/>
      <c r="OM132" s="136"/>
      <c r="ON132" s="136"/>
      <c r="OO132" s="136"/>
      <c r="OP132" s="136"/>
      <c r="OQ132" s="136"/>
      <c r="OR132" s="136"/>
      <c r="OS132" s="136"/>
      <c r="OT132" s="136"/>
      <c r="OU132" s="136"/>
      <c r="OV132" s="136"/>
      <c r="OW132" s="136"/>
      <c r="OX132" s="136"/>
      <c r="OY132" s="136"/>
      <c r="OZ132" s="136"/>
      <c r="PA132" s="136"/>
      <c r="PB132" s="136"/>
      <c r="PC132" s="136"/>
      <c r="PD132" s="136"/>
      <c r="PE132" s="136"/>
      <c r="PF132" s="136"/>
      <c r="PG132" s="136"/>
      <c r="PH132" s="136"/>
      <c r="PI132" s="136"/>
      <c r="PJ132" s="136"/>
      <c r="PK132" s="136"/>
      <c r="PL132" s="136"/>
      <c r="PM132" s="136"/>
      <c r="PN132" s="136"/>
      <c r="PO132" s="136"/>
      <c r="PP132" s="136"/>
      <c r="PQ132" s="136"/>
      <c r="PR132" s="136"/>
      <c r="PS132" s="136"/>
      <c r="PT132" s="136"/>
      <c r="PU132" s="136"/>
      <c r="PV132" s="136"/>
      <c r="PW132" s="136"/>
      <c r="PX132" s="136"/>
      <c r="PY132" s="136"/>
      <c r="PZ132" s="136"/>
      <c r="QA132" s="136"/>
      <c r="QB132" s="136"/>
      <c r="QC132" s="136"/>
      <c r="QD132" s="136"/>
      <c r="QE132" s="136"/>
      <c r="QF132" s="136"/>
      <c r="QG132" s="136"/>
      <c r="QH132" s="136"/>
      <c r="QI132" s="136"/>
      <c r="QJ132" s="136"/>
      <c r="QK132" s="136"/>
      <c r="QL132" s="136"/>
      <c r="QM132" s="136"/>
      <c r="QN132" s="136"/>
      <c r="QO132" s="136"/>
      <c r="QP132" s="136"/>
      <c r="QQ132" s="136"/>
      <c r="QR132" s="136"/>
      <c r="QS132" s="136"/>
      <c r="QT132" s="136"/>
      <c r="QU132" s="136"/>
      <c r="QV132" s="136"/>
      <c r="QW132" s="136"/>
      <c r="QX132" s="136"/>
      <c r="QY132" s="136"/>
      <c r="QZ132" s="136"/>
      <c r="RA132" s="136"/>
      <c r="RB132" s="136"/>
      <c r="RC132" s="136"/>
      <c r="RD132" s="136"/>
      <c r="RE132" s="136"/>
      <c r="RF132" s="136"/>
      <c r="RG132" s="136"/>
      <c r="RH132" s="136"/>
      <c r="RI132" s="136"/>
      <c r="RJ132" s="136"/>
      <c r="RK132" s="136"/>
      <c r="RL132" s="136"/>
      <c r="RM132" s="136"/>
      <c r="RN132" s="136"/>
      <c r="RO132" s="136"/>
      <c r="RP132" s="136"/>
      <c r="RQ132" s="136"/>
      <c r="RR132" s="136"/>
      <c r="RS132" s="136"/>
      <c r="RT132" s="136"/>
      <c r="RU132" s="136"/>
      <c r="RV132" s="136"/>
      <c r="RW132" s="136"/>
      <c r="RX132" s="136"/>
      <c r="RY132" s="136"/>
      <c r="RZ132" s="136"/>
      <c r="SA132" s="136"/>
      <c r="SB132" s="136"/>
      <c r="SC132" s="136"/>
      <c r="SD132" s="136"/>
      <c r="SE132" s="136"/>
      <c r="SF132" s="136"/>
      <c r="SG132" s="136"/>
      <c r="SH132" s="136"/>
      <c r="SI132" s="136"/>
      <c r="SJ132" s="136"/>
      <c r="SK132" s="136"/>
      <c r="SL132" s="136"/>
      <c r="SM132" s="136"/>
      <c r="SN132" s="136"/>
      <c r="SO132" s="136"/>
      <c r="SP132" s="136"/>
      <c r="SQ132" s="136"/>
      <c r="SR132" s="136"/>
      <c r="SS132" s="136"/>
    </row>
    <row r="133" spans="14:513" s="135" customFormat="1" ht="14.5" x14ac:dyDescent="0.35">
      <c r="N133" s="134"/>
      <c r="O133" s="134"/>
      <c r="P133" s="134"/>
      <c r="Q133" s="134"/>
      <c r="R133" s="134"/>
      <c r="S133" s="134"/>
      <c r="T133" s="134"/>
      <c r="U133" s="134"/>
      <c r="V133" s="134"/>
      <c r="W133" s="134"/>
      <c r="X133" s="134"/>
      <c r="Y133" s="134"/>
      <c r="Z133" s="134"/>
      <c r="AA133" s="134"/>
      <c r="AB133" s="134"/>
      <c r="AC133" s="134"/>
      <c r="AD133" s="134"/>
      <c r="AE133" s="134"/>
      <c r="AF133" s="134"/>
      <c r="DO133" s="136"/>
      <c r="DP133" s="136"/>
      <c r="DQ133" s="136"/>
      <c r="DR133" s="136"/>
      <c r="DS133" s="136"/>
      <c r="DT133" s="136"/>
      <c r="DU133" s="136"/>
      <c r="DV133" s="136"/>
      <c r="DW133" s="136"/>
      <c r="DX133" s="136"/>
      <c r="DY133" s="136"/>
      <c r="DZ133" s="136"/>
      <c r="EA133" s="136"/>
      <c r="EB133" s="136"/>
      <c r="EC133" s="136"/>
      <c r="ED133" s="136"/>
      <c r="EE133" s="136"/>
      <c r="EF133" s="136"/>
      <c r="EG133" s="136"/>
      <c r="EH133" s="136"/>
      <c r="EI133" s="136"/>
      <c r="EJ133" s="136"/>
      <c r="EK133" s="136"/>
      <c r="EL133" s="136"/>
      <c r="EM133" s="136"/>
      <c r="EN133" s="136"/>
      <c r="EO133" s="136"/>
      <c r="EP133" s="136"/>
      <c r="EQ133" s="136"/>
      <c r="ER133" s="136"/>
      <c r="ES133" s="136"/>
      <c r="ET133" s="136"/>
      <c r="EU133" s="136"/>
      <c r="EV133" s="136"/>
      <c r="EW133" s="136"/>
      <c r="EX133" s="136"/>
      <c r="EY133" s="136"/>
      <c r="EZ133" s="136"/>
      <c r="FA133" s="136"/>
      <c r="FB133" s="136"/>
      <c r="FC133" s="136"/>
      <c r="FD133" s="136"/>
      <c r="FE133" s="136"/>
      <c r="FF133" s="136"/>
      <c r="FG133" s="136"/>
      <c r="FH133" s="136"/>
      <c r="FI133" s="136"/>
      <c r="FJ133" s="136"/>
      <c r="FK133" s="136"/>
      <c r="FL133" s="136"/>
      <c r="FM133" s="136"/>
      <c r="FN133" s="136"/>
      <c r="FO133" s="136"/>
      <c r="FP133" s="136"/>
      <c r="FQ133" s="136"/>
      <c r="FR133" s="136"/>
      <c r="FS133" s="136"/>
      <c r="FT133" s="136"/>
      <c r="FU133" s="136"/>
      <c r="FV133" s="136"/>
      <c r="FW133" s="136"/>
      <c r="FX133" s="136"/>
      <c r="FY133" s="136"/>
      <c r="FZ133" s="136"/>
      <c r="GA133" s="136"/>
      <c r="GB133" s="136"/>
      <c r="GC133" s="136"/>
      <c r="GD133" s="136"/>
      <c r="GE133" s="136"/>
      <c r="GF133" s="136"/>
      <c r="GG133" s="136"/>
      <c r="GH133" s="136"/>
      <c r="GI133" s="136"/>
      <c r="GJ133" s="136"/>
      <c r="GK133" s="136"/>
      <c r="GL133" s="136"/>
      <c r="GM133" s="136"/>
      <c r="GN133" s="136"/>
      <c r="GO133" s="136"/>
      <c r="GP133" s="136"/>
      <c r="GQ133" s="136"/>
      <c r="GR133" s="136"/>
      <c r="GS133" s="136"/>
      <c r="GT133" s="136"/>
      <c r="GU133" s="136"/>
      <c r="GV133" s="136"/>
      <c r="GW133" s="136"/>
      <c r="GX133" s="136"/>
      <c r="GY133" s="136"/>
      <c r="GZ133" s="136"/>
      <c r="HA133" s="136"/>
      <c r="HB133" s="136"/>
      <c r="HC133" s="136"/>
      <c r="HD133" s="136"/>
      <c r="HE133" s="136"/>
      <c r="HF133" s="136"/>
      <c r="HG133" s="136"/>
      <c r="HH133" s="136"/>
      <c r="HI133" s="136"/>
      <c r="HJ133" s="136"/>
      <c r="HK133" s="136"/>
      <c r="HL133" s="136"/>
      <c r="HM133" s="136"/>
      <c r="HN133" s="136"/>
      <c r="HO133" s="136"/>
      <c r="HP133" s="136"/>
      <c r="HQ133" s="136"/>
      <c r="HR133" s="136"/>
      <c r="HS133" s="136"/>
      <c r="HT133" s="136"/>
      <c r="HU133" s="136"/>
      <c r="HV133" s="136"/>
      <c r="HW133" s="136"/>
      <c r="HX133" s="136"/>
      <c r="HY133" s="136"/>
      <c r="HZ133" s="136"/>
      <c r="IA133" s="136"/>
      <c r="IB133" s="136"/>
      <c r="IC133" s="136"/>
      <c r="ID133" s="136"/>
      <c r="IE133" s="136"/>
      <c r="IF133" s="136"/>
      <c r="IG133" s="136"/>
      <c r="IH133" s="136"/>
      <c r="II133" s="136"/>
      <c r="IJ133" s="136"/>
      <c r="IK133" s="136"/>
      <c r="IL133" s="136"/>
      <c r="IM133" s="136"/>
      <c r="IN133" s="136"/>
      <c r="IO133" s="136"/>
      <c r="IP133" s="136"/>
      <c r="IQ133" s="136"/>
      <c r="IR133" s="136"/>
      <c r="IS133" s="136"/>
      <c r="IT133" s="136"/>
      <c r="IU133" s="136"/>
      <c r="IV133" s="136"/>
      <c r="IW133" s="136"/>
      <c r="IX133" s="136"/>
      <c r="IY133" s="136"/>
      <c r="IZ133" s="136"/>
      <c r="JA133" s="136"/>
      <c r="JB133" s="136"/>
      <c r="JC133" s="136"/>
      <c r="JD133" s="136"/>
      <c r="JE133" s="136"/>
      <c r="JF133" s="136"/>
      <c r="JG133" s="136"/>
      <c r="JH133" s="136"/>
      <c r="JI133" s="136"/>
      <c r="JJ133" s="136"/>
      <c r="JK133" s="136"/>
      <c r="JL133" s="136"/>
      <c r="JM133" s="136"/>
      <c r="JN133" s="136"/>
      <c r="JO133" s="136"/>
      <c r="JP133" s="136"/>
      <c r="JQ133" s="136"/>
      <c r="JR133" s="136"/>
      <c r="JS133" s="136"/>
      <c r="JT133" s="136"/>
      <c r="JU133" s="136"/>
      <c r="JV133" s="136"/>
      <c r="JW133" s="136"/>
      <c r="JX133" s="136"/>
      <c r="JY133" s="136"/>
      <c r="JZ133" s="136"/>
      <c r="KA133" s="136"/>
      <c r="KB133" s="136"/>
      <c r="KC133" s="136"/>
      <c r="KD133" s="136"/>
      <c r="KE133" s="136"/>
      <c r="KF133" s="136"/>
      <c r="KG133" s="136"/>
      <c r="KH133" s="136"/>
      <c r="KI133" s="136"/>
      <c r="KJ133" s="136"/>
      <c r="KK133" s="136"/>
      <c r="KL133" s="136"/>
      <c r="KM133" s="136"/>
      <c r="KN133" s="136"/>
      <c r="KO133" s="136"/>
      <c r="KP133" s="136"/>
      <c r="KQ133" s="136"/>
      <c r="KR133" s="136"/>
      <c r="KS133" s="136"/>
      <c r="KT133" s="136"/>
      <c r="KU133" s="136"/>
      <c r="KV133" s="136"/>
      <c r="KW133" s="136"/>
      <c r="KX133" s="136"/>
      <c r="KY133" s="136"/>
      <c r="KZ133" s="136"/>
      <c r="LA133" s="136"/>
      <c r="LB133" s="136"/>
      <c r="LC133" s="136"/>
      <c r="LD133" s="136"/>
      <c r="LE133" s="136"/>
      <c r="LF133" s="136"/>
      <c r="LG133" s="136"/>
      <c r="LH133" s="136"/>
      <c r="LI133" s="136"/>
      <c r="LJ133" s="136"/>
      <c r="LK133" s="136"/>
      <c r="LL133" s="136"/>
      <c r="LM133" s="136"/>
      <c r="LN133" s="136"/>
      <c r="LO133" s="136"/>
      <c r="LP133" s="136"/>
      <c r="LQ133" s="136"/>
      <c r="LR133" s="136"/>
      <c r="LS133" s="136"/>
      <c r="LT133" s="136"/>
      <c r="LU133" s="136"/>
      <c r="LV133" s="136"/>
      <c r="LW133" s="136"/>
      <c r="LX133" s="136"/>
      <c r="LY133" s="136"/>
      <c r="LZ133" s="136"/>
      <c r="MA133" s="136"/>
      <c r="MB133" s="136"/>
      <c r="MC133" s="136"/>
      <c r="MD133" s="136"/>
      <c r="ME133" s="136"/>
      <c r="MF133" s="136"/>
      <c r="MG133" s="136"/>
      <c r="MH133" s="136"/>
      <c r="MI133" s="136"/>
      <c r="MJ133" s="136"/>
      <c r="MK133" s="136"/>
      <c r="ML133" s="136"/>
      <c r="MM133" s="136"/>
      <c r="MN133" s="136"/>
      <c r="MO133" s="136"/>
      <c r="MP133" s="136"/>
      <c r="MQ133" s="136"/>
      <c r="MR133" s="136"/>
      <c r="MS133" s="136"/>
      <c r="MT133" s="136"/>
      <c r="MU133" s="136"/>
      <c r="MV133" s="136"/>
      <c r="MW133" s="136"/>
      <c r="MX133" s="136"/>
      <c r="MY133" s="136"/>
      <c r="MZ133" s="136"/>
      <c r="NA133" s="136"/>
      <c r="NB133" s="136"/>
      <c r="NC133" s="136"/>
      <c r="ND133" s="136"/>
      <c r="NE133" s="136"/>
      <c r="NF133" s="136"/>
      <c r="NG133" s="136"/>
      <c r="NH133" s="136"/>
      <c r="NI133" s="136"/>
      <c r="NJ133" s="136"/>
      <c r="NK133" s="136"/>
      <c r="NL133" s="136"/>
      <c r="NM133" s="136"/>
      <c r="NN133" s="136"/>
      <c r="NO133" s="136"/>
      <c r="NP133" s="136"/>
      <c r="NQ133" s="136"/>
      <c r="NR133" s="136"/>
      <c r="NS133" s="136"/>
      <c r="NT133" s="136"/>
      <c r="NU133" s="136"/>
      <c r="NV133" s="136"/>
      <c r="NW133" s="136"/>
      <c r="NX133" s="136"/>
      <c r="NY133" s="136"/>
      <c r="NZ133" s="136"/>
      <c r="OA133" s="136"/>
      <c r="OB133" s="136"/>
      <c r="OC133" s="136"/>
      <c r="OD133" s="136"/>
      <c r="OE133" s="136"/>
      <c r="OF133" s="136"/>
      <c r="OG133" s="136"/>
      <c r="OH133" s="136"/>
      <c r="OI133" s="136"/>
      <c r="OJ133" s="136"/>
      <c r="OK133" s="136"/>
      <c r="OL133" s="136"/>
      <c r="OM133" s="136"/>
      <c r="ON133" s="136"/>
      <c r="OO133" s="136"/>
      <c r="OP133" s="136"/>
      <c r="OQ133" s="136"/>
      <c r="OR133" s="136"/>
      <c r="OS133" s="136"/>
      <c r="OT133" s="136"/>
      <c r="OU133" s="136"/>
      <c r="OV133" s="136"/>
      <c r="OW133" s="136"/>
      <c r="OX133" s="136"/>
      <c r="OY133" s="136"/>
      <c r="OZ133" s="136"/>
      <c r="PA133" s="136"/>
      <c r="PB133" s="136"/>
      <c r="PC133" s="136"/>
      <c r="PD133" s="136"/>
      <c r="PE133" s="136"/>
      <c r="PF133" s="136"/>
      <c r="PG133" s="136"/>
      <c r="PH133" s="136"/>
      <c r="PI133" s="136"/>
      <c r="PJ133" s="136"/>
      <c r="PK133" s="136"/>
      <c r="PL133" s="136"/>
      <c r="PM133" s="136"/>
      <c r="PN133" s="136"/>
      <c r="PO133" s="136"/>
      <c r="PP133" s="136"/>
      <c r="PQ133" s="136"/>
      <c r="PR133" s="136"/>
      <c r="PS133" s="136"/>
      <c r="PT133" s="136"/>
      <c r="PU133" s="136"/>
      <c r="PV133" s="136"/>
      <c r="PW133" s="136"/>
      <c r="PX133" s="136"/>
      <c r="PY133" s="136"/>
      <c r="PZ133" s="136"/>
      <c r="QA133" s="136"/>
      <c r="QB133" s="136"/>
      <c r="QC133" s="136"/>
      <c r="QD133" s="136"/>
      <c r="QE133" s="136"/>
      <c r="QF133" s="136"/>
      <c r="QG133" s="136"/>
      <c r="QH133" s="136"/>
      <c r="QI133" s="136"/>
      <c r="QJ133" s="136"/>
      <c r="QK133" s="136"/>
      <c r="QL133" s="136"/>
      <c r="QM133" s="136"/>
      <c r="QN133" s="136"/>
      <c r="QO133" s="136"/>
      <c r="QP133" s="136"/>
      <c r="QQ133" s="136"/>
      <c r="QR133" s="136"/>
      <c r="QS133" s="136"/>
      <c r="QT133" s="136"/>
      <c r="QU133" s="136"/>
      <c r="QV133" s="136"/>
      <c r="QW133" s="136"/>
      <c r="QX133" s="136"/>
      <c r="QY133" s="136"/>
      <c r="QZ133" s="136"/>
      <c r="RA133" s="136"/>
      <c r="RB133" s="136"/>
      <c r="RC133" s="136"/>
      <c r="RD133" s="136"/>
      <c r="RE133" s="136"/>
      <c r="RF133" s="136"/>
      <c r="RG133" s="136"/>
      <c r="RH133" s="136"/>
      <c r="RI133" s="136"/>
      <c r="RJ133" s="136"/>
      <c r="RK133" s="136"/>
      <c r="RL133" s="136"/>
      <c r="RM133" s="136"/>
      <c r="RN133" s="136"/>
      <c r="RO133" s="136"/>
      <c r="RP133" s="136"/>
      <c r="RQ133" s="136"/>
      <c r="RR133" s="136"/>
      <c r="RS133" s="136"/>
      <c r="RT133" s="136"/>
      <c r="RU133" s="136"/>
      <c r="RV133" s="136"/>
      <c r="RW133" s="136"/>
      <c r="RX133" s="136"/>
      <c r="RY133" s="136"/>
      <c r="RZ133" s="136"/>
      <c r="SA133" s="136"/>
      <c r="SB133" s="136"/>
      <c r="SC133" s="136"/>
      <c r="SD133" s="136"/>
      <c r="SE133" s="136"/>
      <c r="SF133" s="136"/>
      <c r="SG133" s="136"/>
      <c r="SH133" s="136"/>
      <c r="SI133" s="136"/>
      <c r="SJ133" s="136"/>
      <c r="SK133" s="136"/>
      <c r="SL133" s="136"/>
      <c r="SM133" s="136"/>
      <c r="SN133" s="136"/>
      <c r="SO133" s="136"/>
      <c r="SP133" s="136"/>
      <c r="SQ133" s="136"/>
      <c r="SR133" s="136"/>
      <c r="SS133" s="136"/>
    </row>
    <row r="134" spans="14:513" s="135" customFormat="1" ht="14.5" x14ac:dyDescent="0.35">
      <c r="N134" s="134"/>
      <c r="O134" s="134"/>
      <c r="P134" s="134"/>
      <c r="Q134" s="134"/>
      <c r="R134" s="134"/>
      <c r="S134" s="134"/>
      <c r="T134" s="134"/>
      <c r="U134" s="134"/>
      <c r="V134" s="134"/>
      <c r="W134" s="134"/>
      <c r="X134" s="134"/>
      <c r="Y134" s="134"/>
      <c r="Z134" s="134"/>
      <c r="AA134" s="134"/>
      <c r="AB134" s="134"/>
      <c r="AC134" s="134"/>
      <c r="AD134" s="134"/>
      <c r="AE134" s="134"/>
      <c r="AF134" s="134"/>
      <c r="DO134" s="136"/>
      <c r="DP134" s="136"/>
      <c r="DQ134" s="136"/>
      <c r="DR134" s="136"/>
      <c r="DS134" s="136"/>
      <c r="DT134" s="136"/>
      <c r="DU134" s="136"/>
      <c r="DV134" s="136"/>
      <c r="DW134" s="136"/>
      <c r="DX134" s="136"/>
      <c r="DY134" s="136"/>
      <c r="DZ134" s="136"/>
      <c r="EA134" s="136"/>
      <c r="EB134" s="136"/>
      <c r="EC134" s="136"/>
      <c r="ED134" s="136"/>
      <c r="EE134" s="136"/>
      <c r="EF134" s="136"/>
      <c r="EG134" s="136"/>
      <c r="EH134" s="136"/>
      <c r="EI134" s="136"/>
      <c r="EJ134" s="136"/>
      <c r="EK134" s="136"/>
      <c r="EL134" s="136"/>
      <c r="EM134" s="136"/>
      <c r="EN134" s="136"/>
      <c r="EO134" s="136"/>
      <c r="EP134" s="136"/>
      <c r="EQ134" s="136"/>
      <c r="ER134" s="136"/>
      <c r="ES134" s="136"/>
      <c r="ET134" s="136"/>
      <c r="EU134" s="136"/>
      <c r="EV134" s="136"/>
      <c r="EW134" s="136"/>
      <c r="EX134" s="136"/>
      <c r="EY134" s="136"/>
      <c r="EZ134" s="136"/>
      <c r="FA134" s="136"/>
      <c r="FB134" s="136"/>
      <c r="FC134" s="136"/>
      <c r="FD134" s="136"/>
      <c r="FE134" s="136"/>
      <c r="FF134" s="136"/>
      <c r="FG134" s="136"/>
      <c r="FH134" s="136"/>
      <c r="FI134" s="136"/>
      <c r="FJ134" s="136"/>
      <c r="FK134" s="136"/>
      <c r="FL134" s="136"/>
      <c r="FM134" s="136"/>
      <c r="FN134" s="136"/>
      <c r="FO134" s="136"/>
      <c r="FP134" s="136"/>
      <c r="FQ134" s="136"/>
      <c r="FR134" s="136"/>
      <c r="FS134" s="136"/>
      <c r="FT134" s="136"/>
      <c r="FU134" s="136"/>
      <c r="FV134" s="136"/>
      <c r="FW134" s="136"/>
      <c r="FX134" s="136"/>
      <c r="FY134" s="136"/>
      <c r="FZ134" s="136"/>
      <c r="GA134" s="136"/>
      <c r="GB134" s="136"/>
      <c r="GC134" s="136"/>
      <c r="GD134" s="136"/>
      <c r="GE134" s="136"/>
      <c r="GF134" s="136"/>
      <c r="GG134" s="136"/>
      <c r="GH134" s="136"/>
      <c r="GI134" s="136"/>
      <c r="GJ134" s="136"/>
      <c r="GK134" s="136"/>
      <c r="GL134" s="136"/>
      <c r="GM134" s="136"/>
      <c r="GN134" s="136"/>
      <c r="GO134" s="136"/>
      <c r="GP134" s="136"/>
      <c r="GQ134" s="136"/>
      <c r="GR134" s="136"/>
      <c r="GS134" s="136"/>
      <c r="GT134" s="136"/>
      <c r="GU134" s="136"/>
      <c r="GV134" s="136"/>
      <c r="GW134" s="136"/>
      <c r="GX134" s="136"/>
      <c r="GY134" s="136"/>
      <c r="GZ134" s="136"/>
      <c r="HA134" s="136"/>
      <c r="HB134" s="136"/>
      <c r="HC134" s="136"/>
      <c r="HD134" s="136"/>
      <c r="HE134" s="136"/>
      <c r="HF134" s="136"/>
      <c r="HG134" s="136"/>
      <c r="HH134" s="136"/>
      <c r="HI134" s="136"/>
      <c r="HJ134" s="136"/>
      <c r="HK134" s="136"/>
      <c r="HL134" s="136"/>
      <c r="HM134" s="136"/>
      <c r="HN134" s="136"/>
      <c r="HO134" s="136"/>
      <c r="HP134" s="136"/>
      <c r="HQ134" s="136"/>
      <c r="HR134" s="136"/>
      <c r="HS134" s="136"/>
      <c r="HT134" s="136"/>
      <c r="HU134" s="136"/>
      <c r="HV134" s="136"/>
      <c r="HW134" s="136"/>
      <c r="HX134" s="136"/>
      <c r="HY134" s="136"/>
      <c r="HZ134" s="136"/>
      <c r="IA134" s="136"/>
      <c r="IB134" s="136"/>
      <c r="IC134" s="136"/>
      <c r="ID134" s="136"/>
      <c r="IE134" s="136"/>
      <c r="IF134" s="136"/>
      <c r="IG134" s="136"/>
      <c r="IH134" s="136"/>
      <c r="II134" s="136"/>
      <c r="IJ134" s="136"/>
      <c r="IK134" s="136"/>
      <c r="IL134" s="136"/>
      <c r="IM134" s="136"/>
      <c r="IN134" s="136"/>
      <c r="IO134" s="136"/>
      <c r="IP134" s="136"/>
      <c r="IQ134" s="136"/>
      <c r="IR134" s="136"/>
      <c r="IS134" s="136"/>
      <c r="IT134" s="136"/>
      <c r="IU134" s="136"/>
      <c r="IV134" s="136"/>
      <c r="IW134" s="136"/>
      <c r="IX134" s="136"/>
      <c r="IY134" s="136"/>
      <c r="IZ134" s="136"/>
      <c r="JA134" s="136"/>
      <c r="JB134" s="136"/>
      <c r="JC134" s="136"/>
      <c r="JD134" s="136"/>
      <c r="JE134" s="136"/>
      <c r="JF134" s="136"/>
      <c r="JG134" s="136"/>
      <c r="JH134" s="136"/>
      <c r="JI134" s="136"/>
      <c r="JJ134" s="136"/>
      <c r="JK134" s="136"/>
      <c r="JL134" s="136"/>
      <c r="JM134" s="136"/>
      <c r="JN134" s="136"/>
      <c r="JO134" s="136"/>
      <c r="JP134" s="136"/>
      <c r="JQ134" s="136"/>
      <c r="JR134" s="136"/>
      <c r="JS134" s="136"/>
      <c r="JT134" s="136"/>
      <c r="JU134" s="136"/>
      <c r="JV134" s="136"/>
      <c r="JW134" s="136"/>
      <c r="JX134" s="136"/>
      <c r="JY134" s="136"/>
      <c r="JZ134" s="136"/>
      <c r="KA134" s="136"/>
      <c r="KB134" s="136"/>
      <c r="KC134" s="136"/>
      <c r="KD134" s="136"/>
      <c r="KE134" s="136"/>
      <c r="KF134" s="136"/>
      <c r="KG134" s="136"/>
      <c r="KH134" s="136"/>
      <c r="KI134" s="136"/>
      <c r="KJ134" s="136"/>
      <c r="KK134" s="136"/>
      <c r="KL134" s="136"/>
      <c r="KM134" s="136"/>
      <c r="KN134" s="136"/>
      <c r="KO134" s="136"/>
      <c r="KP134" s="136"/>
      <c r="KQ134" s="136"/>
      <c r="KR134" s="136"/>
      <c r="KS134" s="136"/>
      <c r="KT134" s="136"/>
      <c r="KU134" s="136"/>
      <c r="KV134" s="136"/>
      <c r="KW134" s="136"/>
      <c r="KX134" s="136"/>
      <c r="KY134" s="136"/>
      <c r="KZ134" s="136"/>
      <c r="LA134" s="136"/>
      <c r="LB134" s="136"/>
      <c r="LC134" s="136"/>
      <c r="LD134" s="136"/>
      <c r="LE134" s="136"/>
      <c r="LF134" s="136"/>
      <c r="LG134" s="136"/>
      <c r="LH134" s="136"/>
      <c r="LI134" s="136"/>
      <c r="LJ134" s="136"/>
      <c r="LK134" s="136"/>
      <c r="LL134" s="136"/>
      <c r="LM134" s="136"/>
      <c r="LN134" s="136"/>
      <c r="LO134" s="136"/>
      <c r="LP134" s="136"/>
      <c r="LQ134" s="136"/>
      <c r="LR134" s="136"/>
      <c r="LS134" s="136"/>
      <c r="LT134" s="136"/>
      <c r="LU134" s="136"/>
      <c r="LV134" s="136"/>
      <c r="LW134" s="136"/>
      <c r="LX134" s="136"/>
      <c r="LY134" s="136"/>
      <c r="LZ134" s="136"/>
      <c r="MA134" s="136"/>
      <c r="MB134" s="136"/>
      <c r="MC134" s="136"/>
      <c r="MD134" s="136"/>
      <c r="ME134" s="136"/>
      <c r="MF134" s="136"/>
      <c r="MG134" s="136"/>
      <c r="MH134" s="136"/>
      <c r="MI134" s="136"/>
      <c r="MJ134" s="136"/>
      <c r="MK134" s="136"/>
      <c r="ML134" s="136"/>
      <c r="MM134" s="136"/>
      <c r="MN134" s="136"/>
      <c r="MO134" s="136"/>
      <c r="MP134" s="136"/>
      <c r="MQ134" s="136"/>
      <c r="MR134" s="136"/>
      <c r="MS134" s="136"/>
      <c r="MT134" s="136"/>
      <c r="MU134" s="136"/>
      <c r="MV134" s="136"/>
      <c r="MW134" s="136"/>
      <c r="MX134" s="136"/>
      <c r="MY134" s="136"/>
      <c r="MZ134" s="136"/>
      <c r="NA134" s="136"/>
      <c r="NB134" s="136"/>
      <c r="NC134" s="136"/>
      <c r="ND134" s="136"/>
      <c r="NE134" s="136"/>
      <c r="NF134" s="136"/>
      <c r="NG134" s="136"/>
      <c r="NH134" s="136"/>
      <c r="NI134" s="136"/>
      <c r="NJ134" s="136"/>
      <c r="NK134" s="136"/>
      <c r="NL134" s="136"/>
      <c r="NM134" s="136"/>
      <c r="NN134" s="136"/>
      <c r="NO134" s="136"/>
      <c r="NP134" s="136"/>
      <c r="NQ134" s="136"/>
      <c r="NR134" s="136"/>
      <c r="NS134" s="136"/>
      <c r="NT134" s="136"/>
      <c r="NU134" s="136"/>
      <c r="NV134" s="136"/>
      <c r="NW134" s="136"/>
      <c r="NX134" s="136"/>
      <c r="NY134" s="136"/>
      <c r="NZ134" s="136"/>
      <c r="OA134" s="136"/>
      <c r="OB134" s="136"/>
      <c r="OC134" s="136"/>
      <c r="OD134" s="136"/>
      <c r="OE134" s="136"/>
      <c r="OF134" s="136"/>
      <c r="OG134" s="136"/>
      <c r="OH134" s="136"/>
      <c r="OI134" s="136"/>
      <c r="OJ134" s="136"/>
      <c r="OK134" s="136"/>
      <c r="OL134" s="136"/>
      <c r="OM134" s="136"/>
      <c r="ON134" s="136"/>
      <c r="OO134" s="136"/>
      <c r="OP134" s="136"/>
      <c r="OQ134" s="136"/>
      <c r="OR134" s="136"/>
      <c r="OS134" s="136"/>
      <c r="OT134" s="136"/>
      <c r="OU134" s="136"/>
      <c r="OV134" s="136"/>
      <c r="OW134" s="136"/>
      <c r="OX134" s="136"/>
      <c r="OY134" s="136"/>
      <c r="OZ134" s="136"/>
      <c r="PA134" s="136"/>
      <c r="PB134" s="136"/>
      <c r="PC134" s="136"/>
      <c r="PD134" s="136"/>
      <c r="PE134" s="136"/>
      <c r="PF134" s="136"/>
      <c r="PG134" s="136"/>
      <c r="PH134" s="136"/>
      <c r="PI134" s="136"/>
      <c r="PJ134" s="136"/>
      <c r="PK134" s="136"/>
      <c r="PL134" s="136"/>
      <c r="PM134" s="136"/>
      <c r="PN134" s="136"/>
      <c r="PO134" s="136"/>
      <c r="PP134" s="136"/>
      <c r="PQ134" s="136"/>
      <c r="PR134" s="136"/>
      <c r="PS134" s="136"/>
      <c r="PT134" s="136"/>
      <c r="PU134" s="136"/>
      <c r="PV134" s="136"/>
      <c r="PW134" s="136"/>
      <c r="PX134" s="136"/>
      <c r="PY134" s="136"/>
      <c r="PZ134" s="136"/>
      <c r="QA134" s="136"/>
      <c r="QB134" s="136"/>
      <c r="QC134" s="136"/>
      <c r="QD134" s="136"/>
      <c r="QE134" s="136"/>
      <c r="QF134" s="136"/>
      <c r="QG134" s="136"/>
      <c r="QH134" s="136"/>
      <c r="QI134" s="136"/>
      <c r="QJ134" s="136"/>
      <c r="QK134" s="136"/>
      <c r="QL134" s="136"/>
      <c r="QM134" s="136"/>
      <c r="QN134" s="136"/>
      <c r="QO134" s="136"/>
      <c r="QP134" s="136"/>
      <c r="QQ134" s="136"/>
      <c r="QR134" s="136"/>
      <c r="QS134" s="136"/>
      <c r="QT134" s="136"/>
      <c r="QU134" s="136"/>
      <c r="QV134" s="136"/>
      <c r="QW134" s="136"/>
      <c r="QX134" s="136"/>
      <c r="QY134" s="136"/>
      <c r="QZ134" s="136"/>
      <c r="RA134" s="136"/>
      <c r="RB134" s="136"/>
      <c r="RC134" s="136"/>
      <c r="RD134" s="136"/>
      <c r="RE134" s="136"/>
      <c r="RF134" s="136"/>
      <c r="RG134" s="136"/>
      <c r="RH134" s="136"/>
      <c r="RI134" s="136"/>
      <c r="RJ134" s="136"/>
      <c r="RK134" s="136"/>
      <c r="RL134" s="136"/>
      <c r="RM134" s="136"/>
      <c r="RN134" s="136"/>
      <c r="RO134" s="136"/>
      <c r="RP134" s="136"/>
      <c r="RQ134" s="136"/>
      <c r="RR134" s="136"/>
      <c r="RS134" s="136"/>
      <c r="RT134" s="136"/>
      <c r="RU134" s="136"/>
      <c r="RV134" s="136"/>
      <c r="RW134" s="136"/>
      <c r="RX134" s="136"/>
      <c r="RY134" s="136"/>
      <c r="RZ134" s="136"/>
      <c r="SA134" s="136"/>
      <c r="SB134" s="136"/>
      <c r="SC134" s="136"/>
      <c r="SD134" s="136"/>
      <c r="SE134" s="136"/>
      <c r="SF134" s="136"/>
      <c r="SG134" s="136"/>
      <c r="SH134" s="136"/>
      <c r="SI134" s="136"/>
      <c r="SJ134" s="136"/>
      <c r="SK134" s="136"/>
      <c r="SL134" s="136"/>
      <c r="SM134" s="136"/>
      <c r="SN134" s="136"/>
      <c r="SO134" s="136"/>
      <c r="SP134" s="136"/>
      <c r="SQ134" s="136"/>
      <c r="SR134" s="136"/>
      <c r="SS134" s="136"/>
    </row>
    <row r="135" spans="14:513" s="135" customFormat="1" ht="14.5" x14ac:dyDescent="0.35">
      <c r="N135" s="134"/>
      <c r="O135" s="134"/>
      <c r="P135" s="134"/>
      <c r="Q135" s="134"/>
      <c r="R135" s="134"/>
      <c r="S135" s="134"/>
      <c r="T135" s="134"/>
      <c r="U135" s="134"/>
      <c r="V135" s="134"/>
      <c r="W135" s="134"/>
      <c r="X135" s="134"/>
      <c r="Y135" s="134"/>
      <c r="Z135" s="134"/>
      <c r="AA135" s="134"/>
      <c r="AB135" s="134"/>
      <c r="AC135" s="134"/>
      <c r="AD135" s="134"/>
      <c r="AE135" s="134"/>
      <c r="AF135" s="134"/>
      <c r="DO135" s="136"/>
      <c r="DP135" s="136"/>
      <c r="DQ135" s="136"/>
      <c r="DR135" s="136"/>
      <c r="DS135" s="136"/>
      <c r="DT135" s="136"/>
      <c r="DU135" s="136"/>
      <c r="DV135" s="136"/>
      <c r="DW135" s="136"/>
      <c r="DX135" s="136"/>
      <c r="DY135" s="136"/>
      <c r="DZ135" s="136"/>
      <c r="EA135" s="136"/>
      <c r="EB135" s="136"/>
      <c r="EC135" s="136"/>
      <c r="ED135" s="136"/>
      <c r="EE135" s="136"/>
      <c r="EF135" s="136"/>
      <c r="EG135" s="136"/>
      <c r="EH135" s="136"/>
      <c r="EI135" s="136"/>
      <c r="EJ135" s="136"/>
      <c r="EK135" s="136"/>
      <c r="EL135" s="136"/>
      <c r="EM135" s="136"/>
      <c r="EN135" s="136"/>
      <c r="EO135" s="136"/>
      <c r="EP135" s="136"/>
      <c r="EQ135" s="136"/>
      <c r="ER135" s="136"/>
      <c r="ES135" s="136"/>
      <c r="ET135" s="136"/>
      <c r="EU135" s="136"/>
      <c r="EV135" s="136"/>
      <c r="EW135" s="136"/>
      <c r="EX135" s="136"/>
      <c r="EY135" s="136"/>
      <c r="EZ135" s="136"/>
      <c r="FA135" s="136"/>
      <c r="FB135" s="136"/>
      <c r="FC135" s="136"/>
      <c r="FD135" s="136"/>
      <c r="FE135" s="136"/>
      <c r="FF135" s="136"/>
      <c r="FG135" s="136"/>
      <c r="FH135" s="136"/>
      <c r="FI135" s="136"/>
      <c r="FJ135" s="136"/>
      <c r="FK135" s="136"/>
      <c r="FL135" s="136"/>
      <c r="FM135" s="136"/>
      <c r="FN135" s="136"/>
      <c r="FO135" s="136"/>
      <c r="FP135" s="136"/>
      <c r="FQ135" s="136"/>
      <c r="FR135" s="136"/>
      <c r="FS135" s="136"/>
      <c r="FT135" s="136"/>
      <c r="FU135" s="136"/>
      <c r="FV135" s="136"/>
      <c r="FW135" s="136"/>
      <c r="FX135" s="136"/>
      <c r="FY135" s="136"/>
      <c r="FZ135" s="136"/>
      <c r="GA135" s="136"/>
      <c r="GB135" s="136"/>
      <c r="GC135" s="136"/>
      <c r="GD135" s="136"/>
      <c r="GE135" s="136"/>
      <c r="GF135" s="136"/>
      <c r="GG135" s="136"/>
      <c r="GH135" s="136"/>
      <c r="GI135" s="136"/>
      <c r="GJ135" s="136"/>
      <c r="GK135" s="136"/>
      <c r="GL135" s="136"/>
      <c r="GM135" s="136"/>
      <c r="GN135" s="136"/>
      <c r="GO135" s="136"/>
      <c r="GP135" s="136"/>
      <c r="GQ135" s="136"/>
      <c r="GR135" s="136"/>
      <c r="GS135" s="136"/>
      <c r="GT135" s="136"/>
      <c r="GU135" s="136"/>
      <c r="GV135" s="136"/>
      <c r="GW135" s="136"/>
      <c r="GX135" s="136"/>
      <c r="GY135" s="136"/>
      <c r="GZ135" s="136"/>
      <c r="HA135" s="136"/>
      <c r="HB135" s="136"/>
      <c r="HC135" s="136"/>
      <c r="HD135" s="136"/>
      <c r="HE135" s="136"/>
      <c r="HF135" s="136"/>
      <c r="HG135" s="136"/>
      <c r="HH135" s="136"/>
      <c r="HI135" s="136"/>
      <c r="HJ135" s="136"/>
      <c r="HK135" s="136"/>
      <c r="HL135" s="136"/>
      <c r="HM135" s="136"/>
      <c r="HN135" s="136"/>
      <c r="HO135" s="136"/>
      <c r="HP135" s="136"/>
      <c r="HQ135" s="136"/>
      <c r="HR135" s="136"/>
      <c r="HS135" s="136"/>
      <c r="HT135" s="136"/>
      <c r="HU135" s="136"/>
      <c r="HV135" s="136"/>
      <c r="HW135" s="136"/>
      <c r="HX135" s="136"/>
      <c r="HY135" s="136"/>
      <c r="HZ135" s="136"/>
      <c r="IA135" s="136"/>
      <c r="IB135" s="136"/>
      <c r="IC135" s="136"/>
      <c r="ID135" s="136"/>
      <c r="IE135" s="136"/>
      <c r="IF135" s="136"/>
      <c r="IG135" s="136"/>
      <c r="IH135" s="136"/>
      <c r="II135" s="136"/>
      <c r="IJ135" s="136"/>
      <c r="IK135" s="136"/>
      <c r="IL135" s="136"/>
      <c r="IM135" s="136"/>
      <c r="IN135" s="136"/>
      <c r="IO135" s="136"/>
      <c r="IP135" s="136"/>
      <c r="IQ135" s="136"/>
      <c r="IR135" s="136"/>
      <c r="IS135" s="136"/>
      <c r="IT135" s="136"/>
      <c r="IU135" s="136"/>
      <c r="IV135" s="136"/>
      <c r="IW135" s="136"/>
      <c r="IX135" s="136"/>
      <c r="IY135" s="136"/>
      <c r="IZ135" s="136"/>
      <c r="JA135" s="136"/>
      <c r="JB135" s="136"/>
      <c r="JC135" s="136"/>
      <c r="JD135" s="136"/>
      <c r="JE135" s="136"/>
      <c r="JF135" s="136"/>
      <c r="JG135" s="136"/>
      <c r="JH135" s="136"/>
      <c r="JI135" s="136"/>
      <c r="JJ135" s="136"/>
      <c r="JK135" s="136"/>
      <c r="JL135" s="136"/>
      <c r="JM135" s="136"/>
      <c r="JN135" s="136"/>
      <c r="JO135" s="136"/>
      <c r="JP135" s="136"/>
      <c r="JQ135" s="136"/>
      <c r="JR135" s="136"/>
      <c r="JS135" s="136"/>
      <c r="JT135" s="136"/>
      <c r="JU135" s="136"/>
      <c r="JV135" s="136"/>
      <c r="JW135" s="136"/>
      <c r="JX135" s="136"/>
      <c r="JY135" s="136"/>
      <c r="JZ135" s="136"/>
      <c r="KA135" s="136"/>
      <c r="KB135" s="136"/>
      <c r="KC135" s="136"/>
      <c r="KD135" s="136"/>
      <c r="KE135" s="136"/>
      <c r="KF135" s="136"/>
      <c r="KG135" s="136"/>
      <c r="KH135" s="136"/>
      <c r="KI135" s="136"/>
      <c r="KJ135" s="136"/>
      <c r="KK135" s="136"/>
      <c r="KL135" s="136"/>
      <c r="KM135" s="136"/>
      <c r="KN135" s="136"/>
      <c r="KO135" s="136"/>
      <c r="KP135" s="136"/>
      <c r="KQ135" s="136"/>
      <c r="KR135" s="136"/>
      <c r="KS135" s="136"/>
      <c r="KT135" s="136"/>
      <c r="KU135" s="136"/>
      <c r="KV135" s="136"/>
      <c r="KW135" s="136"/>
      <c r="KX135" s="136"/>
      <c r="KY135" s="136"/>
      <c r="KZ135" s="136"/>
      <c r="LA135" s="136"/>
      <c r="LB135" s="136"/>
      <c r="LC135" s="136"/>
      <c r="LD135" s="136"/>
      <c r="LE135" s="136"/>
      <c r="LF135" s="136"/>
      <c r="LG135" s="136"/>
      <c r="LH135" s="136"/>
      <c r="LI135" s="136"/>
      <c r="LJ135" s="136"/>
      <c r="LK135" s="136"/>
      <c r="LL135" s="136"/>
      <c r="LM135" s="136"/>
      <c r="LN135" s="136"/>
      <c r="LO135" s="136"/>
      <c r="LP135" s="136"/>
      <c r="LQ135" s="136"/>
      <c r="LR135" s="136"/>
      <c r="LS135" s="136"/>
      <c r="LT135" s="136"/>
      <c r="LU135" s="136"/>
      <c r="LV135" s="136"/>
      <c r="LW135" s="136"/>
      <c r="LX135" s="136"/>
      <c r="LY135" s="136"/>
      <c r="LZ135" s="136"/>
      <c r="MA135" s="136"/>
      <c r="MB135" s="136"/>
      <c r="MC135" s="136"/>
      <c r="MD135" s="136"/>
      <c r="ME135" s="136"/>
      <c r="MF135" s="136"/>
      <c r="MG135" s="136"/>
      <c r="MH135" s="136"/>
      <c r="MI135" s="136"/>
      <c r="MJ135" s="136"/>
      <c r="MK135" s="136"/>
      <c r="ML135" s="136"/>
      <c r="MM135" s="136"/>
      <c r="MN135" s="136"/>
      <c r="MO135" s="136"/>
      <c r="MP135" s="136"/>
      <c r="MQ135" s="136"/>
      <c r="MR135" s="136"/>
      <c r="MS135" s="136"/>
      <c r="MT135" s="136"/>
      <c r="MU135" s="136"/>
      <c r="MV135" s="136"/>
      <c r="MW135" s="136"/>
      <c r="MX135" s="136"/>
      <c r="MY135" s="136"/>
      <c r="MZ135" s="136"/>
      <c r="NA135" s="136"/>
      <c r="NB135" s="136"/>
      <c r="NC135" s="136"/>
      <c r="ND135" s="136"/>
      <c r="NE135" s="136"/>
      <c r="NF135" s="136"/>
      <c r="NG135" s="136"/>
      <c r="NH135" s="136"/>
      <c r="NI135" s="136"/>
      <c r="NJ135" s="136"/>
      <c r="NK135" s="136"/>
      <c r="NL135" s="136"/>
      <c r="NM135" s="136"/>
      <c r="NN135" s="136"/>
      <c r="NO135" s="136"/>
      <c r="NP135" s="136"/>
      <c r="NQ135" s="136"/>
      <c r="NR135" s="136"/>
      <c r="NS135" s="136"/>
      <c r="NT135" s="136"/>
      <c r="NU135" s="136"/>
      <c r="NV135" s="136"/>
      <c r="NW135" s="136"/>
      <c r="NX135" s="136"/>
      <c r="NY135" s="136"/>
      <c r="NZ135" s="136"/>
      <c r="OA135" s="136"/>
      <c r="OB135" s="136"/>
      <c r="OC135" s="136"/>
      <c r="OD135" s="136"/>
      <c r="OE135" s="136"/>
      <c r="OF135" s="136"/>
      <c r="OG135" s="136"/>
      <c r="OH135" s="136"/>
      <c r="OI135" s="136"/>
      <c r="OJ135" s="136"/>
      <c r="OK135" s="136"/>
      <c r="OL135" s="136"/>
      <c r="OM135" s="136"/>
      <c r="ON135" s="136"/>
      <c r="OO135" s="136"/>
      <c r="OP135" s="136"/>
      <c r="OQ135" s="136"/>
      <c r="OR135" s="136"/>
      <c r="OS135" s="136"/>
      <c r="OT135" s="136"/>
      <c r="OU135" s="136"/>
      <c r="OV135" s="136"/>
      <c r="OW135" s="136"/>
      <c r="OX135" s="136"/>
      <c r="OY135" s="136"/>
      <c r="OZ135" s="136"/>
      <c r="PA135" s="136"/>
      <c r="PB135" s="136"/>
      <c r="PC135" s="136"/>
      <c r="PD135" s="136"/>
      <c r="PE135" s="136"/>
      <c r="PF135" s="136"/>
      <c r="PG135" s="136"/>
      <c r="PH135" s="136"/>
      <c r="PI135" s="136"/>
      <c r="PJ135" s="136"/>
      <c r="PK135" s="136"/>
      <c r="PL135" s="136"/>
      <c r="PM135" s="136"/>
      <c r="PN135" s="136"/>
      <c r="PO135" s="136"/>
      <c r="PP135" s="136"/>
      <c r="PQ135" s="136"/>
      <c r="PR135" s="136"/>
      <c r="PS135" s="136"/>
      <c r="PT135" s="136"/>
      <c r="PU135" s="136"/>
      <c r="PV135" s="136"/>
      <c r="PW135" s="136"/>
      <c r="PX135" s="136"/>
      <c r="PY135" s="136"/>
      <c r="PZ135" s="136"/>
      <c r="QA135" s="136"/>
      <c r="QB135" s="136"/>
      <c r="QC135" s="136"/>
      <c r="QD135" s="136"/>
      <c r="QE135" s="136"/>
      <c r="QF135" s="136"/>
      <c r="QG135" s="136"/>
      <c r="QH135" s="136"/>
      <c r="QI135" s="136"/>
      <c r="QJ135" s="136"/>
      <c r="QK135" s="136"/>
      <c r="QL135" s="136"/>
      <c r="QM135" s="136"/>
      <c r="QN135" s="136"/>
      <c r="QO135" s="136"/>
      <c r="QP135" s="136"/>
      <c r="QQ135" s="136"/>
      <c r="QR135" s="136"/>
      <c r="QS135" s="136"/>
      <c r="QT135" s="136"/>
      <c r="QU135" s="136"/>
      <c r="QV135" s="136"/>
      <c r="QW135" s="136"/>
      <c r="QX135" s="136"/>
      <c r="QY135" s="136"/>
      <c r="QZ135" s="136"/>
      <c r="RA135" s="136"/>
      <c r="RB135" s="136"/>
      <c r="RC135" s="136"/>
      <c r="RD135" s="136"/>
      <c r="RE135" s="136"/>
      <c r="RF135" s="136"/>
      <c r="RG135" s="136"/>
      <c r="RH135" s="136"/>
      <c r="RI135" s="136"/>
      <c r="RJ135" s="136"/>
      <c r="RK135" s="136"/>
      <c r="RL135" s="136"/>
      <c r="RM135" s="136"/>
      <c r="RN135" s="136"/>
      <c r="RO135" s="136"/>
      <c r="RP135" s="136"/>
      <c r="RQ135" s="136"/>
      <c r="RR135" s="136"/>
      <c r="RS135" s="136"/>
      <c r="RT135" s="136"/>
      <c r="RU135" s="136"/>
      <c r="RV135" s="136"/>
      <c r="RW135" s="136"/>
      <c r="RX135" s="136"/>
      <c r="RY135" s="136"/>
      <c r="RZ135" s="136"/>
      <c r="SA135" s="136"/>
      <c r="SB135" s="136"/>
      <c r="SC135" s="136"/>
      <c r="SD135" s="136"/>
      <c r="SE135" s="136"/>
      <c r="SF135" s="136"/>
      <c r="SG135" s="136"/>
      <c r="SH135" s="136"/>
      <c r="SI135" s="136"/>
      <c r="SJ135" s="136"/>
      <c r="SK135" s="136"/>
      <c r="SL135" s="136"/>
      <c r="SM135" s="136"/>
      <c r="SN135" s="136"/>
      <c r="SO135" s="136"/>
      <c r="SP135" s="136"/>
      <c r="SQ135" s="136"/>
      <c r="SR135" s="136"/>
      <c r="SS135" s="136"/>
    </row>
    <row r="136" spans="14:513" s="135" customFormat="1" ht="14.5" x14ac:dyDescent="0.35">
      <c r="N136" s="134"/>
      <c r="O136" s="134"/>
      <c r="P136" s="134"/>
      <c r="Q136" s="134"/>
      <c r="R136" s="134"/>
      <c r="S136" s="134"/>
      <c r="T136" s="134"/>
      <c r="U136" s="134"/>
      <c r="V136" s="134"/>
      <c r="W136" s="134"/>
      <c r="X136" s="134"/>
      <c r="Y136" s="134"/>
      <c r="Z136" s="134"/>
      <c r="AA136" s="134"/>
      <c r="AB136" s="134"/>
      <c r="AC136" s="134"/>
      <c r="AD136" s="134"/>
      <c r="AE136" s="134"/>
      <c r="AF136" s="134"/>
      <c r="DO136" s="136"/>
      <c r="DP136" s="136"/>
      <c r="DQ136" s="136"/>
      <c r="DR136" s="136"/>
      <c r="DS136" s="136"/>
      <c r="DT136" s="136"/>
      <c r="DU136" s="136"/>
      <c r="DV136" s="136"/>
      <c r="DW136" s="136"/>
      <c r="DX136" s="136"/>
      <c r="DY136" s="136"/>
      <c r="DZ136" s="136"/>
      <c r="EA136" s="136"/>
      <c r="EB136" s="136"/>
      <c r="EC136" s="136"/>
      <c r="ED136" s="136"/>
      <c r="EE136" s="136"/>
      <c r="EF136" s="136"/>
      <c r="EG136" s="136"/>
      <c r="EH136" s="136"/>
      <c r="EI136" s="136"/>
      <c r="EJ136" s="136"/>
      <c r="EK136" s="136"/>
      <c r="EL136" s="136"/>
      <c r="EM136" s="136"/>
      <c r="EN136" s="136"/>
      <c r="EO136" s="136"/>
      <c r="EP136" s="136"/>
      <c r="EQ136" s="136"/>
      <c r="ER136" s="136"/>
      <c r="ES136" s="136"/>
      <c r="ET136" s="136"/>
      <c r="EU136" s="136"/>
      <c r="EV136" s="136"/>
      <c r="EW136" s="136"/>
      <c r="EX136" s="136"/>
      <c r="EY136" s="136"/>
      <c r="EZ136" s="136"/>
      <c r="FA136" s="136"/>
      <c r="FB136" s="136"/>
      <c r="FC136" s="136"/>
      <c r="FD136" s="136"/>
      <c r="FE136" s="136"/>
      <c r="FF136" s="136"/>
      <c r="FG136" s="136"/>
      <c r="FH136" s="136"/>
      <c r="FI136" s="136"/>
      <c r="FJ136" s="136"/>
      <c r="FK136" s="136"/>
      <c r="FL136" s="136"/>
      <c r="FM136" s="136"/>
      <c r="FN136" s="136"/>
      <c r="FO136" s="136"/>
      <c r="FP136" s="136"/>
      <c r="FQ136" s="136"/>
      <c r="FR136" s="136"/>
      <c r="FS136" s="136"/>
      <c r="FT136" s="136"/>
      <c r="FU136" s="136"/>
      <c r="FV136" s="136"/>
      <c r="FW136" s="136"/>
      <c r="FX136" s="136"/>
      <c r="FY136" s="136"/>
      <c r="FZ136" s="136"/>
      <c r="GA136" s="136"/>
      <c r="GB136" s="136"/>
      <c r="GC136" s="136"/>
      <c r="GD136" s="136"/>
      <c r="GE136" s="136"/>
      <c r="GF136" s="136"/>
      <c r="GG136" s="136"/>
      <c r="GH136" s="136"/>
      <c r="GI136" s="136"/>
      <c r="GJ136" s="136"/>
      <c r="GK136" s="136"/>
      <c r="GL136" s="136"/>
      <c r="GM136" s="136"/>
      <c r="GN136" s="136"/>
      <c r="GO136" s="136"/>
      <c r="GP136" s="136"/>
      <c r="GQ136" s="136"/>
      <c r="GR136" s="136"/>
      <c r="GS136" s="136"/>
      <c r="GT136" s="136"/>
      <c r="GU136" s="136"/>
      <c r="GV136" s="136"/>
      <c r="GW136" s="136"/>
      <c r="GX136" s="136"/>
      <c r="GY136" s="136"/>
      <c r="GZ136" s="136"/>
      <c r="HA136" s="136"/>
      <c r="HB136" s="136"/>
      <c r="HC136" s="136"/>
      <c r="HD136" s="136"/>
      <c r="HE136" s="136"/>
      <c r="HF136" s="136"/>
      <c r="HG136" s="136"/>
      <c r="HH136" s="136"/>
      <c r="HI136" s="136"/>
      <c r="HJ136" s="136"/>
      <c r="HK136" s="136"/>
      <c r="HL136" s="136"/>
      <c r="HM136" s="136"/>
      <c r="HN136" s="136"/>
      <c r="HO136" s="136"/>
      <c r="HP136" s="136"/>
      <c r="HQ136" s="136"/>
      <c r="HR136" s="136"/>
      <c r="HS136" s="136"/>
      <c r="HT136" s="136"/>
      <c r="HU136" s="136"/>
      <c r="HV136" s="136"/>
      <c r="HW136" s="136"/>
      <c r="HX136" s="136"/>
      <c r="HY136" s="136"/>
      <c r="HZ136" s="136"/>
      <c r="IA136" s="136"/>
      <c r="IB136" s="136"/>
      <c r="IC136" s="136"/>
      <c r="ID136" s="136"/>
      <c r="IE136" s="136"/>
      <c r="IF136" s="136"/>
      <c r="IG136" s="136"/>
      <c r="IH136" s="136"/>
      <c r="II136" s="136"/>
      <c r="IJ136" s="136"/>
      <c r="IK136" s="136"/>
      <c r="IL136" s="136"/>
      <c r="IM136" s="136"/>
      <c r="IN136" s="136"/>
      <c r="IO136" s="136"/>
      <c r="IP136" s="136"/>
      <c r="IQ136" s="136"/>
      <c r="IR136" s="136"/>
      <c r="IS136" s="136"/>
      <c r="IT136" s="136"/>
      <c r="IU136" s="136"/>
      <c r="IV136" s="136"/>
      <c r="IW136" s="136"/>
      <c r="IX136" s="136"/>
      <c r="IY136" s="136"/>
      <c r="IZ136" s="136"/>
      <c r="JA136" s="136"/>
      <c r="JB136" s="136"/>
      <c r="JC136" s="136"/>
      <c r="JD136" s="136"/>
      <c r="JE136" s="136"/>
      <c r="JF136" s="136"/>
      <c r="JG136" s="136"/>
      <c r="JH136" s="136"/>
      <c r="JI136" s="136"/>
      <c r="JJ136" s="136"/>
      <c r="JK136" s="136"/>
      <c r="JL136" s="136"/>
      <c r="JM136" s="136"/>
      <c r="JN136" s="136"/>
      <c r="JO136" s="136"/>
      <c r="JP136" s="136"/>
      <c r="JQ136" s="136"/>
      <c r="JR136" s="136"/>
      <c r="JS136" s="136"/>
      <c r="JT136" s="136"/>
      <c r="JU136" s="136"/>
      <c r="JV136" s="136"/>
      <c r="JW136" s="136"/>
      <c r="JX136" s="136"/>
      <c r="JY136" s="136"/>
      <c r="JZ136" s="136"/>
      <c r="KA136" s="136"/>
      <c r="KB136" s="136"/>
      <c r="KC136" s="136"/>
      <c r="KD136" s="136"/>
      <c r="KE136" s="136"/>
      <c r="KF136" s="136"/>
      <c r="KG136" s="136"/>
      <c r="KH136" s="136"/>
      <c r="KI136" s="136"/>
      <c r="KJ136" s="136"/>
      <c r="KK136" s="136"/>
      <c r="KL136" s="136"/>
      <c r="KM136" s="136"/>
      <c r="KN136" s="136"/>
      <c r="KO136" s="136"/>
      <c r="KP136" s="136"/>
      <c r="KQ136" s="136"/>
      <c r="KR136" s="136"/>
      <c r="KS136" s="136"/>
      <c r="KT136" s="136"/>
      <c r="KU136" s="136"/>
      <c r="KV136" s="136"/>
      <c r="KW136" s="136"/>
      <c r="KX136" s="136"/>
      <c r="KY136" s="136"/>
      <c r="KZ136" s="136"/>
      <c r="LA136" s="136"/>
      <c r="LB136" s="136"/>
      <c r="LC136" s="136"/>
      <c r="LD136" s="136"/>
      <c r="LE136" s="136"/>
      <c r="LF136" s="136"/>
      <c r="LG136" s="136"/>
      <c r="LH136" s="136"/>
      <c r="LI136" s="136"/>
      <c r="LJ136" s="136"/>
      <c r="LK136" s="136"/>
      <c r="LL136" s="136"/>
      <c r="LM136" s="136"/>
      <c r="LN136" s="136"/>
      <c r="LO136" s="136"/>
      <c r="LP136" s="136"/>
      <c r="LQ136" s="136"/>
      <c r="LR136" s="136"/>
      <c r="LS136" s="136"/>
      <c r="LT136" s="136"/>
      <c r="LU136" s="136"/>
      <c r="LV136" s="136"/>
      <c r="LW136" s="136"/>
      <c r="LX136" s="136"/>
      <c r="LY136" s="136"/>
      <c r="LZ136" s="136"/>
      <c r="MA136" s="136"/>
      <c r="MB136" s="136"/>
      <c r="MC136" s="136"/>
      <c r="MD136" s="136"/>
      <c r="ME136" s="136"/>
      <c r="MF136" s="136"/>
      <c r="MG136" s="136"/>
      <c r="MH136" s="136"/>
      <c r="MI136" s="136"/>
      <c r="MJ136" s="136"/>
      <c r="MK136" s="136"/>
      <c r="ML136" s="136"/>
      <c r="MM136" s="136"/>
      <c r="MN136" s="136"/>
      <c r="MO136" s="136"/>
      <c r="MP136" s="136"/>
      <c r="MQ136" s="136"/>
      <c r="MR136" s="136"/>
      <c r="MS136" s="136"/>
      <c r="MT136" s="136"/>
      <c r="MU136" s="136"/>
      <c r="MV136" s="136"/>
      <c r="MW136" s="136"/>
      <c r="MX136" s="136"/>
      <c r="MY136" s="136"/>
      <c r="MZ136" s="136"/>
      <c r="NA136" s="136"/>
      <c r="NB136" s="136"/>
      <c r="NC136" s="136"/>
      <c r="ND136" s="136"/>
      <c r="NE136" s="136"/>
      <c r="NF136" s="136"/>
      <c r="NG136" s="136"/>
      <c r="NH136" s="136"/>
      <c r="NI136" s="136"/>
      <c r="NJ136" s="136"/>
      <c r="NK136" s="136"/>
      <c r="NL136" s="136"/>
      <c r="NM136" s="136"/>
      <c r="NN136" s="136"/>
      <c r="NO136" s="136"/>
      <c r="NP136" s="136"/>
      <c r="NQ136" s="136"/>
      <c r="NR136" s="136"/>
      <c r="NS136" s="136"/>
      <c r="NT136" s="136"/>
      <c r="NU136" s="136"/>
      <c r="NV136" s="136"/>
      <c r="NW136" s="136"/>
      <c r="NX136" s="136"/>
      <c r="NY136" s="136"/>
      <c r="NZ136" s="136"/>
      <c r="OA136" s="136"/>
      <c r="OB136" s="136"/>
      <c r="OC136" s="136"/>
      <c r="OD136" s="136"/>
      <c r="OE136" s="136"/>
      <c r="OF136" s="136"/>
      <c r="OG136" s="136"/>
      <c r="OH136" s="136"/>
      <c r="OI136" s="136"/>
      <c r="OJ136" s="136"/>
      <c r="OK136" s="136"/>
      <c r="OL136" s="136"/>
      <c r="OM136" s="136"/>
      <c r="ON136" s="136"/>
      <c r="OO136" s="136"/>
      <c r="OP136" s="136"/>
      <c r="OQ136" s="136"/>
      <c r="OR136" s="136"/>
      <c r="OS136" s="136"/>
      <c r="OT136" s="136"/>
      <c r="OU136" s="136"/>
      <c r="OV136" s="136"/>
      <c r="OW136" s="136"/>
      <c r="OX136" s="136"/>
      <c r="OY136" s="136"/>
      <c r="OZ136" s="136"/>
      <c r="PA136" s="136"/>
      <c r="PB136" s="136"/>
      <c r="PC136" s="136"/>
      <c r="PD136" s="136"/>
      <c r="PE136" s="136"/>
      <c r="PF136" s="136"/>
      <c r="PG136" s="136"/>
      <c r="PH136" s="136"/>
      <c r="PI136" s="136"/>
      <c r="PJ136" s="136"/>
      <c r="PK136" s="136"/>
      <c r="PL136" s="136"/>
      <c r="PM136" s="136"/>
      <c r="PN136" s="136"/>
      <c r="PO136" s="136"/>
      <c r="PP136" s="136"/>
      <c r="PQ136" s="136"/>
      <c r="PR136" s="136"/>
      <c r="PS136" s="136"/>
      <c r="PT136" s="136"/>
      <c r="PU136" s="136"/>
      <c r="PV136" s="136"/>
      <c r="PW136" s="136"/>
      <c r="PX136" s="136"/>
      <c r="PY136" s="136"/>
      <c r="PZ136" s="136"/>
      <c r="QA136" s="136"/>
      <c r="QB136" s="136"/>
      <c r="QC136" s="136"/>
      <c r="QD136" s="136"/>
      <c r="QE136" s="136"/>
      <c r="QF136" s="136"/>
      <c r="QG136" s="136"/>
      <c r="QH136" s="136"/>
      <c r="QI136" s="136"/>
      <c r="QJ136" s="136"/>
      <c r="QK136" s="136"/>
      <c r="QL136" s="136"/>
      <c r="QM136" s="136"/>
      <c r="QN136" s="136"/>
      <c r="QO136" s="136"/>
      <c r="QP136" s="136"/>
      <c r="QQ136" s="136"/>
      <c r="QR136" s="136"/>
      <c r="QS136" s="136"/>
      <c r="QT136" s="136"/>
      <c r="QU136" s="136"/>
      <c r="QV136" s="136"/>
      <c r="QW136" s="136"/>
      <c r="QX136" s="136"/>
      <c r="QY136" s="136"/>
      <c r="QZ136" s="136"/>
      <c r="RA136" s="136"/>
      <c r="RB136" s="136"/>
      <c r="RC136" s="136"/>
      <c r="RD136" s="136"/>
      <c r="RE136" s="136"/>
      <c r="RF136" s="136"/>
      <c r="RG136" s="136"/>
      <c r="RH136" s="136"/>
      <c r="RI136" s="136"/>
      <c r="RJ136" s="136"/>
      <c r="RK136" s="136"/>
      <c r="RL136" s="136"/>
      <c r="RM136" s="136"/>
      <c r="RN136" s="136"/>
      <c r="RO136" s="136"/>
      <c r="RP136" s="136"/>
      <c r="RQ136" s="136"/>
      <c r="RR136" s="136"/>
      <c r="RS136" s="136"/>
      <c r="RT136" s="136"/>
      <c r="RU136" s="136"/>
      <c r="RV136" s="136"/>
      <c r="RW136" s="136"/>
      <c r="RX136" s="136"/>
      <c r="RY136" s="136"/>
      <c r="RZ136" s="136"/>
      <c r="SA136" s="136"/>
      <c r="SB136" s="136"/>
      <c r="SC136" s="136"/>
      <c r="SD136" s="136"/>
      <c r="SE136" s="136"/>
      <c r="SF136" s="136"/>
      <c r="SG136" s="136"/>
      <c r="SH136" s="136"/>
      <c r="SI136" s="136"/>
      <c r="SJ136" s="136"/>
      <c r="SK136" s="136"/>
      <c r="SL136" s="136"/>
      <c r="SM136" s="136"/>
      <c r="SN136" s="136"/>
      <c r="SO136" s="136"/>
      <c r="SP136" s="136"/>
      <c r="SQ136" s="136"/>
      <c r="SR136" s="136"/>
      <c r="SS136" s="136"/>
    </row>
    <row r="137" spans="14:513" s="135" customFormat="1" ht="14.5" x14ac:dyDescent="0.35">
      <c r="N137" s="134"/>
      <c r="O137" s="134"/>
      <c r="P137" s="134"/>
      <c r="Q137" s="134"/>
      <c r="R137" s="134"/>
      <c r="S137" s="134"/>
      <c r="T137" s="134"/>
      <c r="U137" s="134"/>
      <c r="V137" s="134"/>
      <c r="W137" s="134"/>
      <c r="X137" s="134"/>
      <c r="Y137" s="134"/>
      <c r="Z137" s="134"/>
      <c r="AA137" s="134"/>
      <c r="AB137" s="134"/>
      <c r="AC137" s="134"/>
      <c r="AD137" s="134"/>
      <c r="AE137" s="134"/>
      <c r="AF137" s="134"/>
      <c r="DO137" s="136"/>
      <c r="DP137" s="136"/>
      <c r="DQ137" s="136"/>
      <c r="DR137" s="136"/>
      <c r="DS137" s="136"/>
      <c r="DT137" s="136"/>
      <c r="DU137" s="136"/>
      <c r="DV137" s="136"/>
      <c r="DW137" s="136"/>
      <c r="DX137" s="136"/>
      <c r="DY137" s="136"/>
      <c r="DZ137" s="136"/>
      <c r="EA137" s="136"/>
      <c r="EB137" s="136"/>
      <c r="EC137" s="136"/>
      <c r="ED137" s="136"/>
      <c r="EE137" s="136"/>
      <c r="EF137" s="136"/>
      <c r="EG137" s="136"/>
      <c r="EH137" s="136"/>
      <c r="EI137" s="136"/>
      <c r="EJ137" s="136"/>
      <c r="EK137" s="136"/>
      <c r="EL137" s="136"/>
      <c r="EM137" s="136"/>
      <c r="EN137" s="136"/>
      <c r="EO137" s="136"/>
      <c r="EP137" s="136"/>
      <c r="EQ137" s="136"/>
      <c r="ER137" s="136"/>
      <c r="ES137" s="136"/>
      <c r="ET137" s="136"/>
      <c r="EU137" s="136"/>
      <c r="EV137" s="136"/>
      <c r="EW137" s="136"/>
      <c r="EX137" s="136"/>
      <c r="EY137" s="136"/>
      <c r="EZ137" s="136"/>
      <c r="FA137" s="136"/>
      <c r="FB137" s="136"/>
      <c r="FC137" s="136"/>
      <c r="FD137" s="136"/>
      <c r="FE137" s="136"/>
      <c r="FF137" s="136"/>
      <c r="FG137" s="136"/>
      <c r="FH137" s="136"/>
      <c r="FI137" s="136"/>
      <c r="FJ137" s="136"/>
      <c r="FK137" s="136"/>
      <c r="FL137" s="136"/>
      <c r="FM137" s="136"/>
      <c r="FN137" s="136"/>
      <c r="FO137" s="136"/>
      <c r="FP137" s="136"/>
      <c r="FQ137" s="136"/>
      <c r="FR137" s="136"/>
      <c r="FS137" s="136"/>
      <c r="FT137" s="136"/>
      <c r="FU137" s="136"/>
      <c r="FV137" s="136"/>
      <c r="FW137" s="136"/>
      <c r="FX137" s="136"/>
      <c r="FY137" s="136"/>
      <c r="FZ137" s="136"/>
      <c r="GA137" s="136"/>
      <c r="GB137" s="136"/>
      <c r="GC137" s="136"/>
      <c r="GD137" s="136"/>
      <c r="GE137" s="136"/>
      <c r="GF137" s="136"/>
      <c r="GG137" s="136"/>
      <c r="GH137" s="136"/>
      <c r="GI137" s="136"/>
      <c r="GJ137" s="136"/>
      <c r="GK137" s="136"/>
      <c r="GL137" s="136"/>
      <c r="GM137" s="136"/>
      <c r="GN137" s="136"/>
      <c r="GO137" s="136"/>
      <c r="GP137" s="136"/>
      <c r="GQ137" s="136"/>
      <c r="GR137" s="136"/>
      <c r="GS137" s="136"/>
      <c r="GT137" s="136"/>
      <c r="GU137" s="136"/>
      <c r="GV137" s="136"/>
      <c r="GW137" s="136"/>
      <c r="GX137" s="136"/>
      <c r="GY137" s="136"/>
      <c r="GZ137" s="136"/>
      <c r="HA137" s="136"/>
      <c r="HB137" s="136"/>
      <c r="HC137" s="136"/>
      <c r="HD137" s="136"/>
      <c r="HE137" s="136"/>
      <c r="HF137" s="136"/>
      <c r="HG137" s="136"/>
      <c r="HH137" s="136"/>
      <c r="HI137" s="136"/>
      <c r="HJ137" s="136"/>
      <c r="HK137" s="136"/>
      <c r="HL137" s="136"/>
      <c r="HM137" s="136"/>
      <c r="HN137" s="136"/>
      <c r="HO137" s="136"/>
      <c r="HP137" s="136"/>
      <c r="HQ137" s="136"/>
      <c r="HR137" s="136"/>
      <c r="HS137" s="136"/>
      <c r="HT137" s="136"/>
      <c r="HU137" s="136"/>
      <c r="HV137" s="136"/>
      <c r="HW137" s="136"/>
      <c r="HX137" s="136"/>
      <c r="HY137" s="136"/>
      <c r="HZ137" s="136"/>
      <c r="IA137" s="136"/>
      <c r="IB137" s="136"/>
      <c r="IC137" s="136"/>
      <c r="ID137" s="136"/>
      <c r="IE137" s="136"/>
      <c r="IF137" s="136"/>
      <c r="IG137" s="136"/>
      <c r="IH137" s="136"/>
      <c r="II137" s="136"/>
      <c r="IJ137" s="136"/>
      <c r="IK137" s="136"/>
      <c r="IL137" s="136"/>
      <c r="IM137" s="136"/>
      <c r="IN137" s="136"/>
      <c r="IO137" s="136"/>
      <c r="IP137" s="136"/>
      <c r="IQ137" s="136"/>
      <c r="IR137" s="136"/>
      <c r="IS137" s="136"/>
      <c r="IT137" s="136"/>
      <c r="IU137" s="136"/>
      <c r="IV137" s="136"/>
      <c r="IW137" s="136"/>
      <c r="IX137" s="136"/>
      <c r="IY137" s="136"/>
      <c r="IZ137" s="136"/>
      <c r="JA137" s="136"/>
      <c r="JB137" s="136"/>
      <c r="JC137" s="136"/>
      <c r="JD137" s="136"/>
      <c r="JE137" s="136"/>
      <c r="JF137" s="136"/>
      <c r="JG137" s="136"/>
      <c r="JH137" s="136"/>
      <c r="JI137" s="136"/>
      <c r="JJ137" s="136"/>
      <c r="JK137" s="136"/>
      <c r="JL137" s="136"/>
      <c r="JM137" s="136"/>
      <c r="JN137" s="136"/>
      <c r="JO137" s="136"/>
      <c r="JP137" s="136"/>
      <c r="JQ137" s="136"/>
      <c r="JR137" s="136"/>
      <c r="JS137" s="136"/>
      <c r="JT137" s="136"/>
      <c r="JU137" s="136"/>
      <c r="JV137" s="136"/>
      <c r="JW137" s="136"/>
      <c r="JX137" s="136"/>
      <c r="JY137" s="136"/>
      <c r="JZ137" s="136"/>
      <c r="KA137" s="136"/>
      <c r="KB137" s="136"/>
      <c r="KC137" s="136"/>
      <c r="KD137" s="136"/>
      <c r="KE137" s="136"/>
      <c r="KF137" s="136"/>
      <c r="KG137" s="136"/>
      <c r="KH137" s="136"/>
      <c r="KI137" s="136"/>
      <c r="KJ137" s="136"/>
      <c r="KK137" s="136"/>
      <c r="KL137" s="136"/>
      <c r="KM137" s="136"/>
      <c r="KN137" s="136"/>
      <c r="KO137" s="136"/>
      <c r="KP137" s="136"/>
      <c r="KQ137" s="136"/>
      <c r="KR137" s="136"/>
      <c r="KS137" s="136"/>
      <c r="KT137" s="136"/>
      <c r="KU137" s="136"/>
      <c r="KV137" s="136"/>
      <c r="KW137" s="136"/>
      <c r="KX137" s="136"/>
      <c r="KY137" s="136"/>
      <c r="KZ137" s="136"/>
      <c r="LA137" s="136"/>
      <c r="LB137" s="136"/>
      <c r="LC137" s="136"/>
      <c r="LD137" s="136"/>
      <c r="LE137" s="136"/>
      <c r="LF137" s="136"/>
      <c r="LG137" s="136"/>
      <c r="LH137" s="136"/>
      <c r="LI137" s="136"/>
      <c r="LJ137" s="136"/>
      <c r="LK137" s="136"/>
      <c r="LL137" s="136"/>
      <c r="LM137" s="136"/>
      <c r="LN137" s="136"/>
      <c r="LO137" s="136"/>
      <c r="LP137" s="136"/>
      <c r="LQ137" s="136"/>
      <c r="LR137" s="136"/>
      <c r="LS137" s="136"/>
      <c r="LT137" s="136"/>
      <c r="LU137" s="136"/>
      <c r="LV137" s="136"/>
      <c r="LW137" s="136"/>
      <c r="LX137" s="136"/>
      <c r="LY137" s="136"/>
      <c r="LZ137" s="136"/>
      <c r="MA137" s="136"/>
      <c r="MB137" s="136"/>
      <c r="MC137" s="136"/>
      <c r="MD137" s="136"/>
      <c r="ME137" s="136"/>
      <c r="MF137" s="136"/>
      <c r="MG137" s="136"/>
      <c r="MH137" s="136"/>
      <c r="MI137" s="136"/>
      <c r="MJ137" s="136"/>
      <c r="MK137" s="136"/>
      <c r="ML137" s="136"/>
      <c r="MM137" s="136"/>
      <c r="MN137" s="136"/>
      <c r="MO137" s="136"/>
      <c r="MP137" s="136"/>
      <c r="MQ137" s="136"/>
      <c r="MR137" s="136"/>
      <c r="MS137" s="136"/>
      <c r="MT137" s="136"/>
      <c r="MU137" s="136"/>
      <c r="MV137" s="136"/>
      <c r="MW137" s="136"/>
      <c r="MX137" s="136"/>
      <c r="MY137" s="136"/>
      <c r="MZ137" s="136"/>
      <c r="NA137" s="136"/>
      <c r="NB137" s="136"/>
      <c r="NC137" s="136"/>
      <c r="ND137" s="136"/>
      <c r="NE137" s="136"/>
      <c r="NF137" s="136"/>
      <c r="NG137" s="136"/>
      <c r="NH137" s="136"/>
      <c r="NI137" s="136"/>
      <c r="NJ137" s="136"/>
      <c r="NK137" s="136"/>
      <c r="NL137" s="136"/>
      <c r="NM137" s="136"/>
      <c r="NN137" s="136"/>
      <c r="NO137" s="136"/>
      <c r="NP137" s="136"/>
      <c r="NQ137" s="136"/>
      <c r="NR137" s="136"/>
      <c r="NS137" s="136"/>
      <c r="NT137" s="136"/>
      <c r="NU137" s="136"/>
      <c r="NV137" s="136"/>
      <c r="NW137" s="136"/>
      <c r="NX137" s="136"/>
      <c r="NY137" s="136"/>
      <c r="NZ137" s="136"/>
      <c r="OA137" s="136"/>
      <c r="OB137" s="136"/>
      <c r="OC137" s="136"/>
      <c r="OD137" s="136"/>
      <c r="OE137" s="136"/>
      <c r="OF137" s="136"/>
      <c r="OG137" s="136"/>
      <c r="OH137" s="136"/>
      <c r="OI137" s="136"/>
      <c r="OJ137" s="136"/>
      <c r="OK137" s="136"/>
      <c r="OL137" s="136"/>
      <c r="OM137" s="136"/>
      <c r="ON137" s="136"/>
      <c r="OO137" s="136"/>
      <c r="OP137" s="136"/>
      <c r="OQ137" s="136"/>
      <c r="OR137" s="136"/>
      <c r="OS137" s="136"/>
      <c r="OT137" s="136"/>
      <c r="OU137" s="136"/>
      <c r="OV137" s="136"/>
      <c r="OW137" s="136"/>
      <c r="OX137" s="136"/>
      <c r="OY137" s="136"/>
      <c r="OZ137" s="136"/>
      <c r="PA137" s="136"/>
      <c r="PB137" s="136"/>
      <c r="PC137" s="136"/>
      <c r="PD137" s="136"/>
      <c r="PE137" s="136"/>
      <c r="PF137" s="136"/>
      <c r="PG137" s="136"/>
      <c r="PH137" s="136"/>
      <c r="PI137" s="136"/>
      <c r="PJ137" s="136"/>
      <c r="PK137" s="136"/>
      <c r="PL137" s="136"/>
      <c r="PM137" s="136"/>
      <c r="PN137" s="136"/>
      <c r="PO137" s="136"/>
      <c r="PP137" s="136"/>
      <c r="PQ137" s="136"/>
      <c r="PR137" s="136"/>
      <c r="PS137" s="136"/>
      <c r="PT137" s="136"/>
      <c r="PU137" s="136"/>
      <c r="PV137" s="136"/>
      <c r="PW137" s="136"/>
      <c r="PX137" s="136"/>
      <c r="PY137" s="136"/>
      <c r="PZ137" s="136"/>
      <c r="QA137" s="136"/>
      <c r="QB137" s="136"/>
      <c r="QC137" s="136"/>
      <c r="QD137" s="136"/>
      <c r="QE137" s="136"/>
      <c r="QF137" s="136"/>
      <c r="QG137" s="136"/>
      <c r="QH137" s="136"/>
      <c r="QI137" s="136"/>
      <c r="QJ137" s="136"/>
      <c r="QK137" s="136"/>
      <c r="QL137" s="136"/>
      <c r="QM137" s="136"/>
      <c r="QN137" s="136"/>
      <c r="QO137" s="136"/>
      <c r="QP137" s="136"/>
      <c r="QQ137" s="136"/>
      <c r="QR137" s="136"/>
      <c r="QS137" s="136"/>
      <c r="QT137" s="136"/>
      <c r="QU137" s="136"/>
      <c r="QV137" s="136"/>
      <c r="QW137" s="136"/>
      <c r="QX137" s="136"/>
      <c r="QY137" s="136"/>
      <c r="QZ137" s="136"/>
      <c r="RA137" s="136"/>
      <c r="RB137" s="136"/>
      <c r="RC137" s="136"/>
      <c r="RD137" s="136"/>
      <c r="RE137" s="136"/>
      <c r="RF137" s="136"/>
      <c r="RG137" s="136"/>
      <c r="RH137" s="136"/>
      <c r="RI137" s="136"/>
      <c r="RJ137" s="136"/>
      <c r="RK137" s="136"/>
      <c r="RL137" s="136"/>
      <c r="RM137" s="136"/>
      <c r="RN137" s="136"/>
      <c r="RO137" s="136"/>
      <c r="RP137" s="136"/>
      <c r="RQ137" s="136"/>
      <c r="RR137" s="136"/>
      <c r="RS137" s="136"/>
      <c r="RT137" s="136"/>
      <c r="RU137" s="136"/>
      <c r="RV137" s="136"/>
      <c r="RW137" s="136"/>
      <c r="RX137" s="136"/>
      <c r="RY137" s="136"/>
      <c r="RZ137" s="136"/>
      <c r="SA137" s="136"/>
      <c r="SB137" s="136"/>
      <c r="SC137" s="136"/>
      <c r="SD137" s="136"/>
      <c r="SE137" s="136"/>
      <c r="SF137" s="136"/>
      <c r="SG137" s="136"/>
      <c r="SH137" s="136"/>
      <c r="SI137" s="136"/>
      <c r="SJ137" s="136"/>
      <c r="SK137" s="136"/>
      <c r="SL137" s="136"/>
      <c r="SM137" s="136"/>
      <c r="SN137" s="136"/>
      <c r="SO137" s="136"/>
      <c r="SP137" s="136"/>
      <c r="SQ137" s="136"/>
      <c r="SR137" s="136"/>
      <c r="SS137" s="136"/>
    </row>
  </sheetData>
  <conditionalFormatting sqref="B32:O33">
    <cfRule type="cellIs" dxfId="43" priority="55" operator="equal">
      <formula>"Fail"</formula>
    </cfRule>
    <cfRule type="cellIs" dxfId="42" priority="56" operator="equal">
      <formula>"Pass"</formula>
    </cfRule>
  </conditionalFormatting>
  <conditionalFormatting sqref="P33:S33 U33:DB33">
    <cfRule type="cellIs" dxfId="41" priority="51" operator="equal">
      <formula>"Fail"</formula>
    </cfRule>
    <cfRule type="cellIs" dxfId="40" priority="52" operator="equal">
      <formula>"Pass"</formula>
    </cfRule>
  </conditionalFormatting>
  <conditionalFormatting sqref="P32:DB32">
    <cfRule type="cellIs" dxfId="39" priority="50" operator="equal">
      <formula>"Pass"</formula>
    </cfRule>
    <cfRule type="cellIs" dxfId="38" priority="49" operator="equal">
      <formula>"Fail"</formula>
    </cfRule>
  </conditionalFormatting>
  <conditionalFormatting sqref="S48:S49">
    <cfRule type="cellIs" dxfId="37" priority="48" operator="equal">
      <formula>"Pass"</formula>
    </cfRule>
    <cfRule type="cellIs" dxfId="36" priority="47" operator="equal">
      <formula>"Fail"</formula>
    </cfRule>
  </conditionalFormatting>
  <conditionalFormatting sqref="V48:V49">
    <cfRule type="cellIs" dxfId="35" priority="46" operator="equal">
      <formula>"Pass"</formula>
    </cfRule>
    <cfRule type="cellIs" dxfId="34" priority="45" operator="equal">
      <formula>"Fail"</formula>
    </cfRule>
  </conditionalFormatting>
  <conditionalFormatting sqref="Y48:Y49">
    <cfRule type="cellIs" dxfId="33" priority="44" operator="equal">
      <formula>"Pass"</formula>
    </cfRule>
    <cfRule type="cellIs" dxfId="32" priority="43" operator="equal">
      <formula>"Fail"</formula>
    </cfRule>
  </conditionalFormatting>
  <conditionalFormatting sqref="AB48:AB49">
    <cfRule type="cellIs" dxfId="31" priority="41" operator="equal">
      <formula>"Fail"</formula>
    </cfRule>
    <cfRule type="cellIs" dxfId="30" priority="42" operator="equal">
      <formula>"Pass"</formula>
    </cfRule>
  </conditionalFormatting>
  <conditionalFormatting sqref="AE48:AE49">
    <cfRule type="cellIs" dxfId="29" priority="39" operator="equal">
      <formula>"Fail"</formula>
    </cfRule>
    <cfRule type="cellIs" dxfId="28" priority="40" operator="equal">
      <formula>"Pass"</formula>
    </cfRule>
  </conditionalFormatting>
  <conditionalFormatting sqref="AH48:AH49">
    <cfRule type="cellIs" dxfId="27" priority="36" operator="equal">
      <formula>"Pass"</formula>
    </cfRule>
    <cfRule type="cellIs" dxfId="26" priority="35" operator="equal">
      <formula>"Fail"</formula>
    </cfRule>
  </conditionalFormatting>
  <conditionalFormatting sqref="AK48:AK49">
    <cfRule type="cellIs" dxfId="25" priority="33" operator="equal">
      <formula>"Fail"</formula>
    </cfRule>
    <cfRule type="cellIs" dxfId="24" priority="34" operator="equal">
      <formula>"Pass"</formula>
    </cfRule>
  </conditionalFormatting>
  <conditionalFormatting sqref="AN48:AN49">
    <cfRule type="cellIs" dxfId="23" priority="32" operator="equal">
      <formula>"Pass"</formula>
    </cfRule>
    <cfRule type="cellIs" dxfId="22" priority="31" operator="equal">
      <formula>"Fail"</formula>
    </cfRule>
  </conditionalFormatting>
  <conditionalFormatting sqref="AQ48:AT49 AW48:AW49 AZ48:AZ49 BC48:BC49 BF48:BF49">
    <cfRule type="cellIs" dxfId="21" priority="30" operator="equal">
      <formula>"Pass"</formula>
    </cfRule>
    <cfRule type="cellIs" dxfId="20" priority="29" operator="equal">
      <formula>"Fail"</formula>
    </cfRule>
  </conditionalFormatting>
  <conditionalFormatting sqref="BI48:BI49 BL48:BO49">
    <cfRule type="cellIs" dxfId="19" priority="28" operator="equal">
      <formula>"Pass"</formula>
    </cfRule>
    <cfRule type="cellIs" dxfId="18" priority="27" operator="equal">
      <formula>"Fail"</formula>
    </cfRule>
  </conditionalFormatting>
  <conditionalFormatting sqref="BR48:BU49 BX48:BX49">
    <cfRule type="cellIs" dxfId="17" priority="24" operator="equal">
      <formula>"Pass"</formula>
    </cfRule>
    <cfRule type="cellIs" dxfId="16" priority="23" operator="equal">
      <formula>"Fail"</formula>
    </cfRule>
  </conditionalFormatting>
  <conditionalFormatting sqref="CA48:CA49">
    <cfRule type="cellIs" dxfId="15" priority="20" operator="equal">
      <formula>"Pass"</formula>
    </cfRule>
    <cfRule type="cellIs" dxfId="14" priority="19" operator="equal">
      <formula>"Fail"</formula>
    </cfRule>
  </conditionalFormatting>
  <conditionalFormatting sqref="CD48">
    <cfRule type="cellIs" dxfId="13" priority="17" operator="equal">
      <formula>"Fail"</formula>
    </cfRule>
    <cfRule type="cellIs" dxfId="12" priority="18" operator="equal">
      <formula>"Pass"</formula>
    </cfRule>
  </conditionalFormatting>
  <conditionalFormatting sqref="CG48">
    <cfRule type="cellIs" dxfId="11" priority="16" operator="equal">
      <formula>"Pass"</formula>
    </cfRule>
    <cfRule type="cellIs" dxfId="10" priority="15" operator="equal">
      <formula>"Fail"</formula>
    </cfRule>
  </conditionalFormatting>
  <conditionalFormatting sqref="CJ48">
    <cfRule type="cellIs" dxfId="9" priority="14" operator="equal">
      <formula>"Pass"</formula>
    </cfRule>
    <cfRule type="cellIs" dxfId="8" priority="13" operator="equal">
      <formula>"Fail"</formula>
    </cfRule>
  </conditionalFormatting>
  <conditionalFormatting sqref="CM48 CP48">
    <cfRule type="cellIs" dxfId="7" priority="12" operator="equal">
      <formula>"Pass"</formula>
    </cfRule>
    <cfRule type="cellIs" dxfId="6" priority="11" operator="equal">
      <formula>"Fail"</formula>
    </cfRule>
  </conditionalFormatting>
  <conditionalFormatting sqref="CS48">
    <cfRule type="cellIs" dxfId="5" priority="3" operator="equal">
      <formula>"Fail"</formula>
    </cfRule>
    <cfRule type="cellIs" dxfId="4" priority="4" operator="equal">
      <formula>"Pass"</formula>
    </cfRule>
  </conditionalFormatting>
  <conditionalFormatting sqref="CV48">
    <cfRule type="cellIs" dxfId="3" priority="2" operator="equal">
      <formula>"Pass"</formula>
    </cfRule>
    <cfRule type="cellIs" dxfId="2" priority="1" operator="equal">
      <formula>"Fail"</formula>
    </cfRule>
  </conditionalFormatting>
  <conditionalFormatting sqref="DO32:XFD33">
    <cfRule type="cellIs" dxfId="1" priority="53" operator="equal">
      <formula>"Fail"</formula>
    </cfRule>
    <cfRule type="cellIs" dxfId="0" priority="54" operator="equal">
      <formula>"Pass"</formula>
    </cfRule>
  </conditionalFormatting>
  <pageMargins left="0.7" right="0.7" top="0.75" bottom="0.75" header="0.3" footer="0.3"/>
  <pageSetup paperSize="9" fitToWidth="0" fitToHeight="0" orientation="landscape" r:id="rId1"/>
  <headerFooter>
    <oddFooter>&amp;L&amp;1#&amp;"Calibri"&amp;10 Classification: Private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49605a9d-eaf4-47af-bb4b-d0ed1fe543e2">
      <UserInfo>
        <DisplayName>Hollie Tongue</DisplayName>
        <AccountId>149</AccountId>
        <AccountType/>
      </UserInfo>
      <UserInfo>
        <DisplayName>Robert Powell</DisplayName>
        <AccountId>296</AccountId>
        <AccountType/>
      </UserInfo>
    </SharedWithUsers>
    <TaxCatchAll xmlns="49605a9d-eaf4-47af-bb4b-d0ed1fe543e2" xsi:nil="true"/>
    <lcf76f155ced4ddcb4097134ff3c332f xmlns="af869415-6351-4abe-a8d3-cf9b03d54159">
      <Terms xmlns="http://schemas.microsoft.com/office/infopath/2007/PartnerControls"/>
    </lcf76f155ced4ddcb4097134ff3c332f>
    <_ip_UnifiedCompliancePolicyUIAction xmlns="http://schemas.microsoft.com/sharepoint/v3">0</_ip_UnifiedCompliancePolicyUIAction>
    <_ip_UnifiedCompliancePolicyProperties xmlns="http://schemas.microsoft.com/sharepoint/v3" xsi:nil="true"/>
    <_Flow_SignoffStatus xmlns="af869415-6351-4abe-a8d3-cf9b03d5415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1662DE5CE485468536F9C94486F89B" ma:contentTypeVersion="21" ma:contentTypeDescription="Create a new document." ma:contentTypeScope="" ma:versionID="8e8b7fe8024d59c7ca49e0cb8d1cb490">
  <xsd:schema xmlns:xsd="http://www.w3.org/2001/XMLSchema" xmlns:xs="http://www.w3.org/2001/XMLSchema" xmlns:p="http://schemas.microsoft.com/office/2006/metadata/properties" xmlns:ns1="http://schemas.microsoft.com/sharepoint/v3" xmlns:ns2="49605a9d-eaf4-47af-bb4b-d0ed1fe543e2" xmlns:ns3="af869415-6351-4abe-a8d3-cf9b03d54159" targetNamespace="http://schemas.microsoft.com/office/2006/metadata/properties" ma:root="true" ma:fieldsID="e5be222769ad73e4eb12b01387ed5630" ns1:_="" ns2:_="" ns3:_="">
    <xsd:import namespace="http://schemas.microsoft.com/sharepoint/v3"/>
    <xsd:import namespace="49605a9d-eaf4-47af-bb4b-d0ed1fe543e2"/>
    <xsd:import namespace="af869415-6351-4abe-a8d3-cf9b03d5415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1:_ip_UnifiedCompliancePolicyProperties" minOccurs="0"/>
                <xsd:element ref="ns1:_ip_UnifiedCompliancePolicyUIAction" minOccurs="0"/>
                <xsd:element ref="ns3:_Flow_SignoffStatu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05a9d-eaf4-47af-bb4b-d0ed1fe543e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b2be065-f2bc-4077-8928-f4f19a16928e}" ma:internalName="TaxCatchAll" ma:showField="CatchAllData" ma:web="49605a9d-eaf4-47af-bb4b-d0ed1fe543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869415-6351-4abe-a8d3-cf9b03d541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4" nillable="true" ma:displayName="MediaServiceLocation" ma:internalName="MediaServiceLocation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49304ed-8cca-4bfd-9728-957c2b9231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B005EF-4AA2-4E42-AF65-B9511BF33C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CF67A6-08BA-465F-954D-7AE4E678050C}">
  <ds:schemaRefs>
    <ds:schemaRef ds:uri="http://schemas.microsoft.com/office/2006/metadata/properties"/>
    <ds:schemaRef ds:uri="http://schemas.microsoft.com/office/infopath/2007/PartnerControls"/>
    <ds:schemaRef ds:uri="49605a9d-eaf4-47af-bb4b-d0ed1fe543e2"/>
    <ds:schemaRef ds:uri="af869415-6351-4abe-a8d3-cf9b03d54159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260A689D-A5EC-4C96-8742-54ACA47FF0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9605a9d-eaf4-47af-bb4b-d0ed1fe543e2"/>
    <ds:schemaRef ds:uri="af869415-6351-4abe-a8d3-cf9b03d541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13</vt:i4>
      </vt:variant>
    </vt:vector>
  </HeadingPairs>
  <TitlesOfParts>
    <vt:vector size="26" baseType="lpstr">
      <vt:lpstr>Cover</vt:lpstr>
      <vt:lpstr>KPIs</vt:lpstr>
      <vt:lpstr>Financial statements</vt:lpstr>
      <vt:lpstr>Financial plan</vt:lpstr>
      <vt:lpstr>Revenue data</vt:lpstr>
      <vt:lpstr>Alternate P&amp;L</vt:lpstr>
      <vt:lpstr>Stock</vt:lpstr>
      <vt:lpstr>Aged debtors</vt:lpstr>
      <vt:lpstr>Largest debtors</vt:lpstr>
      <vt:lpstr>Customer data</vt:lpstr>
      <vt:lpstr>Carrier data</vt:lpstr>
      <vt:lpstr>Overseas cash covenant</vt:lpstr>
      <vt:lpstr>Cash consumption and rev cov</vt:lpstr>
      <vt:lpstr>'Aged debtors'!Print_Area</vt:lpstr>
      <vt:lpstr>'Carrier data'!Print_Area</vt:lpstr>
      <vt:lpstr>'Cash consumption and rev cov'!Print_Area</vt:lpstr>
      <vt:lpstr>Cover!Print_Area</vt:lpstr>
      <vt:lpstr>'Customer data'!Print_Area</vt:lpstr>
      <vt:lpstr>'Financial plan'!Print_Area</vt:lpstr>
      <vt:lpstr>'Financial statements'!Print_Area</vt:lpstr>
      <vt:lpstr>KPIs!Print_Area</vt:lpstr>
      <vt:lpstr>'Overseas cash covenant'!Print_Area</vt:lpstr>
      <vt:lpstr>Stock!Print_Area</vt:lpstr>
      <vt:lpstr>'Aged debtors'!Print_Titles</vt:lpstr>
      <vt:lpstr>'Financial plan'!Print_Titles</vt:lpstr>
      <vt:lpstr>'Financial statements'!Print_Titles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Powell</dc:creator>
  <cp:keywords/>
  <dc:description/>
  <cp:lastModifiedBy>Elaine Zhu</cp:lastModifiedBy>
  <cp:revision/>
  <dcterms:created xsi:type="dcterms:W3CDTF">2018-03-22T10:54:30Z</dcterms:created>
  <dcterms:modified xsi:type="dcterms:W3CDTF">2026-03-31T16:18:12Z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0x010100821662DE5CE485468536F9C94486F89B</vt:lpwstr>
  </property>
  <property fmtid="{D5CDD505-2E9C-101B-9397-08002B2CF9AE}" pid="3" name="Jet Reports Function Literals">
    <vt:lpwstr>,	;	,	{	}	[@[{0}]]	1033	2057</vt:lpwstr>
  </property>
  <property fmtid="{D5CDD505-2E9C-101B-9397-08002B2CF9AE}" pid="4" name="Jet Reports Design Mode Active">
    <vt:bool>true</vt:bool>
  </property>
  <property fmtid="{D5CDD505-2E9C-101B-9397-08002B2CF9AE}" pid="5" name="MediaServiceImageTags">
    <vt:lpwstr/>
  </property>
</Properties>
</file>